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ETALLES  24.11.25\Bloqueados\"/>
    </mc:Choice>
  </mc:AlternateContent>
  <workbookProtection workbookAlgorithmName="SHA-512" workbookHashValue="PdO34EZ6if4uCN7UPhVEkC0DSILEPu2Nztqa5zuSXo7imy10nP9DAcYEah0Pw5REkXeX9jNL8UI2A1ENeYv8Tw==" workbookSaltValue="puuO0FgkFeXuEWvVqmWkvQ==" workbookSpinCount="100000" lockStructure="1"/>
  <bookViews>
    <workbookView xWindow="0" yWindow="0" windowWidth="23040" windowHeight="9072" tabRatio="861" firstSheet="1" activeTab="1"/>
  </bookViews>
  <sheets>
    <sheet name="Hoja1" sheetId="13" state="hidden" r:id="rId1"/>
    <sheet name="Detalle vehiculo" sheetId="9" r:id="rId2"/>
    <sheet name="Detalle cliente vehiculo" sheetId="11" r:id="rId3"/>
    <sheet name="Detalle hipotecario" sheetId="15" state="hidden" r:id="rId4"/>
    <sheet name="Detalle cliente hipotecario" sheetId="14" state="hidden" r:id="rId5"/>
    <sheet name="Cálculo RGPI" sheetId="17" state="hidden" r:id="rId6"/>
    <sheet name="Emision de Cheques" sheetId="10" r:id="rId7"/>
    <sheet name="Cotizador cliente" sheetId="12" r:id="rId8"/>
    <sheet name="Hoja3" sheetId="19" state="hidden" r:id="rId9"/>
    <sheet name="Cotizador interno" sheetId="20" r:id="rId10"/>
    <sheet name="Costo de seguro" sheetId="18" state="hidden" r:id="rId11"/>
    <sheet name="Detalle Cuota especial" sheetId="16" state="hidden" r:id="rId12"/>
    <sheet name="Analisis de pago" sheetId="7" state="hidden" r:id="rId13"/>
    <sheet name="Datos - analisis de pago" sheetId="8" state="hidden" r:id="rId14"/>
    <sheet name="Datos - analisis garantia" sheetId="3" state="hidden" r:id="rId15"/>
    <sheet name="Analisis garantia" sheetId="5" state="hidden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2" l="1"/>
  <c r="K17" i="12" s="1"/>
  <c r="K11" i="20" l="1"/>
  <c r="K12" i="20"/>
  <c r="K19" i="20" s="1"/>
  <c r="C25" i="20" l="1"/>
  <c r="K16" i="20"/>
  <c r="K15" i="20"/>
  <c r="N15" i="20" s="1"/>
  <c r="K14" i="20"/>
  <c r="D25" i="20" s="1"/>
  <c r="K13" i="20"/>
  <c r="K17" i="20" s="1"/>
  <c r="E10" i="20"/>
  <c r="G25" i="20" l="1"/>
  <c r="I25" i="20" s="1"/>
  <c r="K25" i="20" s="1"/>
  <c r="F28" i="9" s="1"/>
  <c r="K18" i="20"/>
  <c r="F20" i="9"/>
  <c r="K20" i="20" l="1"/>
  <c r="M30" i="20"/>
  <c r="S25" i="20"/>
  <c r="F25" i="9"/>
  <c r="F26" i="9"/>
  <c r="M28" i="20"/>
  <c r="M27" i="20"/>
  <c r="M26" i="20"/>
  <c r="M29" i="20"/>
  <c r="M25" i="20"/>
  <c r="C15" i="11"/>
  <c r="P25" i="20" l="1"/>
  <c r="T25" i="20" s="1"/>
  <c r="D26" i="20" s="1"/>
  <c r="W25" i="20"/>
  <c r="E15" i="9"/>
  <c r="E14" i="9"/>
  <c r="W26" i="20" l="1"/>
  <c r="S26" i="20"/>
  <c r="C26" i="20"/>
  <c r="A26" i="20" s="1"/>
  <c r="G26" i="20"/>
  <c r="I26" i="20" s="1"/>
  <c r="K26" i="20" s="1"/>
  <c r="P26" i="20" s="1"/>
  <c r="T26" i="20" s="1"/>
  <c r="D27" i="20" s="1"/>
  <c r="G14" i="9"/>
  <c r="B41" i="9"/>
  <c r="B44" i="9" s="1"/>
  <c r="C27" i="20" l="1"/>
  <c r="A27" i="20" s="1"/>
  <c r="W27" i="20"/>
  <c r="G27" i="20"/>
  <c r="S27" i="20"/>
  <c r="B43" i="9"/>
  <c r="I27" i="20" l="1"/>
  <c r="K27" i="20" s="1"/>
  <c r="P27" i="20" s="1"/>
  <c r="T27" i="20" s="1"/>
  <c r="D28" i="20" s="1"/>
  <c r="C14" i="15"/>
  <c r="C28" i="20" l="1"/>
  <c r="A28" i="20" s="1"/>
  <c r="W28" i="20"/>
  <c r="G28" i="20"/>
  <c r="S28" i="20"/>
  <c r="I28" i="20" l="1"/>
  <c r="K28" i="20" s="1"/>
  <c r="P28" i="20" s="1"/>
  <c r="T28" i="20" s="1"/>
  <c r="D29" i="20" s="1"/>
  <c r="G20" i="15"/>
  <c r="W29" i="20" l="1"/>
  <c r="G29" i="20"/>
  <c r="C29" i="20"/>
  <c r="A29" i="20" s="1"/>
  <c r="S29" i="20"/>
  <c r="C20" i="17"/>
  <c r="D16" i="17"/>
  <c r="C16" i="17"/>
  <c r="A18" i="17" s="1"/>
  <c r="C18" i="17" s="1"/>
  <c r="C8" i="17"/>
  <c r="D4" i="17"/>
  <c r="C4" i="17"/>
  <c r="A6" i="17" s="1"/>
  <c r="C6" i="17" s="1"/>
  <c r="T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D18" i="16"/>
  <c r="S18" i="16" s="1"/>
  <c r="L8" i="16"/>
  <c r="C16" i="14"/>
  <c r="C16" i="15"/>
  <c r="E46" i="15"/>
  <c r="G42" i="15"/>
  <c r="D28" i="15"/>
  <c r="D27" i="15"/>
  <c r="D26" i="15"/>
  <c r="I29" i="20" l="1"/>
  <c r="K29" i="20" s="1"/>
  <c r="P29" i="20" s="1"/>
  <c r="T29" i="20" s="1"/>
  <c r="D30" i="20" s="1"/>
  <c r="C11" i="17"/>
  <c r="T18" i="16"/>
  <c r="U18" i="16"/>
  <c r="D19" i="16" s="1"/>
  <c r="C23" i="17"/>
  <c r="C26" i="17" s="1"/>
  <c r="F36" i="15" s="1"/>
  <c r="G18" i="16"/>
  <c r="E23" i="15"/>
  <c r="G24" i="15"/>
  <c r="F32" i="15"/>
  <c r="F47" i="15"/>
  <c r="F46" i="15"/>
  <c r="E24" i="15"/>
  <c r="F45" i="15"/>
  <c r="F31" i="15"/>
  <c r="B20" i="14" s="1"/>
  <c r="C30" i="20" l="1"/>
  <c r="A30" i="20" s="1"/>
  <c r="W30" i="20"/>
  <c r="G30" i="20"/>
  <c r="S30" i="20"/>
  <c r="T19" i="16"/>
  <c r="A19" i="16"/>
  <c r="C19" i="16"/>
  <c r="S19" i="16"/>
  <c r="U19" i="16"/>
  <c r="D20" i="16" s="1"/>
  <c r="U20" i="16" s="1"/>
  <c r="D21" i="16" s="1"/>
  <c r="B21" i="14"/>
  <c r="B22" i="14"/>
  <c r="G19" i="16"/>
  <c r="I19" i="16" s="1"/>
  <c r="M19" i="16" s="1"/>
  <c r="AA18" i="16"/>
  <c r="AE18" i="16" s="1"/>
  <c r="I18" i="16"/>
  <c r="AB18" i="16" s="1"/>
  <c r="G25" i="15"/>
  <c r="G26" i="15" s="1"/>
  <c r="F23" i="15"/>
  <c r="E26" i="15" s="1"/>
  <c r="F24" i="15"/>
  <c r="E27" i="15" s="1"/>
  <c r="F25" i="15"/>
  <c r="E28" i="15" s="1"/>
  <c r="G31" i="15"/>
  <c r="G44" i="15"/>
  <c r="I30" i="20" l="1"/>
  <c r="K30" i="20" s="1"/>
  <c r="P30" i="20" s="1"/>
  <c r="T30" i="20" s="1"/>
  <c r="D31" i="20" s="1"/>
  <c r="S20" i="16"/>
  <c r="C20" i="16"/>
  <c r="C21" i="16" s="1"/>
  <c r="G20" i="16"/>
  <c r="I20" i="16" s="1"/>
  <c r="M20" i="16" s="1"/>
  <c r="T20" i="16"/>
  <c r="A20" i="16"/>
  <c r="AA19" i="16"/>
  <c r="AE19" i="16" s="1"/>
  <c r="U21" i="16"/>
  <c r="D22" i="16" s="1"/>
  <c r="S21" i="16"/>
  <c r="T21" i="16"/>
  <c r="G21" i="16"/>
  <c r="A21" i="16"/>
  <c r="B19" i="14"/>
  <c r="E10" i="16"/>
  <c r="E13" i="16" s="1"/>
  <c r="B23" i="14"/>
  <c r="AD18" i="16"/>
  <c r="AC18" i="16"/>
  <c r="M18" i="16"/>
  <c r="X18" i="16" s="1"/>
  <c r="AC19" i="16"/>
  <c r="AB19" i="16"/>
  <c r="K19" i="16"/>
  <c r="K18" i="16"/>
  <c r="G56" i="15"/>
  <c r="F58" i="15" s="1"/>
  <c r="C23" i="14" l="1"/>
  <c r="C24" i="14" s="1"/>
  <c r="M31" i="20"/>
  <c r="W31" i="20"/>
  <c r="G31" i="20"/>
  <c r="C31" i="20"/>
  <c r="A31" i="20" s="1"/>
  <c r="S31" i="20"/>
  <c r="AD19" i="16"/>
  <c r="AA20" i="16"/>
  <c r="AE20" i="16" s="1"/>
  <c r="X21" i="16"/>
  <c r="X30" i="16"/>
  <c r="X29" i="16"/>
  <c r="X28" i="16"/>
  <c r="X27" i="16"/>
  <c r="X26" i="16"/>
  <c r="X25" i="16"/>
  <c r="X24" i="16"/>
  <c r="X34" i="16"/>
  <c r="X33" i="16"/>
  <c r="X32" i="16"/>
  <c r="X31" i="16"/>
  <c r="X35" i="16"/>
  <c r="X20" i="16"/>
  <c r="X19" i="16"/>
  <c r="X22" i="16"/>
  <c r="X23" i="16"/>
  <c r="AA21" i="16"/>
  <c r="I21" i="16"/>
  <c r="AB21" i="16" s="1"/>
  <c r="U22" i="16"/>
  <c r="D23" i="16" s="1"/>
  <c r="C22" i="16"/>
  <c r="A22" i="16"/>
  <c r="G22" i="16"/>
  <c r="AD20" i="16"/>
  <c r="AB20" i="16"/>
  <c r="K20" i="16"/>
  <c r="AC20" i="16"/>
  <c r="I31" i="20" l="1"/>
  <c r="K31" i="20" s="1"/>
  <c r="P31" i="20" s="1"/>
  <c r="T31" i="20" s="1"/>
  <c r="D32" i="20" s="1"/>
  <c r="I22" i="16"/>
  <c r="M22" i="16" s="1"/>
  <c r="AA22" i="16"/>
  <c r="AD22" i="16" s="1"/>
  <c r="K22" i="16"/>
  <c r="AC22" i="16"/>
  <c r="U23" i="16"/>
  <c r="D24" i="16" s="1"/>
  <c r="U24" i="16" s="1"/>
  <c r="D25" i="16" s="1"/>
  <c r="A23" i="16"/>
  <c r="G23" i="16"/>
  <c r="C23" i="16"/>
  <c r="M21" i="16"/>
  <c r="K21" i="16"/>
  <c r="AD21" i="16"/>
  <c r="AE21" i="16"/>
  <c r="AC21" i="16"/>
  <c r="C32" i="20" l="1"/>
  <c r="A32" i="20" s="1"/>
  <c r="W32" i="20"/>
  <c r="G32" i="20"/>
  <c r="S32" i="20"/>
  <c r="U25" i="16"/>
  <c r="D26" i="16" s="1"/>
  <c r="G25" i="16"/>
  <c r="A25" i="16"/>
  <c r="AB22" i="16"/>
  <c r="C24" i="16"/>
  <c r="C25" i="16" s="1"/>
  <c r="G24" i="16"/>
  <c r="A24" i="16"/>
  <c r="I23" i="16"/>
  <c r="M23" i="16" s="1"/>
  <c r="AA23" i="16"/>
  <c r="AD23" i="16" s="1"/>
  <c r="AE22" i="16"/>
  <c r="I32" i="20" l="1"/>
  <c r="M32" i="20" s="1"/>
  <c r="AB23" i="16"/>
  <c r="K23" i="16"/>
  <c r="AC23" i="16"/>
  <c r="AA25" i="16"/>
  <c r="AE25" i="16" s="1"/>
  <c r="I25" i="16"/>
  <c r="M25" i="16" s="1"/>
  <c r="U26" i="16"/>
  <c r="D27" i="16" s="1"/>
  <c r="C26" i="16"/>
  <c r="G26" i="16"/>
  <c r="A26" i="16"/>
  <c r="AE23" i="16"/>
  <c r="I24" i="16"/>
  <c r="M24" i="16" s="1"/>
  <c r="AA24" i="16"/>
  <c r="AE24" i="16" s="1"/>
  <c r="K32" i="20" l="1"/>
  <c r="P32" i="20" s="1"/>
  <c r="T32" i="20" s="1"/>
  <c r="D33" i="20" s="1"/>
  <c r="AC24" i="16"/>
  <c r="AB25" i="16"/>
  <c r="AC25" i="16"/>
  <c r="K25" i="16"/>
  <c r="K24" i="16"/>
  <c r="I26" i="16"/>
  <c r="M26" i="16" s="1"/>
  <c r="AA26" i="16"/>
  <c r="AD26" i="16" s="1"/>
  <c r="U27" i="16"/>
  <c r="D28" i="16" s="1"/>
  <c r="G27" i="16"/>
  <c r="A27" i="16"/>
  <c r="C27" i="16"/>
  <c r="AD25" i="16"/>
  <c r="AB24" i="16"/>
  <c r="AD24" i="16"/>
  <c r="W33" i="20" l="1"/>
  <c r="G33" i="20"/>
  <c r="C33" i="20"/>
  <c r="A33" i="20" s="1"/>
  <c r="S33" i="20"/>
  <c r="AB26" i="16"/>
  <c r="AC26" i="16"/>
  <c r="K26" i="16"/>
  <c r="U28" i="16"/>
  <c r="D29" i="16" s="1"/>
  <c r="A28" i="16"/>
  <c r="G28" i="16"/>
  <c r="C28" i="16"/>
  <c r="I27" i="16"/>
  <c r="M27" i="16" s="1"/>
  <c r="AA27" i="16"/>
  <c r="AE27" i="16" s="1"/>
  <c r="AD27" i="16"/>
  <c r="AE26" i="16"/>
  <c r="I33" i="20" l="1"/>
  <c r="M33" i="20" s="1"/>
  <c r="AC27" i="16"/>
  <c r="AB27" i="16"/>
  <c r="K27" i="16"/>
  <c r="AA28" i="16"/>
  <c r="AE28" i="16" s="1"/>
  <c r="I28" i="16"/>
  <c r="M28" i="16" s="1"/>
  <c r="U29" i="16"/>
  <c r="D30" i="16" s="1"/>
  <c r="A29" i="16"/>
  <c r="C29" i="16"/>
  <c r="G29" i="16"/>
  <c r="K33" i="20" l="1"/>
  <c r="P33" i="20" s="1"/>
  <c r="T33" i="20" s="1"/>
  <c r="D34" i="20" s="1"/>
  <c r="AD28" i="16"/>
  <c r="AC28" i="16"/>
  <c r="K28" i="16"/>
  <c r="AB28" i="16"/>
  <c r="U30" i="16"/>
  <c r="D31" i="16" s="1"/>
  <c r="G30" i="16"/>
  <c r="A30" i="16"/>
  <c r="C30" i="16"/>
  <c r="AA29" i="16"/>
  <c r="AD29" i="16" s="1"/>
  <c r="I29" i="16"/>
  <c r="M29" i="16" s="1"/>
  <c r="C34" i="20" l="1"/>
  <c r="A34" i="20" s="1"/>
  <c r="W34" i="20"/>
  <c r="G34" i="20"/>
  <c r="S34" i="20"/>
  <c r="AC29" i="16"/>
  <c r="AE29" i="16"/>
  <c r="K29" i="16"/>
  <c r="I30" i="16"/>
  <c r="M30" i="16" s="1"/>
  <c r="AA30" i="16"/>
  <c r="AE30" i="16" s="1"/>
  <c r="AB29" i="16"/>
  <c r="U31" i="16"/>
  <c r="D32" i="16" s="1"/>
  <c r="G31" i="16"/>
  <c r="A31" i="16"/>
  <c r="C31" i="16"/>
  <c r="I34" i="20" l="1"/>
  <c r="M34" i="20" s="1"/>
  <c r="C32" i="16"/>
  <c r="AB30" i="16"/>
  <c r="K30" i="16"/>
  <c r="AC30" i="16"/>
  <c r="AD30" i="16"/>
  <c r="AA31" i="16"/>
  <c r="AD31" i="16" s="1"/>
  <c r="I31" i="16"/>
  <c r="M31" i="16" s="1"/>
  <c r="U32" i="16"/>
  <c r="D33" i="16" s="1"/>
  <c r="G32" i="16"/>
  <c r="A32" i="16"/>
  <c r="K34" i="20" l="1"/>
  <c r="P34" i="20" s="1"/>
  <c r="T34" i="20" s="1"/>
  <c r="D35" i="20" s="1"/>
  <c r="AB31" i="16"/>
  <c r="U33" i="16"/>
  <c r="D34" i="16" s="1"/>
  <c r="A33" i="16"/>
  <c r="C33" i="16"/>
  <c r="G33" i="16"/>
  <c r="K31" i="16"/>
  <c r="AE31" i="16"/>
  <c r="AC31" i="16"/>
  <c r="AA32" i="16"/>
  <c r="AD32" i="16" s="1"/>
  <c r="I32" i="16"/>
  <c r="M32" i="16" s="1"/>
  <c r="AE32" i="16"/>
  <c r="C35" i="20" l="1"/>
  <c r="A35" i="20" s="1"/>
  <c r="W35" i="20"/>
  <c r="G35" i="20"/>
  <c r="S35" i="20"/>
  <c r="AB32" i="16"/>
  <c r="AC32" i="16"/>
  <c r="K32" i="16"/>
  <c r="G34" i="16"/>
  <c r="U34" i="16"/>
  <c r="D35" i="16" s="1"/>
  <c r="A34" i="16"/>
  <c r="C34" i="16"/>
  <c r="AA33" i="16"/>
  <c r="AE33" i="16" s="1"/>
  <c r="I33" i="16"/>
  <c r="M33" i="16" s="1"/>
  <c r="I35" i="20" l="1"/>
  <c r="M35" i="20" s="1"/>
  <c r="K33" i="16"/>
  <c r="AD33" i="16"/>
  <c r="AB33" i="16"/>
  <c r="AC33" i="16"/>
  <c r="I34" i="16"/>
  <c r="M34" i="16" s="1"/>
  <c r="AA34" i="16"/>
  <c r="AE34" i="16" s="1"/>
  <c r="G35" i="16"/>
  <c r="U35" i="16"/>
  <c r="D36" i="16" s="1"/>
  <c r="C35" i="16"/>
  <c r="A35" i="16"/>
  <c r="S35" i="16"/>
  <c r="K35" i="20" l="1"/>
  <c r="P35" i="20" s="1"/>
  <c r="T35" i="20" s="1"/>
  <c r="D36" i="20" s="1"/>
  <c r="C36" i="16"/>
  <c r="AB34" i="16"/>
  <c r="G36" i="16"/>
  <c r="T36" i="16"/>
  <c r="U36" i="16"/>
  <c r="D37" i="16" s="1"/>
  <c r="S36" i="16"/>
  <c r="X36" i="16"/>
  <c r="A36" i="16"/>
  <c r="AD34" i="16"/>
  <c r="I35" i="16"/>
  <c r="M35" i="16" s="1"/>
  <c r="AA35" i="16"/>
  <c r="AD35" i="16" s="1"/>
  <c r="AC34" i="16"/>
  <c r="K34" i="16"/>
  <c r="W36" i="20" l="1"/>
  <c r="G36" i="20"/>
  <c r="C36" i="20"/>
  <c r="A36" i="20" s="1"/>
  <c r="S36" i="20"/>
  <c r="AC35" i="16"/>
  <c r="AB35" i="16"/>
  <c r="K35" i="16"/>
  <c r="I36" i="16"/>
  <c r="M36" i="16" s="1"/>
  <c r="AA36" i="16"/>
  <c r="AE36" i="16" s="1"/>
  <c r="AE35" i="16"/>
  <c r="G37" i="16"/>
  <c r="T37" i="16"/>
  <c r="A37" i="16"/>
  <c r="U37" i="16"/>
  <c r="D38" i="16" s="1"/>
  <c r="X37" i="16"/>
  <c r="C37" i="16"/>
  <c r="S37" i="16"/>
  <c r="I36" i="20" l="1"/>
  <c r="M36" i="20" s="1"/>
  <c r="K36" i="16"/>
  <c r="I37" i="16"/>
  <c r="M37" i="16" s="1"/>
  <c r="AA37" i="16"/>
  <c r="AE37" i="16" s="1"/>
  <c r="AD37" i="16"/>
  <c r="AD36" i="16"/>
  <c r="G38" i="16"/>
  <c r="U38" i="16"/>
  <c r="D39" i="16" s="1"/>
  <c r="C38" i="16"/>
  <c r="T38" i="16"/>
  <c r="S38" i="16"/>
  <c r="X38" i="16"/>
  <c r="A38" i="16"/>
  <c r="AC36" i="16"/>
  <c r="AB36" i="16"/>
  <c r="K36" i="20" l="1"/>
  <c r="P36" i="20" s="1"/>
  <c r="T36" i="20" s="1"/>
  <c r="D37" i="20" s="1"/>
  <c r="S39" i="16"/>
  <c r="A39" i="16"/>
  <c r="C39" i="16"/>
  <c r="G39" i="16"/>
  <c r="X39" i="16"/>
  <c r="U39" i="16"/>
  <c r="D40" i="16" s="1"/>
  <c r="T39" i="16"/>
  <c r="K37" i="16"/>
  <c r="I38" i="16"/>
  <c r="M38" i="16" s="1"/>
  <c r="AA38" i="16"/>
  <c r="AD38" i="16" s="1"/>
  <c r="AC38" i="16"/>
  <c r="K38" i="16"/>
  <c r="AC37" i="16"/>
  <c r="AB37" i="16"/>
  <c r="C17" i="11"/>
  <c r="C37" i="20" l="1"/>
  <c r="A37" i="20" s="1"/>
  <c r="W37" i="20"/>
  <c r="G37" i="20"/>
  <c r="S37" i="20"/>
  <c r="AE38" i="16"/>
  <c r="AB38" i="16"/>
  <c r="I39" i="16"/>
  <c r="M39" i="16" s="1"/>
  <c r="AA39" i="16"/>
  <c r="AD39" i="16" s="1"/>
  <c r="G40" i="16"/>
  <c r="C40" i="16"/>
  <c r="S40" i="16"/>
  <c r="X40" i="16"/>
  <c r="U40" i="16"/>
  <c r="D41" i="16" s="1"/>
  <c r="A40" i="16"/>
  <c r="T40" i="16"/>
  <c r="I37" i="20" l="1"/>
  <c r="M37" i="20" s="1"/>
  <c r="K39" i="16"/>
  <c r="AC39" i="16"/>
  <c r="AB39" i="16"/>
  <c r="C41" i="16"/>
  <c r="A41" i="16"/>
  <c r="S41" i="16"/>
  <c r="X41" i="16"/>
  <c r="G41" i="16"/>
  <c r="T41" i="16"/>
  <c r="U41" i="16"/>
  <c r="D42" i="16" s="1"/>
  <c r="I40" i="16"/>
  <c r="M40" i="16" s="1"/>
  <c r="AA40" i="16"/>
  <c r="AD40" i="16" s="1"/>
  <c r="AE39" i="16"/>
  <c r="K37" i="20" l="1"/>
  <c r="P37" i="20" s="1"/>
  <c r="T37" i="20" s="1"/>
  <c r="D38" i="20" s="1"/>
  <c r="AC40" i="16"/>
  <c r="AB40" i="16"/>
  <c r="AE40" i="16"/>
  <c r="A42" i="16"/>
  <c r="X42" i="16"/>
  <c r="C42" i="16"/>
  <c r="U42" i="16"/>
  <c r="D43" i="16" s="1"/>
  <c r="S42" i="16"/>
  <c r="G42" i="16"/>
  <c r="T42" i="16"/>
  <c r="K40" i="16"/>
  <c r="I41" i="16"/>
  <c r="M41" i="16" s="1"/>
  <c r="AA41" i="16"/>
  <c r="AD41" i="16" s="1"/>
  <c r="AE41" i="16"/>
  <c r="C3" i="13"/>
  <c r="C4" i="13"/>
  <c r="W38" i="20" l="1"/>
  <c r="G38" i="20"/>
  <c r="C38" i="20"/>
  <c r="A38" i="20" s="1"/>
  <c r="S38" i="20"/>
  <c r="AB41" i="16"/>
  <c r="AC41" i="16"/>
  <c r="K41" i="16"/>
  <c r="I42" i="16"/>
  <c r="M42" i="16" s="1"/>
  <c r="AA42" i="16"/>
  <c r="AE42" i="16" s="1"/>
  <c r="U43" i="16"/>
  <c r="D44" i="16" s="1"/>
  <c r="C43" i="16"/>
  <c r="S43" i="16"/>
  <c r="X43" i="16"/>
  <c r="A43" i="16"/>
  <c r="G43" i="16"/>
  <c r="T43" i="16"/>
  <c r="D26" i="12"/>
  <c r="N15" i="12"/>
  <c r="K19" i="12" s="1"/>
  <c r="K21" i="12" s="1"/>
  <c r="G38" i="9"/>
  <c r="I38" i="20" l="1"/>
  <c r="M38" i="20" s="1"/>
  <c r="AD42" i="16"/>
  <c r="I43" i="16"/>
  <c r="M43" i="16" s="1"/>
  <c r="AA43" i="16"/>
  <c r="AD43" i="16" s="1"/>
  <c r="AE43" i="16"/>
  <c r="AC42" i="16"/>
  <c r="AB42" i="16"/>
  <c r="U44" i="16"/>
  <c r="D45" i="16" s="1"/>
  <c r="T44" i="16"/>
  <c r="G44" i="16"/>
  <c r="X44" i="16"/>
  <c r="A44" i="16"/>
  <c r="C44" i="16"/>
  <c r="S44" i="16"/>
  <c r="K42" i="16"/>
  <c r="M26" i="12"/>
  <c r="T26" i="12"/>
  <c r="S26" i="12"/>
  <c r="G26" i="12"/>
  <c r="F29" i="7"/>
  <c r="G28" i="7"/>
  <c r="K38" i="20" l="1"/>
  <c r="P38" i="20" s="1"/>
  <c r="T38" i="20" s="1"/>
  <c r="D39" i="20" s="1"/>
  <c r="X26" i="12"/>
  <c r="AB43" i="16"/>
  <c r="G45" i="16"/>
  <c r="U45" i="16"/>
  <c r="D46" i="16" s="1"/>
  <c r="X45" i="16"/>
  <c r="S45" i="16"/>
  <c r="C45" i="16"/>
  <c r="A45" i="16"/>
  <c r="T45" i="16"/>
  <c r="I44" i="16"/>
  <c r="M44" i="16" s="1"/>
  <c r="AA44" i="16"/>
  <c r="AD44" i="16" s="1"/>
  <c r="K44" i="16"/>
  <c r="AB44" i="16"/>
  <c r="AC44" i="16"/>
  <c r="AC43" i="16"/>
  <c r="K43" i="16"/>
  <c r="M27" i="12"/>
  <c r="M29" i="12"/>
  <c r="M28" i="12"/>
  <c r="M31" i="12"/>
  <c r="M30" i="12"/>
  <c r="I26" i="12"/>
  <c r="K26" i="12" s="1"/>
  <c r="G25" i="7"/>
  <c r="G23" i="7"/>
  <c r="G19" i="7"/>
  <c r="G11" i="7"/>
  <c r="G6" i="7"/>
  <c r="C39" i="20" l="1"/>
  <c r="A39" i="20" s="1"/>
  <c r="W39" i="20"/>
  <c r="G39" i="20"/>
  <c r="S39" i="20"/>
  <c r="AE44" i="16"/>
  <c r="A46" i="16"/>
  <c r="S46" i="16"/>
  <c r="C46" i="16"/>
  <c r="U46" i="16"/>
  <c r="D47" i="16" s="1"/>
  <c r="T46" i="16"/>
  <c r="X46" i="16"/>
  <c r="G46" i="16"/>
  <c r="I45" i="16"/>
  <c r="M45" i="16" s="1"/>
  <c r="AA45" i="16"/>
  <c r="AD45" i="16" s="1"/>
  <c r="AE45" i="16"/>
  <c r="P26" i="12"/>
  <c r="U26" i="12" s="1"/>
  <c r="D27" i="12" s="1"/>
  <c r="C27" i="12" s="1"/>
  <c r="A27" i="12" s="1"/>
  <c r="G29" i="7"/>
  <c r="E29" i="7"/>
  <c r="C27" i="7"/>
  <c r="D27" i="7" s="1"/>
  <c r="C26" i="7"/>
  <c r="D26" i="7" s="1"/>
  <c r="C22" i="7"/>
  <c r="D22" i="7" s="1"/>
  <c r="I39" i="20" l="1"/>
  <c r="M39" i="20" s="1"/>
  <c r="K45" i="16"/>
  <c r="AB45" i="16"/>
  <c r="I46" i="16"/>
  <c r="M46" i="16" s="1"/>
  <c r="AA46" i="16"/>
  <c r="AE46" i="16" s="1"/>
  <c r="AC45" i="16"/>
  <c r="G47" i="16"/>
  <c r="X47" i="16"/>
  <c r="T47" i="16"/>
  <c r="S47" i="16"/>
  <c r="U47" i="16"/>
  <c r="D48" i="16" s="1"/>
  <c r="A47" i="16"/>
  <c r="C47" i="16"/>
  <c r="T27" i="12"/>
  <c r="S27" i="12"/>
  <c r="G27" i="12"/>
  <c r="I27" i="12" s="1"/>
  <c r="K27" i="12" s="1"/>
  <c r="X27" i="12"/>
  <c r="C21" i="7"/>
  <c r="D21" i="7" s="1"/>
  <c r="K39" i="20" l="1"/>
  <c r="P39" i="20" s="1"/>
  <c r="T39" i="20" s="1"/>
  <c r="D40" i="20" s="1"/>
  <c r="AB46" i="16"/>
  <c r="AD46" i="16"/>
  <c r="K46" i="16"/>
  <c r="AC46" i="16"/>
  <c r="G48" i="16"/>
  <c r="U48" i="16"/>
  <c r="D49" i="16" s="1"/>
  <c r="S48" i="16"/>
  <c r="X48" i="16"/>
  <c r="A48" i="16"/>
  <c r="C48" i="16"/>
  <c r="T48" i="16"/>
  <c r="I47" i="16"/>
  <c r="M47" i="16" s="1"/>
  <c r="AA47" i="16"/>
  <c r="AE47" i="16" s="1"/>
  <c r="P27" i="12"/>
  <c r="U27" i="12" s="1"/>
  <c r="D28" i="12" s="1"/>
  <c r="C28" i="12" s="1"/>
  <c r="A28" i="12" s="1"/>
  <c r="C18" i="7"/>
  <c r="D18" i="7" s="1"/>
  <c r="C17" i="7"/>
  <c r="D17" i="7" s="1"/>
  <c r="G40" i="20" l="1"/>
  <c r="W40" i="20"/>
  <c r="C40" i="20"/>
  <c r="A40" i="20" s="1"/>
  <c r="S40" i="20"/>
  <c r="AB47" i="16"/>
  <c r="AC47" i="16"/>
  <c r="AD47" i="16"/>
  <c r="K47" i="16"/>
  <c r="G49" i="16"/>
  <c r="U49" i="16"/>
  <c r="D50" i="16" s="1"/>
  <c r="C49" i="16"/>
  <c r="X49" i="16"/>
  <c r="T49" i="16"/>
  <c r="S49" i="16"/>
  <c r="A49" i="16"/>
  <c r="I48" i="16"/>
  <c r="M48" i="16" s="1"/>
  <c r="AA48" i="16"/>
  <c r="AD48" i="16" s="1"/>
  <c r="G28" i="12"/>
  <c r="I28" i="12" s="1"/>
  <c r="K28" i="12" s="1"/>
  <c r="S28" i="12"/>
  <c r="X28" i="12"/>
  <c r="T28" i="12"/>
  <c r="C15" i="7"/>
  <c r="D15" i="7" s="1"/>
  <c r="C10" i="7"/>
  <c r="D10" i="7" s="1"/>
  <c r="I40" i="20" l="1"/>
  <c r="M40" i="20" s="1"/>
  <c r="K48" i="16"/>
  <c r="AB48" i="16"/>
  <c r="AC48" i="16"/>
  <c r="AE48" i="16"/>
  <c r="G50" i="16"/>
  <c r="U50" i="16"/>
  <c r="D51" i="16" s="1"/>
  <c r="S50" i="16"/>
  <c r="A50" i="16"/>
  <c r="X50" i="16"/>
  <c r="C50" i="16"/>
  <c r="T50" i="16"/>
  <c r="I49" i="16"/>
  <c r="M49" i="16" s="1"/>
  <c r="AA49" i="16"/>
  <c r="AE49" i="16" s="1"/>
  <c r="P28" i="12"/>
  <c r="U28" i="12" s="1"/>
  <c r="D29" i="12" s="1"/>
  <c r="C29" i="12" s="1"/>
  <c r="A29" i="12" s="1"/>
  <c r="K40" i="20" l="1"/>
  <c r="P40" i="20" s="1"/>
  <c r="T40" i="20" s="1"/>
  <c r="D41" i="20" s="1"/>
  <c r="AC49" i="16"/>
  <c r="K49" i="16"/>
  <c r="AD49" i="16"/>
  <c r="AB49" i="16"/>
  <c r="A51" i="16"/>
  <c r="T51" i="16"/>
  <c r="C51" i="16"/>
  <c r="S51" i="16"/>
  <c r="U51" i="16"/>
  <c r="D52" i="16" s="1"/>
  <c r="U52" i="16" s="1"/>
  <c r="D53" i="16" s="1"/>
  <c r="G51" i="16"/>
  <c r="X51" i="16"/>
  <c r="I50" i="16"/>
  <c r="M50" i="16" s="1"/>
  <c r="AA50" i="16"/>
  <c r="AE50" i="16" s="1"/>
  <c r="S29" i="12"/>
  <c r="G29" i="12"/>
  <c r="I29" i="12" s="1"/>
  <c r="K29" i="12" s="1"/>
  <c r="P29" i="12" s="1"/>
  <c r="U29" i="12" s="1"/>
  <c r="D30" i="12" s="1"/>
  <c r="C30" i="12" s="1"/>
  <c r="A30" i="12" s="1"/>
  <c r="X29" i="12"/>
  <c r="T29" i="12"/>
  <c r="C28" i="7"/>
  <c r="D28" i="7" s="1"/>
  <c r="C2" i="7"/>
  <c r="C25" i="7"/>
  <c r="D25" i="7" s="1"/>
  <c r="J15" i="8"/>
  <c r="I15" i="8"/>
  <c r="C23" i="7"/>
  <c r="D23" i="7" s="1"/>
  <c r="C20" i="7"/>
  <c r="D20" i="7" s="1"/>
  <c r="C19" i="7"/>
  <c r="D19" i="7" s="1"/>
  <c r="C14" i="7"/>
  <c r="D14" i="7" s="1"/>
  <c r="C13" i="7"/>
  <c r="D13" i="7" s="1"/>
  <c r="C12" i="7"/>
  <c r="D12" i="7" s="1"/>
  <c r="C11" i="7"/>
  <c r="D11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CI28" i="5"/>
  <c r="V41" i="5"/>
  <c r="AO41" i="5" s="1"/>
  <c r="CI29" i="5"/>
  <c r="V33" i="5"/>
  <c r="AO33" i="5" s="1"/>
  <c r="V35" i="5"/>
  <c r="AO35" i="5" s="1"/>
  <c r="V31" i="5"/>
  <c r="AO31" i="5" s="1"/>
  <c r="V12" i="5"/>
  <c r="AO12" i="5" s="1"/>
  <c r="C41" i="20" l="1"/>
  <c r="A41" i="20" s="1"/>
  <c r="S41" i="20"/>
  <c r="W41" i="20"/>
  <c r="G41" i="20"/>
  <c r="K50" i="16"/>
  <c r="AC50" i="16"/>
  <c r="G53" i="16"/>
  <c r="U53" i="16"/>
  <c r="X53" i="16"/>
  <c r="S53" i="16"/>
  <c r="T53" i="16"/>
  <c r="A53" i="16"/>
  <c r="AB50" i="16"/>
  <c r="AD50" i="16"/>
  <c r="G52" i="16"/>
  <c r="X52" i="16"/>
  <c r="A52" i="16"/>
  <c r="C52" i="16"/>
  <c r="C53" i="16" s="1"/>
  <c r="T52" i="16"/>
  <c r="S52" i="16"/>
  <c r="I51" i="16"/>
  <c r="M51" i="16" s="1"/>
  <c r="AA51" i="16"/>
  <c r="AD51" i="16" s="1"/>
  <c r="T30" i="12"/>
  <c r="S30" i="12"/>
  <c r="X30" i="12"/>
  <c r="G30" i="12"/>
  <c r="CK50" i="5"/>
  <c r="CK49" i="5"/>
  <c r="CK48" i="5"/>
  <c r="CK47" i="5"/>
  <c r="CK46" i="5"/>
  <c r="CH50" i="5"/>
  <c r="CH49" i="5"/>
  <c r="CH48" i="5"/>
  <c r="CH47" i="5"/>
  <c r="CH46" i="5"/>
  <c r="I41" i="20" l="1"/>
  <c r="M41" i="20" s="1"/>
  <c r="AC51" i="16"/>
  <c r="AB51" i="16"/>
  <c r="I53" i="16"/>
  <c r="M53" i="16" s="1"/>
  <c r="AA53" i="16"/>
  <c r="AD53" i="16" s="1"/>
  <c r="AE51" i="16"/>
  <c r="K51" i="16"/>
  <c r="I52" i="16"/>
  <c r="M52" i="16" s="1"/>
  <c r="AA52" i="16"/>
  <c r="AD52" i="16" s="1"/>
  <c r="AB9" i="16" s="1"/>
  <c r="I30" i="12"/>
  <c r="K30" i="12" s="1"/>
  <c r="P30" i="12" s="1"/>
  <c r="U30" i="12" s="1"/>
  <c r="D31" i="12" s="1"/>
  <c r="C31" i="12" s="1"/>
  <c r="A31" i="12" s="1"/>
  <c r="CH51" i="5"/>
  <c r="CK51" i="5"/>
  <c r="CH52" i="5" s="1"/>
  <c r="D24" i="3"/>
  <c r="L18" i="3"/>
  <c r="L17" i="3"/>
  <c r="K41" i="20" l="1"/>
  <c r="P41" i="20" s="1"/>
  <c r="T41" i="20" s="1"/>
  <c r="D42" i="20" s="1"/>
  <c r="K53" i="16"/>
  <c r="AB52" i="16"/>
  <c r="AC53" i="16"/>
  <c r="AB53" i="16"/>
  <c r="D14" i="3"/>
  <c r="AE53" i="16"/>
  <c r="AE52" i="16"/>
  <c r="AC52" i="16"/>
  <c r="K52" i="16"/>
  <c r="X31" i="12"/>
  <c r="G31" i="12"/>
  <c r="T31" i="12"/>
  <c r="S31" i="12"/>
  <c r="V37" i="5"/>
  <c r="AO37" i="5" s="1"/>
  <c r="V36" i="5"/>
  <c r="AO36" i="5" s="1"/>
  <c r="W42" i="20" l="1"/>
  <c r="C42" i="20"/>
  <c r="A42" i="20" s="1"/>
  <c r="G42" i="20"/>
  <c r="S42" i="20"/>
  <c r="I31" i="12"/>
  <c r="K31" i="12" s="1"/>
  <c r="P31" i="12" s="1"/>
  <c r="U31" i="12" s="1"/>
  <c r="D32" i="12" s="1"/>
  <c r="C32" i="12" s="1"/>
  <c r="A32" i="12" s="1"/>
  <c r="BR22" i="5"/>
  <c r="V40" i="5"/>
  <c r="AO40" i="5" s="1"/>
  <c r="V39" i="5"/>
  <c r="AO39" i="5" s="1"/>
  <c r="V38" i="5"/>
  <c r="AO38" i="5" s="1"/>
  <c r="V34" i="5"/>
  <c r="AO34" i="5" s="1"/>
  <c r="I42" i="20" l="1"/>
  <c r="M42" i="20" s="1"/>
  <c r="S32" i="12"/>
  <c r="X32" i="12"/>
  <c r="G32" i="12"/>
  <c r="T32" i="12"/>
  <c r="M32" i="12"/>
  <c r="BO25" i="5"/>
  <c r="CN16" i="5"/>
  <c r="CT16" i="5" s="1"/>
  <c r="K42" i="20" l="1"/>
  <c r="P42" i="20" s="1"/>
  <c r="T42" i="20" s="1"/>
  <c r="D43" i="20" s="1"/>
  <c r="I32" i="12"/>
  <c r="K32" i="12" s="1"/>
  <c r="P32" i="12" s="1"/>
  <c r="U32" i="12" s="1"/>
  <c r="D33" i="12" s="1"/>
  <c r="C33" i="12" s="1"/>
  <c r="A33" i="12" s="1"/>
  <c r="V32" i="5"/>
  <c r="W43" i="20" l="1"/>
  <c r="G43" i="20"/>
  <c r="C43" i="20"/>
  <c r="A43" i="20" s="1"/>
  <c r="S43" i="20"/>
  <c r="T33" i="12"/>
  <c r="S33" i="12"/>
  <c r="X33" i="12"/>
  <c r="G33" i="12"/>
  <c r="AO32" i="5"/>
  <c r="BO24" i="5" s="1"/>
  <c r="V30" i="5"/>
  <c r="AO30" i="5" s="1"/>
  <c r="V29" i="5"/>
  <c r="AO29" i="5" s="1"/>
  <c r="V28" i="5"/>
  <c r="AO28" i="5" s="1"/>
  <c r="V27" i="5"/>
  <c r="AO27" i="5" s="1"/>
  <c r="V26" i="5"/>
  <c r="AO26" i="5" s="1"/>
  <c r="V25" i="5"/>
  <c r="AO25" i="5" s="1"/>
  <c r="V24" i="5"/>
  <c r="AO24" i="5" s="1"/>
  <c r="V22" i="5"/>
  <c r="AO22" i="5" s="1"/>
  <c r="V21" i="5"/>
  <c r="AO21" i="5" s="1"/>
  <c r="I53" i="5"/>
  <c r="M53" i="5" s="1"/>
  <c r="V20" i="5"/>
  <c r="AO20" i="5" s="1"/>
  <c r="V19" i="5"/>
  <c r="AO19" i="5" s="1"/>
  <c r="V18" i="5"/>
  <c r="AO18" i="5" s="1"/>
  <c r="I43" i="20" l="1"/>
  <c r="M43" i="20" s="1"/>
  <c r="I33" i="12"/>
  <c r="M33" i="12" s="1"/>
  <c r="C16" i="7"/>
  <c r="D16" i="7" s="1"/>
  <c r="CN15" i="5"/>
  <c r="CT15" i="5" s="1"/>
  <c r="CN14" i="5"/>
  <c r="CT14" i="5" s="1"/>
  <c r="V17" i="5"/>
  <c r="AO17" i="5" s="1"/>
  <c r="V16" i="5"/>
  <c r="AO16" i="5" s="1"/>
  <c r="V15" i="5"/>
  <c r="AO15" i="5" s="1"/>
  <c r="V14" i="5"/>
  <c r="AO14" i="5" s="1"/>
  <c r="V13" i="5"/>
  <c r="AO13" i="5" s="1"/>
  <c r="V11" i="5"/>
  <c r="AO11" i="5" s="1"/>
  <c r="V10" i="5"/>
  <c r="AO10" i="5" s="1"/>
  <c r="BF16" i="5"/>
  <c r="K43" i="20" l="1"/>
  <c r="P43" i="20" s="1"/>
  <c r="T43" i="20" s="1"/>
  <c r="D44" i="20" s="1"/>
  <c r="K33" i="12"/>
  <c r="P33" i="12" s="1"/>
  <c r="U33" i="12" s="1"/>
  <c r="D34" i="12" s="1"/>
  <c r="C34" i="12" s="1"/>
  <c r="A34" i="12" s="1"/>
  <c r="BO23" i="5"/>
  <c r="CA22" i="5" s="1"/>
  <c r="BF14" i="5" s="1"/>
  <c r="CN13" i="5"/>
  <c r="CT13" i="5" s="1"/>
  <c r="CN11" i="5"/>
  <c r="W44" i="20" l="1"/>
  <c r="G44" i="20"/>
  <c r="C44" i="20"/>
  <c r="A44" i="20" s="1"/>
  <c r="S44" i="20"/>
  <c r="X34" i="12"/>
  <c r="T34" i="12"/>
  <c r="S34" i="12"/>
  <c r="G34" i="12"/>
  <c r="BF18" i="5"/>
  <c r="C24" i="7"/>
  <c r="D24" i="7" s="1"/>
  <c r="CT11" i="5"/>
  <c r="CX16" i="5" s="1"/>
  <c r="CN17" i="5"/>
  <c r="BF17" i="5"/>
  <c r="I44" i="20" l="1"/>
  <c r="M44" i="20" s="1"/>
  <c r="I34" i="12"/>
  <c r="M34" i="12" s="1"/>
  <c r="D30" i="7"/>
  <c r="CX15" i="5"/>
  <c r="CN21" i="5"/>
  <c r="CN20" i="5"/>
  <c r="CN19" i="5"/>
  <c r="CN18" i="5"/>
  <c r="K44" i="20" l="1"/>
  <c r="P44" i="20" s="1"/>
  <c r="T44" i="20" s="1"/>
  <c r="D45" i="20" s="1"/>
  <c r="K34" i="12"/>
  <c r="P34" i="12" s="1"/>
  <c r="U34" i="12" s="1"/>
  <c r="D35" i="12" s="1"/>
  <c r="C35" i="12" s="1"/>
  <c r="A35" i="12" s="1"/>
  <c r="I6" i="7"/>
  <c r="W45" i="20" l="1"/>
  <c r="G45" i="20"/>
  <c r="C45" i="20"/>
  <c r="A45" i="20" s="1"/>
  <c r="S45" i="20"/>
  <c r="X35" i="12"/>
  <c r="G35" i="12"/>
  <c r="T35" i="12"/>
  <c r="S35" i="12"/>
  <c r="I9" i="7"/>
  <c r="I10" i="7"/>
  <c r="I45" i="20" l="1"/>
  <c r="M45" i="20" s="1"/>
  <c r="I35" i="12"/>
  <c r="M35" i="12" s="1"/>
  <c r="K45" i="20" l="1"/>
  <c r="P45" i="20" s="1"/>
  <c r="T45" i="20" s="1"/>
  <c r="D46" i="20" s="1"/>
  <c r="K35" i="12"/>
  <c r="P35" i="12" s="1"/>
  <c r="U35" i="12" s="1"/>
  <c r="D36" i="12" s="1"/>
  <c r="C36" i="12" s="1"/>
  <c r="A36" i="12" s="1"/>
  <c r="W46" i="20" l="1"/>
  <c r="G46" i="20"/>
  <c r="C46" i="20"/>
  <c r="A46" i="20" s="1"/>
  <c r="S46" i="20"/>
  <c r="S36" i="12"/>
  <c r="X36" i="12"/>
  <c r="G36" i="12"/>
  <c r="T36" i="12"/>
  <c r="I46" i="20" l="1"/>
  <c r="M46" i="20" s="1"/>
  <c r="I36" i="12"/>
  <c r="M36" i="12" s="1"/>
  <c r="K46" i="20" l="1"/>
  <c r="P46" i="20" s="1"/>
  <c r="T46" i="20" s="1"/>
  <c r="D47" i="20" s="1"/>
  <c r="K36" i="12"/>
  <c r="P36" i="12" s="1"/>
  <c r="U36" i="12" s="1"/>
  <c r="D37" i="12" s="1"/>
  <c r="C37" i="12" s="1"/>
  <c r="A37" i="12" s="1"/>
  <c r="W47" i="20" l="1"/>
  <c r="G47" i="20"/>
  <c r="C47" i="20"/>
  <c r="A47" i="20" s="1"/>
  <c r="S47" i="20"/>
  <c r="T37" i="12"/>
  <c r="S37" i="12"/>
  <c r="X37" i="12"/>
  <c r="G37" i="12"/>
  <c r="I47" i="20" l="1"/>
  <c r="M47" i="20" s="1"/>
  <c r="I37" i="12"/>
  <c r="M37" i="12" s="1"/>
  <c r="K47" i="20" l="1"/>
  <c r="P47" i="20" s="1"/>
  <c r="T47" i="20" s="1"/>
  <c r="D48" i="20" s="1"/>
  <c r="K37" i="12"/>
  <c r="P37" i="12" s="1"/>
  <c r="U37" i="12" s="1"/>
  <c r="D38" i="12" s="1"/>
  <c r="C38" i="12" s="1"/>
  <c r="A38" i="12" s="1"/>
  <c r="W48" i="20" l="1"/>
  <c r="G48" i="20"/>
  <c r="C48" i="20"/>
  <c r="A48" i="20" s="1"/>
  <c r="S48" i="20"/>
  <c r="G38" i="12"/>
  <c r="T38" i="12"/>
  <c r="S38" i="12"/>
  <c r="X38" i="12"/>
  <c r="I48" i="20" l="1"/>
  <c r="M48" i="20" s="1"/>
  <c r="I38" i="12"/>
  <c r="M38" i="12" s="1"/>
  <c r="K48" i="20" l="1"/>
  <c r="P48" i="20" s="1"/>
  <c r="T48" i="20" s="1"/>
  <c r="D49" i="20" s="1"/>
  <c r="K38" i="12"/>
  <c r="P38" i="12" s="1"/>
  <c r="U38" i="12" s="1"/>
  <c r="D39" i="12" s="1"/>
  <c r="C39" i="12" s="1"/>
  <c r="A39" i="12" s="1"/>
  <c r="W49" i="20" l="1"/>
  <c r="G49" i="20"/>
  <c r="C49" i="20"/>
  <c r="A49" i="20" s="1"/>
  <c r="S49" i="20"/>
  <c r="X39" i="12"/>
  <c r="G39" i="12"/>
  <c r="S39" i="12"/>
  <c r="T39" i="12"/>
  <c r="I49" i="20" l="1"/>
  <c r="M49" i="20" s="1"/>
  <c r="I39" i="12"/>
  <c r="M39" i="12" s="1"/>
  <c r="K49" i="20" l="1"/>
  <c r="P49" i="20" s="1"/>
  <c r="T49" i="20" s="1"/>
  <c r="D50" i="20" s="1"/>
  <c r="K39" i="12"/>
  <c r="P39" i="12" s="1"/>
  <c r="U39" i="12" s="1"/>
  <c r="D40" i="12" s="1"/>
  <c r="C40" i="12" s="1"/>
  <c r="A40" i="12" s="1"/>
  <c r="W50" i="20" l="1"/>
  <c r="G50" i="20"/>
  <c r="C50" i="20"/>
  <c r="A50" i="20" s="1"/>
  <c r="S50" i="20"/>
  <c r="S40" i="12"/>
  <c r="T40" i="12"/>
  <c r="X40" i="12"/>
  <c r="G40" i="12"/>
  <c r="I50" i="20" l="1"/>
  <c r="M50" i="20" s="1"/>
  <c r="I40" i="12"/>
  <c r="M40" i="12" s="1"/>
  <c r="K50" i="20" l="1"/>
  <c r="P50" i="20" s="1"/>
  <c r="T50" i="20" s="1"/>
  <c r="D51" i="20" s="1"/>
  <c r="K40" i="12"/>
  <c r="P40" i="12" s="1"/>
  <c r="U40" i="12" s="1"/>
  <c r="D41" i="12" s="1"/>
  <c r="C41" i="12" s="1"/>
  <c r="A41" i="12" s="1"/>
  <c r="W51" i="20" l="1"/>
  <c r="G51" i="20"/>
  <c r="C51" i="20"/>
  <c r="A51" i="20" s="1"/>
  <c r="S51" i="20"/>
  <c r="T41" i="12"/>
  <c r="S41" i="12"/>
  <c r="X41" i="12"/>
  <c r="G41" i="12"/>
  <c r="I51" i="20" l="1"/>
  <c r="M51" i="20" s="1"/>
  <c r="I41" i="12"/>
  <c r="M41" i="12" s="1"/>
  <c r="K51" i="20" l="1"/>
  <c r="P51" i="20" s="1"/>
  <c r="T51" i="20" s="1"/>
  <c r="D52" i="20" s="1"/>
  <c r="K41" i="12"/>
  <c r="P41" i="12" s="1"/>
  <c r="U41" i="12" s="1"/>
  <c r="D42" i="12" s="1"/>
  <c r="C42" i="12" s="1"/>
  <c r="A42" i="12" s="1"/>
  <c r="W52" i="20" l="1"/>
  <c r="G52" i="20"/>
  <c r="C52" i="20"/>
  <c r="A52" i="20" s="1"/>
  <c r="S52" i="20"/>
  <c r="T42" i="12"/>
  <c r="S42" i="12"/>
  <c r="X42" i="12"/>
  <c r="G42" i="12"/>
  <c r="I52" i="20" l="1"/>
  <c r="M52" i="20" s="1"/>
  <c r="I42" i="12"/>
  <c r="M42" i="12" s="1"/>
  <c r="K52" i="20" l="1"/>
  <c r="P52" i="20" s="1"/>
  <c r="T52" i="20" s="1"/>
  <c r="D53" i="20" s="1"/>
  <c r="K42" i="12"/>
  <c r="P42" i="12" s="1"/>
  <c r="U42" i="12" s="1"/>
  <c r="D43" i="12" s="1"/>
  <c r="C43" i="12" s="1"/>
  <c r="A43" i="12" s="1"/>
  <c r="W53" i="20" l="1"/>
  <c r="G53" i="20"/>
  <c r="C53" i="20"/>
  <c r="A53" i="20" s="1"/>
  <c r="S53" i="20"/>
  <c r="G43" i="12"/>
  <c r="I43" i="12" s="1"/>
  <c r="M43" i="12" s="1"/>
  <c r="S43" i="12"/>
  <c r="T43" i="12"/>
  <c r="X43" i="12"/>
  <c r="I53" i="20" l="1"/>
  <c r="M53" i="20" s="1"/>
  <c r="K43" i="12"/>
  <c r="P43" i="12" s="1"/>
  <c r="U43" i="12" s="1"/>
  <c r="D44" i="12" s="1"/>
  <c r="C44" i="12" s="1"/>
  <c r="A44" i="12" s="1"/>
  <c r="K53" i="20" l="1"/>
  <c r="P53" i="20" s="1"/>
  <c r="T53" i="20" s="1"/>
  <c r="D54" i="20" s="1"/>
  <c r="T44" i="12"/>
  <c r="S44" i="12"/>
  <c r="X44" i="12"/>
  <c r="G44" i="12"/>
  <c r="W54" i="20" l="1"/>
  <c r="G54" i="20"/>
  <c r="C54" i="20"/>
  <c r="A54" i="20" s="1"/>
  <c r="S54" i="20"/>
  <c r="I44" i="12"/>
  <c r="M44" i="12" s="1"/>
  <c r="I54" i="20" l="1"/>
  <c r="M54" i="20" s="1"/>
  <c r="K44" i="12"/>
  <c r="P44" i="12" s="1"/>
  <c r="U44" i="12" s="1"/>
  <c r="D45" i="12" s="1"/>
  <c r="C45" i="12" s="1"/>
  <c r="A45" i="12" s="1"/>
  <c r="K54" i="20" l="1"/>
  <c r="P54" i="20" s="1"/>
  <c r="T54" i="20" s="1"/>
  <c r="D55" i="20" s="1"/>
  <c r="X45" i="12"/>
  <c r="S45" i="12"/>
  <c r="G45" i="12"/>
  <c r="T45" i="12"/>
  <c r="W55" i="20" l="1"/>
  <c r="G55" i="20"/>
  <c r="C55" i="20"/>
  <c r="A55" i="20" s="1"/>
  <c r="S55" i="20"/>
  <c r="I45" i="12"/>
  <c r="M45" i="12" s="1"/>
  <c r="I55" i="20" l="1"/>
  <c r="M55" i="20" s="1"/>
  <c r="K45" i="12"/>
  <c r="P45" i="12" s="1"/>
  <c r="U45" i="12" s="1"/>
  <c r="D46" i="12" s="1"/>
  <c r="C46" i="12" s="1"/>
  <c r="A46" i="12" s="1"/>
  <c r="K55" i="20" l="1"/>
  <c r="P55" i="20" s="1"/>
  <c r="T55" i="20" s="1"/>
  <c r="D56" i="20" s="1"/>
  <c r="S46" i="12"/>
  <c r="T46" i="12"/>
  <c r="X46" i="12"/>
  <c r="G46" i="12"/>
  <c r="I46" i="12" s="1"/>
  <c r="M46" i="12" s="1"/>
  <c r="W56" i="20" l="1"/>
  <c r="G56" i="20"/>
  <c r="C56" i="20"/>
  <c r="A56" i="20" s="1"/>
  <c r="S56" i="20"/>
  <c r="K46" i="12"/>
  <c r="P46" i="12" s="1"/>
  <c r="U46" i="12" s="1"/>
  <c r="D47" i="12" s="1"/>
  <c r="C47" i="12" s="1"/>
  <c r="A47" i="12" s="1"/>
  <c r="I56" i="20" l="1"/>
  <c r="M56" i="20" s="1"/>
  <c r="T47" i="12"/>
  <c r="S47" i="12"/>
  <c r="X47" i="12"/>
  <c r="G47" i="12"/>
  <c r="K56" i="20" l="1"/>
  <c r="P56" i="20" s="1"/>
  <c r="T56" i="20" s="1"/>
  <c r="D57" i="20" s="1"/>
  <c r="I47" i="12"/>
  <c r="M47" i="12" s="1"/>
  <c r="W57" i="20" l="1"/>
  <c r="G57" i="20"/>
  <c r="C57" i="20"/>
  <c r="A57" i="20" s="1"/>
  <c r="S57" i="20"/>
  <c r="K47" i="12"/>
  <c r="P47" i="12" s="1"/>
  <c r="U47" i="12" s="1"/>
  <c r="D48" i="12" s="1"/>
  <c r="C48" i="12" s="1"/>
  <c r="A48" i="12" s="1"/>
  <c r="I57" i="20" l="1"/>
  <c r="M57" i="20" s="1"/>
  <c r="T48" i="12"/>
  <c r="S48" i="12"/>
  <c r="X48" i="12"/>
  <c r="G48" i="12"/>
  <c r="K57" i="20" l="1"/>
  <c r="P57" i="20" s="1"/>
  <c r="T57" i="20" s="1"/>
  <c r="D58" i="20" s="1"/>
  <c r="I48" i="12"/>
  <c r="M48" i="12" s="1"/>
  <c r="W58" i="20" l="1"/>
  <c r="G58" i="20"/>
  <c r="C58" i="20"/>
  <c r="A58" i="20" s="1"/>
  <c r="S58" i="20"/>
  <c r="K48" i="12"/>
  <c r="P48" i="12" s="1"/>
  <c r="U48" i="12" s="1"/>
  <c r="D49" i="12" s="1"/>
  <c r="C49" i="12" s="1"/>
  <c r="A49" i="12" s="1"/>
  <c r="I58" i="20" l="1"/>
  <c r="M58" i="20" s="1"/>
  <c r="X49" i="12"/>
  <c r="S49" i="12"/>
  <c r="T49" i="12"/>
  <c r="G49" i="12"/>
  <c r="I49" i="12" s="1"/>
  <c r="M49" i="12" s="1"/>
  <c r="K58" i="20" l="1"/>
  <c r="P58" i="20" s="1"/>
  <c r="T58" i="20" s="1"/>
  <c r="D59" i="20" s="1"/>
  <c r="K49" i="12"/>
  <c r="P49" i="12" s="1"/>
  <c r="U49" i="12" s="1"/>
  <c r="D50" i="12" s="1"/>
  <c r="C50" i="12" s="1"/>
  <c r="A50" i="12" s="1"/>
  <c r="W59" i="20" l="1"/>
  <c r="G59" i="20"/>
  <c r="C59" i="20"/>
  <c r="A59" i="20" s="1"/>
  <c r="S59" i="20"/>
  <c r="G50" i="12"/>
  <c r="I50" i="12" s="1"/>
  <c r="M50" i="12" s="1"/>
  <c r="T50" i="12"/>
  <c r="S50" i="12"/>
  <c r="X50" i="12"/>
  <c r="I59" i="20" l="1"/>
  <c r="M59" i="20" s="1"/>
  <c r="K50" i="12"/>
  <c r="P50" i="12" s="1"/>
  <c r="U50" i="12" s="1"/>
  <c r="D51" i="12" s="1"/>
  <c r="C51" i="12" s="1"/>
  <c r="A51" i="12" s="1"/>
  <c r="K59" i="20" l="1"/>
  <c r="P59" i="20" s="1"/>
  <c r="T59" i="20" s="1"/>
  <c r="D60" i="20" s="1"/>
  <c r="T51" i="12"/>
  <c r="S51" i="12"/>
  <c r="X51" i="12"/>
  <c r="G51" i="12"/>
  <c r="W60" i="20" l="1"/>
  <c r="G60" i="20"/>
  <c r="C60" i="20"/>
  <c r="A60" i="20" s="1"/>
  <c r="S60" i="20"/>
  <c r="I51" i="12"/>
  <c r="M51" i="12" s="1"/>
  <c r="I60" i="20" l="1"/>
  <c r="M60" i="20" s="1"/>
  <c r="K51" i="12"/>
  <c r="P51" i="12" s="1"/>
  <c r="U51" i="12" s="1"/>
  <c r="D52" i="12" s="1"/>
  <c r="C52" i="12" s="1"/>
  <c r="A52" i="12" s="1"/>
  <c r="K60" i="20" l="1"/>
  <c r="P60" i="20" s="1"/>
  <c r="T60" i="20" s="1"/>
  <c r="D61" i="20" s="1"/>
  <c r="S52" i="12"/>
  <c r="G52" i="12"/>
  <c r="I52" i="12" s="1"/>
  <c r="M52" i="12" s="1"/>
  <c r="T52" i="12"/>
  <c r="X52" i="12"/>
  <c r="W61" i="20" l="1"/>
  <c r="G61" i="20"/>
  <c r="C61" i="20"/>
  <c r="A61" i="20" s="1"/>
  <c r="S61" i="20"/>
  <c r="K52" i="12"/>
  <c r="P52" i="12" s="1"/>
  <c r="U52" i="12" s="1"/>
  <c r="D53" i="12" s="1"/>
  <c r="C53" i="12" s="1"/>
  <c r="A53" i="12" s="1"/>
  <c r="I61" i="20" l="1"/>
  <c r="M61" i="20" s="1"/>
  <c r="X53" i="12"/>
  <c r="G53" i="12"/>
  <c r="T53" i="12"/>
  <c r="S53" i="12"/>
  <c r="K61" i="20" l="1"/>
  <c r="P61" i="20" s="1"/>
  <c r="T61" i="20" s="1"/>
  <c r="D62" i="20" s="1"/>
  <c r="I53" i="12"/>
  <c r="M53" i="12" s="1"/>
  <c r="W62" i="20" l="1"/>
  <c r="G62" i="20"/>
  <c r="C62" i="20"/>
  <c r="A62" i="20" s="1"/>
  <c r="S62" i="20"/>
  <c r="K53" i="12"/>
  <c r="P53" i="12" s="1"/>
  <c r="U53" i="12" s="1"/>
  <c r="D54" i="12" s="1"/>
  <c r="C54" i="12" s="1"/>
  <c r="A54" i="12" s="1"/>
  <c r="I62" i="20" l="1"/>
  <c r="M62" i="20" s="1"/>
  <c r="S54" i="12"/>
  <c r="X54" i="12"/>
  <c r="G54" i="12"/>
  <c r="T54" i="12"/>
  <c r="K62" i="20" l="1"/>
  <c r="P62" i="20" s="1"/>
  <c r="T62" i="20" s="1"/>
  <c r="D63" i="20" s="1"/>
  <c r="I54" i="12"/>
  <c r="M54" i="12" s="1"/>
  <c r="W63" i="20" l="1"/>
  <c r="G63" i="20"/>
  <c r="C63" i="20"/>
  <c r="A63" i="20" s="1"/>
  <c r="S63" i="20"/>
  <c r="K54" i="12"/>
  <c r="P54" i="12" s="1"/>
  <c r="U54" i="12" s="1"/>
  <c r="D55" i="12" s="1"/>
  <c r="C55" i="12" s="1"/>
  <c r="A55" i="12" s="1"/>
  <c r="I63" i="20" l="1"/>
  <c r="M63" i="20" s="1"/>
  <c r="T55" i="12"/>
  <c r="S55" i="12"/>
  <c r="X55" i="12"/>
  <c r="G55" i="12"/>
  <c r="K63" i="20" l="1"/>
  <c r="P63" i="20" s="1"/>
  <c r="T63" i="20" s="1"/>
  <c r="D64" i="20" s="1"/>
  <c r="I55" i="12"/>
  <c r="M55" i="12" s="1"/>
  <c r="W64" i="20" l="1"/>
  <c r="G64" i="20"/>
  <c r="C64" i="20"/>
  <c r="A64" i="20" s="1"/>
  <c r="S64" i="20"/>
  <c r="K55" i="12"/>
  <c r="P55" i="12" s="1"/>
  <c r="U55" i="12" s="1"/>
  <c r="D56" i="12" s="1"/>
  <c r="C56" i="12" s="1"/>
  <c r="A56" i="12" s="1"/>
  <c r="I64" i="20" l="1"/>
  <c r="M64" i="20" s="1"/>
  <c r="T56" i="12"/>
  <c r="S56" i="12"/>
  <c r="G56" i="12"/>
  <c r="X56" i="12"/>
  <c r="K64" i="20" l="1"/>
  <c r="P64" i="20" s="1"/>
  <c r="T64" i="20" s="1"/>
  <c r="D65" i="20" s="1"/>
  <c r="I56" i="12"/>
  <c r="M56" i="12" s="1"/>
  <c r="W65" i="20" l="1"/>
  <c r="G65" i="20"/>
  <c r="C65" i="20"/>
  <c r="A65" i="20" s="1"/>
  <c r="S65" i="20"/>
  <c r="K56" i="12"/>
  <c r="P56" i="12" s="1"/>
  <c r="U56" i="12" s="1"/>
  <c r="D57" i="12" s="1"/>
  <c r="C57" i="12" s="1"/>
  <c r="A57" i="12" s="1"/>
  <c r="I65" i="20" l="1"/>
  <c r="M65" i="20" s="1"/>
  <c r="X57" i="12"/>
  <c r="G57" i="12"/>
  <c r="T57" i="12"/>
  <c r="S57" i="12"/>
  <c r="K65" i="20" l="1"/>
  <c r="P65" i="20" s="1"/>
  <c r="T65" i="20" s="1"/>
  <c r="D66" i="20" s="1"/>
  <c r="I57" i="12"/>
  <c r="M57" i="12" s="1"/>
  <c r="W66" i="20" l="1"/>
  <c r="G66" i="20"/>
  <c r="C66" i="20"/>
  <c r="A66" i="20" s="1"/>
  <c r="S66" i="20"/>
  <c r="K57" i="12"/>
  <c r="P57" i="12" s="1"/>
  <c r="U57" i="12" s="1"/>
  <c r="D58" i="12" s="1"/>
  <c r="C58" i="12" s="1"/>
  <c r="A58" i="12" s="1"/>
  <c r="I66" i="20" l="1"/>
  <c r="M66" i="20" s="1"/>
  <c r="S58" i="12"/>
  <c r="X58" i="12"/>
  <c r="G58" i="12"/>
  <c r="T58" i="12"/>
  <c r="K66" i="20" l="1"/>
  <c r="P66" i="20" s="1"/>
  <c r="T66" i="20" s="1"/>
  <c r="D67" i="20" s="1"/>
  <c r="I58" i="12"/>
  <c r="M58" i="12" s="1"/>
  <c r="W67" i="20" l="1"/>
  <c r="G67" i="20"/>
  <c r="C67" i="20"/>
  <c r="A67" i="20" s="1"/>
  <c r="S67" i="20"/>
  <c r="K58" i="12"/>
  <c r="P58" i="12" s="1"/>
  <c r="U58" i="12" s="1"/>
  <c r="D59" i="12" s="1"/>
  <c r="C59" i="12" s="1"/>
  <c r="A59" i="12" s="1"/>
  <c r="I67" i="20" l="1"/>
  <c r="M67" i="20" s="1"/>
  <c r="T59" i="12"/>
  <c r="S59" i="12"/>
  <c r="X59" i="12"/>
  <c r="G59" i="12"/>
  <c r="I59" i="12" s="1"/>
  <c r="M59" i="12" s="1"/>
  <c r="K67" i="20" l="1"/>
  <c r="P67" i="20" s="1"/>
  <c r="T67" i="20" s="1"/>
  <c r="D68" i="20" s="1"/>
  <c r="K59" i="12"/>
  <c r="P59" i="12" s="1"/>
  <c r="U59" i="12" s="1"/>
  <c r="D60" i="12" s="1"/>
  <c r="C60" i="12" s="1"/>
  <c r="A60" i="12" s="1"/>
  <c r="W68" i="20" l="1"/>
  <c r="G68" i="20"/>
  <c r="C68" i="20"/>
  <c r="A68" i="20" s="1"/>
  <c r="S68" i="20"/>
  <c r="T60" i="12"/>
  <c r="S60" i="12"/>
  <c r="G60" i="12"/>
  <c r="X60" i="12"/>
  <c r="I68" i="20" l="1"/>
  <c r="M68" i="20" s="1"/>
  <c r="I60" i="12"/>
  <c r="M60" i="12" s="1"/>
  <c r="K68" i="20" l="1"/>
  <c r="P68" i="20" s="1"/>
  <c r="T68" i="20" s="1"/>
  <c r="D69" i="20" s="1"/>
  <c r="K60" i="12"/>
  <c r="P60" i="12" s="1"/>
  <c r="U60" i="12" s="1"/>
  <c r="D61" i="12" s="1"/>
  <c r="C61" i="12" s="1"/>
  <c r="A61" i="12" s="1"/>
  <c r="W69" i="20" l="1"/>
  <c r="G69" i="20"/>
  <c r="C69" i="20"/>
  <c r="A69" i="20" s="1"/>
  <c r="S69" i="20"/>
  <c r="X61" i="12"/>
  <c r="G61" i="12"/>
  <c r="T61" i="12"/>
  <c r="S61" i="12"/>
  <c r="I69" i="20" l="1"/>
  <c r="M69" i="20" s="1"/>
  <c r="I61" i="12"/>
  <c r="M61" i="12" s="1"/>
  <c r="K69" i="20" l="1"/>
  <c r="P69" i="20" s="1"/>
  <c r="T69" i="20" s="1"/>
  <c r="D70" i="20" s="1"/>
  <c r="K61" i="12"/>
  <c r="P61" i="12" s="1"/>
  <c r="U61" i="12" s="1"/>
  <c r="D62" i="12" s="1"/>
  <c r="C62" i="12" s="1"/>
  <c r="A62" i="12" s="1"/>
  <c r="W70" i="20" l="1"/>
  <c r="G70" i="20"/>
  <c r="C70" i="20"/>
  <c r="A70" i="20" s="1"/>
  <c r="S70" i="20"/>
  <c r="S62" i="12"/>
  <c r="X62" i="12"/>
  <c r="G62" i="12"/>
  <c r="T62" i="12"/>
  <c r="I70" i="20" l="1"/>
  <c r="M70" i="20" s="1"/>
  <c r="I62" i="12"/>
  <c r="M62" i="12" s="1"/>
  <c r="K70" i="20" l="1"/>
  <c r="P70" i="20" s="1"/>
  <c r="T70" i="20" s="1"/>
  <c r="D71" i="20" s="1"/>
  <c r="K62" i="12"/>
  <c r="P62" i="12" s="1"/>
  <c r="U62" i="12" s="1"/>
  <c r="D63" i="12" s="1"/>
  <c r="C63" i="12" s="1"/>
  <c r="A63" i="12" s="1"/>
  <c r="W71" i="20" l="1"/>
  <c r="G71" i="20"/>
  <c r="C71" i="20"/>
  <c r="A71" i="20" s="1"/>
  <c r="S71" i="20"/>
  <c r="X63" i="12"/>
  <c r="T63" i="12"/>
  <c r="G63" i="12"/>
  <c r="S63" i="12"/>
  <c r="I71" i="20" l="1"/>
  <c r="M71" i="20" s="1"/>
  <c r="I63" i="12"/>
  <c r="M63" i="12" s="1"/>
  <c r="K71" i="20" l="1"/>
  <c r="P71" i="20" s="1"/>
  <c r="T71" i="20" s="1"/>
  <c r="D72" i="20" s="1"/>
  <c r="K63" i="12"/>
  <c r="P63" i="12" s="1"/>
  <c r="U63" i="12" s="1"/>
  <c r="D64" i="12" s="1"/>
  <c r="C64" i="12" s="1"/>
  <c r="A64" i="12" s="1"/>
  <c r="W72" i="20" l="1"/>
  <c r="G72" i="20"/>
  <c r="C72" i="20"/>
  <c r="A72" i="20" s="1"/>
  <c r="S72" i="20"/>
  <c r="T64" i="12"/>
  <c r="G64" i="12"/>
  <c r="S64" i="12"/>
  <c r="X64" i="12"/>
  <c r="I72" i="20" l="1"/>
  <c r="M72" i="20" s="1"/>
  <c r="I64" i="12"/>
  <c r="M64" i="12" s="1"/>
  <c r="K72" i="20" l="1"/>
  <c r="P72" i="20" s="1"/>
  <c r="T72" i="20" s="1"/>
  <c r="D73" i="20" s="1"/>
  <c r="K64" i="12"/>
  <c r="P64" i="12" s="1"/>
  <c r="U64" i="12" s="1"/>
  <c r="D65" i="12" s="1"/>
  <c r="C65" i="12" s="1"/>
  <c r="A65" i="12" s="1"/>
  <c r="W73" i="20" l="1"/>
  <c r="G73" i="20"/>
  <c r="I73" i="20" s="1"/>
  <c r="M73" i="20" s="1"/>
  <c r="C73" i="20"/>
  <c r="A73" i="20" s="1"/>
  <c r="S73" i="20"/>
  <c r="G65" i="12"/>
  <c r="S65" i="12"/>
  <c r="X65" i="12"/>
  <c r="T65" i="12"/>
  <c r="K73" i="20" l="1"/>
  <c r="P73" i="20" s="1"/>
  <c r="T73" i="20" s="1"/>
  <c r="D74" i="20" s="1"/>
  <c r="I65" i="12"/>
  <c r="M65" i="12" s="1"/>
  <c r="W74" i="20" l="1"/>
  <c r="G74" i="20"/>
  <c r="C74" i="20"/>
  <c r="A74" i="20" s="1"/>
  <c r="S74" i="20"/>
  <c r="K65" i="12"/>
  <c r="P65" i="12" s="1"/>
  <c r="U65" i="12" s="1"/>
  <c r="D66" i="12" s="1"/>
  <c r="C66" i="12" s="1"/>
  <c r="A66" i="12" s="1"/>
  <c r="I74" i="20" l="1"/>
  <c r="M74" i="20" s="1"/>
  <c r="X66" i="12"/>
  <c r="T66" i="12"/>
  <c r="G66" i="12"/>
  <c r="S66" i="12"/>
  <c r="K74" i="20" l="1"/>
  <c r="P74" i="20" s="1"/>
  <c r="T74" i="20" s="1"/>
  <c r="D75" i="20" s="1"/>
  <c r="I66" i="12"/>
  <c r="M66" i="12" s="1"/>
  <c r="W75" i="20" l="1"/>
  <c r="G75" i="20"/>
  <c r="C75" i="20"/>
  <c r="A75" i="20" s="1"/>
  <c r="S75" i="20"/>
  <c r="K66" i="12"/>
  <c r="P66" i="12" s="1"/>
  <c r="U66" i="12" s="1"/>
  <c r="D67" i="12" s="1"/>
  <c r="C67" i="12" s="1"/>
  <c r="A67" i="12" s="1"/>
  <c r="I75" i="20" l="1"/>
  <c r="M75" i="20" s="1"/>
  <c r="X67" i="12"/>
  <c r="T67" i="12"/>
  <c r="G67" i="12"/>
  <c r="S67" i="12"/>
  <c r="K75" i="20" l="1"/>
  <c r="P75" i="20" s="1"/>
  <c r="T75" i="20" s="1"/>
  <c r="D76" i="20" s="1"/>
  <c r="I67" i="12"/>
  <c r="M67" i="12" s="1"/>
  <c r="W76" i="20" l="1"/>
  <c r="G76" i="20"/>
  <c r="C76" i="20"/>
  <c r="A76" i="20" s="1"/>
  <c r="S76" i="20"/>
  <c r="K67" i="12"/>
  <c r="P67" i="12" s="1"/>
  <c r="U67" i="12" s="1"/>
  <c r="D68" i="12" s="1"/>
  <c r="C68" i="12" s="1"/>
  <c r="A68" i="12" s="1"/>
  <c r="I76" i="20" l="1"/>
  <c r="M76" i="20" s="1"/>
  <c r="X68" i="12"/>
  <c r="T68" i="12"/>
  <c r="S68" i="12"/>
  <c r="G68" i="12"/>
  <c r="K76" i="20" l="1"/>
  <c r="P76" i="20" s="1"/>
  <c r="T76" i="20" s="1"/>
  <c r="D77" i="20" s="1"/>
  <c r="I68" i="12"/>
  <c r="M68" i="12" s="1"/>
  <c r="W77" i="20" l="1"/>
  <c r="G77" i="20"/>
  <c r="C77" i="20"/>
  <c r="A77" i="20" s="1"/>
  <c r="S77" i="20"/>
  <c r="K68" i="12"/>
  <c r="P68" i="12" s="1"/>
  <c r="U68" i="12" s="1"/>
  <c r="D69" i="12" s="1"/>
  <c r="C69" i="12" s="1"/>
  <c r="A69" i="12" s="1"/>
  <c r="I77" i="20" l="1"/>
  <c r="M77" i="20" s="1"/>
  <c r="X69" i="12"/>
  <c r="T69" i="12"/>
  <c r="S69" i="12"/>
  <c r="G69" i="12"/>
  <c r="K77" i="20" l="1"/>
  <c r="P77" i="20" s="1"/>
  <c r="T77" i="20" s="1"/>
  <c r="D78" i="20" s="1"/>
  <c r="I69" i="12"/>
  <c r="M69" i="12" s="1"/>
  <c r="W78" i="20" l="1"/>
  <c r="G78" i="20"/>
  <c r="C78" i="20"/>
  <c r="A78" i="20" s="1"/>
  <c r="S78" i="20"/>
  <c r="K69" i="12"/>
  <c r="P69" i="12" s="1"/>
  <c r="U69" i="12" s="1"/>
  <c r="D70" i="12" s="1"/>
  <c r="C70" i="12" s="1"/>
  <c r="A70" i="12" s="1"/>
  <c r="I78" i="20" l="1"/>
  <c r="M78" i="20" s="1"/>
  <c r="G70" i="12"/>
  <c r="S70" i="12"/>
  <c r="X70" i="12"/>
  <c r="T70" i="12"/>
  <c r="K78" i="20" l="1"/>
  <c r="P78" i="20" s="1"/>
  <c r="T78" i="20" s="1"/>
  <c r="D79" i="20" s="1"/>
  <c r="I70" i="12"/>
  <c r="M70" i="12" s="1"/>
  <c r="W79" i="20" l="1"/>
  <c r="G79" i="20"/>
  <c r="C79" i="20"/>
  <c r="A79" i="20" s="1"/>
  <c r="S79" i="20"/>
  <c r="K70" i="12"/>
  <c r="P70" i="12" s="1"/>
  <c r="U70" i="12" s="1"/>
  <c r="D71" i="12" s="1"/>
  <c r="C71" i="12" s="1"/>
  <c r="A71" i="12" s="1"/>
  <c r="I79" i="20" l="1"/>
  <c r="M79" i="20" s="1"/>
  <c r="T71" i="12"/>
  <c r="G71" i="12"/>
  <c r="S71" i="12"/>
  <c r="X71" i="12"/>
  <c r="K79" i="20" l="1"/>
  <c r="P79" i="20" s="1"/>
  <c r="T79" i="20" s="1"/>
  <c r="D80" i="20" s="1"/>
  <c r="I71" i="12"/>
  <c r="M71" i="12" s="1"/>
  <c r="W80" i="20" l="1"/>
  <c r="G80" i="20"/>
  <c r="C80" i="20"/>
  <c r="A80" i="20" s="1"/>
  <c r="S80" i="20"/>
  <c r="K71" i="12"/>
  <c r="P71" i="12" s="1"/>
  <c r="U71" i="12" s="1"/>
  <c r="D72" i="12" s="1"/>
  <c r="C72" i="12" s="1"/>
  <c r="A72" i="12" s="1"/>
  <c r="I80" i="20" l="1"/>
  <c r="M80" i="20" s="1"/>
  <c r="T72" i="12"/>
  <c r="X72" i="12"/>
  <c r="S72" i="12"/>
  <c r="G72" i="12"/>
  <c r="K80" i="20" l="1"/>
  <c r="P80" i="20" s="1"/>
  <c r="T80" i="20" s="1"/>
  <c r="D81" i="20" s="1"/>
  <c r="I72" i="12"/>
  <c r="M72" i="12" s="1"/>
  <c r="W81" i="20" l="1"/>
  <c r="G81" i="20"/>
  <c r="C81" i="20"/>
  <c r="A81" i="20" s="1"/>
  <c r="S81" i="20"/>
  <c r="K72" i="12"/>
  <c r="P72" i="12" s="1"/>
  <c r="U72" i="12" s="1"/>
  <c r="D73" i="12" s="1"/>
  <c r="C73" i="12" s="1"/>
  <c r="A73" i="12" s="1"/>
  <c r="I81" i="20" l="1"/>
  <c r="M81" i="20" s="1"/>
  <c r="G73" i="12"/>
  <c r="S73" i="12"/>
  <c r="X73" i="12"/>
  <c r="T73" i="12"/>
  <c r="K81" i="20" l="1"/>
  <c r="P81" i="20" s="1"/>
  <c r="T81" i="20" s="1"/>
  <c r="D82" i="20" s="1"/>
  <c r="I73" i="12"/>
  <c r="M73" i="12" s="1"/>
  <c r="W82" i="20" l="1"/>
  <c r="G82" i="20"/>
  <c r="C82" i="20"/>
  <c r="A82" i="20" s="1"/>
  <c r="S82" i="20"/>
  <c r="K73" i="12"/>
  <c r="P73" i="12" s="1"/>
  <c r="U73" i="12" s="1"/>
  <c r="D74" i="12" s="1"/>
  <c r="F22" i="9"/>
  <c r="F21" i="9"/>
  <c r="G28" i="9" s="1"/>
  <c r="F15" i="9"/>
  <c r="E17" i="9" s="1"/>
  <c r="F14" i="9"/>
  <c r="E16" i="9" s="1"/>
  <c r="D19" i="11"/>
  <c r="G44" i="9"/>
  <c r="I82" i="20" l="1"/>
  <c r="M82" i="20" s="1"/>
  <c r="G74" i="12"/>
  <c r="T74" i="12"/>
  <c r="X74" i="12"/>
  <c r="C74" i="12"/>
  <c r="A74" i="12" s="1"/>
  <c r="S74" i="12"/>
  <c r="C24" i="11"/>
  <c r="C27" i="11"/>
  <c r="C23" i="11"/>
  <c r="G15" i="9"/>
  <c r="G16" i="9" s="1"/>
  <c r="K82" i="20" l="1"/>
  <c r="P82" i="20" s="1"/>
  <c r="T82" i="20" s="1"/>
  <c r="D83" i="20" s="1"/>
  <c r="I74" i="12"/>
  <c r="M74" i="12" s="1"/>
  <c r="G46" i="9"/>
  <c r="C22" i="11"/>
  <c r="D27" i="11" s="1"/>
  <c r="D28" i="11" s="1"/>
  <c r="G48" i="9" l="1"/>
  <c r="G10" i="10" s="1"/>
  <c r="G11" i="10"/>
  <c r="W83" i="20"/>
  <c r="G83" i="20"/>
  <c r="C83" i="20"/>
  <c r="A83" i="20" s="1"/>
  <c r="S83" i="20"/>
  <c r="K74" i="12"/>
  <c r="P74" i="12" s="1"/>
  <c r="U74" i="12" s="1"/>
  <c r="D75" i="12" s="1"/>
  <c r="G14" i="10" l="1"/>
  <c r="I83" i="20"/>
  <c r="M83" i="20" s="1"/>
  <c r="G75" i="12"/>
  <c r="T75" i="12"/>
  <c r="C75" i="12"/>
  <c r="A75" i="12" s="1"/>
  <c r="X75" i="12"/>
  <c r="S75" i="12"/>
  <c r="K83" i="20" l="1"/>
  <c r="P83" i="20" s="1"/>
  <c r="T83" i="20" s="1"/>
  <c r="D84" i="20" s="1"/>
  <c r="I75" i="12"/>
  <c r="M75" i="12" s="1"/>
  <c r="W84" i="20" l="1"/>
  <c r="G84" i="20"/>
  <c r="C84" i="20"/>
  <c r="A84" i="20" s="1"/>
  <c r="S84" i="20"/>
  <c r="K75" i="12"/>
  <c r="P75" i="12" s="1"/>
  <c r="U75" i="12" s="1"/>
  <c r="D76" i="12" s="1"/>
  <c r="I84" i="20" l="1"/>
  <c r="M84" i="20" s="1"/>
  <c r="S76" i="12"/>
  <c r="X76" i="12"/>
  <c r="C76" i="12"/>
  <c r="A76" i="12" s="1"/>
  <c r="G76" i="12"/>
  <c r="T76" i="12"/>
  <c r="K84" i="20" l="1"/>
  <c r="P84" i="20" s="1"/>
  <c r="T84" i="20" s="1"/>
  <c r="D85" i="20" s="1"/>
  <c r="I76" i="12"/>
  <c r="M76" i="12" s="1"/>
  <c r="W85" i="20" l="1"/>
  <c r="G85" i="20"/>
  <c r="C85" i="20"/>
  <c r="A85" i="20" s="1"/>
  <c r="S85" i="20"/>
  <c r="K76" i="12"/>
  <c r="P76" i="12" s="1"/>
  <c r="U76" i="12" s="1"/>
  <c r="D77" i="12" s="1"/>
  <c r="I85" i="20" l="1"/>
  <c r="M85" i="20" s="1"/>
  <c r="C77" i="12"/>
  <c r="A77" i="12" s="1"/>
  <c r="G77" i="12"/>
  <c r="T77" i="12"/>
  <c r="S77" i="12"/>
  <c r="X77" i="12"/>
  <c r="K85" i="20" l="1"/>
  <c r="P85" i="20"/>
  <c r="T85" i="20" s="1"/>
  <c r="D86" i="20" s="1"/>
  <c r="I77" i="12"/>
  <c r="M77" i="12" s="1"/>
  <c r="W86" i="20" l="1"/>
  <c r="C86" i="20"/>
  <c r="A86" i="20" s="1"/>
  <c r="G86" i="20"/>
  <c r="S86" i="20"/>
  <c r="K77" i="12"/>
  <c r="P77" i="12" s="1"/>
  <c r="U77" i="12" s="1"/>
  <c r="D78" i="12" s="1"/>
  <c r="I86" i="20" l="1"/>
  <c r="M86" i="20" s="1"/>
  <c r="G78" i="12"/>
  <c r="S78" i="12"/>
  <c r="X78" i="12"/>
  <c r="C78" i="12"/>
  <c r="A78" i="12" s="1"/>
  <c r="T78" i="12"/>
  <c r="K86" i="20" l="1"/>
  <c r="P86" i="20" s="1"/>
  <c r="T86" i="20" s="1"/>
  <c r="D87" i="20" s="1"/>
  <c r="I78" i="12"/>
  <c r="M78" i="12" s="1"/>
  <c r="W87" i="20" l="1"/>
  <c r="C87" i="20"/>
  <c r="A87" i="20" s="1"/>
  <c r="G87" i="20"/>
  <c r="S87" i="20"/>
  <c r="K78" i="12"/>
  <c r="P78" i="12" s="1"/>
  <c r="U78" i="12" s="1"/>
  <c r="D79" i="12" s="1"/>
  <c r="I87" i="20" l="1"/>
  <c r="M87" i="20" s="1"/>
  <c r="K87" i="20"/>
  <c r="G79" i="12"/>
  <c r="T79" i="12"/>
  <c r="S79" i="12"/>
  <c r="X79" i="12"/>
  <c r="C79" i="12"/>
  <c r="A79" i="12" s="1"/>
  <c r="P87" i="20" l="1"/>
  <c r="T87" i="20" s="1"/>
  <c r="D88" i="20" s="1"/>
  <c r="I79" i="12"/>
  <c r="M79" i="12" s="1"/>
  <c r="W88" i="20" l="1"/>
  <c r="G88" i="20"/>
  <c r="C88" i="20"/>
  <c r="A88" i="20" s="1"/>
  <c r="S88" i="20"/>
  <c r="K79" i="12"/>
  <c r="P79" i="12" s="1"/>
  <c r="U79" i="12" s="1"/>
  <c r="D80" i="12" s="1"/>
  <c r="S80" i="12" s="1"/>
  <c r="I88" i="20" l="1"/>
  <c r="M88" i="20" s="1"/>
  <c r="X80" i="12"/>
  <c r="C80" i="12"/>
  <c r="A80" i="12" s="1"/>
  <c r="G80" i="12"/>
  <c r="I80" i="12" s="1"/>
  <c r="T80" i="12"/>
  <c r="K88" i="20" l="1"/>
  <c r="P88" i="20" s="1"/>
  <c r="T88" i="20" s="1"/>
  <c r="M80" i="12"/>
  <c r="K80" i="12"/>
  <c r="P80" i="12" l="1"/>
  <c r="U80" i="12" s="1"/>
  <c r="D81" i="12" s="1"/>
  <c r="C81" i="12" s="1"/>
  <c r="A81" i="12" s="1"/>
  <c r="G81" i="12" l="1"/>
  <c r="I81" i="12" s="1"/>
  <c r="M81" i="12" s="1"/>
  <c r="X81" i="12"/>
  <c r="T81" i="12"/>
  <c r="S81" i="12"/>
  <c r="K81" i="12" l="1"/>
  <c r="P81" i="12" s="1"/>
  <c r="U81" i="12" s="1"/>
  <c r="D82" i="12" s="1"/>
  <c r="G82" i="12" s="1"/>
  <c r="I82" i="12" s="1"/>
  <c r="M82" i="12" s="1"/>
  <c r="X82" i="12" l="1"/>
  <c r="T82" i="12"/>
  <c r="S82" i="12"/>
  <c r="C82" i="12"/>
  <c r="A82" i="12" s="1"/>
  <c r="K82" i="12"/>
  <c r="P82" i="12" s="1"/>
  <c r="U82" i="12" s="1"/>
  <c r="D83" i="12" s="1"/>
  <c r="G83" i="12" s="1"/>
  <c r="S83" i="12" l="1"/>
  <c r="T83" i="12"/>
  <c r="C83" i="12"/>
  <c r="A83" i="12" s="1"/>
  <c r="X83" i="12"/>
  <c r="I83" i="12"/>
  <c r="M83" i="12" s="1"/>
  <c r="K83" i="12" l="1"/>
  <c r="P83" i="12" s="1"/>
  <c r="U83" i="12" s="1"/>
  <c r="D84" i="12" s="1"/>
  <c r="S84" i="12" l="1"/>
  <c r="X84" i="12"/>
  <c r="C84" i="12"/>
  <c r="A84" i="12" s="1"/>
  <c r="G84" i="12"/>
  <c r="T84" i="12"/>
  <c r="I84" i="12" l="1"/>
  <c r="M84" i="12" s="1"/>
  <c r="K84" i="12" l="1"/>
  <c r="P84" i="12" s="1"/>
  <c r="U84" i="12" s="1"/>
  <c r="D85" i="12" s="1"/>
  <c r="C85" i="12" l="1"/>
  <c r="A85" i="12" s="1"/>
  <c r="G85" i="12"/>
  <c r="X85" i="12"/>
  <c r="T85" i="12"/>
  <c r="S85" i="12"/>
  <c r="I85" i="12" l="1"/>
  <c r="M85" i="12" s="1"/>
  <c r="K85" i="12" l="1"/>
  <c r="P85" i="12" s="1"/>
  <c r="U85" i="12" s="1"/>
  <c r="D86" i="12" s="1"/>
  <c r="C86" i="12" l="1"/>
  <c r="A86" i="12" s="1"/>
  <c r="S86" i="12"/>
  <c r="G86" i="12"/>
  <c r="T86" i="12"/>
  <c r="X86" i="12"/>
  <c r="I86" i="12" l="1"/>
  <c r="M86" i="12" s="1"/>
  <c r="K86" i="12" l="1"/>
  <c r="P86" i="12" s="1"/>
  <c r="U86" i="12" s="1"/>
  <c r="D87" i="12" s="1"/>
  <c r="X87" i="12" l="1"/>
  <c r="T87" i="12"/>
  <c r="S87" i="12"/>
  <c r="G87" i="12"/>
  <c r="C87" i="12"/>
  <c r="A87" i="12" s="1"/>
  <c r="I87" i="12" l="1"/>
  <c r="M87" i="12" s="1"/>
  <c r="K87" i="12" l="1"/>
  <c r="P87" i="12" s="1"/>
  <c r="U87" i="12" s="1"/>
  <c r="D88" i="12" s="1"/>
  <c r="S88" i="12" l="1"/>
  <c r="X88" i="12"/>
  <c r="G88" i="12"/>
  <c r="C88" i="12"/>
  <c r="A88" i="12" s="1"/>
  <c r="T88" i="12"/>
  <c r="I88" i="12" l="1"/>
  <c r="M88" i="12" s="1"/>
  <c r="K88" i="12" l="1"/>
  <c r="P88" i="12" s="1"/>
  <c r="U88" i="12" s="1"/>
  <c r="D89" i="12" s="1"/>
  <c r="X89" i="12" l="1"/>
  <c r="S89" i="12"/>
  <c r="C89" i="12"/>
  <c r="A89" i="12" s="1"/>
  <c r="G89" i="12"/>
  <c r="T89" i="12"/>
  <c r="I89" i="12" l="1"/>
  <c r="M89" i="12" s="1"/>
  <c r="K89" i="12" l="1"/>
  <c r="P89" i="12" s="1"/>
  <c r="U89" i="12" s="1"/>
</calcChain>
</file>

<file path=xl/sharedStrings.xml><?xml version="1.0" encoding="utf-8"?>
<sst xmlns="http://schemas.openxmlformats.org/spreadsheetml/2006/main" count="750" uniqueCount="415">
  <si>
    <t>Tiene cuenta en algun banco ?</t>
  </si>
  <si>
    <t xml:space="preserve">Facebook </t>
  </si>
  <si>
    <t xml:space="preserve">Instagram </t>
  </si>
  <si>
    <t xml:space="preserve">Volantes </t>
  </si>
  <si>
    <t xml:space="preserve">Activacion </t>
  </si>
  <si>
    <t xml:space="preserve">Prensa </t>
  </si>
  <si>
    <t xml:space="preserve">Casado </t>
  </si>
  <si>
    <t xml:space="preserve">Soltero </t>
  </si>
  <si>
    <t xml:space="preserve">Empleado </t>
  </si>
  <si>
    <t xml:space="preserve">Dueño </t>
  </si>
  <si>
    <t>Capital de trabajo</t>
  </si>
  <si>
    <t xml:space="preserve">turismo </t>
  </si>
  <si>
    <t xml:space="preserve">consumo </t>
  </si>
  <si>
    <t xml:space="preserve">mejora de algo en inmubele o vehiculo </t>
  </si>
  <si>
    <t>Consolidacion de deudas</t>
  </si>
  <si>
    <t>El dinero lo utilizara en ….?</t>
  </si>
  <si>
    <t xml:space="preserve">Salud o Medico </t>
  </si>
  <si>
    <t xml:space="preserve">Consumo </t>
  </si>
  <si>
    <t xml:space="preserve">Estudios </t>
  </si>
  <si>
    <t xml:space="preserve">Muerte de familiar </t>
  </si>
  <si>
    <t xml:space="preserve">Informacion crediticia </t>
  </si>
  <si>
    <t xml:space="preserve">hipotecario </t>
  </si>
  <si>
    <t xml:space="preserve">vehiculo </t>
  </si>
  <si>
    <t xml:space="preserve">prestamista </t>
  </si>
  <si>
    <t>Ha tenido algun credito ?</t>
  </si>
  <si>
    <t>Vivienda propia ?</t>
  </si>
  <si>
    <t>vehiculo propio?</t>
  </si>
  <si>
    <t xml:space="preserve">garantia del credito </t>
  </si>
  <si>
    <t xml:space="preserve">Hipotecario </t>
  </si>
  <si>
    <t xml:space="preserve">toma usted la decisión sobre el credito ? </t>
  </si>
  <si>
    <t xml:space="preserve">que espera usted de su credito? </t>
  </si>
  <si>
    <t xml:space="preserve">rapido y seguro </t>
  </si>
  <si>
    <t xml:space="preserve">barato </t>
  </si>
  <si>
    <t xml:space="preserve">negociable </t>
  </si>
  <si>
    <t xml:space="preserve">sano </t>
  </si>
  <si>
    <t xml:space="preserve">Informacion del credito </t>
  </si>
  <si>
    <t>si llegara a tener algun problema de pago tiene alguien que l@ apoye?</t>
  </si>
  <si>
    <t xml:space="preserve">cuota nivelada </t>
  </si>
  <si>
    <t>Fiduciario</t>
  </si>
  <si>
    <t xml:space="preserve">Prendario </t>
  </si>
  <si>
    <t>Sin fiador</t>
  </si>
  <si>
    <t xml:space="preserve">Tipo de credito </t>
  </si>
  <si>
    <t>Tiene dependientes economicos?</t>
  </si>
  <si>
    <t xml:space="preserve">Cuantos dependientes? </t>
  </si>
  <si>
    <t xml:space="preserve">Desempleado </t>
  </si>
  <si>
    <t>Viudo/a</t>
  </si>
  <si>
    <t xml:space="preserve">retirado </t>
  </si>
  <si>
    <t>Tiene o ha tenido tarjeta de credito?</t>
  </si>
  <si>
    <t xml:space="preserve">Informacion de la garantia hipotecaria </t>
  </si>
  <si>
    <t xml:space="preserve">tipo de propiedad </t>
  </si>
  <si>
    <t>tiene construccion ?</t>
  </si>
  <si>
    <t>cuenta con alguna deuda sobre la propiedad ?</t>
  </si>
  <si>
    <t xml:space="preserve">bueno </t>
  </si>
  <si>
    <t xml:space="preserve">medio </t>
  </si>
  <si>
    <t xml:space="preserve">malo </t>
  </si>
  <si>
    <t xml:space="preserve">daño mecanico </t>
  </si>
  <si>
    <t>daño estetico</t>
  </si>
  <si>
    <t xml:space="preserve">su vehiculo se encuentra en estado </t>
  </si>
  <si>
    <t xml:space="preserve">le ha realizado alguna modificacion estetica? </t>
  </si>
  <si>
    <t xml:space="preserve">le ha colocado accesorios o equipo de sonido mejorado </t>
  </si>
  <si>
    <t xml:space="preserve">Camioneta </t>
  </si>
  <si>
    <t xml:space="preserve">hatchback </t>
  </si>
  <si>
    <t xml:space="preserve">sedan </t>
  </si>
  <si>
    <t xml:space="preserve">pickup </t>
  </si>
  <si>
    <t xml:space="preserve">moto </t>
  </si>
  <si>
    <t xml:space="preserve">camion </t>
  </si>
  <si>
    <t xml:space="preserve">microbus </t>
  </si>
  <si>
    <t xml:space="preserve">bus </t>
  </si>
  <si>
    <t xml:space="preserve">cabezal </t>
  </si>
  <si>
    <t>Pariente migrante ?</t>
  </si>
  <si>
    <t xml:space="preserve">capacidad de endeudamiento </t>
  </si>
  <si>
    <t xml:space="preserve">Factoraje internacional </t>
  </si>
  <si>
    <t xml:space="preserve">leasing maquinaria </t>
  </si>
  <si>
    <t xml:space="preserve">1-5 años </t>
  </si>
  <si>
    <t>0-1 año</t>
  </si>
  <si>
    <t xml:space="preserve">5-10 años </t>
  </si>
  <si>
    <t xml:space="preserve">cuota nivelada ideal </t>
  </si>
  <si>
    <t xml:space="preserve">La tiene funcionando </t>
  </si>
  <si>
    <t>Ingresos</t>
  </si>
  <si>
    <t>Q1,000 - Q3,000</t>
  </si>
  <si>
    <t>Q3,001 - Q6,000</t>
  </si>
  <si>
    <t>Q6,001 - Q10,000</t>
  </si>
  <si>
    <t>Q10,001 - Q15,000</t>
  </si>
  <si>
    <t>Q15,001 - Q25,000</t>
  </si>
  <si>
    <t>Q25,001 en adelante</t>
  </si>
  <si>
    <t>informacion general</t>
  </si>
  <si>
    <t>Edad</t>
  </si>
  <si>
    <t>40 - 49 años</t>
  </si>
  <si>
    <t>30 - 39 años</t>
  </si>
  <si>
    <t>18 - 29 años</t>
  </si>
  <si>
    <t>70 años o mas</t>
  </si>
  <si>
    <t>Casco Urbano</t>
  </si>
  <si>
    <t xml:space="preserve">Ciudad Satelite </t>
  </si>
  <si>
    <t>Interior Casco</t>
  </si>
  <si>
    <t>Interior Rural</t>
  </si>
  <si>
    <t>Zona</t>
  </si>
  <si>
    <t>medio en el que nos vio</t>
  </si>
  <si>
    <t>informacion laboral</t>
  </si>
  <si>
    <t>Estado civil</t>
  </si>
  <si>
    <t>CATALOGO DE RIESGO</t>
  </si>
  <si>
    <t>Nombre:</t>
  </si>
  <si>
    <t>DPI:</t>
  </si>
  <si>
    <t>NIT:</t>
  </si>
  <si>
    <t>Edad del solicitante</t>
  </si>
  <si>
    <t>Referencia para colocar rango de capacidad de endeudamiento</t>
  </si>
  <si>
    <t>Egresos</t>
  </si>
  <si>
    <t>Residencia</t>
  </si>
  <si>
    <t>Si</t>
  </si>
  <si>
    <t>No</t>
  </si>
  <si>
    <t>Tiene mascotas</t>
  </si>
  <si>
    <t>5+</t>
  </si>
  <si>
    <t>Tiene dependientes</t>
  </si>
  <si>
    <t>Cuantos dependientes</t>
  </si>
  <si>
    <t>Ocupacion</t>
  </si>
  <si>
    <t>Inicio de labores</t>
  </si>
  <si>
    <t>Afiliacion al IGSS</t>
  </si>
  <si>
    <t>Capacidad de endeudamiento</t>
  </si>
  <si>
    <t xml:space="preserve">Si </t>
  </si>
  <si>
    <t>Estados de cuenta</t>
  </si>
  <si>
    <t>La tiene funcionando</t>
  </si>
  <si>
    <t>Vivienda propia</t>
  </si>
  <si>
    <t>Vehiculo propio</t>
  </si>
  <si>
    <t>La garantia es propia</t>
  </si>
  <si>
    <t>GPS</t>
  </si>
  <si>
    <t>Seguro</t>
  </si>
  <si>
    <t>Terreno</t>
  </si>
  <si>
    <t>Lote</t>
  </si>
  <si>
    <t>Casa</t>
  </si>
  <si>
    <t xml:space="preserve">Apartamento </t>
  </si>
  <si>
    <t xml:space="preserve">Bodega </t>
  </si>
  <si>
    <t>Edificio</t>
  </si>
  <si>
    <t xml:space="preserve">Parqueo </t>
  </si>
  <si>
    <t xml:space="preserve">Granja/ finca </t>
  </si>
  <si>
    <t xml:space="preserve"> Alta Verapaz</t>
  </si>
  <si>
    <t xml:space="preserve"> Baja Verapaz</t>
  </si>
  <si>
    <t xml:space="preserve"> Chimaltenango</t>
  </si>
  <si>
    <t xml:space="preserve"> Chiquimula</t>
  </si>
  <si>
    <t xml:space="preserve"> El Progreso</t>
  </si>
  <si>
    <t xml:space="preserve"> Escuintla</t>
  </si>
  <si>
    <t xml:space="preserve"> Guatemala</t>
  </si>
  <si>
    <t xml:space="preserve"> Huehuetenango</t>
  </si>
  <si>
    <t xml:space="preserve"> Izabal</t>
  </si>
  <si>
    <t xml:space="preserve"> Jalapa</t>
  </si>
  <si>
    <t xml:space="preserve"> Jutiapa</t>
  </si>
  <si>
    <t xml:space="preserve"> Petén</t>
  </si>
  <si>
    <t xml:space="preserve"> Quetzaltenango</t>
  </si>
  <si>
    <t xml:space="preserve"> Quiché</t>
  </si>
  <si>
    <t xml:space="preserve"> Retalhuleu</t>
  </si>
  <si>
    <t xml:space="preserve"> Sacatepéquez</t>
  </si>
  <si>
    <t xml:space="preserve"> San Marcos</t>
  </si>
  <si>
    <t xml:space="preserve"> Santa Rosa</t>
  </si>
  <si>
    <t xml:space="preserve"> Sololá</t>
  </si>
  <si>
    <t xml:space="preserve"> Suchitepéquez</t>
  </si>
  <si>
    <t xml:space="preserve"> Totonicapán</t>
  </si>
  <si>
    <t xml:space="preserve"> Zacapa</t>
  </si>
  <si>
    <t>Toyota</t>
  </si>
  <si>
    <t>Honda</t>
  </si>
  <si>
    <t>Suzuki</t>
  </si>
  <si>
    <t>Mazda</t>
  </si>
  <si>
    <t>Nissan</t>
  </si>
  <si>
    <t>Mitsubishi</t>
  </si>
  <si>
    <t>Isuzu</t>
  </si>
  <si>
    <t>Hyundai</t>
  </si>
  <si>
    <t>Renault</t>
  </si>
  <si>
    <t>Kia</t>
  </si>
  <si>
    <t>GN</t>
  </si>
  <si>
    <t>Alfa Romeo</t>
  </si>
  <si>
    <t>Ferrari</t>
  </si>
  <si>
    <t>Lamborghini</t>
  </si>
  <si>
    <t>Maserati</t>
  </si>
  <si>
    <t>Fiat</t>
  </si>
  <si>
    <t>Chevrolet</t>
  </si>
  <si>
    <t>Ford</t>
  </si>
  <si>
    <t>Cadillac</t>
  </si>
  <si>
    <t>Chrysler</t>
  </si>
  <si>
    <t>Dodge</t>
  </si>
  <si>
    <t>GMC</t>
  </si>
  <si>
    <t>Audi</t>
  </si>
  <si>
    <t>Mercedes Benz</t>
  </si>
  <si>
    <t>BMW</t>
  </si>
  <si>
    <t>Porsche</t>
  </si>
  <si>
    <t>Volkswagen</t>
  </si>
  <si>
    <t>Smart</t>
  </si>
  <si>
    <t>Land Rover</t>
  </si>
  <si>
    <t>Mini cooper</t>
  </si>
  <si>
    <t>Otro</t>
  </si>
  <si>
    <t>Marca del vehiculo</t>
  </si>
  <si>
    <t>Origen</t>
  </si>
  <si>
    <t>Agencia</t>
  </si>
  <si>
    <t>Rodado</t>
  </si>
  <si>
    <t>Municipio</t>
  </si>
  <si>
    <t>Origen del vehículo</t>
  </si>
  <si>
    <t>cuenta con alguna deuda sobre el vehículo ?</t>
  </si>
  <si>
    <t>Tasa de interés</t>
  </si>
  <si>
    <t>Hipotecario</t>
  </si>
  <si>
    <t>Vehiculo</t>
  </si>
  <si>
    <t>Info general</t>
  </si>
  <si>
    <t>Tipo de credito</t>
  </si>
  <si>
    <t>A</t>
  </si>
  <si>
    <t>B</t>
  </si>
  <si>
    <t>C</t>
  </si>
  <si>
    <t>D</t>
  </si>
  <si>
    <t>Modelo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</si>
  <si>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</si>
  <si>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</si>
  <si>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</si>
  <si>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</si>
  <si>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</si>
  <si>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</si>
  <si>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</si>
  <si>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</si>
  <si>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</si>
  <si>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 xml:space="preserve"> San Juan Sacatepéquez</t>
  </si>
  <si>
    <t xml:space="preserve"> San Raymundo</t>
  </si>
  <si>
    <t xml:space="preserve"> Chuarrancho</t>
  </si>
  <si>
    <t xml:space="preserve"> Fraijanes</t>
  </si>
  <si>
    <t xml:space="preserve"> Amatitlán</t>
  </si>
  <si>
    <t xml:space="preserve"> Villa Nueva</t>
  </si>
  <si>
    <t xml:space="preserve"> Villa Canales</t>
  </si>
  <si>
    <t xml:space="preserve"> Petapa</t>
  </si>
  <si>
    <t>Informacion general</t>
  </si>
  <si>
    <t>Informacion laboral</t>
  </si>
  <si>
    <t>Informacion crediticia</t>
  </si>
  <si>
    <t xml:space="preserve">Tipo de propiedad </t>
  </si>
  <si>
    <t>Cuenta con alguna deuda sobre la propiedad ?</t>
  </si>
  <si>
    <t xml:space="preserve">Su vehículo se encuentra en estado </t>
  </si>
  <si>
    <t>Ideal</t>
  </si>
  <si>
    <t>Peor</t>
  </si>
  <si>
    <t>Pregunta #2</t>
  </si>
  <si>
    <t>Pregunta #1</t>
  </si>
  <si>
    <t>Pregunta #3</t>
  </si>
  <si>
    <t>Pregunta #4</t>
  </si>
  <si>
    <t>Pregunta #5</t>
  </si>
  <si>
    <t>Mejor</t>
  </si>
  <si>
    <t>Tiene cuenta bancaria</t>
  </si>
  <si>
    <t>Tiene tarjeta de credito</t>
  </si>
  <si>
    <t>Tiene alguna deuda sobre la propiedad</t>
  </si>
  <si>
    <t>Cuota nivelada vs. Capacidad de endeudamiento</t>
  </si>
  <si>
    <t>Garantia propia</t>
  </si>
  <si>
    <t>Tipo de propiedad</t>
  </si>
  <si>
    <t>Coinciden direcciones?</t>
  </si>
  <si>
    <t>Dentro de sus egresos paga alguna deuda?</t>
  </si>
  <si>
    <t>Esta orgulloso de sus actividades</t>
  </si>
  <si>
    <t>Esta orgulloso de sus actividades?</t>
  </si>
  <si>
    <t>La tiene al día?</t>
  </si>
  <si>
    <t>Es honrado?</t>
  </si>
  <si>
    <t>Posee cuotas atrasadas?</t>
  </si>
  <si>
    <t>Monto que adeuda</t>
  </si>
  <si>
    <t>Posee cuotas atrasadas</t>
  </si>
  <si>
    <t>Cantidad de cuotas atrasadas</t>
  </si>
  <si>
    <t>Cuotas</t>
  </si>
  <si>
    <t>Cuota nivelada</t>
  </si>
  <si>
    <t>Cuota de intereses</t>
  </si>
  <si>
    <t>Tiene IUSI al día?</t>
  </si>
  <si>
    <t>Cuantos trimestres adeuda?</t>
  </si>
  <si>
    <t>4+</t>
  </si>
  <si>
    <t>Que logro tener algo propio!</t>
  </si>
  <si>
    <t>Impuesto de circulacion del año en curso pagado?</t>
  </si>
  <si>
    <t>Días en mora?</t>
  </si>
  <si>
    <t>Días en mora</t>
  </si>
  <si>
    <t>90+</t>
  </si>
  <si>
    <t>Coinciden direcciones</t>
  </si>
  <si>
    <t>Cuenta con alguna deuda sobre el vehiculo</t>
  </si>
  <si>
    <t>Cuantos créditos activos tiene?</t>
  </si>
  <si>
    <t>Nombre del Propietario:</t>
  </si>
  <si>
    <t>Nombre del deudor:</t>
  </si>
  <si>
    <t>Garantía</t>
  </si>
  <si>
    <t>Datos:</t>
  </si>
  <si>
    <t xml:space="preserve">Inversionista: </t>
  </si>
  <si>
    <t>►</t>
  </si>
  <si>
    <t>MONTO SOLICITADO EN QUETZALES:</t>
  </si>
  <si>
    <t>Tipo de cambio:  US$ 1.00 x  Q.</t>
  </si>
  <si>
    <t xml:space="preserve"> </t>
  </si>
  <si>
    <t>%</t>
  </si>
  <si>
    <t>IVA</t>
  </si>
  <si>
    <t>Tasa de Interés:</t>
  </si>
  <si>
    <t>Inversionista</t>
  </si>
  <si>
    <t>MES INTERES ANTICIPADO</t>
  </si>
  <si>
    <t>Empresa</t>
  </si>
  <si>
    <t>COMISION Y GASTOS DE REGISTRO</t>
  </si>
  <si>
    <t>ROYALTY</t>
  </si>
  <si>
    <t>Free lance</t>
  </si>
  <si>
    <t>Free Lance</t>
  </si>
  <si>
    <t>Inspección</t>
  </si>
  <si>
    <t>Gastos Administrativos</t>
  </si>
  <si>
    <t>Otros Gastos</t>
  </si>
  <si>
    <t xml:space="preserve">  </t>
  </si>
  <si>
    <t>OTROS DESCUENTOS</t>
  </si>
  <si>
    <t>Multas</t>
  </si>
  <si>
    <t>Copia de llave</t>
  </si>
  <si>
    <t>GASTOS DE ABOGADO</t>
  </si>
  <si>
    <t>Honorarios Escrituración</t>
  </si>
  <si>
    <t>Impuesto  (base x millar)</t>
  </si>
  <si>
    <t>o/oo</t>
  </si>
  <si>
    <t>Autentica contrato de cobranza</t>
  </si>
  <si>
    <t>CALCULOS PAGO IMPUESTO DE OPERACIÓN</t>
  </si>
  <si>
    <t>x</t>
  </si>
  <si>
    <t>Pago de Timbres</t>
  </si>
  <si>
    <t>Pago a efectuar de Hipoteca a nombre de:</t>
  </si>
  <si>
    <t>DESCUENTOS DE:</t>
  </si>
  <si>
    <t>FECHA: ___________</t>
  </si>
  <si>
    <t>TOTAL A RECIBIR:</t>
  </si>
  <si>
    <t>Vo. Bo. ___________Lic.________________________</t>
  </si>
  <si>
    <t>ESC. # ___________________</t>
  </si>
  <si>
    <t>INV:_______________________</t>
  </si>
  <si>
    <t>CONTRATO: _______________</t>
  </si>
  <si>
    <t>MONEDA</t>
  </si>
  <si>
    <t>MONTO</t>
  </si>
  <si>
    <t>FECHA</t>
  </si>
  <si>
    <t>EMISOR</t>
  </si>
  <si>
    <t>BANCO</t>
  </si>
  <si>
    <t>BENEFICIARIO</t>
  </si>
  <si>
    <t>CONCEPTO</t>
  </si>
  <si>
    <t>Q</t>
  </si>
  <si>
    <t>© CLUB CASH IN . Este documento es propiedad de Club Cash In,  copia u otro uso de este documento por y para terceras personas está prohibida.</t>
  </si>
  <si>
    <t>Solicitante:</t>
  </si>
  <si>
    <t>Monto Solicitado</t>
  </si>
  <si>
    <t>Deducciones</t>
  </si>
  <si>
    <t>Royalty</t>
  </si>
  <si>
    <t>*</t>
  </si>
  <si>
    <t>Gastos legales</t>
  </si>
  <si>
    <t>Líquido a recibir</t>
  </si>
  <si>
    <t>*El GPS se paga mensualmente, se cancela al momento de desinstalar el dispositivo GPS.</t>
  </si>
  <si>
    <r>
      <rPr>
        <b/>
        <sz val="7"/>
        <rFont val="Arial"/>
        <family val="2"/>
      </rPr>
      <t xml:space="preserve">Nota: </t>
    </r>
    <r>
      <rPr>
        <sz val="7"/>
        <rFont val="Arial"/>
        <family val="2"/>
      </rPr>
      <t xml:space="preserve">El pago de GPS y Seguro son obligatorios y no estan incuidos dentro de la cuota mensual de interes. </t>
    </r>
  </si>
  <si>
    <t>Monto solicitado</t>
  </si>
  <si>
    <t>Plazo (Meses)</t>
  </si>
  <si>
    <t>Cuota</t>
  </si>
  <si>
    <t>Mes</t>
  </si>
  <si>
    <t>Saldo inicial</t>
  </si>
  <si>
    <t>Intereses</t>
  </si>
  <si>
    <t>Interés + IVA</t>
  </si>
  <si>
    <t>Amortización</t>
  </si>
  <si>
    <t>Saldo final</t>
  </si>
  <si>
    <t>Cuota mensual</t>
  </si>
  <si>
    <t>Nombre del propietario</t>
  </si>
  <si>
    <t xml:space="preserve">Nombre del deudor </t>
  </si>
  <si>
    <t>Préstamo otorgado</t>
  </si>
  <si>
    <t>Inscripciones (1o. Y 2do. Lugar, RGPI)</t>
  </si>
  <si>
    <t>Honorarios abogado</t>
  </si>
  <si>
    <t>DETALLE DE GASTOS DE PRÉSTAMO OTORGADO</t>
  </si>
  <si>
    <t xml:space="preserve">Nombre del Solicitante del crédito: </t>
  </si>
  <si>
    <t>Dirección del Inmueble:</t>
  </si>
  <si>
    <t xml:space="preserve">► </t>
  </si>
  <si>
    <t xml:space="preserve">Inversionista </t>
  </si>
  <si>
    <t>Empresa Club C</t>
  </si>
  <si>
    <t>IUSI</t>
  </si>
  <si>
    <t>Gastos administrativos</t>
  </si>
  <si>
    <t>Gastos de Registro (Registro Propiedad Inmueble)</t>
  </si>
  <si>
    <t xml:space="preserve">GASTOS ESCRITURACION Y REGISTRO </t>
  </si>
  <si>
    <t xml:space="preserve">Memorial para registro temporal e inscripción RGPI </t>
  </si>
  <si>
    <t>Otros descuentos</t>
  </si>
  <si>
    <t>Contrato de cobro</t>
  </si>
  <si>
    <t>Liberación del inmueble</t>
  </si>
  <si>
    <t>Carta de Pago</t>
  </si>
  <si>
    <t>Datos del inmueble:</t>
  </si>
  <si>
    <t>Capital</t>
  </si>
  <si>
    <t>Utilidad Neta Inversor</t>
  </si>
  <si>
    <t>Cuota mensual (sin servicios)</t>
  </si>
  <si>
    <t>Cash-in</t>
  </si>
  <si>
    <t>Con impuestos</t>
  </si>
  <si>
    <t>Sin impuestos</t>
  </si>
  <si>
    <t>ISR</t>
  </si>
  <si>
    <t>Cash-In</t>
  </si>
  <si>
    <t>Vehiculo:</t>
  </si>
  <si>
    <t>Base de cálculo Gastos de Registro</t>
  </si>
  <si>
    <t>- Q 10,0000</t>
  </si>
  <si>
    <t xml:space="preserve"> x .015%</t>
  </si>
  <si>
    <t xml:space="preserve">(+) Gastos </t>
  </si>
  <si>
    <t>Inscripción Registro</t>
  </si>
  <si>
    <t>Scanner documento</t>
  </si>
  <si>
    <t>Gastos extraordinarios</t>
  </si>
  <si>
    <t>Finca 139, folio 139, libro 2538 de Guatemala</t>
  </si>
  <si>
    <t>3% mensual 1a.cuota (incluye IVA)</t>
  </si>
  <si>
    <t>Royalty 4%</t>
  </si>
  <si>
    <t xml:space="preserve">Mario  Oswaldo  Rosales  Pur </t>
  </si>
  <si>
    <t xml:space="preserve">Mario Oswaldo Rosales Pur </t>
  </si>
  <si>
    <t>Q0 - Q1000</t>
  </si>
  <si>
    <t>Q1,001 - Q3,000</t>
  </si>
  <si>
    <t>Vehículo</t>
  </si>
  <si>
    <t>Fecha de pago</t>
  </si>
  <si>
    <t>No. Cuota</t>
  </si>
  <si>
    <t>Detalle de crédito sobre vehiculo</t>
  </si>
  <si>
    <r>
      <t xml:space="preserve">Cuotas interes mensual </t>
    </r>
    <r>
      <rPr>
        <sz val="8"/>
        <rFont val="Arial"/>
        <family val="2"/>
      </rPr>
      <t>(interes sobre saldo)</t>
    </r>
  </si>
  <si>
    <r>
      <t xml:space="preserve">Cuotas de seguro </t>
    </r>
    <r>
      <rPr>
        <sz val="8"/>
        <rFont val="Arial"/>
        <family val="2"/>
      </rPr>
      <t>(12 cuotas anuales)</t>
    </r>
  </si>
  <si>
    <r>
      <t xml:space="preserve">Cuotas de GPS </t>
    </r>
    <r>
      <rPr>
        <sz val="8"/>
        <rFont val="Arial"/>
        <family val="2"/>
      </rPr>
      <t>(mensual)</t>
    </r>
  </si>
  <si>
    <t xml:space="preserve">*La prima del seguro son 12 cuotas anuales que se pagan mensualmente, al momento de cancelar el credito se cancela el seguro. </t>
  </si>
  <si>
    <t>Gastos Administrativos, Traspaso y Multa</t>
  </si>
  <si>
    <t>Traspaso de vehículo</t>
  </si>
  <si>
    <t>Valor Bancario</t>
  </si>
  <si>
    <t>Valor Comercial</t>
  </si>
  <si>
    <t>Capacidad de Pago</t>
  </si>
  <si>
    <t>Valor de Mercado</t>
  </si>
  <si>
    <t>Descontado</t>
  </si>
  <si>
    <t>NO</t>
  </si>
  <si>
    <t>SI</t>
  </si>
  <si>
    <t>Precio</t>
  </si>
  <si>
    <t>Utilizacion del vehículo</t>
  </si>
  <si>
    <t>Valor del vehículo</t>
  </si>
  <si>
    <t>Cuota (Sin servicios)</t>
  </si>
  <si>
    <t>Nit del deudor:</t>
  </si>
  <si>
    <t>Membresía</t>
  </si>
  <si>
    <t>Garantía mobiliaria</t>
  </si>
  <si>
    <t xml:space="preserve">Vehiculo Comercial </t>
  </si>
  <si>
    <t>INREXSA</t>
  </si>
  <si>
    <t>Pick Up</t>
  </si>
  <si>
    <t>Seguro INREXSA</t>
  </si>
  <si>
    <t>Monto asegurado</t>
  </si>
  <si>
    <t>Panel, Camion, Microbus</t>
  </si>
  <si>
    <t>Membresia</t>
  </si>
  <si>
    <t>Particular</t>
  </si>
  <si>
    <t>Diferencia de Copia de llave</t>
  </si>
  <si>
    <t>Procedencia</t>
  </si>
  <si>
    <t>Oportunidad</t>
  </si>
  <si>
    <t xml:space="preserve">Intereses </t>
  </si>
  <si>
    <t>Impuesto circulación,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</si>
</sst>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8" formatCode="&quot;Q&quot;#,##0.00;[Red]\-&quot;Q&quot;#,##0.00"/>
    <numFmt numFmtId="44" formatCode="_-&quot;Q&quot;* #,##0.00_-;\-&quot;Q&quot;* #,##0.00_-;_-&quot;Q&quot;* &quot;-&quot;??_-;_-@_-"/>
    <numFmt numFmtId="164" formatCode="_(* #,##0.00_);_(* \(#,##0.00\);_(* &quot;-&quot;??_);_(@_)"/>
    <numFmt numFmtId="165" formatCode="_(&quot;Q&quot;* #,##0.00_);_(&quot;Q&quot;* \(#,##0.00\);_(&quot;Q&quot;* &quot;-&quot;??_);_(@_)"/>
    <numFmt numFmtId="166" formatCode="[$$-409]#,##0.00_);\([$$-409]#,##0.00\)"/>
    <numFmt numFmtId="167" formatCode="_([$$-409]* #,##0.00_);_([$$-409]* \(#,##0.00\);_([$$-409]* &quot;-&quot;??_);_(@_)"/>
    <numFmt numFmtId="168" formatCode="[$Q-100A]#,##0.00"/>
    <numFmt numFmtId="169" formatCode="dd/mm/yy;@"/>
    <numFmt numFmtId="170" formatCode="&quot;Q&quot;#,##0.00"/>
    <numFmt numFmtId="171" formatCode="_-[$Q-100A]* #,##0.00_-;\-[$Q-100A]* #,##0.00_-;_-[$Q-100A]* &quot;-&quot;??_-;_-@_-"/>
    <numFmt numFmtId="172" formatCode="_([$$-300A]\ * #,##0.00_);_([$$-300A]\ * \(#,##0.00\);_([$$-300A]\ * &quot;-&quot;??_);_(@_)"/>
    <numFmt numFmtId="173" formatCode="_([$$-440A]* #,##0.00_);_([$$-440A]* \(#,##0.00\);_([$$-440A]* &quot;-&quot;??_);_(@_)"/>
    <numFmt numFmtId="174" formatCode="_([$$-540A]* #,##0.00_);_([$$-540A]* \(#,##0.00\);_([$$-540A]* &quot;-&quot;??_);_(@_)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Arial"/>
      <family val="2"/>
    </font>
    <font>
      <sz val="20"/>
      <color theme="4" tint="-0.249977111117893"/>
      <name val="Elephant"/>
      <family val="1"/>
    </font>
    <font>
      <sz val="20"/>
      <name val="Elephant"/>
      <family val="1"/>
    </font>
    <font>
      <sz val="20"/>
      <color theme="4" tint="-0.249977111117893"/>
      <name val="Georgia"/>
      <family val="1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Unicode MS"/>
      <family val="2"/>
    </font>
    <font>
      <sz val="10"/>
      <name val="Arial Unicode MS"/>
      <family val="2"/>
    </font>
    <font>
      <b/>
      <sz val="9"/>
      <name val="Arial Unicode MS"/>
      <family val="2"/>
    </font>
    <font>
      <sz val="6"/>
      <name val="Arial Unicode MS"/>
      <family val="2"/>
    </font>
    <font>
      <b/>
      <sz val="12"/>
      <name val="Arial Unicode MS"/>
      <family val="2"/>
    </font>
    <font>
      <b/>
      <u/>
      <sz val="10"/>
      <name val="Arial Unicode MS"/>
      <family val="2"/>
    </font>
    <font>
      <u/>
      <sz val="10"/>
      <name val="Arial Unicode MS"/>
      <family val="2"/>
    </font>
    <font>
      <u/>
      <sz val="10"/>
      <name val="Arial"/>
      <family val="2"/>
    </font>
    <font>
      <b/>
      <u val="singleAccounting"/>
      <sz val="10"/>
      <name val="Arial Unicode MS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b/>
      <sz val="10"/>
      <color theme="1"/>
      <name val="Arial Unicode MS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color theme="0"/>
      <name val="Arial"/>
      <family val="2"/>
    </font>
    <font>
      <sz val="14"/>
      <name val="Castellar"/>
      <family val="1"/>
    </font>
    <font>
      <sz val="20"/>
      <color indexed="57"/>
      <name val="Elephant"/>
      <family val="1"/>
    </font>
    <font>
      <b/>
      <sz val="18"/>
      <name val="Arial"/>
      <family val="2"/>
    </font>
    <font>
      <b/>
      <sz val="12"/>
      <color theme="0"/>
      <name val="Georgia"/>
      <family val="1"/>
    </font>
    <font>
      <sz val="10"/>
      <name val="Eras Medium ITC"/>
      <family val="2"/>
    </font>
    <font>
      <b/>
      <sz val="10"/>
      <name val="Georgia"/>
      <family val="1"/>
    </font>
    <font>
      <b/>
      <sz val="10"/>
      <color indexed="60"/>
      <name val="Arial Unicode MS"/>
      <family val="2"/>
    </font>
    <font>
      <b/>
      <sz val="10"/>
      <color theme="9" tint="-0.499984740745262"/>
      <name val="Arial Unicode MS"/>
      <family val="2"/>
    </font>
    <font>
      <b/>
      <sz val="11"/>
      <color indexed="16"/>
      <name val="Arial Unicode MS"/>
      <family val="2"/>
    </font>
    <font>
      <b/>
      <sz val="14"/>
      <name val="Arial Unicode MS"/>
      <family val="2"/>
    </font>
    <font>
      <b/>
      <sz val="11"/>
      <name val="Century"/>
      <family val="1"/>
    </font>
    <font>
      <b/>
      <sz val="1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1003D"/>
      <name val="Arial Unicode MS"/>
      <family val="2"/>
    </font>
    <font>
      <b/>
      <sz val="11"/>
      <color rgb="FF01003D"/>
      <name val="Arial Unicode MS"/>
      <family val="2"/>
    </font>
    <font>
      <b/>
      <i/>
      <sz val="12"/>
      <color theme="0"/>
      <name val="Calibri"/>
      <family val="2"/>
      <scheme val="minor"/>
    </font>
    <font>
      <b/>
      <sz val="12"/>
      <color rgb="FF01003D"/>
      <name val="Calibri"/>
      <family val="2"/>
    </font>
    <font>
      <b/>
      <sz val="11"/>
      <color rgb="FF01003D"/>
      <name val="Calibri"/>
      <family val="2"/>
    </font>
    <font>
      <b/>
      <sz val="11"/>
      <color rgb="FF01003D"/>
      <name val="Book Antiqua"/>
      <family val="1"/>
    </font>
    <font>
      <sz val="10"/>
      <color rgb="FF01003D"/>
      <name val="Book Antiqua"/>
      <family val="1"/>
    </font>
    <font>
      <sz val="10"/>
      <color rgb="FF01003D"/>
      <name val="Arial"/>
      <family val="2"/>
    </font>
    <font>
      <sz val="11"/>
      <color rgb="FF01003D"/>
      <name val="Book Antiqua"/>
      <family val="1"/>
    </font>
    <font>
      <b/>
      <sz val="24"/>
      <name val="Arial"/>
      <family val="2"/>
    </font>
    <font>
      <b/>
      <u val="singleAccounting"/>
      <sz val="10"/>
      <color rgb="FF800000"/>
      <name val="Arial Unicode MS"/>
      <family val="2"/>
    </font>
    <font>
      <b/>
      <sz val="10"/>
      <color rgb="FFFF0000"/>
      <name val="Arial Unicode MS"/>
      <family val="2"/>
    </font>
    <font>
      <b/>
      <sz val="10"/>
      <color rgb="FFFF0000"/>
      <name val="Arial"/>
      <family val="2"/>
    </font>
    <font>
      <b/>
      <sz val="10"/>
      <name val="Arial Unicode MS"/>
      <family val="2"/>
    </font>
    <font>
      <b/>
      <sz val="10"/>
      <color rgb="FFFF0000"/>
      <name val="Arial Unicode MS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0"/>
      <color rgb="FF01003D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8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CEFF"/>
        <bgColor indexed="64"/>
      </patternFill>
    </fill>
    <fill>
      <patternFill patternType="solid">
        <fgColor rgb="FF00A4FF"/>
        <bgColor indexed="64"/>
      </patternFill>
    </fill>
    <fill>
      <patternFill patternType="solid">
        <fgColor rgb="FF3EFFC3"/>
        <bgColor indexed="64"/>
      </patternFill>
    </fill>
    <fill>
      <patternFill patternType="solid">
        <fgColor rgb="FFC6EF8E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431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4" xfId="0" applyBorder="1"/>
    <xf numFmtId="0" fontId="3" fillId="0" borderId="0" xfId="0" applyFont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9" fontId="0" fillId="0" borderId="11" xfId="2" applyFont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/>
    </xf>
    <xf numFmtId="0" fontId="0" fillId="6" borderId="0" xfId="0" applyFill="1"/>
    <xf numFmtId="9" fontId="0" fillId="0" borderId="0" xfId="2" applyFont="1" applyAlignment="1">
      <alignment horizontal="center"/>
    </xf>
    <xf numFmtId="9" fontId="0" fillId="0" borderId="0" xfId="2" applyFont="1"/>
    <xf numFmtId="0" fontId="0" fillId="3" borderId="12" xfId="0" applyFill="1" applyBorder="1"/>
    <xf numFmtId="1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9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11" fillId="4" borderId="0" xfId="0" applyFont="1" applyFill="1"/>
    <xf numFmtId="9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2" applyNumberFormat="1" applyFont="1"/>
    <xf numFmtId="0" fontId="8" fillId="0" borderId="0" xfId="0" applyFont="1"/>
    <xf numFmtId="0" fontId="0" fillId="3" borderId="0" xfId="0" applyFill="1" applyAlignment="1">
      <alignment horizontal="left"/>
    </xf>
    <xf numFmtId="0" fontId="0" fillId="8" borderId="0" xfId="0" applyFill="1" applyAlignment="1">
      <alignment horizontal="right"/>
    </xf>
    <xf numFmtId="0" fontId="11" fillId="11" borderId="0" xfId="0" applyFont="1" applyFill="1"/>
    <xf numFmtId="0" fontId="0" fillId="2" borderId="0" xfId="0" applyFill="1"/>
    <xf numFmtId="0" fontId="8" fillId="2" borderId="0" xfId="0" applyFont="1" applyFill="1"/>
    <xf numFmtId="0" fontId="0" fillId="0" borderId="21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7" xfId="0" applyBorder="1"/>
    <xf numFmtId="0" fontId="0" fillId="0" borderId="19" xfId="0" applyBorder="1"/>
    <xf numFmtId="0" fontId="2" fillId="0" borderId="20" xfId="0" applyFont="1" applyBorder="1"/>
    <xf numFmtId="0" fontId="2" fillId="0" borderId="22" xfId="0" applyFont="1" applyBorder="1"/>
    <xf numFmtId="0" fontId="2" fillId="0" borderId="21" xfId="0" applyFont="1" applyBorder="1"/>
    <xf numFmtId="0" fontId="14" fillId="0" borderId="0" xfId="3" applyFont="1"/>
    <xf numFmtId="0" fontId="15" fillId="0" borderId="0" xfId="3" applyFont="1"/>
    <xf numFmtId="0" fontId="13" fillId="0" borderId="0" xfId="3"/>
    <xf numFmtId="164" fontId="13" fillId="0" borderId="0" xfId="4"/>
    <xf numFmtId="0" fontId="16" fillId="12" borderId="0" xfId="3" applyFont="1" applyFill="1" applyAlignment="1">
      <alignment vertical="top" wrapText="1"/>
    </xf>
    <xf numFmtId="15" fontId="17" fillId="0" borderId="0" xfId="3" applyNumberFormat="1" applyFont="1"/>
    <xf numFmtId="0" fontId="18" fillId="12" borderId="0" xfId="3" applyFont="1" applyFill="1" applyAlignment="1">
      <alignment horizontal="right"/>
    </xf>
    <xf numFmtId="15" fontId="19" fillId="12" borderId="0" xfId="3" applyNumberFormat="1" applyFont="1" applyFill="1" applyAlignment="1">
      <alignment horizontal="left" wrapText="1" readingOrder="2"/>
    </xf>
    <xf numFmtId="22" fontId="13" fillId="12" borderId="0" xfId="3" applyNumberFormat="1" applyFill="1"/>
    <xf numFmtId="0" fontId="13" fillId="12" borderId="0" xfId="3" applyFill="1"/>
    <xf numFmtId="164" fontId="13" fillId="12" borderId="0" xfId="4" applyFill="1" applyBorder="1"/>
    <xf numFmtId="14" fontId="13" fillId="12" borderId="0" xfId="3" applyNumberFormat="1" applyFill="1"/>
    <xf numFmtId="0" fontId="20" fillId="12" borderId="0" xfId="3" applyFont="1" applyFill="1" applyAlignment="1">
      <alignment horizontal="right"/>
    </xf>
    <xf numFmtId="0" fontId="21" fillId="12" borderId="0" xfId="3" applyFont="1" applyFill="1"/>
    <xf numFmtId="0" fontId="20" fillId="12" borderId="4" xfId="3" applyFont="1" applyFill="1" applyBorder="1" applyAlignment="1">
      <alignment horizontal="left"/>
    </xf>
    <xf numFmtId="0" fontId="20" fillId="0" borderId="4" xfId="3" applyFont="1" applyBorder="1"/>
    <xf numFmtId="10" fontId="21" fillId="12" borderId="0" xfId="3" applyNumberFormat="1" applyFont="1" applyFill="1"/>
    <xf numFmtId="164" fontId="21" fillId="12" borderId="0" xfId="4" applyFont="1" applyFill="1" applyBorder="1"/>
    <xf numFmtId="165" fontId="20" fillId="12" borderId="4" xfId="5" applyFont="1" applyFill="1" applyBorder="1" applyProtection="1">
      <protection locked="0"/>
    </xf>
    <xf numFmtId="0" fontId="21" fillId="12" borderId="0" xfId="3" applyFont="1" applyFill="1" applyAlignment="1">
      <alignment horizontal="left"/>
    </xf>
    <xf numFmtId="2" fontId="21" fillId="13" borderId="0" xfId="3" applyNumberFormat="1" applyFont="1" applyFill="1" applyProtection="1">
      <protection locked="0"/>
    </xf>
    <xf numFmtId="0" fontId="20" fillId="0" borderId="0" xfId="3" applyFont="1" applyAlignment="1">
      <alignment horizontal="center"/>
    </xf>
    <xf numFmtId="166" fontId="22" fillId="12" borderId="0" xfId="4" applyNumberFormat="1" applyFont="1" applyFill="1" applyBorder="1"/>
    <xf numFmtId="164" fontId="21" fillId="0" borderId="0" xfId="4" applyFont="1"/>
    <xf numFmtId="165" fontId="21" fillId="12" borderId="0" xfId="5" applyFont="1" applyFill="1"/>
    <xf numFmtId="0" fontId="21" fillId="12" borderId="5" xfId="3" applyFont="1" applyFill="1" applyBorder="1"/>
    <xf numFmtId="10" fontId="20" fillId="0" borderId="6" xfId="3" applyNumberFormat="1" applyFont="1" applyBorder="1" applyAlignment="1">
      <alignment horizontal="center"/>
    </xf>
    <xf numFmtId="164" fontId="20" fillId="12" borderId="7" xfId="4" applyFont="1" applyFill="1" applyBorder="1" applyAlignment="1">
      <alignment horizontal="center"/>
    </xf>
    <xf numFmtId="0" fontId="21" fillId="12" borderId="0" xfId="3" applyFont="1" applyFill="1" applyAlignment="1">
      <alignment horizontal="right"/>
    </xf>
    <xf numFmtId="10" fontId="21" fillId="13" borderId="0" xfId="3" applyNumberFormat="1" applyFont="1" applyFill="1" applyAlignment="1" applyProtection="1">
      <alignment horizontal="center"/>
      <protection locked="0"/>
    </xf>
    <xf numFmtId="0" fontId="23" fillId="12" borderId="8" xfId="3" applyFont="1" applyFill="1" applyBorder="1"/>
    <xf numFmtId="165" fontId="23" fillId="12" borderId="0" xfId="5" applyFont="1" applyFill="1" applyBorder="1"/>
    <xf numFmtId="165" fontId="23" fillId="12" borderId="9" xfId="5" applyFont="1" applyFill="1" applyBorder="1" applyAlignment="1">
      <alignment horizontal="left"/>
    </xf>
    <xf numFmtId="165" fontId="21" fillId="12" borderId="0" xfId="5" applyFont="1" applyFill="1" applyBorder="1"/>
    <xf numFmtId="0" fontId="20" fillId="12" borderId="4" xfId="3" applyFont="1" applyFill="1" applyBorder="1"/>
    <xf numFmtId="0" fontId="20" fillId="13" borderId="4" xfId="3" applyFont="1" applyFill="1" applyBorder="1" applyAlignment="1" applyProtection="1">
      <alignment horizontal="center"/>
      <protection locked="0"/>
    </xf>
    <xf numFmtId="165" fontId="21" fillId="12" borderId="4" xfId="5" applyFont="1" applyFill="1" applyBorder="1"/>
    <xf numFmtId="0" fontId="20" fillId="12" borderId="0" xfId="3" applyFont="1" applyFill="1"/>
    <xf numFmtId="0" fontId="23" fillId="14" borderId="5" xfId="3" applyFont="1" applyFill="1" applyBorder="1"/>
    <xf numFmtId="164" fontId="23" fillId="12" borderId="9" xfId="4" applyFont="1" applyFill="1" applyBorder="1"/>
    <xf numFmtId="165" fontId="20" fillId="12" borderId="0" xfId="5" applyFont="1" applyFill="1" applyBorder="1"/>
    <xf numFmtId="0" fontId="23" fillId="14" borderId="10" xfId="3" applyFont="1" applyFill="1" applyBorder="1"/>
    <xf numFmtId="164" fontId="23" fillId="12" borderId="12" xfId="4" applyFont="1" applyFill="1" applyBorder="1"/>
    <xf numFmtId="165" fontId="20" fillId="12" borderId="0" xfId="5" applyFont="1" applyFill="1"/>
    <xf numFmtId="0" fontId="24" fillId="12" borderId="4" xfId="3" applyFont="1" applyFill="1" applyBorder="1" applyAlignment="1">
      <alignment horizontal="left"/>
    </xf>
    <xf numFmtId="0" fontId="21" fillId="12" borderId="4" xfId="3" applyFont="1" applyFill="1" applyBorder="1"/>
    <xf numFmtId="44" fontId="21" fillId="12" borderId="0" xfId="3" applyNumberFormat="1" applyFont="1" applyFill="1"/>
    <xf numFmtId="0" fontId="24" fillId="12" borderId="0" xfId="3" applyFont="1" applyFill="1" applyAlignment="1">
      <alignment horizontal="left"/>
    </xf>
    <xf numFmtId="0" fontId="20" fillId="12" borderId="0" xfId="3" applyFont="1" applyFill="1" applyAlignment="1">
      <alignment horizontal="left"/>
    </xf>
    <xf numFmtId="4" fontId="21" fillId="13" borderId="0" xfId="3" applyNumberFormat="1" applyFont="1" applyFill="1" applyProtection="1">
      <protection locked="0"/>
    </xf>
    <xf numFmtId="4" fontId="21" fillId="12" borderId="0" xfId="3" applyNumberFormat="1" applyFont="1" applyFill="1"/>
    <xf numFmtId="4" fontId="21" fillId="15" borderId="0" xfId="3" applyNumberFormat="1" applyFont="1" applyFill="1" applyProtection="1">
      <protection locked="0"/>
    </xf>
    <xf numFmtId="0" fontId="25" fillId="12" borderId="0" xfId="3" applyFont="1" applyFill="1" applyAlignment="1">
      <alignment horizontal="right"/>
    </xf>
    <xf numFmtId="4" fontId="26" fillId="12" borderId="0" xfId="3" applyNumberFormat="1" applyFont="1" applyFill="1"/>
    <xf numFmtId="0" fontId="27" fillId="0" borderId="0" xfId="3" applyFont="1"/>
    <xf numFmtId="4" fontId="27" fillId="0" borderId="0" xfId="3" applyNumberFormat="1" applyFont="1"/>
    <xf numFmtId="165" fontId="20" fillId="12" borderId="4" xfId="5" applyFont="1" applyFill="1" applyBorder="1"/>
    <xf numFmtId="4" fontId="21" fillId="12" borderId="0" xfId="4" applyNumberFormat="1" applyFont="1" applyFill="1" applyBorder="1"/>
    <xf numFmtId="0" fontId="21" fillId="12" borderId="0" xfId="3" applyFont="1" applyFill="1" applyAlignment="1" applyProtection="1">
      <alignment horizontal="left"/>
      <protection locked="0"/>
    </xf>
    <xf numFmtId="4" fontId="21" fillId="0" borderId="0" xfId="3" applyNumberFormat="1" applyFont="1" applyProtection="1">
      <protection locked="0"/>
    </xf>
    <xf numFmtId="4" fontId="20" fillId="12" borderId="0" xfId="3" applyNumberFormat="1" applyFont="1" applyFill="1"/>
    <xf numFmtId="4" fontId="13" fillId="0" borderId="0" xfId="3" applyNumberFormat="1"/>
    <xf numFmtId="4" fontId="21" fillId="13" borderId="0" xfId="4" applyNumberFormat="1" applyFont="1" applyFill="1" applyBorder="1" applyProtection="1">
      <protection locked="0"/>
    </xf>
    <xf numFmtId="4" fontId="21" fillId="12" borderId="0" xfId="3" applyNumberFormat="1" applyFont="1" applyFill="1" applyProtection="1">
      <protection locked="0"/>
    </xf>
    <xf numFmtId="2" fontId="21" fillId="12" borderId="4" xfId="3" applyNumberFormat="1" applyFont="1" applyFill="1" applyBorder="1"/>
    <xf numFmtId="10" fontId="21" fillId="12" borderId="4" xfId="3" applyNumberFormat="1" applyFont="1" applyFill="1" applyBorder="1"/>
    <xf numFmtId="4" fontId="21" fillId="13" borderId="0" xfId="4" applyNumberFormat="1" applyFont="1" applyFill="1" applyBorder="1"/>
    <xf numFmtId="2" fontId="21" fillId="12" borderId="0" xfId="3" applyNumberFormat="1" applyFont="1" applyFill="1" applyProtection="1">
      <protection locked="0"/>
    </xf>
    <xf numFmtId="10" fontId="21" fillId="12" borderId="0" xfId="3" applyNumberFormat="1" applyFont="1" applyFill="1" applyAlignment="1">
      <alignment horizontal="left"/>
    </xf>
    <xf numFmtId="168" fontId="21" fillId="13" borderId="0" xfId="4" applyNumberFormat="1" applyFont="1" applyFill="1" applyBorder="1" applyProtection="1">
      <protection locked="0"/>
    </xf>
    <xf numFmtId="0" fontId="20" fillId="12" borderId="0" xfId="3" applyFont="1" applyFill="1" applyAlignment="1">
      <alignment horizontal="center"/>
    </xf>
    <xf numFmtId="0" fontId="21" fillId="12" borderId="0" xfId="3" applyFont="1" applyFill="1" applyProtection="1">
      <protection locked="0"/>
    </xf>
    <xf numFmtId="168" fontId="21" fillId="12" borderId="0" xfId="4" applyNumberFormat="1" applyFont="1" applyFill="1" applyBorder="1" applyProtection="1"/>
    <xf numFmtId="10" fontId="21" fillId="12" borderId="0" xfId="3" applyNumberFormat="1" applyFont="1" applyFill="1" applyAlignment="1">
      <alignment horizontal="center"/>
    </xf>
    <xf numFmtId="165" fontId="20" fillId="0" borderId="0" xfId="5" applyFont="1" applyBorder="1"/>
    <xf numFmtId="2" fontId="21" fillId="12" borderId="0" xfId="3" applyNumberFormat="1" applyFont="1" applyFill="1"/>
    <xf numFmtId="0" fontId="20" fillId="0" borderId="0" xfId="3" applyFont="1" applyAlignment="1">
      <alignment horizontal="right"/>
    </xf>
    <xf numFmtId="0" fontId="21" fillId="0" borderId="0" xfId="3" applyFont="1" applyAlignment="1">
      <alignment horizontal="left"/>
    </xf>
    <xf numFmtId="165" fontId="28" fillId="12" borderId="0" xfId="5" applyFont="1" applyFill="1" applyBorder="1"/>
    <xf numFmtId="0" fontId="21" fillId="0" borderId="0" xfId="3" applyFont="1"/>
    <xf numFmtId="164" fontId="21" fillId="12" borderId="0" xfId="4" applyFont="1" applyFill="1" applyBorder="1" applyAlignment="1">
      <alignment horizontal="left"/>
    </xf>
    <xf numFmtId="10" fontId="24" fillId="12" borderId="0" xfId="3" applyNumberFormat="1" applyFont="1" applyFill="1" applyAlignment="1">
      <alignment horizontal="right"/>
    </xf>
    <xf numFmtId="164" fontId="21" fillId="12" borderId="0" xfId="4" applyFont="1" applyFill="1"/>
    <xf numFmtId="165" fontId="22" fillId="0" borderId="0" xfId="5" applyFont="1" applyFill="1" applyBorder="1"/>
    <xf numFmtId="165" fontId="0" fillId="0" borderId="0" xfId="5" applyFont="1"/>
    <xf numFmtId="3" fontId="13" fillId="0" borderId="0" xfId="3" applyNumberFormat="1"/>
    <xf numFmtId="169" fontId="13" fillId="15" borderId="0" xfId="3" applyNumberFormat="1" applyFill="1" applyAlignment="1">
      <alignment vertical="center"/>
    </xf>
    <xf numFmtId="0" fontId="13" fillId="15" borderId="0" xfId="3" applyFill="1"/>
    <xf numFmtId="49" fontId="13" fillId="15" borderId="0" xfId="3" applyNumberFormat="1" applyFill="1"/>
    <xf numFmtId="0" fontId="13" fillId="15" borderId="0" xfId="3" applyFill="1" applyAlignment="1">
      <alignment horizontal="center"/>
    </xf>
    <xf numFmtId="4" fontId="13" fillId="15" borderId="0" xfId="3" applyNumberFormat="1" applyFill="1"/>
    <xf numFmtId="169" fontId="29" fillId="15" borderId="0" xfId="3" applyNumberFormat="1" applyFont="1" applyFill="1" applyAlignment="1">
      <alignment vertical="center"/>
    </xf>
    <xf numFmtId="0" fontId="30" fillId="15" borderId="0" xfId="3" applyFont="1" applyFill="1"/>
    <xf numFmtId="0" fontId="30" fillId="15" borderId="0" xfId="3" applyFont="1" applyFill="1" applyAlignment="1">
      <alignment horizontal="center"/>
    </xf>
    <xf numFmtId="169" fontId="30" fillId="15" borderId="0" xfId="3" applyNumberFormat="1" applyFont="1" applyFill="1" applyAlignment="1">
      <alignment vertical="center"/>
    </xf>
    <xf numFmtId="169" fontId="31" fillId="15" borderId="0" xfId="3" applyNumberFormat="1" applyFont="1" applyFill="1" applyAlignment="1">
      <alignment horizontal="center" vertical="center" wrapText="1"/>
    </xf>
    <xf numFmtId="0" fontId="13" fillId="15" borderId="0" xfId="3" applyFill="1" applyAlignment="1">
      <alignment vertical="center" wrapText="1"/>
    </xf>
    <xf numFmtId="169" fontId="13" fillId="15" borderId="0" xfId="3" applyNumberFormat="1" applyFill="1" applyAlignment="1">
      <alignment horizontal="center" vertical="center" wrapText="1"/>
    </xf>
    <xf numFmtId="0" fontId="21" fillId="15" borderId="0" xfId="3" applyFont="1" applyFill="1" applyAlignment="1">
      <alignment vertical="center" wrapText="1"/>
    </xf>
    <xf numFmtId="0" fontId="13" fillId="15" borderId="0" xfId="3" applyFill="1" applyAlignment="1">
      <alignment horizontal="center" vertical="center" wrapText="1"/>
    </xf>
    <xf numFmtId="4" fontId="13" fillId="15" borderId="0" xfId="3" applyNumberFormat="1" applyFill="1" applyAlignment="1">
      <alignment vertical="center" wrapText="1"/>
    </xf>
    <xf numFmtId="0" fontId="18" fillId="15" borderId="0" xfId="3" applyFont="1" applyFill="1" applyAlignment="1">
      <alignment vertical="center" wrapText="1"/>
    </xf>
    <xf numFmtId="165" fontId="13" fillId="0" borderId="0" xfId="3" applyNumberFormat="1"/>
    <xf numFmtId="0" fontId="13" fillId="0" borderId="0" xfId="3" applyAlignment="1">
      <alignment horizontal="center" vertical="center"/>
    </xf>
    <xf numFmtId="14" fontId="13" fillId="0" borderId="0" xfId="3" applyNumberFormat="1"/>
    <xf numFmtId="0" fontId="18" fillId="0" borderId="0" xfId="3" applyFont="1"/>
    <xf numFmtId="165" fontId="18" fillId="0" borderId="0" xfId="5" applyFont="1"/>
    <xf numFmtId="9" fontId="18" fillId="0" borderId="0" xfId="6" applyFont="1"/>
    <xf numFmtId="170" fontId="0" fillId="0" borderId="0" xfId="5" applyNumberFormat="1" applyFont="1" applyAlignment="1">
      <alignment horizontal="right"/>
    </xf>
    <xf numFmtId="0" fontId="13" fillId="0" borderId="0" xfId="3" applyAlignment="1">
      <alignment horizontal="left" vertical="top" wrapText="1"/>
    </xf>
    <xf numFmtId="0" fontId="13" fillId="0" borderId="0" xfId="3" applyAlignment="1">
      <alignment horizontal="right"/>
    </xf>
    <xf numFmtId="165" fontId="0" fillId="0" borderId="4" xfId="5" applyFont="1" applyBorder="1"/>
    <xf numFmtId="165" fontId="35" fillId="0" borderId="28" xfId="5" applyFont="1" applyBorder="1"/>
    <xf numFmtId="9" fontId="0" fillId="0" borderId="0" xfId="6" applyFont="1"/>
    <xf numFmtId="165" fontId="35" fillId="0" borderId="0" xfId="5" applyFont="1" applyBorder="1"/>
    <xf numFmtId="0" fontId="36" fillId="0" borderId="0" xfId="3" applyFont="1"/>
    <xf numFmtId="44" fontId="13" fillId="0" borderId="0" xfId="3" applyNumberFormat="1"/>
    <xf numFmtId="0" fontId="18" fillId="0" borderId="0" xfId="3" applyFont="1" applyAlignment="1">
      <alignment horizontal="center" vertical="center"/>
    </xf>
    <xf numFmtId="0" fontId="13" fillId="0" borderId="0" xfId="3" applyAlignment="1">
      <alignment horizontal="center"/>
    </xf>
    <xf numFmtId="165" fontId="13" fillId="0" borderId="0" xfId="5" applyFont="1" applyAlignment="1">
      <alignment horizontal="center"/>
    </xf>
    <xf numFmtId="44" fontId="13" fillId="15" borderId="0" xfId="1" applyFont="1" applyFill="1" applyAlignment="1">
      <alignment vertical="center" wrapText="1"/>
    </xf>
    <xf numFmtId="0" fontId="18" fillId="0" borderId="0" xfId="3" applyFont="1" applyAlignment="1">
      <alignment horizontal="center" vertical="center" wrapText="1"/>
    </xf>
    <xf numFmtId="165" fontId="18" fillId="0" borderId="0" xfId="5" applyFont="1" applyAlignment="1">
      <alignment horizontal="center"/>
    </xf>
    <xf numFmtId="0" fontId="39" fillId="0" borderId="0" xfId="3" applyFont="1"/>
    <xf numFmtId="165" fontId="13" fillId="0" borderId="0" xfId="5" applyFont="1"/>
    <xf numFmtId="172" fontId="13" fillId="0" borderId="0" xfId="3" applyNumberFormat="1"/>
    <xf numFmtId="0" fontId="40" fillId="0" borderId="0" xfId="3" applyFont="1"/>
    <xf numFmtId="164" fontId="0" fillId="0" borderId="0" xfId="4" applyFont="1"/>
    <xf numFmtId="0" fontId="41" fillId="0" borderId="0" xfId="3" applyFont="1" applyAlignment="1">
      <alignment vertical="center" wrapText="1"/>
    </xf>
    <xf numFmtId="15" fontId="17" fillId="0" borderId="0" xfId="3" applyNumberFormat="1" applyFont="1" applyAlignment="1">
      <alignment vertical="center" wrapText="1"/>
    </xf>
    <xf numFmtId="173" fontId="13" fillId="0" borderId="0" xfId="3" applyNumberFormat="1"/>
    <xf numFmtId="166" fontId="13" fillId="0" borderId="0" xfId="3" applyNumberFormat="1"/>
    <xf numFmtId="10" fontId="20" fillId="0" borderId="0" xfId="3" applyNumberFormat="1" applyFont="1" applyAlignment="1">
      <alignment horizontal="center"/>
    </xf>
    <xf numFmtId="164" fontId="20" fillId="12" borderId="0" xfId="4" applyFont="1" applyFill="1" applyBorder="1" applyAlignment="1">
      <alignment horizontal="center"/>
    </xf>
    <xf numFmtId="0" fontId="23" fillId="12" borderId="5" xfId="3" applyFont="1" applyFill="1" applyBorder="1"/>
    <xf numFmtId="165" fontId="23" fillId="12" borderId="6" xfId="5" applyFont="1" applyFill="1" applyBorder="1"/>
    <xf numFmtId="165" fontId="23" fillId="12" borderId="7" xfId="5" applyFont="1" applyFill="1" applyBorder="1" applyAlignment="1">
      <alignment horizontal="left"/>
    </xf>
    <xf numFmtId="165" fontId="45" fillId="12" borderId="0" xfId="5" applyFont="1" applyFill="1" applyBorder="1"/>
    <xf numFmtId="0" fontId="20" fillId="13" borderId="0" xfId="3" applyFont="1" applyFill="1" applyAlignment="1" applyProtection="1">
      <alignment horizontal="center"/>
      <protection locked="0"/>
    </xf>
    <xf numFmtId="0" fontId="23" fillId="12" borderId="10" xfId="3" applyFont="1" applyFill="1" applyBorder="1"/>
    <xf numFmtId="165" fontId="23" fillId="12" borderId="11" xfId="5" applyFont="1" applyFill="1" applyBorder="1"/>
    <xf numFmtId="165" fontId="23" fillId="12" borderId="12" xfId="5" applyFont="1" applyFill="1" applyBorder="1" applyAlignment="1">
      <alignment horizontal="left"/>
    </xf>
    <xf numFmtId="165" fontId="45" fillId="12" borderId="4" xfId="5" applyFont="1" applyFill="1" applyBorder="1"/>
    <xf numFmtId="0" fontId="20" fillId="0" borderId="0" xfId="3" applyFont="1" applyAlignment="1" applyProtection="1">
      <alignment horizontal="center"/>
      <protection locked="0"/>
    </xf>
    <xf numFmtId="165" fontId="23" fillId="14" borderId="6" xfId="5" applyFont="1" applyFill="1" applyBorder="1"/>
    <xf numFmtId="164" fontId="23" fillId="12" borderId="7" xfId="4" applyFont="1" applyFill="1" applyBorder="1"/>
    <xf numFmtId="0" fontId="23" fillId="14" borderId="8" xfId="3" applyFont="1" applyFill="1" applyBorder="1"/>
    <xf numFmtId="165" fontId="23" fillId="14" borderId="0" xfId="5" applyFont="1" applyFill="1" applyBorder="1"/>
    <xf numFmtId="165" fontId="23" fillId="14" borderId="11" xfId="5" applyFont="1" applyFill="1" applyBorder="1"/>
    <xf numFmtId="165" fontId="21" fillId="12" borderId="0" xfId="3" applyNumberFormat="1" applyFont="1" applyFill="1"/>
    <xf numFmtId="4" fontId="21" fillId="13" borderId="0" xfId="3" quotePrefix="1" applyNumberFormat="1" applyFont="1" applyFill="1" applyAlignment="1" applyProtection="1">
      <alignment horizontal="center"/>
      <protection locked="0"/>
    </xf>
    <xf numFmtId="0" fontId="20" fillId="12" borderId="26" xfId="3" applyFont="1" applyFill="1" applyBorder="1" applyAlignment="1">
      <alignment horizontal="left"/>
    </xf>
    <xf numFmtId="165" fontId="46" fillId="12" borderId="0" xfId="5" applyFont="1" applyFill="1" applyBorder="1"/>
    <xf numFmtId="165" fontId="21" fillId="15" borderId="0" xfId="5" applyFont="1" applyFill="1" applyBorder="1" applyProtection="1">
      <protection locked="0"/>
    </xf>
    <xf numFmtId="165" fontId="47" fillId="12" borderId="11" xfId="5" applyFont="1" applyFill="1" applyBorder="1"/>
    <xf numFmtId="174" fontId="13" fillId="0" borderId="0" xfId="3" applyNumberFormat="1"/>
    <xf numFmtId="15" fontId="18" fillId="0" borderId="0" xfId="3" applyNumberFormat="1" applyFont="1"/>
    <xf numFmtId="8" fontId="13" fillId="0" borderId="0" xfId="3" applyNumberFormat="1"/>
    <xf numFmtId="0" fontId="13" fillId="0" borderId="0" xfId="3" quotePrefix="1"/>
    <xf numFmtId="165" fontId="13" fillId="0" borderId="4" xfId="3" applyNumberFormat="1" applyBorder="1"/>
    <xf numFmtId="165" fontId="13" fillId="0" borderId="27" xfId="3" applyNumberFormat="1" applyBorder="1"/>
    <xf numFmtId="0" fontId="50" fillId="13" borderId="0" xfId="3" applyFont="1" applyFill="1" applyProtection="1">
      <protection locked="0"/>
    </xf>
    <xf numFmtId="2" fontId="0" fillId="10" borderId="0" xfId="0" applyNumberFormat="1" applyFill="1"/>
    <xf numFmtId="0" fontId="13" fillId="0" borderId="0" xfId="3" applyProtection="1">
      <protection locked="0"/>
    </xf>
    <xf numFmtId="0" fontId="13" fillId="0" borderId="0" xfId="3" applyAlignment="1" applyProtection="1">
      <alignment horizontal="right"/>
      <protection locked="0"/>
    </xf>
    <xf numFmtId="0" fontId="38" fillId="15" borderId="0" xfId="3" applyFont="1" applyFill="1"/>
    <xf numFmtId="165" fontId="52" fillId="15" borderId="0" xfId="5" applyFont="1" applyFill="1" applyBorder="1" applyAlignment="1"/>
    <xf numFmtId="165" fontId="13" fillId="0" borderId="0" xfId="5" applyFont="1" applyAlignment="1" applyProtection="1">
      <alignment horizontal="center"/>
      <protection locked="0"/>
    </xf>
    <xf numFmtId="15" fontId="13" fillId="0" borderId="0" xfId="3" applyNumberFormat="1" applyAlignment="1">
      <alignment horizontal="center"/>
    </xf>
    <xf numFmtId="15" fontId="13" fillId="0" borderId="0" xfId="3" applyNumberFormat="1" applyAlignment="1" applyProtection="1">
      <alignment horizontal="center"/>
      <protection locked="0"/>
    </xf>
    <xf numFmtId="15" fontId="13" fillId="0" borderId="0" xfId="3" applyNumberFormat="1" applyAlignment="1" applyProtection="1">
      <alignment horizontal="center" vertical="center"/>
      <protection locked="0"/>
    </xf>
    <xf numFmtId="0" fontId="13" fillId="0" borderId="0" xfId="3" applyAlignment="1" applyProtection="1">
      <alignment horizontal="center" vertical="center"/>
      <protection locked="0"/>
    </xf>
    <xf numFmtId="15" fontId="41" fillId="0" borderId="0" xfId="3" applyNumberFormat="1" applyFont="1"/>
    <xf numFmtId="0" fontId="20" fillId="18" borderId="4" xfId="3" applyFont="1" applyFill="1" applyBorder="1" applyAlignment="1" applyProtection="1">
      <alignment horizontal="center"/>
      <protection locked="0"/>
    </xf>
    <xf numFmtId="10" fontId="21" fillId="18" borderId="0" xfId="3" applyNumberFormat="1" applyFont="1" applyFill="1" applyAlignment="1" applyProtection="1">
      <alignment horizontal="center"/>
      <protection locked="0"/>
    </xf>
    <xf numFmtId="44" fontId="21" fillId="18" borderId="0" xfId="1" applyFont="1" applyFill="1" applyBorder="1" applyProtection="1">
      <protection locked="0"/>
    </xf>
    <xf numFmtId="44" fontId="21" fillId="18" borderId="0" xfId="1" applyFont="1" applyFill="1" applyBorder="1" applyAlignment="1" applyProtection="1">
      <alignment vertical="center"/>
      <protection locked="0"/>
    </xf>
    <xf numFmtId="3" fontId="21" fillId="18" borderId="0" xfId="4" applyNumberFormat="1" applyFont="1" applyFill="1" applyBorder="1" applyAlignment="1" applyProtection="1">
      <alignment horizontal="center" vertical="center"/>
    </xf>
    <xf numFmtId="0" fontId="23" fillId="16" borderId="5" xfId="3" applyFont="1" applyFill="1" applyBorder="1"/>
    <xf numFmtId="165" fontId="23" fillId="16" borderId="7" xfId="5" applyFont="1" applyFill="1" applyBorder="1"/>
    <xf numFmtId="0" fontId="23" fillId="16" borderId="10" xfId="3" applyFont="1" applyFill="1" applyBorder="1"/>
    <xf numFmtId="165" fontId="23" fillId="16" borderId="12" xfId="5" applyFont="1" applyFill="1" applyBorder="1"/>
    <xf numFmtId="165" fontId="53" fillId="17" borderId="30" xfId="5" applyFont="1" applyFill="1" applyBorder="1" applyProtection="1">
      <protection locked="0"/>
    </xf>
    <xf numFmtId="165" fontId="20" fillId="12" borderId="31" xfId="5" applyFont="1" applyFill="1" applyBorder="1"/>
    <xf numFmtId="165" fontId="54" fillId="17" borderId="0" xfId="5" applyFont="1" applyFill="1" applyBorder="1"/>
    <xf numFmtId="0" fontId="13" fillId="0" borderId="4" xfId="3" applyBorder="1"/>
    <xf numFmtId="164" fontId="13" fillId="12" borderId="4" xfId="4" applyFill="1" applyBorder="1"/>
    <xf numFmtId="0" fontId="13" fillId="12" borderId="17" xfId="3" applyFill="1" applyBorder="1"/>
    <xf numFmtId="0" fontId="21" fillId="12" borderId="17" xfId="3" applyFont="1" applyFill="1" applyBorder="1"/>
    <xf numFmtId="0" fontId="13" fillId="0" borderId="17" xfId="3" applyBorder="1"/>
    <xf numFmtId="0" fontId="33" fillId="0" borderId="0" xfId="3" applyFont="1" applyAlignment="1">
      <alignment vertical="center"/>
    </xf>
    <xf numFmtId="165" fontId="18" fillId="0" borderId="11" xfId="5" applyFont="1" applyBorder="1"/>
    <xf numFmtId="0" fontId="56" fillId="17" borderId="1" xfId="3" applyFont="1" applyFill="1" applyBorder="1" applyAlignment="1">
      <alignment horizontal="center"/>
    </xf>
    <xf numFmtId="169" fontId="56" fillId="17" borderId="1" xfId="3" applyNumberFormat="1" applyFont="1" applyFill="1" applyBorder="1" applyAlignment="1">
      <alignment horizontal="center" vertical="center"/>
    </xf>
    <xf numFmtId="49" fontId="56" fillId="17" borderId="1" xfId="3" applyNumberFormat="1" applyFont="1" applyFill="1" applyBorder="1" applyAlignment="1">
      <alignment horizontal="center"/>
    </xf>
    <xf numFmtId="0" fontId="62" fillId="0" borderId="0" xfId="3" applyFont="1"/>
    <xf numFmtId="165" fontId="63" fillId="12" borderId="0" xfId="5" applyFont="1" applyFill="1" applyBorder="1"/>
    <xf numFmtId="0" fontId="20" fillId="0" borderId="1" xfId="3" applyFont="1" applyBorder="1"/>
    <xf numFmtId="170" fontId="64" fillId="0" borderId="1" xfId="3" applyNumberFormat="1" applyFont="1" applyBorder="1"/>
    <xf numFmtId="170" fontId="65" fillId="0" borderId="1" xfId="3" applyNumberFormat="1" applyFont="1" applyBorder="1"/>
    <xf numFmtId="170" fontId="64" fillId="12" borderId="0" xfId="3" applyNumberFormat="1" applyFont="1" applyFill="1"/>
    <xf numFmtId="167" fontId="21" fillId="12" borderId="0" xfId="3" applyNumberFormat="1" applyFont="1" applyFill="1" applyAlignment="1">
      <alignment horizontal="center"/>
    </xf>
    <xf numFmtId="4" fontId="20" fillId="12" borderId="0" xfId="3" applyNumberFormat="1" applyFont="1" applyFill="1" applyAlignment="1">
      <alignment horizontal="center"/>
    </xf>
    <xf numFmtId="4" fontId="21" fillId="12" borderId="0" xfId="3" applyNumberFormat="1" applyFont="1" applyFill="1" applyAlignment="1" applyProtection="1">
      <alignment horizontal="center"/>
      <protection locked="0"/>
    </xf>
    <xf numFmtId="0" fontId="21" fillId="12" borderId="0" xfId="3" applyFont="1" applyFill="1" applyAlignment="1">
      <alignment horizontal="center"/>
    </xf>
    <xf numFmtId="0" fontId="21" fillId="18" borderId="0" xfId="3" applyFont="1" applyFill="1" applyAlignment="1" applyProtection="1">
      <alignment horizontal="center"/>
      <protection locked="0"/>
    </xf>
    <xf numFmtId="0" fontId="13" fillId="0" borderId="1" xfId="3" applyBorder="1"/>
    <xf numFmtId="4" fontId="21" fillId="12" borderId="0" xfId="3" applyNumberFormat="1" applyFont="1" applyFill="1" applyAlignment="1">
      <alignment horizontal="center"/>
    </xf>
    <xf numFmtId="0" fontId="13" fillId="0" borderId="0" xfId="3" applyAlignment="1">
      <alignment horizontal="left"/>
    </xf>
    <xf numFmtId="0" fontId="18" fillId="0" borderId="0" xfId="3" applyFont="1" applyAlignment="1" applyProtection="1">
      <alignment horizontal="center"/>
      <protection locked="0"/>
    </xf>
    <xf numFmtId="44" fontId="68" fillId="0" borderId="0" xfId="1" applyFont="1" applyAlignment="1">
      <alignment horizontal="left" vertical="top" wrapText="1"/>
    </xf>
    <xf numFmtId="44" fontId="18" fillId="0" borderId="0" xfId="1" applyFont="1" applyAlignment="1" applyProtection="1">
      <alignment horizontal="center"/>
      <protection locked="0"/>
    </xf>
    <xf numFmtId="44" fontId="18" fillId="19" borderId="0" xfId="3" applyNumberFormat="1" applyFont="1" applyFill="1"/>
    <xf numFmtId="15" fontId="13" fillId="0" borderId="0" xfId="3" applyNumberFormat="1" applyAlignment="1" applyProtection="1">
      <alignment horizontal="right"/>
      <protection locked="0"/>
    </xf>
    <xf numFmtId="15" fontId="13" fillId="0" borderId="0" xfId="3" applyNumberFormat="1" applyAlignment="1">
      <alignment horizontal="right"/>
    </xf>
    <xf numFmtId="44" fontId="69" fillId="0" borderId="0" xfId="1" applyFont="1"/>
    <xf numFmtId="0" fontId="18" fillId="0" borderId="0" xfId="3" applyFont="1" applyAlignment="1">
      <alignment horizontal="center"/>
    </xf>
    <xf numFmtId="0" fontId="58" fillId="17" borderId="6" xfId="3" applyFont="1" applyFill="1" applyBorder="1" applyAlignment="1" applyProtection="1">
      <alignment horizontal="center"/>
      <protection locked="0"/>
    </xf>
    <xf numFmtId="44" fontId="13" fillId="0" borderId="0" xfId="1" applyFont="1"/>
    <xf numFmtId="44" fontId="18" fillId="0" borderId="0" xfId="1" applyFont="1"/>
    <xf numFmtId="44" fontId="2" fillId="0" borderId="0" xfId="0" applyNumberFormat="1" applyFont="1" applyAlignment="1">
      <alignment horizontal="right"/>
    </xf>
    <xf numFmtId="44" fontId="18" fillId="0" borderId="0" xfId="1" applyFont="1" applyAlignment="1" applyProtection="1">
      <alignment horizontal="center"/>
    </xf>
    <xf numFmtId="0" fontId="57" fillId="17" borderId="15" xfId="3" applyFont="1" applyFill="1" applyBorder="1" applyAlignment="1">
      <alignment horizontal="center"/>
    </xf>
    <xf numFmtId="0" fontId="57" fillId="17" borderId="29" xfId="3" applyFont="1" applyFill="1" applyBorder="1" applyAlignment="1">
      <alignment horizontal="center"/>
    </xf>
    <xf numFmtId="2" fontId="21" fillId="0" borderId="0" xfId="3" applyNumberFormat="1" applyFont="1" applyFill="1" applyProtection="1">
      <protection locked="0"/>
    </xf>
    <xf numFmtId="0" fontId="66" fillId="0" borderId="3" xfId="3" applyFont="1" applyBorder="1"/>
    <xf numFmtId="170" fontId="67" fillId="12" borderId="3" xfId="3" applyNumberFormat="1" applyFont="1" applyFill="1" applyBorder="1"/>
    <xf numFmtId="169" fontId="71" fillId="15" borderId="0" xfId="3" applyNumberFormat="1" applyFont="1" applyFill="1" applyAlignment="1">
      <alignment horizontal="center" wrapText="1"/>
    </xf>
    <xf numFmtId="0" fontId="71" fillId="15" borderId="0" xfId="3" applyFont="1" applyFill="1" applyAlignment="1">
      <alignment horizontal="center" wrapText="1"/>
    </xf>
    <xf numFmtId="0" fontId="71" fillId="15" borderId="0" xfId="3" applyFont="1" applyFill="1" applyAlignment="1">
      <alignment horizontal="left"/>
    </xf>
    <xf numFmtId="0" fontId="71" fillId="15" borderId="0" xfId="3" applyFont="1" applyFill="1" applyAlignment="1">
      <alignment wrapText="1"/>
    </xf>
    <xf numFmtId="171" fontId="29" fillId="15" borderId="0" xfId="3" applyNumberFormat="1" applyFont="1" applyFill="1" applyAlignment="1">
      <alignment horizontal="right"/>
    </xf>
    <xf numFmtId="0" fontId="71" fillId="15" borderId="0" xfId="3" applyFont="1" applyFill="1" applyAlignment="1">
      <alignment horizontal="center" vertical="center" wrapText="1"/>
    </xf>
    <xf numFmtId="0" fontId="72" fillId="0" borderId="0" xfId="0" applyFont="1"/>
    <xf numFmtId="0" fontId="71" fillId="15" borderId="0" xfId="3" applyFont="1" applyFill="1" applyAlignment="1">
      <alignment vertical="center" wrapText="1"/>
    </xf>
    <xf numFmtId="171" fontId="17" fillId="15" borderId="0" xfId="4" applyNumberFormat="1" applyFont="1" applyFill="1" applyBorder="1" applyAlignment="1">
      <alignment vertical="center"/>
    </xf>
    <xf numFmtId="169" fontId="71" fillId="15" borderId="0" xfId="3" applyNumberFormat="1" applyFont="1" applyFill="1" applyAlignment="1">
      <alignment horizontal="center" vertical="center" wrapText="1"/>
    </xf>
    <xf numFmtId="171" fontId="18" fillId="15" borderId="0" xfId="4" applyNumberFormat="1" applyFont="1" applyFill="1" applyBorder="1" applyAlignment="1">
      <alignment vertical="center"/>
    </xf>
    <xf numFmtId="165" fontId="71" fillId="15" borderId="27" xfId="5" applyFont="1" applyFill="1" applyBorder="1" applyAlignment="1">
      <alignment vertical="center" wrapText="1"/>
    </xf>
    <xf numFmtId="0" fontId="13" fillId="0" borderId="0" xfId="3" applyAlignment="1">
      <alignment horizontal="left"/>
    </xf>
    <xf numFmtId="0" fontId="13" fillId="0" borderId="0" xfId="3" applyAlignment="1">
      <alignment horizontal="center"/>
    </xf>
    <xf numFmtId="44" fontId="73" fillId="0" borderId="0" xfId="1" applyFont="1" applyAlignment="1">
      <alignment horizontal="left" vertical="top" wrapText="1"/>
    </xf>
    <xf numFmtId="44" fontId="0" fillId="0" borderId="0" xfId="1" applyFont="1"/>
    <xf numFmtId="44" fontId="74" fillId="0" borderId="0" xfId="1" applyFont="1" applyAlignment="1">
      <alignment horizontal="left" vertical="top" wrapText="1"/>
    </xf>
    <xf numFmtId="44" fontId="74" fillId="0" borderId="0" xfId="1" applyFont="1" applyBorder="1" applyAlignment="1">
      <alignment horizontal="left" vertical="top" wrapText="1"/>
    </xf>
    <xf numFmtId="0" fontId="18" fillId="0" borderId="0" xfId="3" applyFont="1" applyBorder="1" applyAlignment="1" applyProtection="1">
      <alignment horizontal="center"/>
      <protection locked="0"/>
    </xf>
    <xf numFmtId="44" fontId="18" fillId="0" borderId="0" xfId="1" applyFont="1" applyBorder="1" applyAlignment="1" applyProtection="1">
      <alignment horizontal="center"/>
      <protection locked="0"/>
    </xf>
    <xf numFmtId="0" fontId="18" fillId="0" borderId="0" xfId="3" applyFont="1" applyBorder="1" applyAlignment="1">
      <alignment horizontal="center"/>
    </xf>
    <xf numFmtId="0" fontId="13" fillId="0" borderId="0" xfId="3" applyBorder="1"/>
    <xf numFmtId="0" fontId="0" fillId="0" borderId="0" xfId="0" applyBorder="1"/>
    <xf numFmtId="0" fontId="18" fillId="0" borderId="1" xfId="3" applyFont="1" applyBorder="1"/>
    <xf numFmtId="0" fontId="13" fillId="0" borderId="0" xfId="3" applyBorder="1" applyAlignment="1">
      <alignment horizontal="center"/>
    </xf>
    <xf numFmtId="0" fontId="61" fillId="18" borderId="28" xfId="3" applyFont="1" applyFill="1" applyBorder="1" applyAlignment="1" applyProtection="1">
      <alignment horizontal="center"/>
      <protection locked="0"/>
    </xf>
    <xf numFmtId="0" fontId="61" fillId="18" borderId="32" xfId="3" applyFont="1" applyFill="1" applyBorder="1" applyAlignment="1" applyProtection="1">
      <alignment horizontal="center"/>
      <protection locked="0"/>
    </xf>
    <xf numFmtId="0" fontId="58" fillId="17" borderId="23" xfId="3" applyFont="1" applyFill="1" applyBorder="1" applyAlignment="1" applyProtection="1">
      <alignment horizontal="center"/>
      <protection locked="0"/>
    </xf>
    <xf numFmtId="0" fontId="58" fillId="17" borderId="24" xfId="3" applyFont="1" applyFill="1" applyBorder="1" applyAlignment="1" applyProtection="1">
      <alignment horizontal="center"/>
      <protection locked="0"/>
    </xf>
    <xf numFmtId="0" fontId="58" fillId="17" borderId="25" xfId="3" applyFont="1" applyFill="1" applyBorder="1" applyAlignment="1" applyProtection="1">
      <alignment horizontal="center"/>
      <protection locked="0"/>
    </xf>
    <xf numFmtId="0" fontId="59" fillId="18" borderId="33" xfId="3" applyFont="1" applyFill="1" applyBorder="1" applyAlignment="1" applyProtection="1">
      <alignment horizontal="center"/>
      <protection locked="0"/>
    </xf>
    <xf numFmtId="0" fontId="59" fillId="18" borderId="6" xfId="3" applyFont="1" applyFill="1" applyBorder="1" applyAlignment="1" applyProtection="1">
      <alignment horizontal="center"/>
      <protection locked="0"/>
    </xf>
    <xf numFmtId="0" fontId="59" fillId="18" borderId="34" xfId="3" applyFont="1" applyFill="1" applyBorder="1" applyAlignment="1" applyProtection="1">
      <alignment horizontal="center"/>
      <protection locked="0"/>
    </xf>
    <xf numFmtId="0" fontId="59" fillId="18" borderId="16" xfId="3" applyFont="1" applyFill="1" applyBorder="1" applyAlignment="1" applyProtection="1">
      <alignment horizontal="center"/>
      <protection locked="0"/>
    </xf>
    <xf numFmtId="0" fontId="59" fillId="18" borderId="0" xfId="3" applyFont="1" applyFill="1" applyAlignment="1" applyProtection="1">
      <alignment horizontal="center"/>
      <protection locked="0"/>
    </xf>
    <xf numFmtId="0" fontId="59" fillId="18" borderId="17" xfId="3" applyFont="1" applyFill="1" applyBorder="1" applyAlignment="1" applyProtection="1">
      <alignment horizontal="center"/>
      <protection locked="0"/>
    </xf>
    <xf numFmtId="0" fontId="70" fillId="18" borderId="18" xfId="3" applyFont="1" applyFill="1" applyBorder="1" applyAlignment="1">
      <alignment horizontal="center" vertical="center"/>
    </xf>
    <xf numFmtId="0" fontId="60" fillId="18" borderId="4" xfId="3" applyFont="1" applyFill="1" applyBorder="1" applyAlignment="1">
      <alignment horizontal="center" vertical="center"/>
    </xf>
    <xf numFmtId="0" fontId="60" fillId="18" borderId="19" xfId="3" applyFont="1" applyFill="1" applyBorder="1" applyAlignment="1">
      <alignment horizontal="center" vertical="center"/>
    </xf>
    <xf numFmtId="0" fontId="58" fillId="17" borderId="24" xfId="3" applyFont="1" applyFill="1" applyBorder="1" applyAlignment="1" applyProtection="1">
      <alignment horizontal="center" wrapText="1"/>
      <protection locked="0"/>
    </xf>
    <xf numFmtId="0" fontId="20" fillId="9" borderId="23" xfId="3" applyFont="1" applyFill="1" applyBorder="1" applyAlignment="1">
      <alignment horizontal="center"/>
    </xf>
    <xf numFmtId="0" fontId="20" fillId="9" borderId="25" xfId="3" applyFont="1" applyFill="1" applyBorder="1" applyAlignment="1">
      <alignment horizontal="center"/>
    </xf>
    <xf numFmtId="0" fontId="34" fillId="0" borderId="0" xfId="3" applyFont="1" applyAlignment="1">
      <alignment horizontal="left"/>
    </xf>
    <xf numFmtId="0" fontId="36" fillId="0" borderId="0" xfId="3" applyFont="1" applyAlignment="1">
      <alignment horizontal="left" wrapText="1"/>
    </xf>
    <xf numFmtId="0" fontId="41" fillId="0" borderId="0" xfId="3" applyFont="1" applyAlignment="1">
      <alignment horizontal="center" vertical="center" wrapText="1"/>
    </xf>
    <xf numFmtId="0" fontId="42" fillId="14" borderId="23" xfId="3" applyFont="1" applyFill="1" applyBorder="1" applyAlignment="1" applyProtection="1">
      <alignment horizontal="center"/>
      <protection locked="0"/>
    </xf>
    <xf numFmtId="0" fontId="42" fillId="14" borderId="24" xfId="3" applyFont="1" applyFill="1" applyBorder="1" applyAlignment="1" applyProtection="1">
      <alignment horizontal="center"/>
      <protection locked="0"/>
    </xf>
    <xf numFmtId="0" fontId="42" fillId="14" borderId="25" xfId="3" applyFont="1" applyFill="1" applyBorder="1" applyAlignment="1" applyProtection="1">
      <alignment horizontal="center"/>
      <protection locked="0"/>
    </xf>
    <xf numFmtId="165" fontId="48" fillId="12" borderId="4" xfId="5" applyFont="1" applyFill="1" applyBorder="1" applyAlignment="1">
      <alignment horizontal="center"/>
    </xf>
    <xf numFmtId="0" fontId="49" fillId="13" borderId="11" xfId="3" applyFont="1" applyFill="1" applyBorder="1" applyAlignment="1" applyProtection="1">
      <alignment horizontal="center"/>
      <protection locked="0"/>
    </xf>
    <xf numFmtId="0" fontId="43" fillId="13" borderId="6" xfId="3" applyFont="1" applyFill="1" applyBorder="1" applyAlignment="1" applyProtection="1">
      <alignment horizontal="center"/>
      <protection locked="0"/>
    </xf>
    <xf numFmtId="0" fontId="44" fillId="13" borderId="0" xfId="3" applyFont="1" applyFill="1" applyAlignment="1" applyProtection="1">
      <alignment horizontal="left"/>
      <protection locked="0"/>
    </xf>
    <xf numFmtId="0" fontId="50" fillId="13" borderId="0" xfId="3" applyFont="1" applyFill="1" applyAlignment="1" applyProtection="1">
      <alignment horizontal="center"/>
      <protection locked="0"/>
    </xf>
    <xf numFmtId="0" fontId="32" fillId="15" borderId="0" xfId="3" applyFont="1" applyFill="1" applyAlignment="1">
      <alignment horizontal="center" vertical="center" wrapText="1"/>
    </xf>
    <xf numFmtId="169" fontId="55" fillId="17" borderId="1" xfId="3" applyNumberFormat="1" applyFont="1" applyFill="1" applyBorder="1" applyAlignment="1">
      <alignment horizontal="center" vertical="center" wrapText="1"/>
    </xf>
    <xf numFmtId="44" fontId="13" fillId="0" borderId="0" xfId="3" applyNumberFormat="1" applyAlignment="1">
      <alignment horizontal="center"/>
    </xf>
    <xf numFmtId="165" fontId="13" fillId="0" borderId="0" xfId="5" applyFont="1" applyAlignment="1">
      <alignment horizontal="center"/>
    </xf>
    <xf numFmtId="165" fontId="13" fillId="0" borderId="0" xfId="5" applyFont="1" applyFill="1" applyAlignment="1">
      <alignment horizontal="center"/>
    </xf>
    <xf numFmtId="165" fontId="13" fillId="0" borderId="0" xfId="5" applyFont="1" applyAlignment="1" applyProtection="1">
      <alignment horizontal="center"/>
      <protection locked="0"/>
    </xf>
    <xf numFmtId="0" fontId="18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 wrapText="1"/>
    </xf>
    <xf numFmtId="165" fontId="13" fillId="0" borderId="0" xfId="3" applyNumberFormat="1" applyAlignment="1">
      <alignment horizontal="center"/>
    </xf>
    <xf numFmtId="165" fontId="13" fillId="0" borderId="0" xfId="3" applyNumberFormat="1" applyAlignment="1" applyProtection="1">
      <alignment horizontal="center" vertical="center"/>
      <protection locked="0"/>
    </xf>
    <xf numFmtId="0" fontId="13" fillId="0" borderId="0" xfId="3" applyAlignment="1" applyProtection="1">
      <alignment horizontal="center" vertical="center"/>
      <protection locked="0"/>
    </xf>
    <xf numFmtId="44" fontId="13" fillId="0" borderId="0" xfId="3" applyNumberFormat="1" applyAlignment="1" applyProtection="1">
      <alignment horizontal="center" vertical="center"/>
      <protection locked="0"/>
    </xf>
    <xf numFmtId="44" fontId="13" fillId="0" borderId="0" xfId="1" applyFont="1" applyAlignment="1" applyProtection="1">
      <alignment horizontal="center" vertical="center"/>
      <protection locked="0"/>
    </xf>
    <xf numFmtId="0" fontId="13" fillId="0" borderId="0" xfId="3" applyAlignment="1">
      <alignment horizontal="left"/>
    </xf>
    <xf numFmtId="0" fontId="18" fillId="0" borderId="4" xfId="3" applyFont="1" applyBorder="1" applyAlignment="1" applyProtection="1">
      <alignment horizontal="center"/>
      <protection locked="0"/>
    </xf>
    <xf numFmtId="165" fontId="18" fillId="0" borderId="0" xfId="5" applyFont="1" applyAlignment="1" applyProtection="1">
      <alignment horizontal="center"/>
      <protection locked="0"/>
    </xf>
    <xf numFmtId="165" fontId="18" fillId="19" borderId="0" xfId="5" applyFont="1" applyFill="1" applyAlignment="1" applyProtection="1">
      <alignment horizontal="right"/>
      <protection locked="0"/>
    </xf>
    <xf numFmtId="10" fontId="18" fillId="0" borderId="0" xfId="6" applyNumberFormat="1" applyFont="1" applyAlignment="1" applyProtection="1">
      <alignment horizontal="right"/>
      <protection locked="0"/>
    </xf>
    <xf numFmtId="10" fontId="38" fillId="0" borderId="0" xfId="3" applyNumberFormat="1" applyFont="1" applyAlignment="1" applyProtection="1">
      <alignment horizontal="center"/>
      <protection locked="0"/>
    </xf>
    <xf numFmtId="0" fontId="18" fillId="0" borderId="0" xfId="3" applyNumberFormat="1" applyFont="1" applyAlignment="1" applyProtection="1">
      <alignment horizontal="right"/>
      <protection locked="0"/>
    </xf>
    <xf numFmtId="165" fontId="13" fillId="0" borderId="0" xfId="5" applyNumberFormat="1" applyFont="1" applyFill="1" applyAlignment="1" applyProtection="1">
      <alignment horizontal="center"/>
    </xf>
    <xf numFmtId="165" fontId="18" fillId="0" borderId="0" xfId="5" applyFont="1" applyAlignment="1" applyProtection="1">
      <alignment horizontal="center"/>
    </xf>
    <xf numFmtId="165" fontId="13" fillId="0" borderId="0" xfId="5" applyFont="1" applyFill="1" applyAlignment="1" applyProtection="1">
      <alignment horizontal="center"/>
    </xf>
    <xf numFmtId="0" fontId="18" fillId="0" borderId="4" xfId="3" applyFont="1" applyBorder="1" applyAlignment="1">
      <alignment horizontal="center"/>
    </xf>
    <xf numFmtId="165" fontId="18" fillId="19" borderId="0" xfId="5" applyFont="1" applyFill="1" applyAlignment="1" applyProtection="1">
      <alignment horizontal="right"/>
    </xf>
    <xf numFmtId="10" fontId="18" fillId="0" borderId="0" xfId="6" applyNumberFormat="1" applyFont="1" applyAlignment="1" applyProtection="1">
      <alignment horizontal="right"/>
    </xf>
    <xf numFmtId="0" fontId="18" fillId="0" borderId="0" xfId="3" applyFont="1" applyAlignment="1">
      <alignment horizontal="right"/>
    </xf>
    <xf numFmtId="165" fontId="34" fillId="0" borderId="0" xfId="3" applyNumberFormat="1" applyFont="1" applyAlignment="1">
      <alignment horizontal="center"/>
    </xf>
    <xf numFmtId="0" fontId="34" fillId="0" borderId="0" xfId="3" applyFont="1" applyAlignment="1">
      <alignment horizontal="center"/>
    </xf>
    <xf numFmtId="165" fontId="0" fillId="0" borderId="0" xfId="5" applyFont="1" applyAlignment="1">
      <alignment horizontal="center"/>
    </xf>
    <xf numFmtId="0" fontId="13" fillId="0" borderId="0" xfId="3" applyAlignment="1">
      <alignment horizontal="center"/>
    </xf>
    <xf numFmtId="165" fontId="13" fillId="0" borderId="0" xfId="5" applyFont="1" applyFill="1" applyAlignment="1" applyProtection="1">
      <alignment horizontal="center"/>
      <protection locked="0"/>
    </xf>
    <xf numFmtId="165" fontId="18" fillId="0" borderId="0" xfId="5" applyFont="1" applyAlignment="1" applyProtection="1">
      <alignment horizontal="right"/>
      <protection locked="0"/>
    </xf>
    <xf numFmtId="10" fontId="3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51" fillId="15" borderId="0" xfId="3" applyFont="1" applyFill="1" applyAlignment="1">
      <alignment horizontal="center"/>
    </xf>
    <xf numFmtId="0" fontId="18" fillId="0" borderId="0" xfId="3" applyFont="1" applyAlignment="1" applyProtection="1">
      <alignment horizontal="right"/>
      <protection locked="0"/>
    </xf>
    <xf numFmtId="165" fontId="18" fillId="0" borderId="0" xfId="5" applyFont="1" applyAlignment="1">
      <alignment horizontal="right"/>
    </xf>
    <xf numFmtId="165" fontId="18" fillId="0" borderId="0" xfId="5" applyFont="1" applyAlignment="1">
      <alignment horizontal="center"/>
    </xf>
    <xf numFmtId="9" fontId="18" fillId="0" borderId="0" xfId="6" applyFont="1" applyAlignment="1" applyProtection="1">
      <alignment horizontal="right"/>
      <protection locked="0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8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8" fillId="5" borderId="0" xfId="0" applyFont="1" applyFill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8" fillId="6" borderId="0" xfId="0" applyFont="1" applyFill="1" applyAlignment="1">
      <alignment horizontal="center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9" xfId="0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9" fontId="0" fillId="0" borderId="11" xfId="2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44" fontId="0" fillId="0" borderId="13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9" xfId="0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9" xfId="0" applyFill="1" applyBorder="1" applyAlignment="1">
      <alignment horizontal="left"/>
    </xf>
    <xf numFmtId="0" fontId="0" fillId="6" borderId="8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7">
    <cellStyle name="Millares 2" xfId="4"/>
    <cellStyle name="Moneda" xfId="1" builtinId="4"/>
    <cellStyle name="Moneda 2" xfId="5"/>
    <cellStyle name="Normal" xfId="0" builtinId="0"/>
    <cellStyle name="Normal 2" xfId="3"/>
    <cellStyle name="Porcentaje" xfId="2" builtinId="5"/>
    <cellStyle name="Porcentaje 2" xfId="6"/>
  </cellStyles>
  <dxfs count="28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  <dxf>
      <font>
        <b/>
        <i val="0"/>
        <color rgb="FF00B050"/>
      </font>
      <fill>
        <patternFill>
          <bgColor rgb="FFC6EECE"/>
        </patternFill>
      </fill>
    </dxf>
  </dxfs>
  <tableStyles count="0" defaultTableStyle="TableStyleMedium2" defaultPivotStyle="PivotStyleLight16"/>
  <colors>
    <mruColors>
      <color rgb="FFC6EF8E"/>
      <color rgb="FFC6EECE"/>
      <color rgb="FF800000"/>
      <color rgb="FF01003D"/>
      <color rgb="FF00A4FF"/>
      <color rgb="FF40CEFF"/>
      <color rgb="FF3EF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1485900</xdr:colOff>
      <xdr:row>54</xdr:row>
      <xdr:rowOff>133350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52B30F7-2500-4574-846B-F274198533A8}"/>
            </a:ext>
          </a:extLst>
        </xdr:cNvPr>
        <xdr:cNvSpPr txBox="1"/>
      </xdr:nvSpPr>
      <xdr:spPr>
        <a:xfrm>
          <a:off x="1752600" y="1059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G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114300</xdr:rowOff>
    </xdr:from>
    <xdr:to>
      <xdr:col>5</xdr:col>
      <xdr:colOff>542925</xdr:colOff>
      <xdr:row>11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5250" y="438150"/>
          <a:ext cx="5838825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 b="1">
              <a:latin typeface="+mn-lt"/>
              <a:ea typeface="Cambria Math" panose="02040503050406030204" pitchFamily="18" charset="0"/>
            </a:rPr>
            <a:t>Detalle de Crédito sobre vehiculo</a:t>
          </a:r>
          <a:endParaRPr lang="es-GT" sz="3600" b="1" baseline="0">
            <a:latin typeface="+mn-lt"/>
            <a:ea typeface="Cambria Math" panose="020405030504060302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2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8448"/>
        <a:stretch>
          <a:fillRect/>
        </a:stretch>
      </xdr:blipFill>
      <xdr:spPr bwMode="auto">
        <a:xfrm>
          <a:off x="0" y="0"/>
          <a:ext cx="6048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2</xdr:row>
      <xdr:rowOff>76200</xdr:rowOff>
    </xdr:from>
    <xdr:to>
      <xdr:col>1</xdr:col>
      <xdr:colOff>1438275</xdr:colOff>
      <xdr:row>11</xdr:row>
      <xdr:rowOff>114300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1066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7</xdr:col>
      <xdr:colOff>0</xdr:colOff>
      <xdr:row>66</xdr:row>
      <xdr:rowOff>38100</xdr:rowOff>
    </xdr:to>
    <xdr:pic>
      <xdr:nvPicPr>
        <xdr:cNvPr id="4" name="Imagen 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455"/>
        <a:stretch>
          <a:fillRect/>
        </a:stretch>
      </xdr:blipFill>
      <xdr:spPr bwMode="auto">
        <a:xfrm>
          <a:off x="0" y="12049125"/>
          <a:ext cx="60483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619125</xdr:colOff>
      <xdr:row>2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8548"/>
        <a:stretch>
          <a:fillRect/>
        </a:stretch>
      </xdr:blipFill>
      <xdr:spPr bwMode="auto">
        <a:xfrm>
          <a:off x="0" y="0"/>
          <a:ext cx="6048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1771650</xdr:colOff>
      <xdr:row>3</xdr:row>
      <xdr:rowOff>31172</xdr:rowOff>
    </xdr:from>
    <xdr:to>
      <xdr:col>5</xdr:col>
      <xdr:colOff>636815</xdr:colOff>
      <xdr:row>9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771650" y="516947"/>
          <a:ext cx="4256315" cy="1207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>
              <a:latin typeface="Arial Narrow" panose="020B0606020202030204" pitchFamily="34" charset="0"/>
              <a:ea typeface="Cambria Math" panose="02040503050406030204" pitchFamily="18" charset="0"/>
            </a:rPr>
            <a:t>Detalle de Crédito Hipotecario</a:t>
          </a:r>
        </a:p>
      </xdr:txBody>
    </xdr:sp>
    <xdr:clientData/>
  </xdr:twoCellAnchor>
  <xdr:twoCellAnchor editAs="oneCell">
    <xdr:from>
      <xdr:col>0</xdr:col>
      <xdr:colOff>581025</xdr:colOff>
      <xdr:row>2</xdr:row>
      <xdr:rowOff>76200</xdr:rowOff>
    </xdr:from>
    <xdr:to>
      <xdr:col>0</xdr:col>
      <xdr:colOff>1647825</xdr:colOff>
      <xdr:row>10</xdr:row>
      <xdr:rowOff>76200</xdr:rowOff>
    </xdr:to>
    <xdr:pic>
      <xdr:nvPicPr>
        <xdr:cNvPr id="4" name="Imagen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400050"/>
          <a:ext cx="10668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5</xdr:col>
      <xdr:colOff>619125</xdr:colOff>
      <xdr:row>30</xdr:row>
      <xdr:rowOff>133350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455"/>
        <a:stretch>
          <a:fillRect/>
        </a:stretch>
      </xdr:blipFill>
      <xdr:spPr bwMode="auto">
        <a:xfrm>
          <a:off x="0" y="5419725"/>
          <a:ext cx="60483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84666</xdr:rowOff>
    </xdr:from>
    <xdr:to>
      <xdr:col>18</xdr:col>
      <xdr:colOff>352425</xdr:colOff>
      <xdr:row>7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570441"/>
          <a:ext cx="4429125" cy="56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>
              <a:latin typeface="Arial Narrow" panose="020B0606020202030204" pitchFamily="34" charset="0"/>
              <a:ea typeface="Cambria Math" panose="02040503050406030204" pitchFamily="18" charset="0"/>
            </a:rPr>
            <a:t>Detalle de cuota</a:t>
          </a:r>
          <a:r>
            <a:rPr lang="es-GT" sz="3600" baseline="0">
              <a:latin typeface="Arial Narrow" panose="020B0606020202030204" pitchFamily="34" charset="0"/>
              <a:ea typeface="Cambria Math" panose="02040503050406030204" pitchFamily="18" charset="0"/>
            </a:rPr>
            <a:t> nivelada</a:t>
          </a:r>
          <a:endParaRPr lang="es-GT" sz="3600">
            <a:latin typeface="Arial Narrow" panose="020B0606020202030204" pitchFamily="34" charset="0"/>
            <a:ea typeface="Cambria Math" panose="020405030504060302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84666</xdr:rowOff>
    </xdr:from>
    <xdr:to>
      <xdr:col>18</xdr:col>
      <xdr:colOff>352425</xdr:colOff>
      <xdr:row>7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98DE9B-C998-4C07-B259-B8572E451915}"/>
            </a:ext>
          </a:extLst>
        </xdr:cNvPr>
        <xdr:cNvSpPr txBox="1"/>
      </xdr:nvSpPr>
      <xdr:spPr>
        <a:xfrm>
          <a:off x="419100" y="570441"/>
          <a:ext cx="4629150" cy="56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>
              <a:latin typeface="Arial Narrow" panose="020B0606020202030204" pitchFamily="34" charset="0"/>
              <a:ea typeface="Cambria Math" panose="02040503050406030204" pitchFamily="18" charset="0"/>
            </a:rPr>
            <a:t>Detalle de cuota</a:t>
          </a:r>
          <a:r>
            <a:rPr lang="es-GT" sz="3600" baseline="0">
              <a:latin typeface="Arial Narrow" panose="020B0606020202030204" pitchFamily="34" charset="0"/>
              <a:ea typeface="Cambria Math" panose="02040503050406030204" pitchFamily="18" charset="0"/>
            </a:rPr>
            <a:t> nivelada</a:t>
          </a:r>
          <a:endParaRPr lang="es-GT" sz="3600">
            <a:latin typeface="Arial Narrow" panose="020B0606020202030204" pitchFamily="34" charset="0"/>
            <a:ea typeface="Cambria Math" panose="020405030504060302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412748</xdr:colOff>
      <xdr:row>6</xdr:row>
      <xdr:rowOff>38101</xdr:rowOff>
    </xdr:from>
    <xdr:to>
      <xdr:col>30</xdr:col>
      <xdr:colOff>714374</xdr:colOff>
      <xdr:row>11</xdr:row>
      <xdr:rowOff>111126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3989915" y="1064684"/>
          <a:ext cx="7498292" cy="739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*El interés siempre es calculado sobre saldo</a:t>
          </a:r>
        </a:p>
        <a:p>
          <a:r>
            <a:rPr lang="es-G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*No hay penalización por cancelación anticipada de créditos (de cancelarse</a:t>
          </a:r>
          <a:r>
            <a:rPr lang="es-G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anticipadamente utilidad neta variara proporcionalmente)</a:t>
          </a:r>
          <a:endParaRPr lang="es-GT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42333</xdr:colOff>
      <xdr:row>1</xdr:row>
      <xdr:rowOff>1</xdr:rowOff>
    </xdr:from>
    <xdr:to>
      <xdr:col>26</xdr:col>
      <xdr:colOff>227542</xdr:colOff>
      <xdr:row>5</xdr:row>
      <xdr:rowOff>104776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D7CC4F3-9A75-4377-A281-F9C3C7A590B5}"/>
            </a:ext>
          </a:extLst>
        </xdr:cNvPr>
        <xdr:cNvSpPr txBox="1"/>
      </xdr:nvSpPr>
      <xdr:spPr>
        <a:xfrm>
          <a:off x="42333" y="158751"/>
          <a:ext cx="7498292" cy="739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</a:t>
          </a:r>
          <a:r>
            <a:rPr lang="es-GT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cuota especial</a:t>
          </a:r>
          <a:endParaRPr lang="es-GT" sz="3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142874</xdr:rowOff>
    </xdr:from>
    <xdr:to>
      <xdr:col>7</xdr:col>
      <xdr:colOff>19050</xdr:colOff>
      <xdr:row>5</xdr:row>
      <xdr:rowOff>126062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142874"/>
          <a:ext cx="695324" cy="935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2:C4"/>
  <sheetViews>
    <sheetView workbookViewId="0">
      <selection activeCell="C8" sqref="C8"/>
    </sheetView>
  </sheetViews>
  <sheetFormatPr baseColWidth="10" defaultRowHeight="14.4"/>
  <cols>
    <col min="2" max="2" width="22.33203125" bestFit="1" customWidth="1"/>
  </cols>
  <sheetData>
    <row r="2" spans="2:3">
      <c r="C2" t="s">
        <v>272</v>
      </c>
    </row>
    <row r="3" spans="2:3">
      <c r="B3" t="s">
        <v>334</v>
      </c>
      <c r="C3" t="e">
        <f>IF(#REF!="","",#REF!)</f>
        <v>#REF!</v>
      </c>
    </row>
    <row r="4" spans="2:3">
      <c r="B4" t="s">
        <v>335</v>
      </c>
      <c r="C4" t="e">
        <f>#REF!&amp;Hoja1!C2&amp;#REF!&amp;Hoja1!C2&amp;#REF!&amp;Hoja1!C2&amp;#REF!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>
    <tabColor rgb="FFFFC000"/>
    <pageSetUpPr fitToPage="1"/>
  </sheetPr>
  <dimension ref="A1:H77"/>
  <sheetViews>
    <sheetView showGridLines="0" tabSelected="1" showWhiteSpace="0" view="pageLayout" topLeftCell="A10" zoomScale="80" zoomScaleNormal="100" zoomScaleSheetLayoutView="100" zoomScalePageLayoutView="80" workbookViewId="0">
      <selection activeCell="F50" sqref="F50"/>
    </sheetView>
  </sheetViews>
  <sheetFormatPr baseColWidth="10" defaultColWidth="9.109375" defaultRowHeight="13.2"/>
  <cols>
    <col min="1" max="1" width="3.6640625" style="57" customWidth="1"/>
    <col min="2" max="2" width="28.88671875" style="57" customWidth="1"/>
    <col min="3" max="3" width="12.6640625" style="57" customWidth="1"/>
    <col min="4" max="4" width="7.109375" style="57" customWidth="1"/>
    <col min="5" max="5" width="13.6640625" style="57" customWidth="1"/>
    <col min="6" max="6" width="12.44140625" style="57" customWidth="1"/>
    <col min="7" max="7" width="18.44140625" style="57" customWidth="1"/>
    <col min="8" max="8" width="7.33203125" style="57" customWidth="1"/>
    <col min="9" max="256" width="9.109375" style="57"/>
    <col min="257" max="257" width="3.6640625" style="57" customWidth="1"/>
    <col min="258" max="258" width="28.88671875" style="57" customWidth="1"/>
    <col min="259" max="259" width="12.6640625" style="57" customWidth="1"/>
    <col min="260" max="260" width="7.109375" style="57" customWidth="1"/>
    <col min="261" max="261" width="13.6640625" style="57" customWidth="1"/>
    <col min="262" max="262" width="10" style="57" customWidth="1"/>
    <col min="263" max="263" width="18.44140625" style="57" customWidth="1"/>
    <col min="264" max="264" width="7.33203125" style="57" customWidth="1"/>
    <col min="265" max="512" width="9.109375" style="57"/>
    <col min="513" max="513" width="3.6640625" style="57" customWidth="1"/>
    <col min="514" max="514" width="28.88671875" style="57" customWidth="1"/>
    <col min="515" max="515" width="12.6640625" style="57" customWidth="1"/>
    <col min="516" max="516" width="7.109375" style="57" customWidth="1"/>
    <col min="517" max="517" width="13.6640625" style="57" customWidth="1"/>
    <col min="518" max="518" width="10" style="57" customWidth="1"/>
    <col min="519" max="519" width="18.44140625" style="57" customWidth="1"/>
    <col min="520" max="520" width="7.33203125" style="57" customWidth="1"/>
    <col min="521" max="768" width="9.109375" style="57"/>
    <col min="769" max="769" width="3.6640625" style="57" customWidth="1"/>
    <col min="770" max="770" width="28.88671875" style="57" customWidth="1"/>
    <col min="771" max="771" width="12.6640625" style="57" customWidth="1"/>
    <col min="772" max="772" width="7.109375" style="57" customWidth="1"/>
    <col min="773" max="773" width="13.6640625" style="57" customWidth="1"/>
    <col min="774" max="774" width="10" style="57" customWidth="1"/>
    <col min="775" max="775" width="18.44140625" style="57" customWidth="1"/>
    <col min="776" max="776" width="7.33203125" style="57" customWidth="1"/>
    <col min="777" max="1024" width="9.109375" style="57"/>
    <col min="1025" max="1025" width="3.6640625" style="57" customWidth="1"/>
    <col min="1026" max="1026" width="28.88671875" style="57" customWidth="1"/>
    <col min="1027" max="1027" width="12.6640625" style="57" customWidth="1"/>
    <col min="1028" max="1028" width="7.109375" style="57" customWidth="1"/>
    <col min="1029" max="1029" width="13.6640625" style="57" customWidth="1"/>
    <col min="1030" max="1030" width="10" style="57" customWidth="1"/>
    <col min="1031" max="1031" width="18.44140625" style="57" customWidth="1"/>
    <col min="1032" max="1032" width="7.33203125" style="57" customWidth="1"/>
    <col min="1033" max="1280" width="9.109375" style="57"/>
    <col min="1281" max="1281" width="3.6640625" style="57" customWidth="1"/>
    <col min="1282" max="1282" width="28.88671875" style="57" customWidth="1"/>
    <col min="1283" max="1283" width="12.6640625" style="57" customWidth="1"/>
    <col min="1284" max="1284" width="7.109375" style="57" customWidth="1"/>
    <col min="1285" max="1285" width="13.6640625" style="57" customWidth="1"/>
    <col min="1286" max="1286" width="10" style="57" customWidth="1"/>
    <col min="1287" max="1287" width="18.44140625" style="57" customWidth="1"/>
    <col min="1288" max="1288" width="7.33203125" style="57" customWidth="1"/>
    <col min="1289" max="1536" width="9.109375" style="57"/>
    <col min="1537" max="1537" width="3.6640625" style="57" customWidth="1"/>
    <col min="1538" max="1538" width="28.88671875" style="57" customWidth="1"/>
    <col min="1539" max="1539" width="12.6640625" style="57" customWidth="1"/>
    <col min="1540" max="1540" width="7.109375" style="57" customWidth="1"/>
    <col min="1541" max="1541" width="13.6640625" style="57" customWidth="1"/>
    <col min="1542" max="1542" width="10" style="57" customWidth="1"/>
    <col min="1543" max="1543" width="18.44140625" style="57" customWidth="1"/>
    <col min="1544" max="1544" width="7.33203125" style="57" customWidth="1"/>
    <col min="1545" max="1792" width="9.109375" style="57"/>
    <col min="1793" max="1793" width="3.6640625" style="57" customWidth="1"/>
    <col min="1794" max="1794" width="28.88671875" style="57" customWidth="1"/>
    <col min="1795" max="1795" width="12.6640625" style="57" customWidth="1"/>
    <col min="1796" max="1796" width="7.109375" style="57" customWidth="1"/>
    <col min="1797" max="1797" width="13.6640625" style="57" customWidth="1"/>
    <col min="1798" max="1798" width="10" style="57" customWidth="1"/>
    <col min="1799" max="1799" width="18.44140625" style="57" customWidth="1"/>
    <col min="1800" max="1800" width="7.33203125" style="57" customWidth="1"/>
    <col min="1801" max="2048" width="9.109375" style="57"/>
    <col min="2049" max="2049" width="3.6640625" style="57" customWidth="1"/>
    <col min="2050" max="2050" width="28.88671875" style="57" customWidth="1"/>
    <col min="2051" max="2051" width="12.6640625" style="57" customWidth="1"/>
    <col min="2052" max="2052" width="7.109375" style="57" customWidth="1"/>
    <col min="2053" max="2053" width="13.6640625" style="57" customWidth="1"/>
    <col min="2054" max="2054" width="10" style="57" customWidth="1"/>
    <col min="2055" max="2055" width="18.44140625" style="57" customWidth="1"/>
    <col min="2056" max="2056" width="7.33203125" style="57" customWidth="1"/>
    <col min="2057" max="2304" width="9.109375" style="57"/>
    <col min="2305" max="2305" width="3.6640625" style="57" customWidth="1"/>
    <col min="2306" max="2306" width="28.88671875" style="57" customWidth="1"/>
    <col min="2307" max="2307" width="12.6640625" style="57" customWidth="1"/>
    <col min="2308" max="2308" width="7.109375" style="57" customWidth="1"/>
    <col min="2309" max="2309" width="13.6640625" style="57" customWidth="1"/>
    <col min="2310" max="2310" width="10" style="57" customWidth="1"/>
    <col min="2311" max="2311" width="18.44140625" style="57" customWidth="1"/>
    <col min="2312" max="2312" width="7.33203125" style="57" customWidth="1"/>
    <col min="2313" max="2560" width="9.109375" style="57"/>
    <col min="2561" max="2561" width="3.6640625" style="57" customWidth="1"/>
    <col min="2562" max="2562" width="28.88671875" style="57" customWidth="1"/>
    <col min="2563" max="2563" width="12.6640625" style="57" customWidth="1"/>
    <col min="2564" max="2564" width="7.109375" style="57" customWidth="1"/>
    <col min="2565" max="2565" width="13.6640625" style="57" customWidth="1"/>
    <col min="2566" max="2566" width="10" style="57" customWidth="1"/>
    <col min="2567" max="2567" width="18.44140625" style="57" customWidth="1"/>
    <col min="2568" max="2568" width="7.33203125" style="57" customWidth="1"/>
    <col min="2569" max="2816" width="9.109375" style="57"/>
    <col min="2817" max="2817" width="3.6640625" style="57" customWidth="1"/>
    <col min="2818" max="2818" width="28.88671875" style="57" customWidth="1"/>
    <col min="2819" max="2819" width="12.6640625" style="57" customWidth="1"/>
    <col min="2820" max="2820" width="7.109375" style="57" customWidth="1"/>
    <col min="2821" max="2821" width="13.6640625" style="57" customWidth="1"/>
    <col min="2822" max="2822" width="10" style="57" customWidth="1"/>
    <col min="2823" max="2823" width="18.44140625" style="57" customWidth="1"/>
    <col min="2824" max="2824" width="7.33203125" style="57" customWidth="1"/>
    <col min="2825" max="3072" width="9.109375" style="57"/>
    <col min="3073" max="3073" width="3.6640625" style="57" customWidth="1"/>
    <col min="3074" max="3074" width="28.88671875" style="57" customWidth="1"/>
    <col min="3075" max="3075" width="12.6640625" style="57" customWidth="1"/>
    <col min="3076" max="3076" width="7.109375" style="57" customWidth="1"/>
    <col min="3077" max="3077" width="13.6640625" style="57" customWidth="1"/>
    <col min="3078" max="3078" width="10" style="57" customWidth="1"/>
    <col min="3079" max="3079" width="18.44140625" style="57" customWidth="1"/>
    <col min="3080" max="3080" width="7.33203125" style="57" customWidth="1"/>
    <col min="3081" max="3328" width="9.109375" style="57"/>
    <col min="3329" max="3329" width="3.6640625" style="57" customWidth="1"/>
    <col min="3330" max="3330" width="28.88671875" style="57" customWidth="1"/>
    <col min="3331" max="3331" width="12.6640625" style="57" customWidth="1"/>
    <col min="3332" max="3332" width="7.109375" style="57" customWidth="1"/>
    <col min="3333" max="3333" width="13.6640625" style="57" customWidth="1"/>
    <col min="3334" max="3334" width="10" style="57" customWidth="1"/>
    <col min="3335" max="3335" width="18.44140625" style="57" customWidth="1"/>
    <col min="3336" max="3336" width="7.33203125" style="57" customWidth="1"/>
    <col min="3337" max="3584" width="9.109375" style="57"/>
    <col min="3585" max="3585" width="3.6640625" style="57" customWidth="1"/>
    <col min="3586" max="3586" width="28.88671875" style="57" customWidth="1"/>
    <col min="3587" max="3587" width="12.6640625" style="57" customWidth="1"/>
    <col min="3588" max="3588" width="7.109375" style="57" customWidth="1"/>
    <col min="3589" max="3589" width="13.6640625" style="57" customWidth="1"/>
    <col min="3590" max="3590" width="10" style="57" customWidth="1"/>
    <col min="3591" max="3591" width="18.44140625" style="57" customWidth="1"/>
    <col min="3592" max="3592" width="7.33203125" style="57" customWidth="1"/>
    <col min="3593" max="3840" width="9.109375" style="57"/>
    <col min="3841" max="3841" width="3.6640625" style="57" customWidth="1"/>
    <col min="3842" max="3842" width="28.88671875" style="57" customWidth="1"/>
    <col min="3843" max="3843" width="12.6640625" style="57" customWidth="1"/>
    <col min="3844" max="3844" width="7.109375" style="57" customWidth="1"/>
    <col min="3845" max="3845" width="13.6640625" style="57" customWidth="1"/>
    <col min="3846" max="3846" width="10" style="57" customWidth="1"/>
    <col min="3847" max="3847" width="18.44140625" style="57" customWidth="1"/>
    <col min="3848" max="3848" width="7.33203125" style="57" customWidth="1"/>
    <col min="3849" max="4096" width="9.109375" style="57"/>
    <col min="4097" max="4097" width="3.6640625" style="57" customWidth="1"/>
    <col min="4098" max="4098" width="28.88671875" style="57" customWidth="1"/>
    <col min="4099" max="4099" width="12.6640625" style="57" customWidth="1"/>
    <col min="4100" max="4100" width="7.109375" style="57" customWidth="1"/>
    <col min="4101" max="4101" width="13.6640625" style="57" customWidth="1"/>
    <col min="4102" max="4102" width="10" style="57" customWidth="1"/>
    <col min="4103" max="4103" width="18.44140625" style="57" customWidth="1"/>
    <col min="4104" max="4104" width="7.33203125" style="57" customWidth="1"/>
    <col min="4105" max="4352" width="9.109375" style="57"/>
    <col min="4353" max="4353" width="3.6640625" style="57" customWidth="1"/>
    <col min="4354" max="4354" width="28.88671875" style="57" customWidth="1"/>
    <col min="4355" max="4355" width="12.6640625" style="57" customWidth="1"/>
    <col min="4356" max="4356" width="7.109375" style="57" customWidth="1"/>
    <col min="4357" max="4357" width="13.6640625" style="57" customWidth="1"/>
    <col min="4358" max="4358" width="10" style="57" customWidth="1"/>
    <col min="4359" max="4359" width="18.44140625" style="57" customWidth="1"/>
    <col min="4360" max="4360" width="7.33203125" style="57" customWidth="1"/>
    <col min="4361" max="4608" width="9.109375" style="57"/>
    <col min="4609" max="4609" width="3.6640625" style="57" customWidth="1"/>
    <col min="4610" max="4610" width="28.88671875" style="57" customWidth="1"/>
    <col min="4611" max="4611" width="12.6640625" style="57" customWidth="1"/>
    <col min="4612" max="4612" width="7.109375" style="57" customWidth="1"/>
    <col min="4613" max="4613" width="13.6640625" style="57" customWidth="1"/>
    <col min="4614" max="4614" width="10" style="57" customWidth="1"/>
    <col min="4615" max="4615" width="18.44140625" style="57" customWidth="1"/>
    <col min="4616" max="4616" width="7.33203125" style="57" customWidth="1"/>
    <col min="4617" max="4864" width="9.109375" style="57"/>
    <col min="4865" max="4865" width="3.6640625" style="57" customWidth="1"/>
    <col min="4866" max="4866" width="28.88671875" style="57" customWidth="1"/>
    <col min="4867" max="4867" width="12.6640625" style="57" customWidth="1"/>
    <col min="4868" max="4868" width="7.109375" style="57" customWidth="1"/>
    <col min="4869" max="4869" width="13.6640625" style="57" customWidth="1"/>
    <col min="4870" max="4870" width="10" style="57" customWidth="1"/>
    <col min="4871" max="4871" width="18.44140625" style="57" customWidth="1"/>
    <col min="4872" max="4872" width="7.33203125" style="57" customWidth="1"/>
    <col min="4873" max="5120" width="9.109375" style="57"/>
    <col min="5121" max="5121" width="3.6640625" style="57" customWidth="1"/>
    <col min="5122" max="5122" width="28.88671875" style="57" customWidth="1"/>
    <col min="5123" max="5123" width="12.6640625" style="57" customWidth="1"/>
    <col min="5124" max="5124" width="7.109375" style="57" customWidth="1"/>
    <col min="5125" max="5125" width="13.6640625" style="57" customWidth="1"/>
    <col min="5126" max="5126" width="10" style="57" customWidth="1"/>
    <col min="5127" max="5127" width="18.44140625" style="57" customWidth="1"/>
    <col min="5128" max="5128" width="7.33203125" style="57" customWidth="1"/>
    <col min="5129" max="5376" width="9.109375" style="57"/>
    <col min="5377" max="5377" width="3.6640625" style="57" customWidth="1"/>
    <col min="5378" max="5378" width="28.88671875" style="57" customWidth="1"/>
    <col min="5379" max="5379" width="12.6640625" style="57" customWidth="1"/>
    <col min="5380" max="5380" width="7.109375" style="57" customWidth="1"/>
    <col min="5381" max="5381" width="13.6640625" style="57" customWidth="1"/>
    <col min="5382" max="5382" width="10" style="57" customWidth="1"/>
    <col min="5383" max="5383" width="18.44140625" style="57" customWidth="1"/>
    <col min="5384" max="5384" width="7.33203125" style="57" customWidth="1"/>
    <col min="5385" max="5632" width="9.109375" style="57"/>
    <col min="5633" max="5633" width="3.6640625" style="57" customWidth="1"/>
    <col min="5634" max="5634" width="28.88671875" style="57" customWidth="1"/>
    <col min="5635" max="5635" width="12.6640625" style="57" customWidth="1"/>
    <col min="5636" max="5636" width="7.109375" style="57" customWidth="1"/>
    <col min="5637" max="5637" width="13.6640625" style="57" customWidth="1"/>
    <col min="5638" max="5638" width="10" style="57" customWidth="1"/>
    <col min="5639" max="5639" width="18.44140625" style="57" customWidth="1"/>
    <col min="5640" max="5640" width="7.33203125" style="57" customWidth="1"/>
    <col min="5641" max="5888" width="9.109375" style="57"/>
    <col min="5889" max="5889" width="3.6640625" style="57" customWidth="1"/>
    <col min="5890" max="5890" width="28.88671875" style="57" customWidth="1"/>
    <col min="5891" max="5891" width="12.6640625" style="57" customWidth="1"/>
    <col min="5892" max="5892" width="7.109375" style="57" customWidth="1"/>
    <col min="5893" max="5893" width="13.6640625" style="57" customWidth="1"/>
    <col min="5894" max="5894" width="10" style="57" customWidth="1"/>
    <col min="5895" max="5895" width="18.44140625" style="57" customWidth="1"/>
    <col min="5896" max="5896" width="7.33203125" style="57" customWidth="1"/>
    <col min="5897" max="6144" width="9.109375" style="57"/>
    <col min="6145" max="6145" width="3.6640625" style="57" customWidth="1"/>
    <col min="6146" max="6146" width="28.88671875" style="57" customWidth="1"/>
    <col min="6147" max="6147" width="12.6640625" style="57" customWidth="1"/>
    <col min="6148" max="6148" width="7.109375" style="57" customWidth="1"/>
    <col min="6149" max="6149" width="13.6640625" style="57" customWidth="1"/>
    <col min="6150" max="6150" width="10" style="57" customWidth="1"/>
    <col min="6151" max="6151" width="18.44140625" style="57" customWidth="1"/>
    <col min="6152" max="6152" width="7.33203125" style="57" customWidth="1"/>
    <col min="6153" max="6400" width="9.109375" style="57"/>
    <col min="6401" max="6401" width="3.6640625" style="57" customWidth="1"/>
    <col min="6402" max="6402" width="28.88671875" style="57" customWidth="1"/>
    <col min="6403" max="6403" width="12.6640625" style="57" customWidth="1"/>
    <col min="6404" max="6404" width="7.109375" style="57" customWidth="1"/>
    <col min="6405" max="6405" width="13.6640625" style="57" customWidth="1"/>
    <col min="6406" max="6406" width="10" style="57" customWidth="1"/>
    <col min="6407" max="6407" width="18.44140625" style="57" customWidth="1"/>
    <col min="6408" max="6408" width="7.33203125" style="57" customWidth="1"/>
    <col min="6409" max="6656" width="9.109375" style="57"/>
    <col min="6657" max="6657" width="3.6640625" style="57" customWidth="1"/>
    <col min="6658" max="6658" width="28.88671875" style="57" customWidth="1"/>
    <col min="6659" max="6659" width="12.6640625" style="57" customWidth="1"/>
    <col min="6660" max="6660" width="7.109375" style="57" customWidth="1"/>
    <col min="6661" max="6661" width="13.6640625" style="57" customWidth="1"/>
    <col min="6662" max="6662" width="10" style="57" customWidth="1"/>
    <col min="6663" max="6663" width="18.44140625" style="57" customWidth="1"/>
    <col min="6664" max="6664" width="7.33203125" style="57" customWidth="1"/>
    <col min="6665" max="6912" width="9.109375" style="57"/>
    <col min="6913" max="6913" width="3.6640625" style="57" customWidth="1"/>
    <col min="6914" max="6914" width="28.88671875" style="57" customWidth="1"/>
    <col min="6915" max="6915" width="12.6640625" style="57" customWidth="1"/>
    <col min="6916" max="6916" width="7.109375" style="57" customWidth="1"/>
    <col min="6917" max="6917" width="13.6640625" style="57" customWidth="1"/>
    <col min="6918" max="6918" width="10" style="57" customWidth="1"/>
    <col min="6919" max="6919" width="18.44140625" style="57" customWidth="1"/>
    <col min="6920" max="6920" width="7.33203125" style="57" customWidth="1"/>
    <col min="6921" max="7168" width="9.109375" style="57"/>
    <col min="7169" max="7169" width="3.6640625" style="57" customWidth="1"/>
    <col min="7170" max="7170" width="28.88671875" style="57" customWidth="1"/>
    <col min="7171" max="7171" width="12.6640625" style="57" customWidth="1"/>
    <col min="7172" max="7172" width="7.109375" style="57" customWidth="1"/>
    <col min="7173" max="7173" width="13.6640625" style="57" customWidth="1"/>
    <col min="7174" max="7174" width="10" style="57" customWidth="1"/>
    <col min="7175" max="7175" width="18.44140625" style="57" customWidth="1"/>
    <col min="7176" max="7176" width="7.33203125" style="57" customWidth="1"/>
    <col min="7177" max="7424" width="9.109375" style="57"/>
    <col min="7425" max="7425" width="3.6640625" style="57" customWidth="1"/>
    <col min="7426" max="7426" width="28.88671875" style="57" customWidth="1"/>
    <col min="7427" max="7427" width="12.6640625" style="57" customWidth="1"/>
    <col min="7428" max="7428" width="7.109375" style="57" customWidth="1"/>
    <col min="7429" max="7429" width="13.6640625" style="57" customWidth="1"/>
    <col min="7430" max="7430" width="10" style="57" customWidth="1"/>
    <col min="7431" max="7431" width="18.44140625" style="57" customWidth="1"/>
    <col min="7432" max="7432" width="7.33203125" style="57" customWidth="1"/>
    <col min="7433" max="7680" width="9.109375" style="57"/>
    <col min="7681" max="7681" width="3.6640625" style="57" customWidth="1"/>
    <col min="7682" max="7682" width="28.88671875" style="57" customWidth="1"/>
    <col min="7683" max="7683" width="12.6640625" style="57" customWidth="1"/>
    <col min="7684" max="7684" width="7.109375" style="57" customWidth="1"/>
    <col min="7685" max="7685" width="13.6640625" style="57" customWidth="1"/>
    <col min="7686" max="7686" width="10" style="57" customWidth="1"/>
    <col min="7687" max="7687" width="18.44140625" style="57" customWidth="1"/>
    <col min="7688" max="7688" width="7.33203125" style="57" customWidth="1"/>
    <col min="7689" max="7936" width="9.109375" style="57"/>
    <col min="7937" max="7937" width="3.6640625" style="57" customWidth="1"/>
    <col min="7938" max="7938" width="28.88671875" style="57" customWidth="1"/>
    <col min="7939" max="7939" width="12.6640625" style="57" customWidth="1"/>
    <col min="7940" max="7940" width="7.109375" style="57" customWidth="1"/>
    <col min="7941" max="7941" width="13.6640625" style="57" customWidth="1"/>
    <col min="7942" max="7942" width="10" style="57" customWidth="1"/>
    <col min="7943" max="7943" width="18.44140625" style="57" customWidth="1"/>
    <col min="7944" max="7944" width="7.33203125" style="57" customWidth="1"/>
    <col min="7945" max="8192" width="9.109375" style="57"/>
    <col min="8193" max="8193" width="3.6640625" style="57" customWidth="1"/>
    <col min="8194" max="8194" width="28.88671875" style="57" customWidth="1"/>
    <col min="8195" max="8195" width="12.6640625" style="57" customWidth="1"/>
    <col min="8196" max="8196" width="7.109375" style="57" customWidth="1"/>
    <col min="8197" max="8197" width="13.6640625" style="57" customWidth="1"/>
    <col min="8198" max="8198" width="10" style="57" customWidth="1"/>
    <col min="8199" max="8199" width="18.44140625" style="57" customWidth="1"/>
    <col min="8200" max="8200" width="7.33203125" style="57" customWidth="1"/>
    <col min="8201" max="8448" width="9.109375" style="57"/>
    <col min="8449" max="8449" width="3.6640625" style="57" customWidth="1"/>
    <col min="8450" max="8450" width="28.88671875" style="57" customWidth="1"/>
    <col min="8451" max="8451" width="12.6640625" style="57" customWidth="1"/>
    <col min="8452" max="8452" width="7.109375" style="57" customWidth="1"/>
    <col min="8453" max="8453" width="13.6640625" style="57" customWidth="1"/>
    <col min="8454" max="8454" width="10" style="57" customWidth="1"/>
    <col min="8455" max="8455" width="18.44140625" style="57" customWidth="1"/>
    <col min="8456" max="8456" width="7.33203125" style="57" customWidth="1"/>
    <col min="8457" max="8704" width="9.109375" style="57"/>
    <col min="8705" max="8705" width="3.6640625" style="57" customWidth="1"/>
    <col min="8706" max="8706" width="28.88671875" style="57" customWidth="1"/>
    <col min="8707" max="8707" width="12.6640625" style="57" customWidth="1"/>
    <col min="8708" max="8708" width="7.109375" style="57" customWidth="1"/>
    <col min="8709" max="8709" width="13.6640625" style="57" customWidth="1"/>
    <col min="8710" max="8710" width="10" style="57" customWidth="1"/>
    <col min="8711" max="8711" width="18.44140625" style="57" customWidth="1"/>
    <col min="8712" max="8712" width="7.33203125" style="57" customWidth="1"/>
    <col min="8713" max="8960" width="9.109375" style="57"/>
    <col min="8961" max="8961" width="3.6640625" style="57" customWidth="1"/>
    <col min="8962" max="8962" width="28.88671875" style="57" customWidth="1"/>
    <col min="8963" max="8963" width="12.6640625" style="57" customWidth="1"/>
    <col min="8964" max="8964" width="7.109375" style="57" customWidth="1"/>
    <col min="8965" max="8965" width="13.6640625" style="57" customWidth="1"/>
    <col min="8966" max="8966" width="10" style="57" customWidth="1"/>
    <col min="8967" max="8967" width="18.44140625" style="57" customWidth="1"/>
    <col min="8968" max="8968" width="7.33203125" style="57" customWidth="1"/>
    <col min="8969" max="9216" width="9.109375" style="57"/>
    <col min="9217" max="9217" width="3.6640625" style="57" customWidth="1"/>
    <col min="9218" max="9218" width="28.88671875" style="57" customWidth="1"/>
    <col min="9219" max="9219" width="12.6640625" style="57" customWidth="1"/>
    <col min="9220" max="9220" width="7.109375" style="57" customWidth="1"/>
    <col min="9221" max="9221" width="13.6640625" style="57" customWidth="1"/>
    <col min="9222" max="9222" width="10" style="57" customWidth="1"/>
    <col min="9223" max="9223" width="18.44140625" style="57" customWidth="1"/>
    <col min="9224" max="9224" width="7.33203125" style="57" customWidth="1"/>
    <col min="9225" max="9472" width="9.109375" style="57"/>
    <col min="9473" max="9473" width="3.6640625" style="57" customWidth="1"/>
    <col min="9474" max="9474" width="28.88671875" style="57" customWidth="1"/>
    <col min="9475" max="9475" width="12.6640625" style="57" customWidth="1"/>
    <col min="9476" max="9476" width="7.109375" style="57" customWidth="1"/>
    <col min="9477" max="9477" width="13.6640625" style="57" customWidth="1"/>
    <col min="9478" max="9478" width="10" style="57" customWidth="1"/>
    <col min="9479" max="9479" width="18.44140625" style="57" customWidth="1"/>
    <col min="9480" max="9480" width="7.33203125" style="57" customWidth="1"/>
    <col min="9481" max="9728" width="9.109375" style="57"/>
    <col min="9729" max="9729" width="3.6640625" style="57" customWidth="1"/>
    <col min="9730" max="9730" width="28.88671875" style="57" customWidth="1"/>
    <col min="9731" max="9731" width="12.6640625" style="57" customWidth="1"/>
    <col min="9732" max="9732" width="7.109375" style="57" customWidth="1"/>
    <col min="9733" max="9733" width="13.6640625" style="57" customWidth="1"/>
    <col min="9734" max="9734" width="10" style="57" customWidth="1"/>
    <col min="9735" max="9735" width="18.44140625" style="57" customWidth="1"/>
    <col min="9736" max="9736" width="7.33203125" style="57" customWidth="1"/>
    <col min="9737" max="9984" width="9.109375" style="57"/>
    <col min="9985" max="9985" width="3.6640625" style="57" customWidth="1"/>
    <col min="9986" max="9986" width="28.88671875" style="57" customWidth="1"/>
    <col min="9987" max="9987" width="12.6640625" style="57" customWidth="1"/>
    <col min="9988" max="9988" width="7.109375" style="57" customWidth="1"/>
    <col min="9989" max="9989" width="13.6640625" style="57" customWidth="1"/>
    <col min="9990" max="9990" width="10" style="57" customWidth="1"/>
    <col min="9991" max="9991" width="18.44140625" style="57" customWidth="1"/>
    <col min="9992" max="9992" width="7.33203125" style="57" customWidth="1"/>
    <col min="9993" max="10240" width="9.109375" style="57"/>
    <col min="10241" max="10241" width="3.6640625" style="57" customWidth="1"/>
    <col min="10242" max="10242" width="28.88671875" style="57" customWidth="1"/>
    <col min="10243" max="10243" width="12.6640625" style="57" customWidth="1"/>
    <col min="10244" max="10244" width="7.109375" style="57" customWidth="1"/>
    <col min="10245" max="10245" width="13.6640625" style="57" customWidth="1"/>
    <col min="10246" max="10246" width="10" style="57" customWidth="1"/>
    <col min="10247" max="10247" width="18.44140625" style="57" customWidth="1"/>
    <col min="10248" max="10248" width="7.33203125" style="57" customWidth="1"/>
    <col min="10249" max="10496" width="9.109375" style="57"/>
    <col min="10497" max="10497" width="3.6640625" style="57" customWidth="1"/>
    <col min="10498" max="10498" width="28.88671875" style="57" customWidth="1"/>
    <col min="10499" max="10499" width="12.6640625" style="57" customWidth="1"/>
    <col min="10500" max="10500" width="7.109375" style="57" customWidth="1"/>
    <col min="10501" max="10501" width="13.6640625" style="57" customWidth="1"/>
    <col min="10502" max="10502" width="10" style="57" customWidth="1"/>
    <col min="10503" max="10503" width="18.44140625" style="57" customWidth="1"/>
    <col min="10504" max="10504" width="7.33203125" style="57" customWidth="1"/>
    <col min="10505" max="10752" width="9.109375" style="57"/>
    <col min="10753" max="10753" width="3.6640625" style="57" customWidth="1"/>
    <col min="10754" max="10754" width="28.88671875" style="57" customWidth="1"/>
    <col min="10755" max="10755" width="12.6640625" style="57" customWidth="1"/>
    <col min="10756" max="10756" width="7.109375" style="57" customWidth="1"/>
    <col min="10757" max="10757" width="13.6640625" style="57" customWidth="1"/>
    <col min="10758" max="10758" width="10" style="57" customWidth="1"/>
    <col min="10759" max="10759" width="18.44140625" style="57" customWidth="1"/>
    <col min="10760" max="10760" width="7.33203125" style="57" customWidth="1"/>
    <col min="10761" max="11008" width="9.109375" style="57"/>
    <col min="11009" max="11009" width="3.6640625" style="57" customWidth="1"/>
    <col min="11010" max="11010" width="28.88671875" style="57" customWidth="1"/>
    <col min="11011" max="11011" width="12.6640625" style="57" customWidth="1"/>
    <col min="11012" max="11012" width="7.109375" style="57" customWidth="1"/>
    <col min="11013" max="11013" width="13.6640625" style="57" customWidth="1"/>
    <col min="11014" max="11014" width="10" style="57" customWidth="1"/>
    <col min="11015" max="11015" width="18.44140625" style="57" customWidth="1"/>
    <col min="11016" max="11016" width="7.33203125" style="57" customWidth="1"/>
    <col min="11017" max="11264" width="9.109375" style="57"/>
    <col min="11265" max="11265" width="3.6640625" style="57" customWidth="1"/>
    <col min="11266" max="11266" width="28.88671875" style="57" customWidth="1"/>
    <col min="11267" max="11267" width="12.6640625" style="57" customWidth="1"/>
    <col min="11268" max="11268" width="7.109375" style="57" customWidth="1"/>
    <col min="11269" max="11269" width="13.6640625" style="57" customWidth="1"/>
    <col min="11270" max="11270" width="10" style="57" customWidth="1"/>
    <col min="11271" max="11271" width="18.44140625" style="57" customWidth="1"/>
    <col min="11272" max="11272" width="7.33203125" style="57" customWidth="1"/>
    <col min="11273" max="11520" width="9.109375" style="57"/>
    <col min="11521" max="11521" width="3.6640625" style="57" customWidth="1"/>
    <col min="11522" max="11522" width="28.88671875" style="57" customWidth="1"/>
    <col min="11523" max="11523" width="12.6640625" style="57" customWidth="1"/>
    <col min="11524" max="11524" width="7.109375" style="57" customWidth="1"/>
    <col min="11525" max="11525" width="13.6640625" style="57" customWidth="1"/>
    <col min="11526" max="11526" width="10" style="57" customWidth="1"/>
    <col min="11527" max="11527" width="18.44140625" style="57" customWidth="1"/>
    <col min="11528" max="11528" width="7.33203125" style="57" customWidth="1"/>
    <col min="11529" max="11776" width="9.109375" style="57"/>
    <col min="11777" max="11777" width="3.6640625" style="57" customWidth="1"/>
    <col min="11778" max="11778" width="28.88671875" style="57" customWidth="1"/>
    <col min="11779" max="11779" width="12.6640625" style="57" customWidth="1"/>
    <col min="11780" max="11780" width="7.109375" style="57" customWidth="1"/>
    <col min="11781" max="11781" width="13.6640625" style="57" customWidth="1"/>
    <col min="11782" max="11782" width="10" style="57" customWidth="1"/>
    <col min="11783" max="11783" width="18.44140625" style="57" customWidth="1"/>
    <col min="11784" max="11784" width="7.33203125" style="57" customWidth="1"/>
    <col min="11785" max="12032" width="9.109375" style="57"/>
    <col min="12033" max="12033" width="3.6640625" style="57" customWidth="1"/>
    <col min="12034" max="12034" width="28.88671875" style="57" customWidth="1"/>
    <col min="12035" max="12035" width="12.6640625" style="57" customWidth="1"/>
    <col min="12036" max="12036" width="7.109375" style="57" customWidth="1"/>
    <col min="12037" max="12037" width="13.6640625" style="57" customWidth="1"/>
    <col min="12038" max="12038" width="10" style="57" customWidth="1"/>
    <col min="12039" max="12039" width="18.44140625" style="57" customWidth="1"/>
    <col min="12040" max="12040" width="7.33203125" style="57" customWidth="1"/>
    <col min="12041" max="12288" width="9.109375" style="57"/>
    <col min="12289" max="12289" width="3.6640625" style="57" customWidth="1"/>
    <col min="12290" max="12290" width="28.88671875" style="57" customWidth="1"/>
    <col min="12291" max="12291" width="12.6640625" style="57" customWidth="1"/>
    <col min="12292" max="12292" width="7.109375" style="57" customWidth="1"/>
    <col min="12293" max="12293" width="13.6640625" style="57" customWidth="1"/>
    <col min="12294" max="12294" width="10" style="57" customWidth="1"/>
    <col min="12295" max="12295" width="18.44140625" style="57" customWidth="1"/>
    <col min="12296" max="12296" width="7.33203125" style="57" customWidth="1"/>
    <col min="12297" max="12544" width="9.109375" style="57"/>
    <col min="12545" max="12545" width="3.6640625" style="57" customWidth="1"/>
    <col min="12546" max="12546" width="28.88671875" style="57" customWidth="1"/>
    <col min="12547" max="12547" width="12.6640625" style="57" customWidth="1"/>
    <col min="12548" max="12548" width="7.109375" style="57" customWidth="1"/>
    <col min="12549" max="12549" width="13.6640625" style="57" customWidth="1"/>
    <col min="12550" max="12550" width="10" style="57" customWidth="1"/>
    <col min="12551" max="12551" width="18.44140625" style="57" customWidth="1"/>
    <col min="12552" max="12552" width="7.33203125" style="57" customWidth="1"/>
    <col min="12553" max="12800" width="9.109375" style="57"/>
    <col min="12801" max="12801" width="3.6640625" style="57" customWidth="1"/>
    <col min="12802" max="12802" width="28.88671875" style="57" customWidth="1"/>
    <col min="12803" max="12803" width="12.6640625" style="57" customWidth="1"/>
    <col min="12804" max="12804" width="7.109375" style="57" customWidth="1"/>
    <col min="12805" max="12805" width="13.6640625" style="57" customWidth="1"/>
    <col min="12806" max="12806" width="10" style="57" customWidth="1"/>
    <col min="12807" max="12807" width="18.44140625" style="57" customWidth="1"/>
    <col min="12808" max="12808" width="7.33203125" style="57" customWidth="1"/>
    <col min="12809" max="13056" width="9.109375" style="57"/>
    <col min="13057" max="13057" width="3.6640625" style="57" customWidth="1"/>
    <col min="13058" max="13058" width="28.88671875" style="57" customWidth="1"/>
    <col min="13059" max="13059" width="12.6640625" style="57" customWidth="1"/>
    <col min="13060" max="13060" width="7.109375" style="57" customWidth="1"/>
    <col min="13061" max="13061" width="13.6640625" style="57" customWidth="1"/>
    <col min="13062" max="13062" width="10" style="57" customWidth="1"/>
    <col min="13063" max="13063" width="18.44140625" style="57" customWidth="1"/>
    <col min="13064" max="13064" width="7.33203125" style="57" customWidth="1"/>
    <col min="13065" max="13312" width="9.109375" style="57"/>
    <col min="13313" max="13313" width="3.6640625" style="57" customWidth="1"/>
    <col min="13314" max="13314" width="28.88671875" style="57" customWidth="1"/>
    <col min="13315" max="13315" width="12.6640625" style="57" customWidth="1"/>
    <col min="13316" max="13316" width="7.109375" style="57" customWidth="1"/>
    <col min="13317" max="13317" width="13.6640625" style="57" customWidth="1"/>
    <col min="13318" max="13318" width="10" style="57" customWidth="1"/>
    <col min="13319" max="13319" width="18.44140625" style="57" customWidth="1"/>
    <col min="13320" max="13320" width="7.33203125" style="57" customWidth="1"/>
    <col min="13321" max="13568" width="9.109375" style="57"/>
    <col min="13569" max="13569" width="3.6640625" style="57" customWidth="1"/>
    <col min="13570" max="13570" width="28.88671875" style="57" customWidth="1"/>
    <col min="13571" max="13571" width="12.6640625" style="57" customWidth="1"/>
    <col min="13572" max="13572" width="7.109375" style="57" customWidth="1"/>
    <col min="13573" max="13573" width="13.6640625" style="57" customWidth="1"/>
    <col min="13574" max="13574" width="10" style="57" customWidth="1"/>
    <col min="13575" max="13575" width="18.44140625" style="57" customWidth="1"/>
    <col min="13576" max="13576" width="7.33203125" style="57" customWidth="1"/>
    <col min="13577" max="13824" width="9.109375" style="57"/>
    <col min="13825" max="13825" width="3.6640625" style="57" customWidth="1"/>
    <col min="13826" max="13826" width="28.88671875" style="57" customWidth="1"/>
    <col min="13827" max="13827" width="12.6640625" style="57" customWidth="1"/>
    <col min="13828" max="13828" width="7.109375" style="57" customWidth="1"/>
    <col min="13829" max="13829" width="13.6640625" style="57" customWidth="1"/>
    <col min="13830" max="13830" width="10" style="57" customWidth="1"/>
    <col min="13831" max="13831" width="18.44140625" style="57" customWidth="1"/>
    <col min="13832" max="13832" width="7.33203125" style="57" customWidth="1"/>
    <col min="13833" max="14080" width="9.109375" style="57"/>
    <col min="14081" max="14081" width="3.6640625" style="57" customWidth="1"/>
    <col min="14082" max="14082" width="28.88671875" style="57" customWidth="1"/>
    <col min="14083" max="14083" width="12.6640625" style="57" customWidth="1"/>
    <col min="14084" max="14084" width="7.109375" style="57" customWidth="1"/>
    <col min="14085" max="14085" width="13.6640625" style="57" customWidth="1"/>
    <col min="14086" max="14086" width="10" style="57" customWidth="1"/>
    <col min="14087" max="14087" width="18.44140625" style="57" customWidth="1"/>
    <col min="14088" max="14088" width="7.33203125" style="57" customWidth="1"/>
    <col min="14089" max="14336" width="9.109375" style="57"/>
    <col min="14337" max="14337" width="3.6640625" style="57" customWidth="1"/>
    <col min="14338" max="14338" width="28.88671875" style="57" customWidth="1"/>
    <col min="14339" max="14339" width="12.6640625" style="57" customWidth="1"/>
    <col min="14340" max="14340" width="7.109375" style="57" customWidth="1"/>
    <col min="14341" max="14341" width="13.6640625" style="57" customWidth="1"/>
    <col min="14342" max="14342" width="10" style="57" customWidth="1"/>
    <col min="14343" max="14343" width="18.44140625" style="57" customWidth="1"/>
    <col min="14344" max="14344" width="7.33203125" style="57" customWidth="1"/>
    <col min="14345" max="14592" width="9.109375" style="57"/>
    <col min="14593" max="14593" width="3.6640625" style="57" customWidth="1"/>
    <col min="14594" max="14594" width="28.88671875" style="57" customWidth="1"/>
    <col min="14595" max="14595" width="12.6640625" style="57" customWidth="1"/>
    <col min="14596" max="14596" width="7.109375" style="57" customWidth="1"/>
    <col min="14597" max="14597" width="13.6640625" style="57" customWidth="1"/>
    <col min="14598" max="14598" width="10" style="57" customWidth="1"/>
    <col min="14599" max="14599" width="18.44140625" style="57" customWidth="1"/>
    <col min="14600" max="14600" width="7.33203125" style="57" customWidth="1"/>
    <col min="14601" max="14848" width="9.109375" style="57"/>
    <col min="14849" max="14849" width="3.6640625" style="57" customWidth="1"/>
    <col min="14850" max="14850" width="28.88671875" style="57" customWidth="1"/>
    <col min="14851" max="14851" width="12.6640625" style="57" customWidth="1"/>
    <col min="14852" max="14852" width="7.109375" style="57" customWidth="1"/>
    <col min="14853" max="14853" width="13.6640625" style="57" customWidth="1"/>
    <col min="14854" max="14854" width="10" style="57" customWidth="1"/>
    <col min="14855" max="14855" width="18.44140625" style="57" customWidth="1"/>
    <col min="14856" max="14856" width="7.33203125" style="57" customWidth="1"/>
    <col min="14857" max="15104" width="9.109375" style="57"/>
    <col min="15105" max="15105" width="3.6640625" style="57" customWidth="1"/>
    <col min="15106" max="15106" width="28.88671875" style="57" customWidth="1"/>
    <col min="15107" max="15107" width="12.6640625" style="57" customWidth="1"/>
    <col min="15108" max="15108" width="7.109375" style="57" customWidth="1"/>
    <col min="15109" max="15109" width="13.6640625" style="57" customWidth="1"/>
    <col min="15110" max="15110" width="10" style="57" customWidth="1"/>
    <col min="15111" max="15111" width="18.44140625" style="57" customWidth="1"/>
    <col min="15112" max="15112" width="7.33203125" style="57" customWidth="1"/>
    <col min="15113" max="15360" width="9.109375" style="57"/>
    <col min="15361" max="15361" width="3.6640625" style="57" customWidth="1"/>
    <col min="15362" max="15362" width="28.88671875" style="57" customWidth="1"/>
    <col min="15363" max="15363" width="12.6640625" style="57" customWidth="1"/>
    <col min="15364" max="15364" width="7.109375" style="57" customWidth="1"/>
    <col min="15365" max="15365" width="13.6640625" style="57" customWidth="1"/>
    <col min="15366" max="15366" width="10" style="57" customWidth="1"/>
    <col min="15367" max="15367" width="18.44140625" style="57" customWidth="1"/>
    <col min="15368" max="15368" width="7.33203125" style="57" customWidth="1"/>
    <col min="15369" max="15616" width="9.109375" style="57"/>
    <col min="15617" max="15617" width="3.6640625" style="57" customWidth="1"/>
    <col min="15618" max="15618" width="28.88671875" style="57" customWidth="1"/>
    <col min="15619" max="15619" width="12.6640625" style="57" customWidth="1"/>
    <col min="15620" max="15620" width="7.109375" style="57" customWidth="1"/>
    <col min="15621" max="15621" width="13.6640625" style="57" customWidth="1"/>
    <col min="15622" max="15622" width="10" style="57" customWidth="1"/>
    <col min="15623" max="15623" width="18.44140625" style="57" customWidth="1"/>
    <col min="15624" max="15624" width="7.33203125" style="57" customWidth="1"/>
    <col min="15625" max="15872" width="9.109375" style="57"/>
    <col min="15873" max="15873" width="3.6640625" style="57" customWidth="1"/>
    <col min="15874" max="15874" width="28.88671875" style="57" customWidth="1"/>
    <col min="15875" max="15875" width="12.6640625" style="57" customWidth="1"/>
    <col min="15876" max="15876" width="7.109375" style="57" customWidth="1"/>
    <col min="15877" max="15877" width="13.6640625" style="57" customWidth="1"/>
    <col min="15878" max="15878" width="10" style="57" customWidth="1"/>
    <col min="15879" max="15879" width="18.44140625" style="57" customWidth="1"/>
    <col min="15880" max="15880" width="7.33203125" style="57" customWidth="1"/>
    <col min="15881" max="16128" width="9.109375" style="57"/>
    <col min="16129" max="16129" width="3.6640625" style="57" customWidth="1"/>
    <col min="16130" max="16130" width="28.88671875" style="57" customWidth="1"/>
    <col min="16131" max="16131" width="12.6640625" style="57" customWidth="1"/>
    <col min="16132" max="16132" width="7.109375" style="57" customWidth="1"/>
    <col min="16133" max="16133" width="13.6640625" style="57" customWidth="1"/>
    <col min="16134" max="16134" width="10" style="57" customWidth="1"/>
    <col min="16135" max="16135" width="18.44140625" style="57" customWidth="1"/>
    <col min="16136" max="16136" width="7.33203125" style="57" customWidth="1"/>
    <col min="16137" max="16384" width="9.109375" style="57"/>
  </cols>
  <sheetData>
    <row r="1" spans="1:7" ht="30.6">
      <c r="A1" s="55"/>
      <c r="B1" s="250" t="s">
        <v>381</v>
      </c>
      <c r="F1" s="58"/>
    </row>
    <row r="2" spans="1:7" ht="23.25" customHeight="1">
      <c r="A2" s="59"/>
      <c r="F2" s="59"/>
      <c r="G2" s="227"/>
    </row>
    <row r="3" spans="1:7">
      <c r="A3" s="61"/>
      <c r="B3" s="62"/>
      <c r="C3" s="240"/>
      <c r="D3" s="240"/>
      <c r="E3" s="240"/>
      <c r="F3" s="241"/>
      <c r="G3" s="66"/>
    </row>
    <row r="4" spans="1:7" ht="15.75" customHeight="1" thickBot="1">
      <c r="A4" s="61"/>
      <c r="B4" s="242" t="s">
        <v>264</v>
      </c>
      <c r="C4" s="307"/>
      <c r="D4" s="307"/>
      <c r="E4" s="307"/>
      <c r="F4" s="308"/>
    </row>
    <row r="5" spans="1:7" ht="15" thickBot="1">
      <c r="A5" s="61"/>
      <c r="B5" s="64" t="s">
        <v>265</v>
      </c>
      <c r="C5" s="309"/>
      <c r="D5" s="310"/>
      <c r="E5" s="310"/>
      <c r="F5" s="311"/>
    </row>
    <row r="6" spans="1:7" ht="15" thickBot="1">
      <c r="A6" s="61"/>
      <c r="B6" s="64" t="s">
        <v>399</v>
      </c>
      <c r="C6" s="272"/>
      <c r="D6" s="321"/>
      <c r="E6" s="321"/>
      <c r="F6" s="272"/>
    </row>
    <row r="7" spans="1:7" ht="15.75" customHeight="1">
      <c r="A7" s="67"/>
      <c r="B7" s="243" t="s">
        <v>266</v>
      </c>
      <c r="C7" s="312"/>
      <c r="D7" s="313"/>
      <c r="E7" s="313"/>
      <c r="F7" s="314"/>
    </row>
    <row r="8" spans="1:7" ht="13.8">
      <c r="A8" s="67"/>
      <c r="B8" s="243" t="s">
        <v>267</v>
      </c>
      <c r="C8" s="315"/>
      <c r="D8" s="316"/>
      <c r="E8" s="316"/>
      <c r="F8" s="317"/>
    </row>
    <row r="9" spans="1:7">
      <c r="A9" s="67"/>
      <c r="B9" s="244" t="s">
        <v>268</v>
      </c>
      <c r="C9" s="318"/>
      <c r="D9" s="319"/>
      <c r="E9" s="319"/>
      <c r="F9" s="320"/>
    </row>
    <row r="10" spans="1:7" ht="14.4">
      <c r="A10" s="67"/>
      <c r="B10" s="68"/>
      <c r="C10"/>
      <c r="D10"/>
      <c r="E10"/>
      <c r="F10"/>
    </row>
    <row r="11" spans="1:7" ht="13.8" thickBot="1">
      <c r="A11" s="67" t="s">
        <v>269</v>
      </c>
      <c r="B11" s="69" t="s">
        <v>270</v>
      </c>
      <c r="C11" s="70"/>
      <c r="D11" s="68"/>
      <c r="E11" s="71"/>
      <c r="F11" s="72"/>
      <c r="G11" s="237">
        <v>43000</v>
      </c>
    </row>
    <row r="12" spans="1:7" ht="14.4" thickTop="1" thickBot="1">
      <c r="A12" s="67"/>
      <c r="B12" s="74"/>
      <c r="C12" s="279"/>
      <c r="D12" s="76"/>
      <c r="E12" s="77"/>
      <c r="F12" s="78"/>
      <c r="G12" s="79" t="s">
        <v>272</v>
      </c>
    </row>
    <row r="13" spans="1:7">
      <c r="A13" s="67"/>
      <c r="B13" s="74"/>
      <c r="C13" s="68"/>
      <c r="D13" s="80"/>
      <c r="E13" s="81" t="s">
        <v>273</v>
      </c>
      <c r="F13" s="82" t="s">
        <v>274</v>
      </c>
      <c r="G13" s="79"/>
    </row>
    <row r="14" spans="1:7">
      <c r="A14" s="67" t="s">
        <v>272</v>
      </c>
      <c r="B14" s="83" t="s">
        <v>275</v>
      </c>
      <c r="C14" s="229">
        <v>0.03</v>
      </c>
      <c r="D14" s="85" t="s">
        <v>276</v>
      </c>
      <c r="E14" s="86">
        <f>(G11*C14)*70%</f>
        <v>902.99999999999989</v>
      </c>
      <c r="F14" s="87">
        <f>E14*0.12</f>
        <v>108.35999999999999</v>
      </c>
      <c r="G14" s="88">
        <f>G11*C14*C15</f>
        <v>0</v>
      </c>
    </row>
    <row r="15" spans="1:7" ht="13.8" thickBot="1">
      <c r="A15" s="67" t="s">
        <v>269</v>
      </c>
      <c r="B15" s="89" t="s">
        <v>277</v>
      </c>
      <c r="C15" s="228"/>
      <c r="D15" s="85" t="s">
        <v>278</v>
      </c>
      <c r="E15" s="86">
        <f>(G11*C14)*30%</f>
        <v>387</v>
      </c>
      <c r="F15" s="87">
        <f>E15*0.12</f>
        <v>46.44</v>
      </c>
      <c r="G15" s="91">
        <f>G14*12/100</f>
        <v>0</v>
      </c>
    </row>
    <row r="16" spans="1:7">
      <c r="A16" s="67"/>
      <c r="B16" s="92"/>
      <c r="D16" s="233" t="s">
        <v>276</v>
      </c>
      <c r="E16" s="234">
        <f>E14+F14</f>
        <v>1011.3599999999999</v>
      </c>
      <c r="F16" s="94"/>
      <c r="G16" s="95">
        <f>SUM(G14:G15)</f>
        <v>0</v>
      </c>
    </row>
    <row r="17" spans="1:8" ht="13.8" thickBot="1">
      <c r="A17" s="68"/>
      <c r="B17" s="68"/>
      <c r="C17" s="68"/>
      <c r="D17" s="235" t="s">
        <v>278</v>
      </c>
      <c r="E17" s="236">
        <f>E15+F15</f>
        <v>433.44</v>
      </c>
      <c r="F17" s="97"/>
      <c r="G17" s="98"/>
    </row>
    <row r="18" spans="1:8" ht="15.6">
      <c r="A18" s="67" t="s">
        <v>269</v>
      </c>
      <c r="B18" s="99" t="s">
        <v>279</v>
      </c>
      <c r="C18" s="100"/>
      <c r="D18" s="100"/>
      <c r="E18" s="68"/>
      <c r="F18" s="72"/>
      <c r="G18" s="101"/>
    </row>
    <row r="19" spans="1:8" ht="23.25" customHeight="1">
      <c r="A19" s="67"/>
      <c r="B19" s="102"/>
      <c r="C19" s="92" t="s">
        <v>392</v>
      </c>
      <c r="D19" s="68"/>
      <c r="E19" s="68"/>
      <c r="F19" s="72"/>
      <c r="G19" s="101"/>
    </row>
    <row r="20" spans="1:8">
      <c r="A20" s="67"/>
      <c r="B20" s="103" t="s">
        <v>280</v>
      </c>
      <c r="C20" s="256" t="s">
        <v>394</v>
      </c>
      <c r="D20" s="68"/>
      <c r="E20" s="229">
        <v>0.04</v>
      </c>
      <c r="F20" s="230">
        <f>G11*E20</f>
        <v>1720</v>
      </c>
      <c r="G20" s="105"/>
      <c r="H20" s="106"/>
    </row>
    <row r="21" spans="1:8" s="109" customFormat="1">
      <c r="A21" s="107"/>
      <c r="B21" s="74" t="s">
        <v>281</v>
      </c>
      <c r="C21" s="256" t="s">
        <v>394</v>
      </c>
      <c r="D21" s="68"/>
      <c r="E21" s="229">
        <v>0.01</v>
      </c>
      <c r="F21" s="230">
        <f>(G11)*E21</f>
        <v>430</v>
      </c>
      <c r="G21" s="108"/>
    </row>
    <row r="22" spans="1:8" s="109" customFormat="1">
      <c r="A22" s="107"/>
      <c r="B22" s="74" t="s">
        <v>282</v>
      </c>
      <c r="C22" s="256" t="s">
        <v>393</v>
      </c>
      <c r="D22" s="68"/>
      <c r="E22" s="229">
        <v>0</v>
      </c>
      <c r="F22" s="230">
        <f>G11*E22</f>
        <v>0</v>
      </c>
      <c r="G22" s="108"/>
    </row>
    <row r="23" spans="1:8" s="109" customFormat="1">
      <c r="A23" s="107"/>
      <c r="B23" s="74" t="s">
        <v>283</v>
      </c>
      <c r="C23" s="256" t="s">
        <v>393</v>
      </c>
      <c r="D23" s="68"/>
      <c r="E23" s="229"/>
      <c r="F23" s="230">
        <v>0</v>
      </c>
      <c r="G23" s="108"/>
    </row>
    <row r="24" spans="1:8" s="109" customFormat="1">
      <c r="A24" s="107"/>
      <c r="B24" s="74" t="s">
        <v>123</v>
      </c>
      <c r="C24" s="256" t="s">
        <v>393</v>
      </c>
      <c r="D24" s="68"/>
      <c r="E24" s="229"/>
      <c r="F24" s="230">
        <v>0</v>
      </c>
      <c r="G24" s="108"/>
    </row>
    <row r="25" spans="1:8" s="109" customFormat="1">
      <c r="A25" s="107"/>
      <c r="B25" s="74" t="s">
        <v>405</v>
      </c>
      <c r="C25" s="256" t="s">
        <v>394</v>
      </c>
      <c r="D25" s="68"/>
      <c r="E25" s="229"/>
      <c r="F25" s="230">
        <f>'Cotizador interno'!K17</f>
        <v>245.00000000000003</v>
      </c>
      <c r="G25" s="108"/>
      <c r="H25" s="110"/>
    </row>
    <row r="26" spans="1:8" s="109" customFormat="1">
      <c r="A26" s="107"/>
      <c r="B26" s="74" t="s">
        <v>400</v>
      </c>
      <c r="C26" s="256" t="s">
        <v>394</v>
      </c>
      <c r="D26" s="68"/>
      <c r="E26" s="229"/>
      <c r="F26" s="230">
        <f>'Cotizador interno'!K19</f>
        <v>374.78899999999999</v>
      </c>
      <c r="G26" s="108"/>
    </row>
    <row r="27" spans="1:8">
      <c r="A27" s="67"/>
      <c r="B27" s="74" t="s">
        <v>284</v>
      </c>
      <c r="C27" s="256" t="s">
        <v>394</v>
      </c>
      <c r="D27" s="68"/>
      <c r="E27" s="229"/>
      <c r="F27" s="230">
        <v>600</v>
      </c>
    </row>
    <row r="28" spans="1:8">
      <c r="A28" s="67"/>
      <c r="B28" s="74" t="s">
        <v>413</v>
      </c>
      <c r="C28" s="256" t="s">
        <v>394</v>
      </c>
      <c r="D28" s="68"/>
      <c r="E28" s="229"/>
      <c r="F28" s="230">
        <f>'Cotizador interno'!K25</f>
        <v>1444.8</v>
      </c>
      <c r="G28" s="111">
        <f>F20+F21+F27+F24+F25+F26+F28</f>
        <v>4814.5889999999999</v>
      </c>
      <c r="H28" s="57" t="s">
        <v>286</v>
      </c>
    </row>
    <row r="29" spans="1:8">
      <c r="A29" s="67"/>
      <c r="B29" s="113"/>
      <c r="C29" s="114"/>
      <c r="D29" s="105"/>
      <c r="E29" s="105" t="s">
        <v>272</v>
      </c>
      <c r="F29" s="112"/>
      <c r="G29" s="95"/>
    </row>
    <row r="30" spans="1:8">
      <c r="A30" s="67"/>
      <c r="B30" s="92" t="s">
        <v>287</v>
      </c>
      <c r="C30" s="257"/>
      <c r="D30" s="105"/>
      <c r="E30" s="105"/>
      <c r="F30" s="112"/>
      <c r="G30" s="95"/>
      <c r="H30" s="116"/>
    </row>
    <row r="31" spans="1:8">
      <c r="A31" s="67"/>
      <c r="B31" s="74" t="s">
        <v>288</v>
      </c>
      <c r="C31" s="256" t="s">
        <v>393</v>
      </c>
      <c r="D31" s="68"/>
      <c r="E31" s="229"/>
      <c r="F31" s="230">
        <v>0</v>
      </c>
      <c r="G31" s="95"/>
    </row>
    <row r="32" spans="1:8">
      <c r="A32" s="67"/>
      <c r="B32" s="74" t="s">
        <v>288</v>
      </c>
      <c r="C32" s="256" t="s">
        <v>393</v>
      </c>
      <c r="D32" s="68"/>
      <c r="E32" s="229"/>
      <c r="F32" s="230">
        <v>0</v>
      </c>
      <c r="G32" s="95"/>
    </row>
    <row r="33" spans="1:7">
      <c r="A33" s="67"/>
      <c r="B33" s="74" t="s">
        <v>289</v>
      </c>
      <c r="C33" s="256" t="s">
        <v>393</v>
      </c>
      <c r="D33" s="68"/>
      <c r="E33" s="229"/>
      <c r="F33" s="230">
        <v>0</v>
      </c>
      <c r="G33" s="95"/>
    </row>
    <row r="34" spans="1:7">
      <c r="A34" s="67"/>
      <c r="B34" s="74" t="s">
        <v>410</v>
      </c>
      <c r="C34" s="256" t="s">
        <v>393</v>
      </c>
      <c r="D34" s="68"/>
      <c r="E34" s="229"/>
      <c r="F34" s="230">
        <v>0</v>
      </c>
      <c r="G34" s="95"/>
    </row>
    <row r="35" spans="1:7">
      <c r="A35" s="67"/>
      <c r="B35" s="74" t="s">
        <v>414</v>
      </c>
      <c r="C35" s="256" t="s">
        <v>393</v>
      </c>
      <c r="D35" s="68"/>
      <c r="E35" s="229"/>
      <c r="F35" s="230">
        <v>0</v>
      </c>
      <c r="G35" s="95"/>
    </row>
    <row r="36" spans="1:7">
      <c r="A36" s="67"/>
      <c r="B36" s="74" t="s">
        <v>387</v>
      </c>
      <c r="C36" s="256" t="s">
        <v>394</v>
      </c>
      <c r="D36" s="68"/>
      <c r="E36" s="229"/>
      <c r="F36" s="230">
        <v>1300</v>
      </c>
      <c r="G36" s="95"/>
    </row>
    <row r="37" spans="1:7">
      <c r="A37" s="67"/>
      <c r="B37" s="74" t="s">
        <v>401</v>
      </c>
      <c r="C37" s="256" t="s">
        <v>394</v>
      </c>
      <c r="D37" s="68"/>
      <c r="E37" s="229"/>
      <c r="F37" s="230">
        <v>400</v>
      </c>
      <c r="G37" s="95"/>
    </row>
    <row r="38" spans="1:7">
      <c r="A38" s="67"/>
      <c r="B38" s="113"/>
      <c r="C38" s="258"/>
      <c r="D38" s="71"/>
      <c r="E38" s="68"/>
      <c r="F38" s="72"/>
      <c r="G38" s="111">
        <f>SUM(F31:F37)</f>
        <v>1700</v>
      </c>
    </row>
    <row r="39" spans="1:7">
      <c r="A39" s="67"/>
      <c r="B39" s="113"/>
      <c r="C39" s="118"/>
      <c r="D39" s="71"/>
      <c r="E39" s="68"/>
      <c r="F39" s="72"/>
      <c r="G39" s="95"/>
    </row>
    <row r="40" spans="1:7">
      <c r="A40" s="67"/>
      <c r="B40" s="89" t="s">
        <v>290</v>
      </c>
      <c r="C40" s="119"/>
      <c r="D40" s="120"/>
      <c r="E40" s="68"/>
      <c r="F40" s="72"/>
      <c r="G40" s="95"/>
    </row>
    <row r="41" spans="1:7">
      <c r="A41" s="67"/>
      <c r="B41" s="74" t="str">
        <f>IF(B36="Registro de Garantías Mobiliarias","Contrato de Garantía Mobiliaria","Contrato Leasing")</f>
        <v>Contrato Leasing</v>
      </c>
      <c r="C41" s="256" t="s">
        <v>394</v>
      </c>
      <c r="D41" s="68"/>
      <c r="E41" s="260">
        <v>1</v>
      </c>
      <c r="F41" s="230">
        <v>400</v>
      </c>
      <c r="G41" s="95"/>
    </row>
    <row r="42" spans="1:7">
      <c r="A42" s="67"/>
      <c r="B42" s="74" t="s">
        <v>294</v>
      </c>
      <c r="C42" s="256" t="s">
        <v>393</v>
      </c>
      <c r="D42" s="68"/>
      <c r="E42" s="229"/>
      <c r="F42" s="230">
        <v>0</v>
      </c>
      <c r="G42" s="95"/>
    </row>
    <row r="43" spans="1:7">
      <c r="A43" s="67"/>
      <c r="B43" s="74" t="str">
        <f>IF($B$41="Contrato Leasing","","Contrato de Reconocimiento de Deuda")</f>
        <v/>
      </c>
      <c r="C43" s="259"/>
      <c r="D43" s="68"/>
      <c r="E43" s="232"/>
      <c r="F43" s="231"/>
      <c r="G43" s="95"/>
    </row>
    <row r="44" spans="1:7">
      <c r="A44" s="67"/>
      <c r="B44" s="74" t="str">
        <f>IF($B$41="Contrato Leasing","","Auténtica Mandato")</f>
        <v/>
      </c>
      <c r="C44" s="68"/>
      <c r="D44" s="68"/>
      <c r="E44" s="232"/>
      <c r="F44" s="231"/>
      <c r="G44" s="111">
        <f>SUM(F41:F45)</f>
        <v>400</v>
      </c>
    </row>
    <row r="45" spans="1:7" ht="15" thickBot="1">
      <c r="A45" s="67"/>
      <c r="C45"/>
      <c r="D45"/>
      <c r="E45"/>
      <c r="F45"/>
      <c r="G45" s="95"/>
    </row>
    <row r="46" spans="1:7" ht="17.399999999999999" thickBot="1">
      <c r="A46" s="131"/>
      <c r="B46" s="322" t="s">
        <v>402</v>
      </c>
      <c r="C46" s="323"/>
      <c r="D46" s="68"/>
      <c r="E46" s="132"/>
      <c r="F46" s="67" t="s">
        <v>299</v>
      </c>
      <c r="G46" s="251">
        <f>G28+G38+G44+G16</f>
        <v>6914.5889999999999</v>
      </c>
    </row>
    <row r="47" spans="1:7">
      <c r="A47" s="67"/>
      <c r="B47" s="280" t="s">
        <v>391</v>
      </c>
      <c r="C47" s="281"/>
      <c r="D47" s="134"/>
      <c r="E47" s="105"/>
      <c r="F47" s="135"/>
      <c r="G47" s="95"/>
    </row>
    <row r="48" spans="1:7" ht="16.2" thickBot="1">
      <c r="A48" s="67"/>
      <c r="B48" s="252" t="s">
        <v>389</v>
      </c>
      <c r="C48" s="253"/>
      <c r="D48" s="68"/>
      <c r="E48" s="132"/>
      <c r="F48" s="136" t="s">
        <v>301</v>
      </c>
      <c r="G48" s="239">
        <f>G11-G46</f>
        <v>36085.411</v>
      </c>
    </row>
    <row r="49" spans="1:8" ht="13.8" thickTop="1">
      <c r="A49" s="67"/>
      <c r="B49" s="252" t="s">
        <v>388</v>
      </c>
      <c r="C49" s="254"/>
      <c r="D49" s="68"/>
      <c r="E49" s="68"/>
      <c r="F49" s="68"/>
      <c r="G49" s="238"/>
    </row>
    <row r="50" spans="1:8" ht="16.8">
      <c r="A50" s="67"/>
      <c r="B50" s="92"/>
      <c r="C50" s="255"/>
      <c r="D50" s="68"/>
      <c r="E50" s="68"/>
      <c r="F50" s="137"/>
      <c r="G50" s="133"/>
    </row>
    <row r="51" spans="1:8">
      <c r="A51" s="92"/>
      <c r="B51" s="252" t="s">
        <v>390</v>
      </c>
      <c r="C51" s="253"/>
      <c r="D51" s="134"/>
      <c r="E51" s="134"/>
      <c r="F51" s="134"/>
      <c r="G51" s="88"/>
    </row>
    <row r="52" spans="1:8">
      <c r="A52" s="92"/>
      <c r="B52" s="261" t="s">
        <v>411</v>
      </c>
      <c r="C52" s="261"/>
      <c r="G52" s="138"/>
    </row>
    <row r="53" spans="1:8">
      <c r="A53" s="92"/>
      <c r="B53" s="261" t="s">
        <v>86</v>
      </c>
      <c r="C53" s="261"/>
      <c r="G53" s="138"/>
    </row>
    <row r="54" spans="1:8" ht="14.4">
      <c r="A54" s="67"/>
      <c r="B54" s="305" t="s">
        <v>412</v>
      </c>
      <c r="C54" s="261"/>
      <c r="D54" s="303"/>
      <c r="E54" s="304"/>
      <c r="G54" s="139"/>
    </row>
    <row r="55" spans="1:8" ht="14.4">
      <c r="A55" s="134"/>
      <c r="B55" s="303"/>
      <c r="C55" s="306"/>
      <c r="D55" s="306"/>
      <c r="E55" s="306"/>
      <c r="F55" s="262"/>
      <c r="G55" s="139"/>
    </row>
    <row r="56" spans="1:8" ht="14.4">
      <c r="B56" s="303"/>
      <c r="C56" s="303"/>
      <c r="G56" s="139"/>
      <c r="H56" s="140"/>
    </row>
    <row r="57" spans="1:8" ht="14.4">
      <c r="G57" s="139"/>
    </row>
    <row r="58" spans="1:8" ht="14.4">
      <c r="G58" s="139"/>
    </row>
    <row r="59" spans="1:8" ht="14.4">
      <c r="G59" s="139"/>
    </row>
    <row r="60" spans="1:8" ht="14.4">
      <c r="G60" s="139"/>
    </row>
    <row r="61" spans="1:8" ht="14.4">
      <c r="G61" s="139"/>
    </row>
    <row r="62" spans="1:8" ht="14.4">
      <c r="G62" s="139"/>
    </row>
    <row r="63" spans="1:8" ht="14.4">
      <c r="G63" s="139"/>
    </row>
    <row r="64" spans="1:8" ht="14.4">
      <c r="G64" s="139"/>
    </row>
    <row r="65" spans="7:7" ht="14.4">
      <c r="G65" s="139"/>
    </row>
    <row r="66" spans="7:7" ht="14.4">
      <c r="G66" s="139"/>
    </row>
    <row r="67" spans="7:7" ht="14.4">
      <c r="G67" s="139"/>
    </row>
    <row r="68" spans="7:7" ht="14.4">
      <c r="G68" s="139"/>
    </row>
    <row r="69" spans="7:7" ht="14.4">
      <c r="G69" s="139"/>
    </row>
    <row r="70" spans="7:7" ht="14.4">
      <c r="G70" s="139"/>
    </row>
    <row r="71" spans="7:7" ht="14.4">
      <c r="G71" s="139"/>
    </row>
    <row r="72" spans="7:7" ht="14.4">
      <c r="G72" s="139"/>
    </row>
    <row r="73" spans="7:7" ht="14.4">
      <c r="G73" s="139"/>
    </row>
    <row r="74" spans="7:7" ht="14.4">
      <c r="G74" s="139"/>
    </row>
    <row r="75" spans="7:7" ht="14.4">
      <c r="G75" s="139"/>
    </row>
    <row r="76" spans="7:7" ht="14.4">
      <c r="G76" s="139"/>
    </row>
    <row r="77" spans="7:7" ht="14.4">
      <c r="G77" s="139"/>
    </row>
  </sheetData>
  <mergeCells count="8">
    <mergeCell ref="C55:E55"/>
    <mergeCell ref="C4:F4"/>
    <mergeCell ref="C5:F5"/>
    <mergeCell ref="C7:F7"/>
    <mergeCell ref="C8:F8"/>
    <mergeCell ref="C9:F9"/>
    <mergeCell ref="D6:E6"/>
    <mergeCell ref="B46:C46"/>
  </mergeCells>
  <conditionalFormatting sqref="B20:F20">
    <cfRule type="expression" dxfId="27" priority="20">
      <formula>$C$20="SI"</formula>
    </cfRule>
  </conditionalFormatting>
  <conditionalFormatting sqref="B21:F21">
    <cfRule type="expression" dxfId="26" priority="19">
      <formula>$C$21="SI"</formula>
    </cfRule>
  </conditionalFormatting>
  <conditionalFormatting sqref="B22:F22">
    <cfRule type="expression" dxfId="25" priority="18">
      <formula>$C$22="SI"</formula>
    </cfRule>
  </conditionalFormatting>
  <conditionalFormatting sqref="B23:F23">
    <cfRule type="expression" dxfId="24" priority="17">
      <formula>$C$23="SI"</formula>
    </cfRule>
  </conditionalFormatting>
  <conditionalFormatting sqref="B24:F24">
    <cfRule type="expression" dxfId="23" priority="16">
      <formula>$C$24="SI"</formula>
    </cfRule>
  </conditionalFormatting>
  <conditionalFormatting sqref="B25:F25">
    <cfRule type="expression" dxfId="22" priority="15">
      <formula>$C$25="SI"</formula>
    </cfRule>
  </conditionalFormatting>
  <conditionalFormatting sqref="B26:F26">
    <cfRule type="expression" dxfId="21" priority="14">
      <formula>$C$26="SI"</formula>
    </cfRule>
  </conditionalFormatting>
  <conditionalFormatting sqref="B27:F27">
    <cfRule type="expression" dxfId="20" priority="13">
      <formula>$C$27="SI"</formula>
    </cfRule>
  </conditionalFormatting>
  <conditionalFormatting sqref="B28:F28">
    <cfRule type="expression" dxfId="19" priority="12">
      <formula>$C$28="SI"</formula>
    </cfRule>
  </conditionalFormatting>
  <conditionalFormatting sqref="B31:F31">
    <cfRule type="expression" dxfId="18" priority="11">
      <formula>$C$31="SI"</formula>
    </cfRule>
  </conditionalFormatting>
  <conditionalFormatting sqref="B32:F32">
    <cfRule type="expression" dxfId="17" priority="10">
      <formula>$C$32="SI"</formula>
    </cfRule>
  </conditionalFormatting>
  <conditionalFormatting sqref="B33:F33">
    <cfRule type="expression" dxfId="16" priority="9">
      <formula>$C$33="SI"</formula>
    </cfRule>
  </conditionalFormatting>
  <conditionalFormatting sqref="B34:F34">
    <cfRule type="expression" dxfId="15" priority="8">
      <formula>$C$34="SI"</formula>
    </cfRule>
  </conditionalFormatting>
  <conditionalFormatting sqref="B35:F35">
    <cfRule type="expression" dxfId="14" priority="7">
      <formula>$C$35="SI"</formula>
    </cfRule>
  </conditionalFormatting>
  <conditionalFormatting sqref="B36:F36">
    <cfRule type="expression" dxfId="13" priority="6">
      <formula>$C$36="SI"</formula>
    </cfRule>
  </conditionalFormatting>
  <conditionalFormatting sqref="B37:F37">
    <cfRule type="expression" dxfId="12" priority="5">
      <formula>$C$37="SI"</formula>
    </cfRule>
  </conditionalFormatting>
  <conditionalFormatting sqref="B41:F41">
    <cfRule type="expression" dxfId="11" priority="4">
      <formula>$C$41="SI"</formula>
    </cfRule>
  </conditionalFormatting>
  <conditionalFormatting sqref="B42:F42">
    <cfRule type="expression" dxfId="10" priority="3">
      <formula>$C$42="SI"</formula>
    </cfRule>
  </conditionalFormatting>
  <conditionalFormatting sqref="F55">
    <cfRule type="cellIs" dxfId="9" priority="1" operator="equal">
      <formula>"NO"</formula>
    </cfRule>
    <cfRule type="expression" dxfId="8" priority="2">
      <formula>$F$55="SI"</formula>
    </cfRule>
  </conditionalFormatting>
  <dataValidations count="2">
    <dataValidation type="list" allowBlank="1" showInputMessage="1" showErrorMessage="1" sqref="B36">
      <formula1>"Traspaso de vehículo, Registro de Garantías Mobiliarias"</formula1>
    </dataValidation>
    <dataValidation type="list" allowBlank="1" showInputMessage="1" showErrorMessage="1" sqref="C20:C28 C31:C37 C41:C42 F55">
      <formula1>"SI,NO"</formula1>
    </dataValidation>
  </dataValidations>
  <pageMargins left="0.74803149606299213" right="0.74803149606299213" top="0.98425196850393704" bottom="0.83" header="0.31496062992125984" footer="0.19685039370078741"/>
  <pageSetup paperSize="5" scale="85" orientation="portrait" r:id="rId1"/>
  <headerFooter alignWithMargins="0">
    <oddHeader>&amp;L&amp;G</oddHeader>
    <oddFooter>&amp;L&amp;G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C000"/>
  </sheetPr>
  <dimension ref="A1:F33"/>
  <sheetViews>
    <sheetView showGridLines="0" view="pageLayout" topLeftCell="A10" zoomScaleNormal="100" zoomScaleSheetLayoutView="100" workbookViewId="0">
      <selection activeCell="B30" sqref="B30:E30"/>
    </sheetView>
  </sheetViews>
  <sheetFormatPr baseColWidth="10" defaultColWidth="9.109375" defaultRowHeight="13.2"/>
  <cols>
    <col min="1" max="1" width="9.109375" style="57"/>
    <col min="2" max="2" width="37.33203125" style="57" customWidth="1"/>
    <col min="3" max="3" width="12.44140625" style="57" customWidth="1"/>
    <col min="4" max="4" width="17.6640625" style="57" customWidth="1"/>
    <col min="5" max="5" width="4.33203125" style="57" customWidth="1"/>
    <col min="6" max="6" width="12.6640625" style="57" customWidth="1"/>
    <col min="7" max="7" width="17.6640625" style="57" customWidth="1"/>
    <col min="8" max="257" width="9.109375" style="57"/>
    <col min="258" max="258" width="37.33203125" style="57" customWidth="1"/>
    <col min="259" max="259" width="12.44140625" style="57" customWidth="1"/>
    <col min="260" max="260" width="17.6640625" style="57" customWidth="1"/>
    <col min="261" max="261" width="4.33203125" style="57" customWidth="1"/>
    <col min="262" max="262" width="12.6640625" style="57" customWidth="1"/>
    <col min="263" max="263" width="17.6640625" style="57" customWidth="1"/>
    <col min="264" max="513" width="9.109375" style="57"/>
    <col min="514" max="514" width="37.33203125" style="57" customWidth="1"/>
    <col min="515" max="515" width="12.44140625" style="57" customWidth="1"/>
    <col min="516" max="516" width="17.6640625" style="57" customWidth="1"/>
    <col min="517" max="517" width="4.33203125" style="57" customWidth="1"/>
    <col min="518" max="518" width="12.6640625" style="57" customWidth="1"/>
    <col min="519" max="519" width="17.6640625" style="57" customWidth="1"/>
    <col min="520" max="769" width="9.109375" style="57"/>
    <col min="770" max="770" width="37.33203125" style="57" customWidth="1"/>
    <col min="771" max="771" width="12.44140625" style="57" customWidth="1"/>
    <col min="772" max="772" width="17.6640625" style="57" customWidth="1"/>
    <col min="773" max="773" width="4.33203125" style="57" customWidth="1"/>
    <col min="774" max="774" width="12.6640625" style="57" customWidth="1"/>
    <col min="775" max="775" width="17.6640625" style="57" customWidth="1"/>
    <col min="776" max="1025" width="9.109375" style="57"/>
    <col min="1026" max="1026" width="37.33203125" style="57" customWidth="1"/>
    <col min="1027" max="1027" width="12.44140625" style="57" customWidth="1"/>
    <col min="1028" max="1028" width="17.6640625" style="57" customWidth="1"/>
    <col min="1029" max="1029" width="4.33203125" style="57" customWidth="1"/>
    <col min="1030" max="1030" width="12.6640625" style="57" customWidth="1"/>
    <col min="1031" max="1031" width="17.6640625" style="57" customWidth="1"/>
    <col min="1032" max="1281" width="9.109375" style="57"/>
    <col min="1282" max="1282" width="37.33203125" style="57" customWidth="1"/>
    <col min="1283" max="1283" width="12.44140625" style="57" customWidth="1"/>
    <col min="1284" max="1284" width="17.6640625" style="57" customWidth="1"/>
    <col min="1285" max="1285" width="4.33203125" style="57" customWidth="1"/>
    <col min="1286" max="1286" width="12.6640625" style="57" customWidth="1"/>
    <col min="1287" max="1287" width="17.6640625" style="57" customWidth="1"/>
    <col min="1288" max="1537" width="9.109375" style="57"/>
    <col min="1538" max="1538" width="37.33203125" style="57" customWidth="1"/>
    <col min="1539" max="1539" width="12.44140625" style="57" customWidth="1"/>
    <col min="1540" max="1540" width="17.6640625" style="57" customWidth="1"/>
    <col min="1541" max="1541" width="4.33203125" style="57" customWidth="1"/>
    <col min="1542" max="1542" width="12.6640625" style="57" customWidth="1"/>
    <col min="1543" max="1543" width="17.6640625" style="57" customWidth="1"/>
    <col min="1544" max="1793" width="9.109375" style="57"/>
    <col min="1794" max="1794" width="37.33203125" style="57" customWidth="1"/>
    <col min="1795" max="1795" width="12.44140625" style="57" customWidth="1"/>
    <col min="1796" max="1796" width="17.6640625" style="57" customWidth="1"/>
    <col min="1797" max="1797" width="4.33203125" style="57" customWidth="1"/>
    <col min="1798" max="1798" width="12.6640625" style="57" customWidth="1"/>
    <col min="1799" max="1799" width="17.6640625" style="57" customWidth="1"/>
    <col min="1800" max="2049" width="9.109375" style="57"/>
    <col min="2050" max="2050" width="37.33203125" style="57" customWidth="1"/>
    <col min="2051" max="2051" width="12.44140625" style="57" customWidth="1"/>
    <col min="2052" max="2052" width="17.6640625" style="57" customWidth="1"/>
    <col min="2053" max="2053" width="4.33203125" style="57" customWidth="1"/>
    <col min="2054" max="2054" width="12.6640625" style="57" customWidth="1"/>
    <col min="2055" max="2055" width="17.6640625" style="57" customWidth="1"/>
    <col min="2056" max="2305" width="9.109375" style="57"/>
    <col min="2306" max="2306" width="37.33203125" style="57" customWidth="1"/>
    <col min="2307" max="2307" width="12.44140625" style="57" customWidth="1"/>
    <col min="2308" max="2308" width="17.6640625" style="57" customWidth="1"/>
    <col min="2309" max="2309" width="4.33203125" style="57" customWidth="1"/>
    <col min="2310" max="2310" width="12.6640625" style="57" customWidth="1"/>
    <col min="2311" max="2311" width="17.6640625" style="57" customWidth="1"/>
    <col min="2312" max="2561" width="9.109375" style="57"/>
    <col min="2562" max="2562" width="37.33203125" style="57" customWidth="1"/>
    <col min="2563" max="2563" width="12.44140625" style="57" customWidth="1"/>
    <col min="2564" max="2564" width="17.6640625" style="57" customWidth="1"/>
    <col min="2565" max="2565" width="4.33203125" style="57" customWidth="1"/>
    <col min="2566" max="2566" width="12.6640625" style="57" customWidth="1"/>
    <col min="2567" max="2567" width="17.6640625" style="57" customWidth="1"/>
    <col min="2568" max="2817" width="9.109375" style="57"/>
    <col min="2818" max="2818" width="37.33203125" style="57" customWidth="1"/>
    <col min="2819" max="2819" width="12.44140625" style="57" customWidth="1"/>
    <col min="2820" max="2820" width="17.6640625" style="57" customWidth="1"/>
    <col min="2821" max="2821" width="4.33203125" style="57" customWidth="1"/>
    <col min="2822" max="2822" width="12.6640625" style="57" customWidth="1"/>
    <col min="2823" max="2823" width="17.6640625" style="57" customWidth="1"/>
    <col min="2824" max="3073" width="9.109375" style="57"/>
    <col min="3074" max="3074" width="37.33203125" style="57" customWidth="1"/>
    <col min="3075" max="3075" width="12.44140625" style="57" customWidth="1"/>
    <col min="3076" max="3076" width="17.6640625" style="57" customWidth="1"/>
    <col min="3077" max="3077" width="4.33203125" style="57" customWidth="1"/>
    <col min="3078" max="3078" width="12.6640625" style="57" customWidth="1"/>
    <col min="3079" max="3079" width="17.6640625" style="57" customWidth="1"/>
    <col min="3080" max="3329" width="9.109375" style="57"/>
    <col min="3330" max="3330" width="37.33203125" style="57" customWidth="1"/>
    <col min="3331" max="3331" width="12.44140625" style="57" customWidth="1"/>
    <col min="3332" max="3332" width="17.6640625" style="57" customWidth="1"/>
    <col min="3333" max="3333" width="4.33203125" style="57" customWidth="1"/>
    <col min="3334" max="3334" width="12.6640625" style="57" customWidth="1"/>
    <col min="3335" max="3335" width="17.6640625" style="57" customWidth="1"/>
    <col min="3336" max="3585" width="9.109375" style="57"/>
    <col min="3586" max="3586" width="37.33203125" style="57" customWidth="1"/>
    <col min="3587" max="3587" width="12.44140625" style="57" customWidth="1"/>
    <col min="3588" max="3588" width="17.6640625" style="57" customWidth="1"/>
    <col min="3589" max="3589" width="4.33203125" style="57" customWidth="1"/>
    <col min="3590" max="3590" width="12.6640625" style="57" customWidth="1"/>
    <col min="3591" max="3591" width="17.6640625" style="57" customWidth="1"/>
    <col min="3592" max="3841" width="9.109375" style="57"/>
    <col min="3842" max="3842" width="37.33203125" style="57" customWidth="1"/>
    <col min="3843" max="3843" width="12.44140625" style="57" customWidth="1"/>
    <col min="3844" max="3844" width="17.6640625" style="57" customWidth="1"/>
    <col min="3845" max="3845" width="4.33203125" style="57" customWidth="1"/>
    <col min="3846" max="3846" width="12.6640625" style="57" customWidth="1"/>
    <col min="3847" max="3847" width="17.6640625" style="57" customWidth="1"/>
    <col min="3848" max="4097" width="9.109375" style="57"/>
    <col min="4098" max="4098" width="37.33203125" style="57" customWidth="1"/>
    <col min="4099" max="4099" width="12.44140625" style="57" customWidth="1"/>
    <col min="4100" max="4100" width="17.6640625" style="57" customWidth="1"/>
    <col min="4101" max="4101" width="4.33203125" style="57" customWidth="1"/>
    <col min="4102" max="4102" width="12.6640625" style="57" customWidth="1"/>
    <col min="4103" max="4103" width="17.6640625" style="57" customWidth="1"/>
    <col min="4104" max="4353" width="9.109375" style="57"/>
    <col min="4354" max="4354" width="37.33203125" style="57" customWidth="1"/>
    <col min="4355" max="4355" width="12.44140625" style="57" customWidth="1"/>
    <col min="4356" max="4356" width="17.6640625" style="57" customWidth="1"/>
    <col min="4357" max="4357" width="4.33203125" style="57" customWidth="1"/>
    <col min="4358" max="4358" width="12.6640625" style="57" customWidth="1"/>
    <col min="4359" max="4359" width="17.6640625" style="57" customWidth="1"/>
    <col min="4360" max="4609" width="9.109375" style="57"/>
    <col min="4610" max="4610" width="37.33203125" style="57" customWidth="1"/>
    <col min="4611" max="4611" width="12.44140625" style="57" customWidth="1"/>
    <col min="4612" max="4612" width="17.6640625" style="57" customWidth="1"/>
    <col min="4613" max="4613" width="4.33203125" style="57" customWidth="1"/>
    <col min="4614" max="4614" width="12.6640625" style="57" customWidth="1"/>
    <col min="4615" max="4615" width="17.6640625" style="57" customWidth="1"/>
    <col min="4616" max="4865" width="9.109375" style="57"/>
    <col min="4866" max="4866" width="37.33203125" style="57" customWidth="1"/>
    <col min="4867" max="4867" width="12.44140625" style="57" customWidth="1"/>
    <col min="4868" max="4868" width="17.6640625" style="57" customWidth="1"/>
    <col min="4869" max="4869" width="4.33203125" style="57" customWidth="1"/>
    <col min="4870" max="4870" width="12.6640625" style="57" customWidth="1"/>
    <col min="4871" max="4871" width="17.6640625" style="57" customWidth="1"/>
    <col min="4872" max="5121" width="9.109375" style="57"/>
    <col min="5122" max="5122" width="37.33203125" style="57" customWidth="1"/>
    <col min="5123" max="5123" width="12.44140625" style="57" customWidth="1"/>
    <col min="5124" max="5124" width="17.6640625" style="57" customWidth="1"/>
    <col min="5125" max="5125" width="4.33203125" style="57" customWidth="1"/>
    <col min="5126" max="5126" width="12.6640625" style="57" customWidth="1"/>
    <col min="5127" max="5127" width="17.6640625" style="57" customWidth="1"/>
    <col min="5128" max="5377" width="9.109375" style="57"/>
    <col min="5378" max="5378" width="37.33203125" style="57" customWidth="1"/>
    <col min="5379" max="5379" width="12.44140625" style="57" customWidth="1"/>
    <col min="5380" max="5380" width="17.6640625" style="57" customWidth="1"/>
    <col min="5381" max="5381" width="4.33203125" style="57" customWidth="1"/>
    <col min="5382" max="5382" width="12.6640625" style="57" customWidth="1"/>
    <col min="5383" max="5383" width="17.6640625" style="57" customWidth="1"/>
    <col min="5384" max="5633" width="9.109375" style="57"/>
    <col min="5634" max="5634" width="37.33203125" style="57" customWidth="1"/>
    <col min="5635" max="5635" width="12.44140625" style="57" customWidth="1"/>
    <col min="5636" max="5636" width="17.6640625" style="57" customWidth="1"/>
    <col min="5637" max="5637" width="4.33203125" style="57" customWidth="1"/>
    <col min="5638" max="5638" width="12.6640625" style="57" customWidth="1"/>
    <col min="5639" max="5639" width="17.6640625" style="57" customWidth="1"/>
    <col min="5640" max="5889" width="9.109375" style="57"/>
    <col min="5890" max="5890" width="37.33203125" style="57" customWidth="1"/>
    <col min="5891" max="5891" width="12.44140625" style="57" customWidth="1"/>
    <col min="5892" max="5892" width="17.6640625" style="57" customWidth="1"/>
    <col min="5893" max="5893" width="4.33203125" style="57" customWidth="1"/>
    <col min="5894" max="5894" width="12.6640625" style="57" customWidth="1"/>
    <col min="5895" max="5895" width="17.6640625" style="57" customWidth="1"/>
    <col min="5896" max="6145" width="9.109375" style="57"/>
    <col min="6146" max="6146" width="37.33203125" style="57" customWidth="1"/>
    <col min="6147" max="6147" width="12.44140625" style="57" customWidth="1"/>
    <col min="6148" max="6148" width="17.6640625" style="57" customWidth="1"/>
    <col min="6149" max="6149" width="4.33203125" style="57" customWidth="1"/>
    <col min="6150" max="6150" width="12.6640625" style="57" customWidth="1"/>
    <col min="6151" max="6151" width="17.6640625" style="57" customWidth="1"/>
    <col min="6152" max="6401" width="9.109375" style="57"/>
    <col min="6402" max="6402" width="37.33203125" style="57" customWidth="1"/>
    <col min="6403" max="6403" width="12.44140625" style="57" customWidth="1"/>
    <col min="6404" max="6404" width="17.6640625" style="57" customWidth="1"/>
    <col min="6405" max="6405" width="4.33203125" style="57" customWidth="1"/>
    <col min="6406" max="6406" width="12.6640625" style="57" customWidth="1"/>
    <col min="6407" max="6407" width="17.6640625" style="57" customWidth="1"/>
    <col min="6408" max="6657" width="9.109375" style="57"/>
    <col min="6658" max="6658" width="37.33203125" style="57" customWidth="1"/>
    <col min="6659" max="6659" width="12.44140625" style="57" customWidth="1"/>
    <col min="6660" max="6660" width="17.6640625" style="57" customWidth="1"/>
    <col min="6661" max="6661" width="4.33203125" style="57" customWidth="1"/>
    <col min="6662" max="6662" width="12.6640625" style="57" customWidth="1"/>
    <col min="6663" max="6663" width="17.6640625" style="57" customWidth="1"/>
    <col min="6664" max="6913" width="9.109375" style="57"/>
    <col min="6914" max="6914" width="37.33203125" style="57" customWidth="1"/>
    <col min="6915" max="6915" width="12.44140625" style="57" customWidth="1"/>
    <col min="6916" max="6916" width="17.6640625" style="57" customWidth="1"/>
    <col min="6917" max="6917" width="4.33203125" style="57" customWidth="1"/>
    <col min="6918" max="6918" width="12.6640625" style="57" customWidth="1"/>
    <col min="6919" max="6919" width="17.6640625" style="57" customWidth="1"/>
    <col min="6920" max="7169" width="9.109375" style="57"/>
    <col min="7170" max="7170" width="37.33203125" style="57" customWidth="1"/>
    <col min="7171" max="7171" width="12.44140625" style="57" customWidth="1"/>
    <col min="7172" max="7172" width="17.6640625" style="57" customWidth="1"/>
    <col min="7173" max="7173" width="4.33203125" style="57" customWidth="1"/>
    <col min="7174" max="7174" width="12.6640625" style="57" customWidth="1"/>
    <col min="7175" max="7175" width="17.6640625" style="57" customWidth="1"/>
    <col min="7176" max="7425" width="9.109375" style="57"/>
    <col min="7426" max="7426" width="37.33203125" style="57" customWidth="1"/>
    <col min="7427" max="7427" width="12.44140625" style="57" customWidth="1"/>
    <col min="7428" max="7428" width="17.6640625" style="57" customWidth="1"/>
    <col min="7429" max="7429" width="4.33203125" style="57" customWidth="1"/>
    <col min="7430" max="7430" width="12.6640625" style="57" customWidth="1"/>
    <col min="7431" max="7431" width="17.6640625" style="57" customWidth="1"/>
    <col min="7432" max="7681" width="9.109375" style="57"/>
    <col min="7682" max="7682" width="37.33203125" style="57" customWidth="1"/>
    <col min="7683" max="7683" width="12.44140625" style="57" customWidth="1"/>
    <col min="7684" max="7684" width="17.6640625" style="57" customWidth="1"/>
    <col min="7685" max="7685" width="4.33203125" style="57" customWidth="1"/>
    <col min="7686" max="7686" width="12.6640625" style="57" customWidth="1"/>
    <col min="7687" max="7687" width="17.6640625" style="57" customWidth="1"/>
    <col min="7688" max="7937" width="9.109375" style="57"/>
    <col min="7938" max="7938" width="37.33203125" style="57" customWidth="1"/>
    <col min="7939" max="7939" width="12.44140625" style="57" customWidth="1"/>
    <col min="7940" max="7940" width="17.6640625" style="57" customWidth="1"/>
    <col min="7941" max="7941" width="4.33203125" style="57" customWidth="1"/>
    <col min="7942" max="7942" width="12.6640625" style="57" customWidth="1"/>
    <col min="7943" max="7943" width="17.6640625" style="57" customWidth="1"/>
    <col min="7944" max="8193" width="9.109375" style="57"/>
    <col min="8194" max="8194" width="37.33203125" style="57" customWidth="1"/>
    <col min="8195" max="8195" width="12.44140625" style="57" customWidth="1"/>
    <col min="8196" max="8196" width="17.6640625" style="57" customWidth="1"/>
    <col min="8197" max="8197" width="4.33203125" style="57" customWidth="1"/>
    <col min="8198" max="8198" width="12.6640625" style="57" customWidth="1"/>
    <col min="8199" max="8199" width="17.6640625" style="57" customWidth="1"/>
    <col min="8200" max="8449" width="9.109375" style="57"/>
    <col min="8450" max="8450" width="37.33203125" style="57" customWidth="1"/>
    <col min="8451" max="8451" width="12.44140625" style="57" customWidth="1"/>
    <col min="8452" max="8452" width="17.6640625" style="57" customWidth="1"/>
    <col min="8453" max="8453" width="4.33203125" style="57" customWidth="1"/>
    <col min="8454" max="8454" width="12.6640625" style="57" customWidth="1"/>
    <col min="8455" max="8455" width="17.6640625" style="57" customWidth="1"/>
    <col min="8456" max="8705" width="9.109375" style="57"/>
    <col min="8706" max="8706" width="37.33203125" style="57" customWidth="1"/>
    <col min="8707" max="8707" width="12.44140625" style="57" customWidth="1"/>
    <col min="8708" max="8708" width="17.6640625" style="57" customWidth="1"/>
    <col min="8709" max="8709" width="4.33203125" style="57" customWidth="1"/>
    <col min="8710" max="8710" width="12.6640625" style="57" customWidth="1"/>
    <col min="8711" max="8711" width="17.6640625" style="57" customWidth="1"/>
    <col min="8712" max="8961" width="9.109375" style="57"/>
    <col min="8962" max="8962" width="37.33203125" style="57" customWidth="1"/>
    <col min="8963" max="8963" width="12.44140625" style="57" customWidth="1"/>
    <col min="8964" max="8964" width="17.6640625" style="57" customWidth="1"/>
    <col min="8965" max="8965" width="4.33203125" style="57" customWidth="1"/>
    <col min="8966" max="8966" width="12.6640625" style="57" customWidth="1"/>
    <col min="8967" max="8967" width="17.6640625" style="57" customWidth="1"/>
    <col min="8968" max="9217" width="9.109375" style="57"/>
    <col min="9218" max="9218" width="37.33203125" style="57" customWidth="1"/>
    <col min="9219" max="9219" width="12.44140625" style="57" customWidth="1"/>
    <col min="9220" max="9220" width="17.6640625" style="57" customWidth="1"/>
    <col min="9221" max="9221" width="4.33203125" style="57" customWidth="1"/>
    <col min="9222" max="9222" width="12.6640625" style="57" customWidth="1"/>
    <col min="9223" max="9223" width="17.6640625" style="57" customWidth="1"/>
    <col min="9224" max="9473" width="9.109375" style="57"/>
    <col min="9474" max="9474" width="37.33203125" style="57" customWidth="1"/>
    <col min="9475" max="9475" width="12.44140625" style="57" customWidth="1"/>
    <col min="9476" max="9476" width="17.6640625" style="57" customWidth="1"/>
    <col min="9477" max="9477" width="4.33203125" style="57" customWidth="1"/>
    <col min="9478" max="9478" width="12.6640625" style="57" customWidth="1"/>
    <col min="9479" max="9479" width="17.6640625" style="57" customWidth="1"/>
    <col min="9480" max="9729" width="9.109375" style="57"/>
    <col min="9730" max="9730" width="37.33203125" style="57" customWidth="1"/>
    <col min="9731" max="9731" width="12.44140625" style="57" customWidth="1"/>
    <col min="9732" max="9732" width="17.6640625" style="57" customWidth="1"/>
    <col min="9733" max="9733" width="4.33203125" style="57" customWidth="1"/>
    <col min="9734" max="9734" width="12.6640625" style="57" customWidth="1"/>
    <col min="9735" max="9735" width="17.6640625" style="57" customWidth="1"/>
    <col min="9736" max="9985" width="9.109375" style="57"/>
    <col min="9986" max="9986" width="37.33203125" style="57" customWidth="1"/>
    <col min="9987" max="9987" width="12.44140625" style="57" customWidth="1"/>
    <col min="9988" max="9988" width="17.6640625" style="57" customWidth="1"/>
    <col min="9989" max="9989" width="4.33203125" style="57" customWidth="1"/>
    <col min="9990" max="9990" width="12.6640625" style="57" customWidth="1"/>
    <col min="9991" max="9991" width="17.6640625" style="57" customWidth="1"/>
    <col min="9992" max="10241" width="9.109375" style="57"/>
    <col min="10242" max="10242" width="37.33203125" style="57" customWidth="1"/>
    <col min="10243" max="10243" width="12.44140625" style="57" customWidth="1"/>
    <col min="10244" max="10244" width="17.6640625" style="57" customWidth="1"/>
    <col min="10245" max="10245" width="4.33203125" style="57" customWidth="1"/>
    <col min="10246" max="10246" width="12.6640625" style="57" customWidth="1"/>
    <col min="10247" max="10247" width="17.6640625" style="57" customWidth="1"/>
    <col min="10248" max="10497" width="9.109375" style="57"/>
    <col min="10498" max="10498" width="37.33203125" style="57" customWidth="1"/>
    <col min="10499" max="10499" width="12.44140625" style="57" customWidth="1"/>
    <col min="10500" max="10500" width="17.6640625" style="57" customWidth="1"/>
    <col min="10501" max="10501" width="4.33203125" style="57" customWidth="1"/>
    <col min="10502" max="10502" width="12.6640625" style="57" customWidth="1"/>
    <col min="10503" max="10503" width="17.6640625" style="57" customWidth="1"/>
    <col min="10504" max="10753" width="9.109375" style="57"/>
    <col min="10754" max="10754" width="37.33203125" style="57" customWidth="1"/>
    <col min="10755" max="10755" width="12.44140625" style="57" customWidth="1"/>
    <col min="10756" max="10756" width="17.6640625" style="57" customWidth="1"/>
    <col min="10757" max="10757" width="4.33203125" style="57" customWidth="1"/>
    <col min="10758" max="10758" width="12.6640625" style="57" customWidth="1"/>
    <col min="10759" max="10759" width="17.6640625" style="57" customWidth="1"/>
    <col min="10760" max="11009" width="9.109375" style="57"/>
    <col min="11010" max="11010" width="37.33203125" style="57" customWidth="1"/>
    <col min="11011" max="11011" width="12.44140625" style="57" customWidth="1"/>
    <col min="11012" max="11012" width="17.6640625" style="57" customWidth="1"/>
    <col min="11013" max="11013" width="4.33203125" style="57" customWidth="1"/>
    <col min="11014" max="11014" width="12.6640625" style="57" customWidth="1"/>
    <col min="11015" max="11015" width="17.6640625" style="57" customWidth="1"/>
    <col min="11016" max="11265" width="9.109375" style="57"/>
    <col min="11266" max="11266" width="37.33203125" style="57" customWidth="1"/>
    <col min="11267" max="11267" width="12.44140625" style="57" customWidth="1"/>
    <col min="11268" max="11268" width="17.6640625" style="57" customWidth="1"/>
    <col min="11269" max="11269" width="4.33203125" style="57" customWidth="1"/>
    <col min="11270" max="11270" width="12.6640625" style="57" customWidth="1"/>
    <col min="11271" max="11271" width="17.6640625" style="57" customWidth="1"/>
    <col min="11272" max="11521" width="9.109375" style="57"/>
    <col min="11522" max="11522" width="37.33203125" style="57" customWidth="1"/>
    <col min="11523" max="11523" width="12.44140625" style="57" customWidth="1"/>
    <col min="11524" max="11524" width="17.6640625" style="57" customWidth="1"/>
    <col min="11525" max="11525" width="4.33203125" style="57" customWidth="1"/>
    <col min="11526" max="11526" width="12.6640625" style="57" customWidth="1"/>
    <col min="11527" max="11527" width="17.6640625" style="57" customWidth="1"/>
    <col min="11528" max="11777" width="9.109375" style="57"/>
    <col min="11778" max="11778" width="37.33203125" style="57" customWidth="1"/>
    <col min="11779" max="11779" width="12.44140625" style="57" customWidth="1"/>
    <col min="11780" max="11780" width="17.6640625" style="57" customWidth="1"/>
    <col min="11781" max="11781" width="4.33203125" style="57" customWidth="1"/>
    <col min="11782" max="11782" width="12.6640625" style="57" customWidth="1"/>
    <col min="11783" max="11783" width="17.6640625" style="57" customWidth="1"/>
    <col min="11784" max="12033" width="9.109375" style="57"/>
    <col min="12034" max="12034" width="37.33203125" style="57" customWidth="1"/>
    <col min="12035" max="12035" width="12.44140625" style="57" customWidth="1"/>
    <col min="12036" max="12036" width="17.6640625" style="57" customWidth="1"/>
    <col min="12037" max="12037" width="4.33203125" style="57" customWidth="1"/>
    <col min="12038" max="12038" width="12.6640625" style="57" customWidth="1"/>
    <col min="12039" max="12039" width="17.6640625" style="57" customWidth="1"/>
    <col min="12040" max="12289" width="9.109375" style="57"/>
    <col min="12290" max="12290" width="37.33203125" style="57" customWidth="1"/>
    <col min="12291" max="12291" width="12.44140625" style="57" customWidth="1"/>
    <col min="12292" max="12292" width="17.6640625" style="57" customWidth="1"/>
    <col min="12293" max="12293" width="4.33203125" style="57" customWidth="1"/>
    <col min="12294" max="12294" width="12.6640625" style="57" customWidth="1"/>
    <col min="12295" max="12295" width="17.6640625" style="57" customWidth="1"/>
    <col min="12296" max="12545" width="9.109375" style="57"/>
    <col min="12546" max="12546" width="37.33203125" style="57" customWidth="1"/>
    <col min="12547" max="12547" width="12.44140625" style="57" customWidth="1"/>
    <col min="12548" max="12548" width="17.6640625" style="57" customWidth="1"/>
    <col min="12549" max="12549" width="4.33203125" style="57" customWidth="1"/>
    <col min="12550" max="12550" width="12.6640625" style="57" customWidth="1"/>
    <col min="12551" max="12551" width="17.6640625" style="57" customWidth="1"/>
    <col min="12552" max="12801" width="9.109375" style="57"/>
    <col min="12802" max="12802" width="37.33203125" style="57" customWidth="1"/>
    <col min="12803" max="12803" width="12.44140625" style="57" customWidth="1"/>
    <col min="12804" max="12804" width="17.6640625" style="57" customWidth="1"/>
    <col min="12805" max="12805" width="4.33203125" style="57" customWidth="1"/>
    <col min="12806" max="12806" width="12.6640625" style="57" customWidth="1"/>
    <col min="12807" max="12807" width="17.6640625" style="57" customWidth="1"/>
    <col min="12808" max="13057" width="9.109375" style="57"/>
    <col min="13058" max="13058" width="37.33203125" style="57" customWidth="1"/>
    <col min="13059" max="13059" width="12.44140625" style="57" customWidth="1"/>
    <col min="13060" max="13060" width="17.6640625" style="57" customWidth="1"/>
    <col min="13061" max="13061" width="4.33203125" style="57" customWidth="1"/>
    <col min="13062" max="13062" width="12.6640625" style="57" customWidth="1"/>
    <col min="13063" max="13063" width="17.6640625" style="57" customWidth="1"/>
    <col min="13064" max="13313" width="9.109375" style="57"/>
    <col min="13314" max="13314" width="37.33203125" style="57" customWidth="1"/>
    <col min="13315" max="13315" width="12.44140625" style="57" customWidth="1"/>
    <col min="13316" max="13316" width="17.6640625" style="57" customWidth="1"/>
    <col min="13317" max="13317" width="4.33203125" style="57" customWidth="1"/>
    <col min="13318" max="13318" width="12.6640625" style="57" customWidth="1"/>
    <col min="13319" max="13319" width="17.6640625" style="57" customWidth="1"/>
    <col min="13320" max="13569" width="9.109375" style="57"/>
    <col min="13570" max="13570" width="37.33203125" style="57" customWidth="1"/>
    <col min="13571" max="13571" width="12.44140625" style="57" customWidth="1"/>
    <col min="13572" max="13572" width="17.6640625" style="57" customWidth="1"/>
    <col min="13573" max="13573" width="4.33203125" style="57" customWidth="1"/>
    <col min="13574" max="13574" width="12.6640625" style="57" customWidth="1"/>
    <col min="13575" max="13575" width="17.6640625" style="57" customWidth="1"/>
    <col min="13576" max="13825" width="9.109375" style="57"/>
    <col min="13826" max="13826" width="37.33203125" style="57" customWidth="1"/>
    <col min="13827" max="13827" width="12.44140625" style="57" customWidth="1"/>
    <col min="13828" max="13828" width="17.6640625" style="57" customWidth="1"/>
    <col min="13829" max="13829" width="4.33203125" style="57" customWidth="1"/>
    <col min="13830" max="13830" width="12.6640625" style="57" customWidth="1"/>
    <col min="13831" max="13831" width="17.6640625" style="57" customWidth="1"/>
    <col min="13832" max="14081" width="9.109375" style="57"/>
    <col min="14082" max="14082" width="37.33203125" style="57" customWidth="1"/>
    <col min="14083" max="14083" width="12.44140625" style="57" customWidth="1"/>
    <col min="14084" max="14084" width="17.6640625" style="57" customWidth="1"/>
    <col min="14085" max="14085" width="4.33203125" style="57" customWidth="1"/>
    <col min="14086" max="14086" width="12.6640625" style="57" customWidth="1"/>
    <col min="14087" max="14087" width="17.6640625" style="57" customWidth="1"/>
    <col min="14088" max="14337" width="9.109375" style="57"/>
    <col min="14338" max="14338" width="37.33203125" style="57" customWidth="1"/>
    <col min="14339" max="14339" width="12.44140625" style="57" customWidth="1"/>
    <col min="14340" max="14340" width="17.6640625" style="57" customWidth="1"/>
    <col min="14341" max="14341" width="4.33203125" style="57" customWidth="1"/>
    <col min="14342" max="14342" width="12.6640625" style="57" customWidth="1"/>
    <col min="14343" max="14343" width="17.6640625" style="57" customWidth="1"/>
    <col min="14344" max="14593" width="9.109375" style="57"/>
    <col min="14594" max="14594" width="37.33203125" style="57" customWidth="1"/>
    <col min="14595" max="14595" width="12.44140625" style="57" customWidth="1"/>
    <col min="14596" max="14596" width="17.6640625" style="57" customWidth="1"/>
    <col min="14597" max="14597" width="4.33203125" style="57" customWidth="1"/>
    <col min="14598" max="14598" width="12.6640625" style="57" customWidth="1"/>
    <col min="14599" max="14599" width="17.6640625" style="57" customWidth="1"/>
    <col min="14600" max="14849" width="9.109375" style="57"/>
    <col min="14850" max="14850" width="37.33203125" style="57" customWidth="1"/>
    <col min="14851" max="14851" width="12.44140625" style="57" customWidth="1"/>
    <col min="14852" max="14852" width="17.6640625" style="57" customWidth="1"/>
    <col min="14853" max="14853" width="4.33203125" style="57" customWidth="1"/>
    <col min="14854" max="14854" width="12.6640625" style="57" customWidth="1"/>
    <col min="14855" max="14855" width="17.6640625" style="57" customWidth="1"/>
    <col min="14856" max="15105" width="9.109375" style="57"/>
    <col min="15106" max="15106" width="37.33203125" style="57" customWidth="1"/>
    <col min="15107" max="15107" width="12.44140625" style="57" customWidth="1"/>
    <col min="15108" max="15108" width="17.6640625" style="57" customWidth="1"/>
    <col min="15109" max="15109" width="4.33203125" style="57" customWidth="1"/>
    <col min="15110" max="15110" width="12.6640625" style="57" customWidth="1"/>
    <col min="15111" max="15111" width="17.6640625" style="57" customWidth="1"/>
    <col min="15112" max="15361" width="9.109375" style="57"/>
    <col min="15362" max="15362" width="37.33203125" style="57" customWidth="1"/>
    <col min="15363" max="15363" width="12.44140625" style="57" customWidth="1"/>
    <col min="15364" max="15364" width="17.6640625" style="57" customWidth="1"/>
    <col min="15365" max="15365" width="4.33203125" style="57" customWidth="1"/>
    <col min="15366" max="15366" width="12.6640625" style="57" customWidth="1"/>
    <col min="15367" max="15367" width="17.6640625" style="57" customWidth="1"/>
    <col min="15368" max="15617" width="9.109375" style="57"/>
    <col min="15618" max="15618" width="37.33203125" style="57" customWidth="1"/>
    <col min="15619" max="15619" width="12.44140625" style="57" customWidth="1"/>
    <col min="15620" max="15620" width="17.6640625" style="57" customWidth="1"/>
    <col min="15621" max="15621" width="4.33203125" style="57" customWidth="1"/>
    <col min="15622" max="15622" width="12.6640625" style="57" customWidth="1"/>
    <col min="15623" max="15623" width="17.6640625" style="57" customWidth="1"/>
    <col min="15624" max="15873" width="9.109375" style="57"/>
    <col min="15874" max="15874" width="37.33203125" style="57" customWidth="1"/>
    <col min="15875" max="15875" width="12.44140625" style="57" customWidth="1"/>
    <col min="15876" max="15876" width="17.6640625" style="57" customWidth="1"/>
    <col min="15877" max="15877" width="4.33203125" style="57" customWidth="1"/>
    <col min="15878" max="15878" width="12.6640625" style="57" customWidth="1"/>
    <col min="15879" max="15879" width="17.6640625" style="57" customWidth="1"/>
    <col min="15880" max="16129" width="9.109375" style="57"/>
    <col min="16130" max="16130" width="37.33203125" style="57" customWidth="1"/>
    <col min="16131" max="16131" width="12.44140625" style="57" customWidth="1"/>
    <col min="16132" max="16132" width="17.6640625" style="57" customWidth="1"/>
    <col min="16133" max="16133" width="4.33203125" style="57" customWidth="1"/>
    <col min="16134" max="16134" width="12.6640625" style="57" customWidth="1"/>
    <col min="16135" max="16135" width="17.6640625" style="57" customWidth="1"/>
    <col min="16136" max="16384" width="9.109375" style="57"/>
  </cols>
  <sheetData>
    <row r="1" spans="2:6">
      <c r="D1" s="157"/>
    </row>
    <row r="2" spans="2:6">
      <c r="D2" s="157"/>
    </row>
    <row r="3" spans="2:6">
      <c r="D3" s="157"/>
    </row>
    <row r="10" spans="2:6">
      <c r="C10" s="158"/>
    </row>
    <row r="11" spans="2:6" ht="18.75" customHeight="1"/>
    <row r="13" spans="2:6">
      <c r="D13" s="211"/>
    </row>
    <row r="14" spans="2:6">
      <c r="E14" s="159"/>
    </row>
    <row r="15" spans="2:6">
      <c r="B15" s="57" t="s">
        <v>315</v>
      </c>
      <c r="C15" s="324">
        <f>'Detalle vehiculo'!C5</f>
        <v>0</v>
      </c>
      <c r="D15" s="324"/>
      <c r="E15" s="324"/>
      <c r="F15" s="245"/>
    </row>
    <row r="16" spans="2:6">
      <c r="B16" s="57" t="s">
        <v>363</v>
      </c>
      <c r="C16" s="324"/>
      <c r="D16" s="324"/>
      <c r="E16" s="324"/>
    </row>
    <row r="17" spans="1:5">
      <c r="B17" s="57" t="s">
        <v>268</v>
      </c>
      <c r="C17" s="57">
        <f>'Detalle vehiculo'!C9</f>
        <v>0</v>
      </c>
    </row>
    <row r="19" spans="1:5" ht="15" thickBot="1">
      <c r="B19" s="160" t="s">
        <v>316</v>
      </c>
      <c r="C19" s="139"/>
      <c r="D19" s="246">
        <f>'Detalle vehiculo'!G11</f>
        <v>43000</v>
      </c>
    </row>
    <row r="20" spans="1:5" ht="14.4">
      <c r="C20" s="162"/>
      <c r="D20" s="139"/>
    </row>
    <row r="21" spans="1:5" ht="14.4">
      <c r="B21" s="160" t="s">
        <v>317</v>
      </c>
      <c r="C21" s="139"/>
      <c r="D21" s="139"/>
    </row>
    <row r="22" spans="1:5" ht="14.4">
      <c r="B22" s="57" t="s">
        <v>382</v>
      </c>
      <c r="C22" s="139">
        <f>'Detalle vehiculo'!G16</f>
        <v>0</v>
      </c>
      <c r="D22" s="139"/>
    </row>
    <row r="23" spans="1:5" ht="14.4">
      <c r="B23" s="57" t="s">
        <v>318</v>
      </c>
      <c r="C23" s="139">
        <f>'Detalle vehiculo'!F20</f>
        <v>1720</v>
      </c>
      <c r="D23" s="163"/>
    </row>
    <row r="24" spans="1:5" ht="14.4">
      <c r="B24" s="164" t="s">
        <v>386</v>
      </c>
      <c r="C24" s="139">
        <f>'Detalle vehiculo'!F21+'Detalle vehiculo'!F27+'Detalle vehiculo'!G38</f>
        <v>2730</v>
      </c>
      <c r="D24" s="139"/>
    </row>
    <row r="25" spans="1:5" ht="14.4">
      <c r="A25" s="165" t="s">
        <v>319</v>
      </c>
      <c r="B25" s="164" t="s">
        <v>383</v>
      </c>
      <c r="C25" s="139"/>
      <c r="D25" s="139"/>
    </row>
    <row r="26" spans="1:5" ht="14.4">
      <c r="A26" s="165" t="s">
        <v>319</v>
      </c>
      <c r="B26" s="164" t="s">
        <v>384</v>
      </c>
      <c r="C26" s="139"/>
      <c r="D26" s="139"/>
    </row>
    <row r="27" spans="1:5" ht="14.4">
      <c r="B27" s="57" t="s">
        <v>320</v>
      </c>
      <c r="C27" s="166">
        <f>'Detalle vehiculo'!G44</f>
        <v>400</v>
      </c>
      <c r="D27" s="166">
        <f>SUM(C22:C27)</f>
        <v>4850</v>
      </c>
    </row>
    <row r="28" spans="1:5" ht="20.25" customHeight="1" thickBot="1">
      <c r="B28" s="57" t="s">
        <v>321</v>
      </c>
      <c r="C28" s="139"/>
      <c r="D28" s="167">
        <f>D19-D27</f>
        <v>38150</v>
      </c>
    </row>
    <row r="29" spans="1:5" ht="20.25" customHeight="1">
      <c r="B29" s="164"/>
      <c r="C29" s="168"/>
      <c r="D29" s="169"/>
    </row>
    <row r="30" spans="1:5" ht="22.5" customHeight="1">
      <c r="B30" s="325" t="s">
        <v>385</v>
      </c>
      <c r="C30" s="325"/>
      <c r="D30" s="325"/>
      <c r="E30" s="325"/>
    </row>
    <row r="31" spans="1:5" ht="14.4">
      <c r="B31" s="170" t="s">
        <v>322</v>
      </c>
      <c r="C31" s="139"/>
      <c r="D31" s="169"/>
    </row>
    <row r="32" spans="1:5" ht="14.4">
      <c r="B32" s="170"/>
      <c r="C32" s="139"/>
      <c r="D32" s="169"/>
    </row>
    <row r="33" spans="2:4" ht="14.4">
      <c r="B33" s="170" t="s">
        <v>323</v>
      </c>
      <c r="C33" s="139"/>
      <c r="D33" s="169"/>
    </row>
  </sheetData>
  <mergeCells count="3">
    <mergeCell ref="C16:E16"/>
    <mergeCell ref="B30:E30"/>
    <mergeCell ref="C15:E15"/>
  </mergeCells>
  <pageMargins left="0.47244094488188981" right="0.47244094488188981" top="1.37" bottom="1.05" header="0.59055118110236227" footer="0.24"/>
  <pageSetup orientation="portrait" horizontalDpi="4294967294" verticalDpi="4294967294" r:id="rId1"/>
  <headerFooter alignWithMargins="0">
    <oddHeader>&amp;L&amp;G</oddHeader>
    <oddFooter>&amp;L&amp;G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5" tint="-0.249977111117893"/>
  </sheetPr>
  <dimension ref="A1:I99"/>
  <sheetViews>
    <sheetView showGridLines="0" view="pageBreakPreview" topLeftCell="A9" zoomScaleNormal="115" zoomScaleSheetLayoutView="100" workbookViewId="0">
      <selection activeCell="C14" sqref="C14:G14"/>
    </sheetView>
  </sheetViews>
  <sheetFormatPr baseColWidth="10" defaultRowHeight="13.2"/>
  <cols>
    <col min="1" max="1" width="3.44140625" style="57" customWidth="1"/>
    <col min="2" max="2" width="28.88671875" style="57" customWidth="1"/>
    <col min="3" max="3" width="12.6640625" style="57" customWidth="1"/>
    <col min="4" max="4" width="7" style="57" customWidth="1"/>
    <col min="5" max="5" width="13.6640625" style="57" customWidth="1"/>
    <col min="6" max="6" width="10" style="57" customWidth="1"/>
    <col min="7" max="7" width="15" style="57" customWidth="1"/>
    <col min="8" max="8" width="6.88671875" style="57" customWidth="1"/>
    <col min="9" max="9" width="14.33203125" style="57" bestFit="1" customWidth="1"/>
    <col min="10" max="256" width="11.44140625" style="57"/>
    <col min="257" max="257" width="3.44140625" style="57" customWidth="1"/>
    <col min="258" max="258" width="28.88671875" style="57" customWidth="1"/>
    <col min="259" max="259" width="12.6640625" style="57" customWidth="1"/>
    <col min="260" max="260" width="7" style="57" customWidth="1"/>
    <col min="261" max="261" width="13.6640625" style="57" customWidth="1"/>
    <col min="262" max="262" width="10" style="57" customWidth="1"/>
    <col min="263" max="263" width="15" style="57" customWidth="1"/>
    <col min="264" max="264" width="6.88671875" style="57" customWidth="1"/>
    <col min="265" max="265" width="14.33203125" style="57" bestFit="1" customWidth="1"/>
    <col min="266" max="512" width="11.44140625" style="57"/>
    <col min="513" max="513" width="3.44140625" style="57" customWidth="1"/>
    <col min="514" max="514" width="28.88671875" style="57" customWidth="1"/>
    <col min="515" max="515" width="12.6640625" style="57" customWidth="1"/>
    <col min="516" max="516" width="7" style="57" customWidth="1"/>
    <col min="517" max="517" width="13.6640625" style="57" customWidth="1"/>
    <col min="518" max="518" width="10" style="57" customWidth="1"/>
    <col min="519" max="519" width="15" style="57" customWidth="1"/>
    <col min="520" max="520" width="6.88671875" style="57" customWidth="1"/>
    <col min="521" max="521" width="14.33203125" style="57" bestFit="1" customWidth="1"/>
    <col min="522" max="768" width="11.44140625" style="57"/>
    <col min="769" max="769" width="3.44140625" style="57" customWidth="1"/>
    <col min="770" max="770" width="28.88671875" style="57" customWidth="1"/>
    <col min="771" max="771" width="12.6640625" style="57" customWidth="1"/>
    <col min="772" max="772" width="7" style="57" customWidth="1"/>
    <col min="773" max="773" width="13.6640625" style="57" customWidth="1"/>
    <col min="774" max="774" width="10" style="57" customWidth="1"/>
    <col min="775" max="775" width="15" style="57" customWidth="1"/>
    <col min="776" max="776" width="6.88671875" style="57" customWidth="1"/>
    <col min="777" max="777" width="14.33203125" style="57" bestFit="1" customWidth="1"/>
    <col min="778" max="1024" width="11.44140625" style="57"/>
    <col min="1025" max="1025" width="3.44140625" style="57" customWidth="1"/>
    <col min="1026" max="1026" width="28.88671875" style="57" customWidth="1"/>
    <col min="1027" max="1027" width="12.6640625" style="57" customWidth="1"/>
    <col min="1028" max="1028" width="7" style="57" customWidth="1"/>
    <col min="1029" max="1029" width="13.6640625" style="57" customWidth="1"/>
    <col min="1030" max="1030" width="10" style="57" customWidth="1"/>
    <col min="1031" max="1031" width="15" style="57" customWidth="1"/>
    <col min="1032" max="1032" width="6.88671875" style="57" customWidth="1"/>
    <col min="1033" max="1033" width="14.33203125" style="57" bestFit="1" customWidth="1"/>
    <col min="1034" max="1280" width="11.44140625" style="57"/>
    <col min="1281" max="1281" width="3.44140625" style="57" customWidth="1"/>
    <col min="1282" max="1282" width="28.88671875" style="57" customWidth="1"/>
    <col min="1283" max="1283" width="12.6640625" style="57" customWidth="1"/>
    <col min="1284" max="1284" width="7" style="57" customWidth="1"/>
    <col min="1285" max="1285" width="13.6640625" style="57" customWidth="1"/>
    <col min="1286" max="1286" width="10" style="57" customWidth="1"/>
    <col min="1287" max="1287" width="15" style="57" customWidth="1"/>
    <col min="1288" max="1288" width="6.88671875" style="57" customWidth="1"/>
    <col min="1289" max="1289" width="14.33203125" style="57" bestFit="1" customWidth="1"/>
    <col min="1290" max="1536" width="11.44140625" style="57"/>
    <col min="1537" max="1537" width="3.44140625" style="57" customWidth="1"/>
    <col min="1538" max="1538" width="28.88671875" style="57" customWidth="1"/>
    <col min="1539" max="1539" width="12.6640625" style="57" customWidth="1"/>
    <col min="1540" max="1540" width="7" style="57" customWidth="1"/>
    <col min="1541" max="1541" width="13.6640625" style="57" customWidth="1"/>
    <col min="1542" max="1542" width="10" style="57" customWidth="1"/>
    <col min="1543" max="1543" width="15" style="57" customWidth="1"/>
    <col min="1544" max="1544" width="6.88671875" style="57" customWidth="1"/>
    <col min="1545" max="1545" width="14.33203125" style="57" bestFit="1" customWidth="1"/>
    <col min="1546" max="1792" width="11.44140625" style="57"/>
    <col min="1793" max="1793" width="3.44140625" style="57" customWidth="1"/>
    <col min="1794" max="1794" width="28.88671875" style="57" customWidth="1"/>
    <col min="1795" max="1795" width="12.6640625" style="57" customWidth="1"/>
    <col min="1796" max="1796" width="7" style="57" customWidth="1"/>
    <col min="1797" max="1797" width="13.6640625" style="57" customWidth="1"/>
    <col min="1798" max="1798" width="10" style="57" customWidth="1"/>
    <col min="1799" max="1799" width="15" style="57" customWidth="1"/>
    <col min="1800" max="1800" width="6.88671875" style="57" customWidth="1"/>
    <col min="1801" max="1801" width="14.33203125" style="57" bestFit="1" customWidth="1"/>
    <col min="1802" max="2048" width="11.44140625" style="57"/>
    <col min="2049" max="2049" width="3.44140625" style="57" customWidth="1"/>
    <col min="2050" max="2050" width="28.88671875" style="57" customWidth="1"/>
    <col min="2051" max="2051" width="12.6640625" style="57" customWidth="1"/>
    <col min="2052" max="2052" width="7" style="57" customWidth="1"/>
    <col min="2053" max="2053" width="13.6640625" style="57" customWidth="1"/>
    <col min="2054" max="2054" width="10" style="57" customWidth="1"/>
    <col min="2055" max="2055" width="15" style="57" customWidth="1"/>
    <col min="2056" max="2056" width="6.88671875" style="57" customWidth="1"/>
    <col min="2057" max="2057" width="14.33203125" style="57" bestFit="1" customWidth="1"/>
    <col min="2058" max="2304" width="11.44140625" style="57"/>
    <col min="2305" max="2305" width="3.44140625" style="57" customWidth="1"/>
    <col min="2306" max="2306" width="28.88671875" style="57" customWidth="1"/>
    <col min="2307" max="2307" width="12.6640625" style="57" customWidth="1"/>
    <col min="2308" max="2308" width="7" style="57" customWidth="1"/>
    <col min="2309" max="2309" width="13.6640625" style="57" customWidth="1"/>
    <col min="2310" max="2310" width="10" style="57" customWidth="1"/>
    <col min="2311" max="2311" width="15" style="57" customWidth="1"/>
    <col min="2312" max="2312" width="6.88671875" style="57" customWidth="1"/>
    <col min="2313" max="2313" width="14.33203125" style="57" bestFit="1" customWidth="1"/>
    <col min="2314" max="2560" width="11.44140625" style="57"/>
    <col min="2561" max="2561" width="3.44140625" style="57" customWidth="1"/>
    <col min="2562" max="2562" width="28.88671875" style="57" customWidth="1"/>
    <col min="2563" max="2563" width="12.6640625" style="57" customWidth="1"/>
    <col min="2564" max="2564" width="7" style="57" customWidth="1"/>
    <col min="2565" max="2565" width="13.6640625" style="57" customWidth="1"/>
    <col min="2566" max="2566" width="10" style="57" customWidth="1"/>
    <col min="2567" max="2567" width="15" style="57" customWidth="1"/>
    <col min="2568" max="2568" width="6.88671875" style="57" customWidth="1"/>
    <col min="2569" max="2569" width="14.33203125" style="57" bestFit="1" customWidth="1"/>
    <col min="2570" max="2816" width="11.44140625" style="57"/>
    <col min="2817" max="2817" width="3.44140625" style="57" customWidth="1"/>
    <col min="2818" max="2818" width="28.88671875" style="57" customWidth="1"/>
    <col min="2819" max="2819" width="12.6640625" style="57" customWidth="1"/>
    <col min="2820" max="2820" width="7" style="57" customWidth="1"/>
    <col min="2821" max="2821" width="13.6640625" style="57" customWidth="1"/>
    <col min="2822" max="2822" width="10" style="57" customWidth="1"/>
    <col min="2823" max="2823" width="15" style="57" customWidth="1"/>
    <col min="2824" max="2824" width="6.88671875" style="57" customWidth="1"/>
    <col min="2825" max="2825" width="14.33203125" style="57" bestFit="1" customWidth="1"/>
    <col min="2826" max="3072" width="11.44140625" style="57"/>
    <col min="3073" max="3073" width="3.44140625" style="57" customWidth="1"/>
    <col min="3074" max="3074" width="28.88671875" style="57" customWidth="1"/>
    <col min="3075" max="3075" width="12.6640625" style="57" customWidth="1"/>
    <col min="3076" max="3076" width="7" style="57" customWidth="1"/>
    <col min="3077" max="3077" width="13.6640625" style="57" customWidth="1"/>
    <col min="3078" max="3078" width="10" style="57" customWidth="1"/>
    <col min="3079" max="3079" width="15" style="57" customWidth="1"/>
    <col min="3080" max="3080" width="6.88671875" style="57" customWidth="1"/>
    <col min="3081" max="3081" width="14.33203125" style="57" bestFit="1" customWidth="1"/>
    <col min="3082" max="3328" width="11.44140625" style="57"/>
    <col min="3329" max="3329" width="3.44140625" style="57" customWidth="1"/>
    <col min="3330" max="3330" width="28.88671875" style="57" customWidth="1"/>
    <col min="3331" max="3331" width="12.6640625" style="57" customWidth="1"/>
    <col min="3332" max="3332" width="7" style="57" customWidth="1"/>
    <col min="3333" max="3333" width="13.6640625" style="57" customWidth="1"/>
    <col min="3334" max="3334" width="10" style="57" customWidth="1"/>
    <col min="3335" max="3335" width="15" style="57" customWidth="1"/>
    <col min="3336" max="3336" width="6.88671875" style="57" customWidth="1"/>
    <col min="3337" max="3337" width="14.33203125" style="57" bestFit="1" customWidth="1"/>
    <col min="3338" max="3584" width="11.44140625" style="57"/>
    <col min="3585" max="3585" width="3.44140625" style="57" customWidth="1"/>
    <col min="3586" max="3586" width="28.88671875" style="57" customWidth="1"/>
    <col min="3587" max="3587" width="12.6640625" style="57" customWidth="1"/>
    <col min="3588" max="3588" width="7" style="57" customWidth="1"/>
    <col min="3589" max="3589" width="13.6640625" style="57" customWidth="1"/>
    <col min="3590" max="3590" width="10" style="57" customWidth="1"/>
    <col min="3591" max="3591" width="15" style="57" customWidth="1"/>
    <col min="3592" max="3592" width="6.88671875" style="57" customWidth="1"/>
    <col min="3593" max="3593" width="14.33203125" style="57" bestFit="1" customWidth="1"/>
    <col min="3594" max="3840" width="11.44140625" style="57"/>
    <col min="3841" max="3841" width="3.44140625" style="57" customWidth="1"/>
    <col min="3842" max="3842" width="28.88671875" style="57" customWidth="1"/>
    <col min="3843" max="3843" width="12.6640625" style="57" customWidth="1"/>
    <col min="3844" max="3844" width="7" style="57" customWidth="1"/>
    <col min="3845" max="3845" width="13.6640625" style="57" customWidth="1"/>
    <col min="3846" max="3846" width="10" style="57" customWidth="1"/>
    <col min="3847" max="3847" width="15" style="57" customWidth="1"/>
    <col min="3848" max="3848" width="6.88671875" style="57" customWidth="1"/>
    <col min="3849" max="3849" width="14.33203125" style="57" bestFit="1" customWidth="1"/>
    <col min="3850" max="4096" width="11.44140625" style="57"/>
    <col min="4097" max="4097" width="3.44140625" style="57" customWidth="1"/>
    <col min="4098" max="4098" width="28.88671875" style="57" customWidth="1"/>
    <col min="4099" max="4099" width="12.6640625" style="57" customWidth="1"/>
    <col min="4100" max="4100" width="7" style="57" customWidth="1"/>
    <col min="4101" max="4101" width="13.6640625" style="57" customWidth="1"/>
    <col min="4102" max="4102" width="10" style="57" customWidth="1"/>
    <col min="4103" max="4103" width="15" style="57" customWidth="1"/>
    <col min="4104" max="4104" width="6.88671875" style="57" customWidth="1"/>
    <col min="4105" max="4105" width="14.33203125" style="57" bestFit="1" customWidth="1"/>
    <col min="4106" max="4352" width="11.44140625" style="57"/>
    <col min="4353" max="4353" width="3.44140625" style="57" customWidth="1"/>
    <col min="4354" max="4354" width="28.88671875" style="57" customWidth="1"/>
    <col min="4355" max="4355" width="12.6640625" style="57" customWidth="1"/>
    <col min="4356" max="4356" width="7" style="57" customWidth="1"/>
    <col min="4357" max="4357" width="13.6640625" style="57" customWidth="1"/>
    <col min="4358" max="4358" width="10" style="57" customWidth="1"/>
    <col min="4359" max="4359" width="15" style="57" customWidth="1"/>
    <col min="4360" max="4360" width="6.88671875" style="57" customWidth="1"/>
    <col min="4361" max="4361" width="14.33203125" style="57" bestFit="1" customWidth="1"/>
    <col min="4362" max="4608" width="11.44140625" style="57"/>
    <col min="4609" max="4609" width="3.44140625" style="57" customWidth="1"/>
    <col min="4610" max="4610" width="28.88671875" style="57" customWidth="1"/>
    <col min="4611" max="4611" width="12.6640625" style="57" customWidth="1"/>
    <col min="4612" max="4612" width="7" style="57" customWidth="1"/>
    <col min="4613" max="4613" width="13.6640625" style="57" customWidth="1"/>
    <col min="4614" max="4614" width="10" style="57" customWidth="1"/>
    <col min="4615" max="4615" width="15" style="57" customWidth="1"/>
    <col min="4616" max="4616" width="6.88671875" style="57" customWidth="1"/>
    <col min="4617" max="4617" width="14.33203125" style="57" bestFit="1" customWidth="1"/>
    <col min="4618" max="4864" width="11.44140625" style="57"/>
    <col min="4865" max="4865" width="3.44140625" style="57" customWidth="1"/>
    <col min="4866" max="4866" width="28.88671875" style="57" customWidth="1"/>
    <col min="4867" max="4867" width="12.6640625" style="57" customWidth="1"/>
    <col min="4868" max="4868" width="7" style="57" customWidth="1"/>
    <col min="4869" max="4869" width="13.6640625" style="57" customWidth="1"/>
    <col min="4870" max="4870" width="10" style="57" customWidth="1"/>
    <col min="4871" max="4871" width="15" style="57" customWidth="1"/>
    <col min="4872" max="4872" width="6.88671875" style="57" customWidth="1"/>
    <col min="4873" max="4873" width="14.33203125" style="57" bestFit="1" customWidth="1"/>
    <col min="4874" max="5120" width="11.44140625" style="57"/>
    <col min="5121" max="5121" width="3.44140625" style="57" customWidth="1"/>
    <col min="5122" max="5122" width="28.88671875" style="57" customWidth="1"/>
    <col min="5123" max="5123" width="12.6640625" style="57" customWidth="1"/>
    <col min="5124" max="5124" width="7" style="57" customWidth="1"/>
    <col min="5125" max="5125" width="13.6640625" style="57" customWidth="1"/>
    <col min="5126" max="5126" width="10" style="57" customWidth="1"/>
    <col min="5127" max="5127" width="15" style="57" customWidth="1"/>
    <col min="5128" max="5128" width="6.88671875" style="57" customWidth="1"/>
    <col min="5129" max="5129" width="14.33203125" style="57" bestFit="1" customWidth="1"/>
    <col min="5130" max="5376" width="11.44140625" style="57"/>
    <col min="5377" max="5377" width="3.44140625" style="57" customWidth="1"/>
    <col min="5378" max="5378" width="28.88671875" style="57" customWidth="1"/>
    <col min="5379" max="5379" width="12.6640625" style="57" customWidth="1"/>
    <col min="5380" max="5380" width="7" style="57" customWidth="1"/>
    <col min="5381" max="5381" width="13.6640625" style="57" customWidth="1"/>
    <col min="5382" max="5382" width="10" style="57" customWidth="1"/>
    <col min="5383" max="5383" width="15" style="57" customWidth="1"/>
    <col min="5384" max="5384" width="6.88671875" style="57" customWidth="1"/>
    <col min="5385" max="5385" width="14.33203125" style="57" bestFit="1" customWidth="1"/>
    <col min="5386" max="5632" width="11.44140625" style="57"/>
    <col min="5633" max="5633" width="3.44140625" style="57" customWidth="1"/>
    <col min="5634" max="5634" width="28.88671875" style="57" customWidth="1"/>
    <col min="5635" max="5635" width="12.6640625" style="57" customWidth="1"/>
    <col min="5636" max="5636" width="7" style="57" customWidth="1"/>
    <col min="5637" max="5637" width="13.6640625" style="57" customWidth="1"/>
    <col min="5638" max="5638" width="10" style="57" customWidth="1"/>
    <col min="5639" max="5639" width="15" style="57" customWidth="1"/>
    <col min="5640" max="5640" width="6.88671875" style="57" customWidth="1"/>
    <col min="5641" max="5641" width="14.33203125" style="57" bestFit="1" customWidth="1"/>
    <col min="5642" max="5888" width="11.44140625" style="57"/>
    <col min="5889" max="5889" width="3.44140625" style="57" customWidth="1"/>
    <col min="5890" max="5890" width="28.88671875" style="57" customWidth="1"/>
    <col min="5891" max="5891" width="12.6640625" style="57" customWidth="1"/>
    <col min="5892" max="5892" width="7" style="57" customWidth="1"/>
    <col min="5893" max="5893" width="13.6640625" style="57" customWidth="1"/>
    <col min="5894" max="5894" width="10" style="57" customWidth="1"/>
    <col min="5895" max="5895" width="15" style="57" customWidth="1"/>
    <col min="5896" max="5896" width="6.88671875" style="57" customWidth="1"/>
    <col min="5897" max="5897" width="14.33203125" style="57" bestFit="1" customWidth="1"/>
    <col min="5898" max="6144" width="11.44140625" style="57"/>
    <col min="6145" max="6145" width="3.44140625" style="57" customWidth="1"/>
    <col min="6146" max="6146" width="28.88671875" style="57" customWidth="1"/>
    <col min="6147" max="6147" width="12.6640625" style="57" customWidth="1"/>
    <col min="6148" max="6148" width="7" style="57" customWidth="1"/>
    <col min="6149" max="6149" width="13.6640625" style="57" customWidth="1"/>
    <col min="6150" max="6150" width="10" style="57" customWidth="1"/>
    <col min="6151" max="6151" width="15" style="57" customWidth="1"/>
    <col min="6152" max="6152" width="6.88671875" style="57" customWidth="1"/>
    <col min="6153" max="6153" width="14.33203125" style="57" bestFit="1" customWidth="1"/>
    <col min="6154" max="6400" width="11.44140625" style="57"/>
    <col min="6401" max="6401" width="3.44140625" style="57" customWidth="1"/>
    <col min="6402" max="6402" width="28.88671875" style="57" customWidth="1"/>
    <col min="6403" max="6403" width="12.6640625" style="57" customWidth="1"/>
    <col min="6404" max="6404" width="7" style="57" customWidth="1"/>
    <col min="6405" max="6405" width="13.6640625" style="57" customWidth="1"/>
    <col min="6406" max="6406" width="10" style="57" customWidth="1"/>
    <col min="6407" max="6407" width="15" style="57" customWidth="1"/>
    <col min="6408" max="6408" width="6.88671875" style="57" customWidth="1"/>
    <col min="6409" max="6409" width="14.33203125" style="57" bestFit="1" customWidth="1"/>
    <col min="6410" max="6656" width="11.44140625" style="57"/>
    <col min="6657" max="6657" width="3.44140625" style="57" customWidth="1"/>
    <col min="6658" max="6658" width="28.88671875" style="57" customWidth="1"/>
    <col min="6659" max="6659" width="12.6640625" style="57" customWidth="1"/>
    <col min="6660" max="6660" width="7" style="57" customWidth="1"/>
    <col min="6661" max="6661" width="13.6640625" style="57" customWidth="1"/>
    <col min="6662" max="6662" width="10" style="57" customWidth="1"/>
    <col min="6663" max="6663" width="15" style="57" customWidth="1"/>
    <col min="6664" max="6664" width="6.88671875" style="57" customWidth="1"/>
    <col min="6665" max="6665" width="14.33203125" style="57" bestFit="1" customWidth="1"/>
    <col min="6666" max="6912" width="11.44140625" style="57"/>
    <col min="6913" max="6913" width="3.44140625" style="57" customWidth="1"/>
    <col min="6914" max="6914" width="28.88671875" style="57" customWidth="1"/>
    <col min="6915" max="6915" width="12.6640625" style="57" customWidth="1"/>
    <col min="6916" max="6916" width="7" style="57" customWidth="1"/>
    <col min="6917" max="6917" width="13.6640625" style="57" customWidth="1"/>
    <col min="6918" max="6918" width="10" style="57" customWidth="1"/>
    <col min="6919" max="6919" width="15" style="57" customWidth="1"/>
    <col min="6920" max="6920" width="6.88671875" style="57" customWidth="1"/>
    <col min="6921" max="6921" width="14.33203125" style="57" bestFit="1" customWidth="1"/>
    <col min="6922" max="7168" width="11.44140625" style="57"/>
    <col min="7169" max="7169" width="3.44140625" style="57" customWidth="1"/>
    <col min="7170" max="7170" width="28.88671875" style="57" customWidth="1"/>
    <col min="7171" max="7171" width="12.6640625" style="57" customWidth="1"/>
    <col min="7172" max="7172" width="7" style="57" customWidth="1"/>
    <col min="7173" max="7173" width="13.6640625" style="57" customWidth="1"/>
    <col min="7174" max="7174" width="10" style="57" customWidth="1"/>
    <col min="7175" max="7175" width="15" style="57" customWidth="1"/>
    <col min="7176" max="7176" width="6.88671875" style="57" customWidth="1"/>
    <col min="7177" max="7177" width="14.33203125" style="57" bestFit="1" customWidth="1"/>
    <col min="7178" max="7424" width="11.44140625" style="57"/>
    <col min="7425" max="7425" width="3.44140625" style="57" customWidth="1"/>
    <col min="7426" max="7426" width="28.88671875" style="57" customWidth="1"/>
    <col min="7427" max="7427" width="12.6640625" style="57" customWidth="1"/>
    <col min="7428" max="7428" width="7" style="57" customWidth="1"/>
    <col min="7429" max="7429" width="13.6640625" style="57" customWidth="1"/>
    <col min="7430" max="7430" width="10" style="57" customWidth="1"/>
    <col min="7431" max="7431" width="15" style="57" customWidth="1"/>
    <col min="7432" max="7432" width="6.88671875" style="57" customWidth="1"/>
    <col min="7433" max="7433" width="14.33203125" style="57" bestFit="1" customWidth="1"/>
    <col min="7434" max="7680" width="11.44140625" style="57"/>
    <col min="7681" max="7681" width="3.44140625" style="57" customWidth="1"/>
    <col min="7682" max="7682" width="28.88671875" style="57" customWidth="1"/>
    <col min="7683" max="7683" width="12.6640625" style="57" customWidth="1"/>
    <col min="7684" max="7684" width="7" style="57" customWidth="1"/>
    <col min="7685" max="7685" width="13.6640625" style="57" customWidth="1"/>
    <col min="7686" max="7686" width="10" style="57" customWidth="1"/>
    <col min="7687" max="7687" width="15" style="57" customWidth="1"/>
    <col min="7688" max="7688" width="6.88671875" style="57" customWidth="1"/>
    <col min="7689" max="7689" width="14.33203125" style="57" bestFit="1" customWidth="1"/>
    <col min="7690" max="7936" width="11.44140625" style="57"/>
    <col min="7937" max="7937" width="3.44140625" style="57" customWidth="1"/>
    <col min="7938" max="7938" width="28.88671875" style="57" customWidth="1"/>
    <col min="7939" max="7939" width="12.6640625" style="57" customWidth="1"/>
    <col min="7940" max="7940" width="7" style="57" customWidth="1"/>
    <col min="7941" max="7941" width="13.6640625" style="57" customWidth="1"/>
    <col min="7942" max="7942" width="10" style="57" customWidth="1"/>
    <col min="7943" max="7943" width="15" style="57" customWidth="1"/>
    <col min="7944" max="7944" width="6.88671875" style="57" customWidth="1"/>
    <col min="7945" max="7945" width="14.33203125" style="57" bestFit="1" customWidth="1"/>
    <col min="7946" max="8192" width="11.44140625" style="57"/>
    <col min="8193" max="8193" width="3.44140625" style="57" customWidth="1"/>
    <col min="8194" max="8194" width="28.88671875" style="57" customWidth="1"/>
    <col min="8195" max="8195" width="12.6640625" style="57" customWidth="1"/>
    <col min="8196" max="8196" width="7" style="57" customWidth="1"/>
    <col min="8197" max="8197" width="13.6640625" style="57" customWidth="1"/>
    <col min="8198" max="8198" width="10" style="57" customWidth="1"/>
    <col min="8199" max="8199" width="15" style="57" customWidth="1"/>
    <col min="8200" max="8200" width="6.88671875" style="57" customWidth="1"/>
    <col min="8201" max="8201" width="14.33203125" style="57" bestFit="1" customWidth="1"/>
    <col min="8202" max="8448" width="11.44140625" style="57"/>
    <col min="8449" max="8449" width="3.44140625" style="57" customWidth="1"/>
    <col min="8450" max="8450" width="28.88671875" style="57" customWidth="1"/>
    <col min="8451" max="8451" width="12.6640625" style="57" customWidth="1"/>
    <col min="8452" max="8452" width="7" style="57" customWidth="1"/>
    <col min="8453" max="8453" width="13.6640625" style="57" customWidth="1"/>
    <col min="8454" max="8454" width="10" style="57" customWidth="1"/>
    <col min="8455" max="8455" width="15" style="57" customWidth="1"/>
    <col min="8456" max="8456" width="6.88671875" style="57" customWidth="1"/>
    <col min="8457" max="8457" width="14.33203125" style="57" bestFit="1" customWidth="1"/>
    <col min="8458" max="8704" width="11.44140625" style="57"/>
    <col min="8705" max="8705" width="3.44140625" style="57" customWidth="1"/>
    <col min="8706" max="8706" width="28.88671875" style="57" customWidth="1"/>
    <col min="8707" max="8707" width="12.6640625" style="57" customWidth="1"/>
    <col min="8708" max="8708" width="7" style="57" customWidth="1"/>
    <col min="8709" max="8709" width="13.6640625" style="57" customWidth="1"/>
    <col min="8710" max="8710" width="10" style="57" customWidth="1"/>
    <col min="8711" max="8711" width="15" style="57" customWidth="1"/>
    <col min="8712" max="8712" width="6.88671875" style="57" customWidth="1"/>
    <col min="8713" max="8713" width="14.33203125" style="57" bestFit="1" customWidth="1"/>
    <col min="8714" max="8960" width="11.44140625" style="57"/>
    <col min="8961" max="8961" width="3.44140625" style="57" customWidth="1"/>
    <col min="8962" max="8962" width="28.88671875" style="57" customWidth="1"/>
    <col min="8963" max="8963" width="12.6640625" style="57" customWidth="1"/>
    <col min="8964" max="8964" width="7" style="57" customWidth="1"/>
    <col min="8965" max="8965" width="13.6640625" style="57" customWidth="1"/>
    <col min="8966" max="8966" width="10" style="57" customWidth="1"/>
    <col min="8967" max="8967" width="15" style="57" customWidth="1"/>
    <col min="8968" max="8968" width="6.88671875" style="57" customWidth="1"/>
    <col min="8969" max="8969" width="14.33203125" style="57" bestFit="1" customWidth="1"/>
    <col min="8970" max="9216" width="11.44140625" style="57"/>
    <col min="9217" max="9217" width="3.44140625" style="57" customWidth="1"/>
    <col min="9218" max="9218" width="28.88671875" style="57" customWidth="1"/>
    <col min="9219" max="9219" width="12.6640625" style="57" customWidth="1"/>
    <col min="9220" max="9220" width="7" style="57" customWidth="1"/>
    <col min="9221" max="9221" width="13.6640625" style="57" customWidth="1"/>
    <col min="9222" max="9222" width="10" style="57" customWidth="1"/>
    <col min="9223" max="9223" width="15" style="57" customWidth="1"/>
    <col min="9224" max="9224" width="6.88671875" style="57" customWidth="1"/>
    <col min="9225" max="9225" width="14.33203125" style="57" bestFit="1" customWidth="1"/>
    <col min="9226" max="9472" width="11.44140625" style="57"/>
    <col min="9473" max="9473" width="3.44140625" style="57" customWidth="1"/>
    <col min="9474" max="9474" width="28.88671875" style="57" customWidth="1"/>
    <col min="9475" max="9475" width="12.6640625" style="57" customWidth="1"/>
    <col min="9476" max="9476" width="7" style="57" customWidth="1"/>
    <col min="9477" max="9477" width="13.6640625" style="57" customWidth="1"/>
    <col min="9478" max="9478" width="10" style="57" customWidth="1"/>
    <col min="9479" max="9479" width="15" style="57" customWidth="1"/>
    <col min="9480" max="9480" width="6.88671875" style="57" customWidth="1"/>
    <col min="9481" max="9481" width="14.33203125" style="57" bestFit="1" customWidth="1"/>
    <col min="9482" max="9728" width="11.44140625" style="57"/>
    <col min="9729" max="9729" width="3.44140625" style="57" customWidth="1"/>
    <col min="9730" max="9730" width="28.88671875" style="57" customWidth="1"/>
    <col min="9731" max="9731" width="12.6640625" style="57" customWidth="1"/>
    <col min="9732" max="9732" width="7" style="57" customWidth="1"/>
    <col min="9733" max="9733" width="13.6640625" style="57" customWidth="1"/>
    <col min="9734" max="9734" width="10" style="57" customWidth="1"/>
    <col min="9735" max="9735" width="15" style="57" customWidth="1"/>
    <col min="9736" max="9736" width="6.88671875" style="57" customWidth="1"/>
    <col min="9737" max="9737" width="14.33203125" style="57" bestFit="1" customWidth="1"/>
    <col min="9738" max="9984" width="11.44140625" style="57"/>
    <col min="9985" max="9985" width="3.44140625" style="57" customWidth="1"/>
    <col min="9986" max="9986" width="28.88671875" style="57" customWidth="1"/>
    <col min="9987" max="9987" width="12.6640625" style="57" customWidth="1"/>
    <col min="9988" max="9988" width="7" style="57" customWidth="1"/>
    <col min="9989" max="9989" width="13.6640625" style="57" customWidth="1"/>
    <col min="9990" max="9990" width="10" style="57" customWidth="1"/>
    <col min="9991" max="9991" width="15" style="57" customWidth="1"/>
    <col min="9992" max="9992" width="6.88671875" style="57" customWidth="1"/>
    <col min="9993" max="9993" width="14.33203125" style="57" bestFit="1" customWidth="1"/>
    <col min="9994" max="10240" width="11.44140625" style="57"/>
    <col min="10241" max="10241" width="3.44140625" style="57" customWidth="1"/>
    <col min="10242" max="10242" width="28.88671875" style="57" customWidth="1"/>
    <col min="10243" max="10243" width="12.6640625" style="57" customWidth="1"/>
    <col min="10244" max="10244" width="7" style="57" customWidth="1"/>
    <col min="10245" max="10245" width="13.6640625" style="57" customWidth="1"/>
    <col min="10246" max="10246" width="10" style="57" customWidth="1"/>
    <col min="10247" max="10247" width="15" style="57" customWidth="1"/>
    <col min="10248" max="10248" width="6.88671875" style="57" customWidth="1"/>
    <col min="10249" max="10249" width="14.33203125" style="57" bestFit="1" customWidth="1"/>
    <col min="10250" max="10496" width="11.44140625" style="57"/>
    <col min="10497" max="10497" width="3.44140625" style="57" customWidth="1"/>
    <col min="10498" max="10498" width="28.88671875" style="57" customWidth="1"/>
    <col min="10499" max="10499" width="12.6640625" style="57" customWidth="1"/>
    <col min="10500" max="10500" width="7" style="57" customWidth="1"/>
    <col min="10501" max="10501" width="13.6640625" style="57" customWidth="1"/>
    <col min="10502" max="10502" width="10" style="57" customWidth="1"/>
    <col min="10503" max="10503" width="15" style="57" customWidth="1"/>
    <col min="10504" max="10504" width="6.88671875" style="57" customWidth="1"/>
    <col min="10505" max="10505" width="14.33203125" style="57" bestFit="1" customWidth="1"/>
    <col min="10506" max="10752" width="11.44140625" style="57"/>
    <col min="10753" max="10753" width="3.44140625" style="57" customWidth="1"/>
    <col min="10754" max="10754" width="28.88671875" style="57" customWidth="1"/>
    <col min="10755" max="10755" width="12.6640625" style="57" customWidth="1"/>
    <col min="10756" max="10756" width="7" style="57" customWidth="1"/>
    <col min="10757" max="10757" width="13.6640625" style="57" customWidth="1"/>
    <col min="10758" max="10758" width="10" style="57" customWidth="1"/>
    <col min="10759" max="10759" width="15" style="57" customWidth="1"/>
    <col min="10760" max="10760" width="6.88671875" style="57" customWidth="1"/>
    <col min="10761" max="10761" width="14.33203125" style="57" bestFit="1" customWidth="1"/>
    <col min="10762" max="11008" width="11.44140625" style="57"/>
    <col min="11009" max="11009" width="3.44140625" style="57" customWidth="1"/>
    <col min="11010" max="11010" width="28.88671875" style="57" customWidth="1"/>
    <col min="11011" max="11011" width="12.6640625" style="57" customWidth="1"/>
    <col min="11012" max="11012" width="7" style="57" customWidth="1"/>
    <col min="11013" max="11013" width="13.6640625" style="57" customWidth="1"/>
    <col min="11014" max="11014" width="10" style="57" customWidth="1"/>
    <col min="11015" max="11015" width="15" style="57" customWidth="1"/>
    <col min="11016" max="11016" width="6.88671875" style="57" customWidth="1"/>
    <col min="11017" max="11017" width="14.33203125" style="57" bestFit="1" customWidth="1"/>
    <col min="11018" max="11264" width="11.44140625" style="57"/>
    <col min="11265" max="11265" width="3.44140625" style="57" customWidth="1"/>
    <col min="11266" max="11266" width="28.88671875" style="57" customWidth="1"/>
    <col min="11267" max="11267" width="12.6640625" style="57" customWidth="1"/>
    <col min="11268" max="11268" width="7" style="57" customWidth="1"/>
    <col min="11269" max="11269" width="13.6640625" style="57" customWidth="1"/>
    <col min="11270" max="11270" width="10" style="57" customWidth="1"/>
    <col min="11271" max="11271" width="15" style="57" customWidth="1"/>
    <col min="11272" max="11272" width="6.88671875" style="57" customWidth="1"/>
    <col min="11273" max="11273" width="14.33203125" style="57" bestFit="1" customWidth="1"/>
    <col min="11274" max="11520" width="11.44140625" style="57"/>
    <col min="11521" max="11521" width="3.44140625" style="57" customWidth="1"/>
    <col min="11522" max="11522" width="28.88671875" style="57" customWidth="1"/>
    <col min="11523" max="11523" width="12.6640625" style="57" customWidth="1"/>
    <col min="11524" max="11524" width="7" style="57" customWidth="1"/>
    <col min="11525" max="11525" width="13.6640625" style="57" customWidth="1"/>
    <col min="11526" max="11526" width="10" style="57" customWidth="1"/>
    <col min="11527" max="11527" width="15" style="57" customWidth="1"/>
    <col min="11528" max="11528" width="6.88671875" style="57" customWidth="1"/>
    <col min="11529" max="11529" width="14.33203125" style="57" bestFit="1" customWidth="1"/>
    <col min="11530" max="11776" width="11.44140625" style="57"/>
    <col min="11777" max="11777" width="3.44140625" style="57" customWidth="1"/>
    <col min="11778" max="11778" width="28.88671875" style="57" customWidth="1"/>
    <col min="11779" max="11779" width="12.6640625" style="57" customWidth="1"/>
    <col min="11780" max="11780" width="7" style="57" customWidth="1"/>
    <col min="11781" max="11781" width="13.6640625" style="57" customWidth="1"/>
    <col min="11782" max="11782" width="10" style="57" customWidth="1"/>
    <col min="11783" max="11783" width="15" style="57" customWidth="1"/>
    <col min="11784" max="11784" width="6.88671875" style="57" customWidth="1"/>
    <col min="11785" max="11785" width="14.33203125" style="57" bestFit="1" customWidth="1"/>
    <col min="11786" max="12032" width="11.44140625" style="57"/>
    <col min="12033" max="12033" width="3.44140625" style="57" customWidth="1"/>
    <col min="12034" max="12034" width="28.88671875" style="57" customWidth="1"/>
    <col min="12035" max="12035" width="12.6640625" style="57" customWidth="1"/>
    <col min="12036" max="12036" width="7" style="57" customWidth="1"/>
    <col min="12037" max="12037" width="13.6640625" style="57" customWidth="1"/>
    <col min="12038" max="12038" width="10" style="57" customWidth="1"/>
    <col min="12039" max="12039" width="15" style="57" customWidth="1"/>
    <col min="12040" max="12040" width="6.88671875" style="57" customWidth="1"/>
    <col min="12041" max="12041" width="14.33203125" style="57" bestFit="1" customWidth="1"/>
    <col min="12042" max="12288" width="11.44140625" style="57"/>
    <col min="12289" max="12289" width="3.44140625" style="57" customWidth="1"/>
    <col min="12290" max="12290" width="28.88671875" style="57" customWidth="1"/>
    <col min="12291" max="12291" width="12.6640625" style="57" customWidth="1"/>
    <col min="12292" max="12292" width="7" style="57" customWidth="1"/>
    <col min="12293" max="12293" width="13.6640625" style="57" customWidth="1"/>
    <col min="12294" max="12294" width="10" style="57" customWidth="1"/>
    <col min="12295" max="12295" width="15" style="57" customWidth="1"/>
    <col min="12296" max="12296" width="6.88671875" style="57" customWidth="1"/>
    <col min="12297" max="12297" width="14.33203125" style="57" bestFit="1" customWidth="1"/>
    <col min="12298" max="12544" width="11.44140625" style="57"/>
    <col min="12545" max="12545" width="3.44140625" style="57" customWidth="1"/>
    <col min="12546" max="12546" width="28.88671875" style="57" customWidth="1"/>
    <col min="12547" max="12547" width="12.6640625" style="57" customWidth="1"/>
    <col min="12548" max="12548" width="7" style="57" customWidth="1"/>
    <col min="12549" max="12549" width="13.6640625" style="57" customWidth="1"/>
    <col min="12550" max="12550" width="10" style="57" customWidth="1"/>
    <col min="12551" max="12551" width="15" style="57" customWidth="1"/>
    <col min="12552" max="12552" width="6.88671875" style="57" customWidth="1"/>
    <col min="12553" max="12553" width="14.33203125" style="57" bestFit="1" customWidth="1"/>
    <col min="12554" max="12800" width="11.44140625" style="57"/>
    <col min="12801" max="12801" width="3.44140625" style="57" customWidth="1"/>
    <col min="12802" max="12802" width="28.88671875" style="57" customWidth="1"/>
    <col min="12803" max="12803" width="12.6640625" style="57" customWidth="1"/>
    <col min="12804" max="12804" width="7" style="57" customWidth="1"/>
    <col min="12805" max="12805" width="13.6640625" style="57" customWidth="1"/>
    <col min="12806" max="12806" width="10" style="57" customWidth="1"/>
    <col min="12807" max="12807" width="15" style="57" customWidth="1"/>
    <col min="12808" max="12808" width="6.88671875" style="57" customWidth="1"/>
    <col min="12809" max="12809" width="14.33203125" style="57" bestFit="1" customWidth="1"/>
    <col min="12810" max="13056" width="11.44140625" style="57"/>
    <col min="13057" max="13057" width="3.44140625" style="57" customWidth="1"/>
    <col min="13058" max="13058" width="28.88671875" style="57" customWidth="1"/>
    <col min="13059" max="13059" width="12.6640625" style="57" customWidth="1"/>
    <col min="13060" max="13060" width="7" style="57" customWidth="1"/>
    <col min="13061" max="13061" width="13.6640625" style="57" customWidth="1"/>
    <col min="13062" max="13062" width="10" style="57" customWidth="1"/>
    <col min="13063" max="13063" width="15" style="57" customWidth="1"/>
    <col min="13064" max="13064" width="6.88671875" style="57" customWidth="1"/>
    <col min="13065" max="13065" width="14.33203125" style="57" bestFit="1" customWidth="1"/>
    <col min="13066" max="13312" width="11.44140625" style="57"/>
    <col min="13313" max="13313" width="3.44140625" style="57" customWidth="1"/>
    <col min="13314" max="13314" width="28.88671875" style="57" customWidth="1"/>
    <col min="13315" max="13315" width="12.6640625" style="57" customWidth="1"/>
    <col min="13316" max="13316" width="7" style="57" customWidth="1"/>
    <col min="13317" max="13317" width="13.6640625" style="57" customWidth="1"/>
    <col min="13318" max="13318" width="10" style="57" customWidth="1"/>
    <col min="13319" max="13319" width="15" style="57" customWidth="1"/>
    <col min="13320" max="13320" width="6.88671875" style="57" customWidth="1"/>
    <col min="13321" max="13321" width="14.33203125" style="57" bestFit="1" customWidth="1"/>
    <col min="13322" max="13568" width="11.44140625" style="57"/>
    <col min="13569" max="13569" width="3.44140625" style="57" customWidth="1"/>
    <col min="13570" max="13570" width="28.88671875" style="57" customWidth="1"/>
    <col min="13571" max="13571" width="12.6640625" style="57" customWidth="1"/>
    <col min="13572" max="13572" width="7" style="57" customWidth="1"/>
    <col min="13573" max="13573" width="13.6640625" style="57" customWidth="1"/>
    <col min="13574" max="13574" width="10" style="57" customWidth="1"/>
    <col min="13575" max="13575" width="15" style="57" customWidth="1"/>
    <col min="13576" max="13576" width="6.88671875" style="57" customWidth="1"/>
    <col min="13577" max="13577" width="14.33203125" style="57" bestFit="1" customWidth="1"/>
    <col min="13578" max="13824" width="11.44140625" style="57"/>
    <col min="13825" max="13825" width="3.44140625" style="57" customWidth="1"/>
    <col min="13826" max="13826" width="28.88671875" style="57" customWidth="1"/>
    <col min="13827" max="13827" width="12.6640625" style="57" customWidth="1"/>
    <col min="13828" max="13828" width="7" style="57" customWidth="1"/>
    <col min="13829" max="13829" width="13.6640625" style="57" customWidth="1"/>
    <col min="13830" max="13830" width="10" style="57" customWidth="1"/>
    <col min="13831" max="13831" width="15" style="57" customWidth="1"/>
    <col min="13832" max="13832" width="6.88671875" style="57" customWidth="1"/>
    <col min="13833" max="13833" width="14.33203125" style="57" bestFit="1" customWidth="1"/>
    <col min="13834" max="14080" width="11.44140625" style="57"/>
    <col min="14081" max="14081" width="3.44140625" style="57" customWidth="1"/>
    <col min="14082" max="14082" width="28.88671875" style="57" customWidth="1"/>
    <col min="14083" max="14083" width="12.6640625" style="57" customWidth="1"/>
    <col min="14084" max="14084" width="7" style="57" customWidth="1"/>
    <col min="14085" max="14085" width="13.6640625" style="57" customWidth="1"/>
    <col min="14086" max="14086" width="10" style="57" customWidth="1"/>
    <col min="14087" max="14087" width="15" style="57" customWidth="1"/>
    <col min="14088" max="14088" width="6.88671875" style="57" customWidth="1"/>
    <col min="14089" max="14089" width="14.33203125" style="57" bestFit="1" customWidth="1"/>
    <col min="14090" max="14336" width="11.44140625" style="57"/>
    <col min="14337" max="14337" width="3.44140625" style="57" customWidth="1"/>
    <col min="14338" max="14338" width="28.88671875" style="57" customWidth="1"/>
    <col min="14339" max="14339" width="12.6640625" style="57" customWidth="1"/>
    <col min="14340" max="14340" width="7" style="57" customWidth="1"/>
    <col min="14341" max="14341" width="13.6640625" style="57" customWidth="1"/>
    <col min="14342" max="14342" width="10" style="57" customWidth="1"/>
    <col min="14343" max="14343" width="15" style="57" customWidth="1"/>
    <col min="14344" max="14344" width="6.88671875" style="57" customWidth="1"/>
    <col min="14345" max="14345" width="14.33203125" style="57" bestFit="1" customWidth="1"/>
    <col min="14346" max="14592" width="11.44140625" style="57"/>
    <col min="14593" max="14593" width="3.44140625" style="57" customWidth="1"/>
    <col min="14594" max="14594" width="28.88671875" style="57" customWidth="1"/>
    <col min="14595" max="14595" width="12.6640625" style="57" customWidth="1"/>
    <col min="14596" max="14596" width="7" style="57" customWidth="1"/>
    <col min="14597" max="14597" width="13.6640625" style="57" customWidth="1"/>
    <col min="14598" max="14598" width="10" style="57" customWidth="1"/>
    <col min="14599" max="14599" width="15" style="57" customWidth="1"/>
    <col min="14600" max="14600" width="6.88671875" style="57" customWidth="1"/>
    <col min="14601" max="14601" width="14.33203125" style="57" bestFit="1" customWidth="1"/>
    <col min="14602" max="14848" width="11.44140625" style="57"/>
    <col min="14849" max="14849" width="3.44140625" style="57" customWidth="1"/>
    <col min="14850" max="14850" width="28.88671875" style="57" customWidth="1"/>
    <col min="14851" max="14851" width="12.6640625" style="57" customWidth="1"/>
    <col min="14852" max="14852" width="7" style="57" customWidth="1"/>
    <col min="14853" max="14853" width="13.6640625" style="57" customWidth="1"/>
    <col min="14854" max="14854" width="10" style="57" customWidth="1"/>
    <col min="14855" max="14855" width="15" style="57" customWidth="1"/>
    <col min="14856" max="14856" width="6.88671875" style="57" customWidth="1"/>
    <col min="14857" max="14857" width="14.33203125" style="57" bestFit="1" customWidth="1"/>
    <col min="14858" max="15104" width="11.44140625" style="57"/>
    <col min="15105" max="15105" width="3.44140625" style="57" customWidth="1"/>
    <col min="15106" max="15106" width="28.88671875" style="57" customWidth="1"/>
    <col min="15107" max="15107" width="12.6640625" style="57" customWidth="1"/>
    <col min="15108" max="15108" width="7" style="57" customWidth="1"/>
    <col min="15109" max="15109" width="13.6640625" style="57" customWidth="1"/>
    <col min="15110" max="15110" width="10" style="57" customWidth="1"/>
    <col min="15111" max="15111" width="15" style="57" customWidth="1"/>
    <col min="15112" max="15112" width="6.88671875" style="57" customWidth="1"/>
    <col min="15113" max="15113" width="14.33203125" style="57" bestFit="1" customWidth="1"/>
    <col min="15114" max="15360" width="11.44140625" style="57"/>
    <col min="15361" max="15361" width="3.44140625" style="57" customWidth="1"/>
    <col min="15362" max="15362" width="28.88671875" style="57" customWidth="1"/>
    <col min="15363" max="15363" width="12.6640625" style="57" customWidth="1"/>
    <col min="15364" max="15364" width="7" style="57" customWidth="1"/>
    <col min="15365" max="15365" width="13.6640625" style="57" customWidth="1"/>
    <col min="15366" max="15366" width="10" style="57" customWidth="1"/>
    <col min="15367" max="15367" width="15" style="57" customWidth="1"/>
    <col min="15368" max="15368" width="6.88671875" style="57" customWidth="1"/>
    <col min="15369" max="15369" width="14.33203125" style="57" bestFit="1" customWidth="1"/>
    <col min="15370" max="15616" width="11.44140625" style="57"/>
    <col min="15617" max="15617" width="3.44140625" style="57" customWidth="1"/>
    <col min="15618" max="15618" width="28.88671875" style="57" customWidth="1"/>
    <col min="15619" max="15619" width="12.6640625" style="57" customWidth="1"/>
    <col min="15620" max="15620" width="7" style="57" customWidth="1"/>
    <col min="15621" max="15621" width="13.6640625" style="57" customWidth="1"/>
    <col min="15622" max="15622" width="10" style="57" customWidth="1"/>
    <col min="15623" max="15623" width="15" style="57" customWidth="1"/>
    <col min="15624" max="15624" width="6.88671875" style="57" customWidth="1"/>
    <col min="15625" max="15625" width="14.33203125" style="57" bestFit="1" customWidth="1"/>
    <col min="15626" max="15872" width="11.44140625" style="57"/>
    <col min="15873" max="15873" width="3.44140625" style="57" customWidth="1"/>
    <col min="15874" max="15874" width="28.88671875" style="57" customWidth="1"/>
    <col min="15875" max="15875" width="12.6640625" style="57" customWidth="1"/>
    <col min="15876" max="15876" width="7" style="57" customWidth="1"/>
    <col min="15877" max="15877" width="13.6640625" style="57" customWidth="1"/>
    <col min="15878" max="15878" width="10" style="57" customWidth="1"/>
    <col min="15879" max="15879" width="15" style="57" customWidth="1"/>
    <col min="15880" max="15880" width="6.88671875" style="57" customWidth="1"/>
    <col min="15881" max="15881" width="14.33203125" style="57" bestFit="1" customWidth="1"/>
    <col min="15882" max="16128" width="11.44140625" style="57"/>
    <col min="16129" max="16129" width="3.44140625" style="57" customWidth="1"/>
    <col min="16130" max="16130" width="28.88671875" style="57" customWidth="1"/>
    <col min="16131" max="16131" width="12.6640625" style="57" customWidth="1"/>
    <col min="16132" max="16132" width="7" style="57" customWidth="1"/>
    <col min="16133" max="16133" width="13.6640625" style="57" customWidth="1"/>
    <col min="16134" max="16134" width="10" style="57" customWidth="1"/>
    <col min="16135" max="16135" width="15" style="57" customWidth="1"/>
    <col min="16136" max="16136" width="6.88671875" style="57" customWidth="1"/>
    <col min="16137" max="16137" width="14.33203125" style="57" bestFit="1" customWidth="1"/>
    <col min="16138" max="16384" width="11.44140625" style="57"/>
  </cols>
  <sheetData>
    <row r="1" spans="1:7" ht="12.75" customHeight="1">
      <c r="A1" s="181"/>
      <c r="B1" s="56"/>
      <c r="F1" s="182"/>
      <c r="G1" s="159"/>
    </row>
    <row r="2" spans="1:7" ht="12.75" customHeight="1">
      <c r="A2" s="181"/>
      <c r="B2" s="56"/>
      <c r="F2" s="182"/>
      <c r="G2" s="159"/>
    </row>
    <row r="3" spans="1:7" ht="12.75" customHeight="1">
      <c r="A3" s="181"/>
      <c r="B3" s="56"/>
      <c r="F3" s="182"/>
      <c r="G3" s="159"/>
    </row>
    <row r="4" spans="1:7" ht="12.75" customHeight="1">
      <c r="A4" s="181"/>
      <c r="B4" s="56"/>
      <c r="C4" s="326" t="s">
        <v>339</v>
      </c>
      <c r="D4" s="326"/>
      <c r="E4" s="326"/>
      <c r="F4" s="326"/>
      <c r="G4" s="326"/>
    </row>
    <row r="5" spans="1:7" ht="12.75" customHeight="1">
      <c r="A5" s="181"/>
      <c r="B5" s="56"/>
      <c r="C5" s="326"/>
      <c r="D5" s="326"/>
      <c r="E5" s="326"/>
      <c r="F5" s="326"/>
      <c r="G5" s="326"/>
    </row>
    <row r="6" spans="1:7" ht="12.75" customHeight="1">
      <c r="A6" s="181"/>
      <c r="B6" s="56"/>
      <c r="C6" s="326"/>
      <c r="D6" s="326"/>
      <c r="E6" s="326"/>
      <c r="F6" s="326"/>
      <c r="G6" s="326"/>
    </row>
    <row r="7" spans="1:7" ht="12.75" customHeight="1">
      <c r="A7" s="181"/>
      <c r="B7" s="56"/>
      <c r="C7" s="326"/>
      <c r="D7" s="326"/>
      <c r="E7" s="326"/>
      <c r="F7" s="326"/>
      <c r="G7" s="326"/>
    </row>
    <row r="8" spans="1:7" ht="12.75" customHeight="1">
      <c r="A8" s="181"/>
      <c r="B8" s="56"/>
      <c r="C8" s="326"/>
      <c r="D8" s="326"/>
      <c r="E8" s="326"/>
      <c r="F8" s="326"/>
      <c r="G8" s="326"/>
    </row>
    <row r="9" spans="1:7" ht="12.75" customHeight="1">
      <c r="A9" s="181"/>
      <c r="B9" s="56"/>
      <c r="C9" s="326"/>
      <c r="D9" s="326"/>
      <c r="E9" s="326"/>
      <c r="F9" s="326"/>
      <c r="G9" s="326"/>
    </row>
    <row r="10" spans="1:7" ht="12.75" customHeight="1">
      <c r="A10" s="181"/>
      <c r="B10" s="56"/>
      <c r="C10" s="326"/>
      <c r="D10" s="326"/>
      <c r="E10" s="326"/>
      <c r="F10" s="326"/>
      <c r="G10" s="326"/>
    </row>
    <row r="11" spans="1:7" ht="12.75" customHeight="1">
      <c r="A11" s="181"/>
      <c r="B11" s="56"/>
      <c r="C11" s="183"/>
      <c r="D11" s="183"/>
      <c r="E11" s="183"/>
      <c r="F11" s="183"/>
      <c r="G11" s="184">
        <v>43790</v>
      </c>
    </row>
    <row r="12" spans="1:7" ht="12.75" customHeight="1">
      <c r="A12" s="181"/>
      <c r="B12" s="56"/>
      <c r="F12" s="182"/>
      <c r="G12" s="159"/>
    </row>
    <row r="13" spans="1:7">
      <c r="A13" s="61"/>
      <c r="B13" s="62"/>
      <c r="C13" s="63"/>
      <c r="D13" s="64"/>
      <c r="E13" s="64"/>
      <c r="F13" s="65"/>
      <c r="G13" s="66"/>
    </row>
    <row r="14" spans="1:7" ht="14.4" thickBot="1">
      <c r="A14" s="61"/>
      <c r="B14" s="64" t="s">
        <v>264</v>
      </c>
      <c r="C14" s="331" t="e">
        <f>#REF!</f>
        <v>#REF!</v>
      </c>
      <c r="D14" s="331"/>
      <c r="E14" s="331"/>
      <c r="F14" s="331"/>
      <c r="G14" s="331"/>
    </row>
    <row r="15" spans="1:7" ht="16.2" thickBot="1">
      <c r="A15" s="61"/>
      <c r="B15" s="64" t="s">
        <v>340</v>
      </c>
      <c r="C15" s="327" t="s">
        <v>374</v>
      </c>
      <c r="D15" s="328"/>
      <c r="E15" s="328"/>
      <c r="F15" s="328"/>
      <c r="G15" s="329"/>
    </row>
    <row r="16" spans="1:7">
      <c r="A16" s="67"/>
      <c r="B16" s="68" t="s">
        <v>341</v>
      </c>
      <c r="C16" s="332" t="e">
        <f>#REF!</f>
        <v>#REF!</v>
      </c>
      <c r="D16" s="332"/>
      <c r="E16" s="332"/>
      <c r="F16" s="332"/>
      <c r="G16" s="332"/>
    </row>
    <row r="17" spans="1:9" ht="13.8">
      <c r="A17" s="67"/>
      <c r="B17" s="68" t="s">
        <v>354</v>
      </c>
      <c r="C17" s="334" t="s">
        <v>371</v>
      </c>
      <c r="D17" s="334"/>
      <c r="E17" s="334"/>
      <c r="F17" s="334"/>
      <c r="G17" s="334"/>
    </row>
    <row r="18" spans="1:9" ht="13.8">
      <c r="A18" s="67"/>
      <c r="B18" s="68"/>
      <c r="C18" s="216" t="s">
        <v>268</v>
      </c>
      <c r="D18" s="333"/>
      <c r="E18" s="333"/>
      <c r="F18" s="333"/>
      <c r="G18" s="333"/>
    </row>
    <row r="19" spans="1:9">
      <c r="A19" s="67"/>
      <c r="B19" s="68"/>
    </row>
    <row r="20" spans="1:9">
      <c r="A20" s="67" t="s">
        <v>342</v>
      </c>
      <c r="B20" s="69" t="s">
        <v>270</v>
      </c>
      <c r="C20" s="70"/>
      <c r="D20" s="68"/>
      <c r="E20" s="71"/>
      <c r="F20" s="72"/>
      <c r="G20" s="73">
        <f>C21*E21</f>
        <v>300000.00800000003</v>
      </c>
      <c r="I20" s="185"/>
    </row>
    <row r="21" spans="1:9">
      <c r="A21" s="67"/>
      <c r="B21" s="74" t="s">
        <v>271</v>
      </c>
      <c r="C21" s="75">
        <v>7.7</v>
      </c>
      <c r="D21" s="76"/>
      <c r="E21" s="77">
        <v>38961.040000000001</v>
      </c>
      <c r="F21" s="78"/>
      <c r="G21" s="79"/>
      <c r="I21" s="186"/>
    </row>
    <row r="22" spans="1:9" ht="13.8" thickBot="1">
      <c r="A22" s="67"/>
      <c r="B22" s="68"/>
      <c r="C22" s="68"/>
      <c r="D22" s="68"/>
      <c r="E22" s="187" t="s">
        <v>273</v>
      </c>
      <c r="F22" s="188" t="s">
        <v>274</v>
      </c>
      <c r="G22" s="79"/>
      <c r="I22" s="185"/>
    </row>
    <row r="23" spans="1:9">
      <c r="A23" s="67" t="s">
        <v>272</v>
      </c>
      <c r="B23" s="83" t="s">
        <v>275</v>
      </c>
      <c r="C23" s="84">
        <v>0.03</v>
      </c>
      <c r="D23" s="189" t="s">
        <v>343</v>
      </c>
      <c r="E23" s="190">
        <f>G20*1.5/100</f>
        <v>4500.0001200000006</v>
      </c>
      <c r="F23" s="191">
        <f>(E23)*12/100</f>
        <v>540.00001440000005</v>
      </c>
      <c r="G23" s="88"/>
    </row>
    <row r="24" spans="1:9" ht="13.8" thickBot="1">
      <c r="A24" s="67" t="s">
        <v>269</v>
      </c>
      <c r="B24" s="89" t="s">
        <v>277</v>
      </c>
      <c r="C24" s="90">
        <v>1</v>
      </c>
      <c r="D24" s="194" t="s">
        <v>344</v>
      </c>
      <c r="E24" s="86">
        <f>G20*0.5/100</f>
        <v>1500.0000400000001</v>
      </c>
      <c r="F24" s="87">
        <f>(E24)*12/100</f>
        <v>180.00000480000003</v>
      </c>
      <c r="G24" s="192">
        <f>G20*C23*C24</f>
        <v>9000.0002400000012</v>
      </c>
    </row>
    <row r="25" spans="1:9" ht="13.8" thickBot="1">
      <c r="A25" s="67"/>
      <c r="C25" s="193" t="s">
        <v>274</v>
      </c>
      <c r="D25" s="194"/>
      <c r="E25" s="195"/>
      <c r="F25" s="196">
        <f>(E25)*12/100</f>
        <v>0</v>
      </c>
      <c r="G25" s="197">
        <f>G24*12/100</f>
        <v>1080.0000288000001</v>
      </c>
      <c r="I25" s="157"/>
    </row>
    <row r="26" spans="1:9">
      <c r="A26" s="67"/>
      <c r="B26" s="92"/>
      <c r="C26" s="198"/>
      <c r="D26" s="93" t="str">
        <f>D23</f>
        <v xml:space="preserve">Inversionista </v>
      </c>
      <c r="E26" s="199">
        <f>E23+F23</f>
        <v>5040.0001344000011</v>
      </c>
      <c r="F26" s="200"/>
      <c r="G26" s="192">
        <f>SUM(G24:G25)</f>
        <v>10080.000268800002</v>
      </c>
      <c r="I26" s="157"/>
    </row>
    <row r="27" spans="1:9">
      <c r="A27" s="67"/>
      <c r="B27" s="68"/>
      <c r="C27" s="68"/>
      <c r="D27" s="201" t="str">
        <f>D24</f>
        <v>Empresa Club C</v>
      </c>
      <c r="E27" s="202">
        <f>SUM(E24:F24)</f>
        <v>1680.0000448000001</v>
      </c>
      <c r="F27" s="94"/>
      <c r="I27" s="157"/>
    </row>
    <row r="28" spans="1:9" ht="13.8" thickBot="1">
      <c r="D28" s="96">
        <f>D25</f>
        <v>0</v>
      </c>
      <c r="E28" s="203">
        <f>(E25)+(F25)</f>
        <v>0</v>
      </c>
      <c r="F28" s="97"/>
      <c r="G28" s="192"/>
      <c r="I28" s="157"/>
    </row>
    <row r="29" spans="1:9" ht="15.6">
      <c r="A29" s="67" t="s">
        <v>269</v>
      </c>
      <c r="B29" s="99" t="s">
        <v>279</v>
      </c>
      <c r="C29" s="100"/>
      <c r="D29" s="68"/>
      <c r="E29" s="204"/>
      <c r="F29" s="72"/>
      <c r="G29" s="192"/>
    </row>
    <row r="30" spans="1:9">
      <c r="A30" s="67"/>
      <c r="B30" s="68"/>
      <c r="C30" s="68"/>
      <c r="D30" s="68"/>
      <c r="E30" s="71"/>
      <c r="F30" s="72"/>
      <c r="G30" s="95"/>
    </row>
    <row r="31" spans="1:9">
      <c r="A31" s="67"/>
      <c r="B31" s="74" t="s">
        <v>318</v>
      </c>
      <c r="C31" s="68"/>
      <c r="D31" s="68"/>
      <c r="E31" s="84">
        <v>0.04</v>
      </c>
      <c r="F31" s="104">
        <f>G20*E31</f>
        <v>12000.000320000001</v>
      </c>
      <c r="G31" s="192">
        <f>SUM(F31:F36)</f>
        <v>16591.250400000001</v>
      </c>
      <c r="H31" s="116"/>
    </row>
    <row r="32" spans="1:9">
      <c r="A32" s="67"/>
      <c r="B32" s="74" t="s">
        <v>285</v>
      </c>
      <c r="C32" s="105"/>
      <c r="D32" s="105"/>
      <c r="E32" s="84">
        <v>0.01</v>
      </c>
      <c r="F32" s="104">
        <f>G20*E32</f>
        <v>3000.0000800000003</v>
      </c>
      <c r="G32" s="95"/>
      <c r="H32" s="116"/>
    </row>
    <row r="33" spans="1:9">
      <c r="A33" s="67"/>
      <c r="B33" s="74" t="s">
        <v>345</v>
      </c>
      <c r="C33" s="105"/>
      <c r="D33" s="105"/>
      <c r="E33" s="104"/>
      <c r="F33" s="104">
        <v>0</v>
      </c>
      <c r="G33" s="95"/>
    </row>
    <row r="34" spans="1:9">
      <c r="A34" s="67"/>
      <c r="B34" s="74" t="s">
        <v>346</v>
      </c>
      <c r="C34" s="105"/>
      <c r="D34" s="105"/>
      <c r="E34" s="205"/>
      <c r="F34" s="104">
        <v>600</v>
      </c>
      <c r="G34" s="95"/>
      <c r="I34" s="116"/>
    </row>
    <row r="35" spans="1:9">
      <c r="A35" s="67"/>
      <c r="B35" s="74" t="s">
        <v>124</v>
      </c>
      <c r="C35" s="105"/>
      <c r="D35" s="105"/>
      <c r="E35" s="104"/>
      <c r="F35" s="104">
        <v>0</v>
      </c>
      <c r="G35" s="95"/>
      <c r="H35" s="116"/>
    </row>
    <row r="36" spans="1:9" ht="13.8" thickBot="1">
      <c r="A36" s="67"/>
      <c r="B36" s="74" t="s">
        <v>347</v>
      </c>
      <c r="C36" s="105"/>
      <c r="D36" s="105"/>
      <c r="E36" s="104"/>
      <c r="F36" s="104">
        <f>'Cálculo RGPI'!C26</f>
        <v>991.25</v>
      </c>
      <c r="G36" s="95"/>
    </row>
    <row r="37" spans="1:9" ht="13.8" thickBot="1">
      <c r="A37" s="67"/>
      <c r="B37" s="206" t="s">
        <v>285</v>
      </c>
      <c r="C37" s="105"/>
      <c r="D37" s="105"/>
      <c r="E37" s="105"/>
      <c r="F37" s="112"/>
      <c r="G37" s="95"/>
    </row>
    <row r="38" spans="1:9">
      <c r="A38" s="67"/>
      <c r="B38" s="113"/>
      <c r="C38" s="114"/>
      <c r="D38" s="105"/>
      <c r="E38" s="105" t="s">
        <v>272</v>
      </c>
      <c r="F38" s="112"/>
      <c r="G38" s="95"/>
    </row>
    <row r="39" spans="1:9">
      <c r="A39" s="67"/>
      <c r="B39" s="92" t="s">
        <v>348</v>
      </c>
      <c r="C39" s="115"/>
      <c r="D39" s="105"/>
      <c r="E39" s="105"/>
      <c r="F39" s="112"/>
      <c r="G39" s="95"/>
    </row>
    <row r="40" spans="1:9">
      <c r="A40" s="67"/>
      <c r="B40" s="113" t="s">
        <v>349</v>
      </c>
      <c r="C40" s="142"/>
      <c r="D40" s="71"/>
      <c r="E40" s="104"/>
      <c r="F40" s="117">
        <v>0</v>
      </c>
      <c r="G40" s="95"/>
    </row>
    <row r="41" spans="1:9">
      <c r="A41" s="67"/>
      <c r="B41" s="113" t="s">
        <v>350</v>
      </c>
      <c r="D41" s="71"/>
      <c r="E41" s="104"/>
      <c r="F41" s="117">
        <v>0</v>
      </c>
      <c r="G41" s="197"/>
      <c r="I41" s="157"/>
    </row>
    <row r="42" spans="1:9">
      <c r="A42" s="67"/>
      <c r="B42" s="113"/>
      <c r="C42" s="106"/>
      <c r="D42" s="71"/>
      <c r="E42" s="68"/>
      <c r="F42" s="72"/>
      <c r="G42" s="207">
        <f>SUM(F40:F41)</f>
        <v>0</v>
      </c>
    </row>
    <row r="43" spans="1:9">
      <c r="A43" s="67"/>
      <c r="B43" s="113"/>
      <c r="C43" s="106"/>
      <c r="D43" s="71"/>
      <c r="E43" s="68"/>
      <c r="F43" s="72"/>
      <c r="G43" s="95"/>
    </row>
    <row r="44" spans="1:9">
      <c r="A44" s="67" t="s">
        <v>269</v>
      </c>
      <c r="B44" s="89" t="s">
        <v>290</v>
      </c>
      <c r="C44" s="119"/>
      <c r="D44" s="120"/>
      <c r="E44" s="68"/>
      <c r="F44" s="72"/>
      <c r="G44" s="197">
        <f>SUM(F45:F50)</f>
        <v>4060.0001056000001</v>
      </c>
    </row>
    <row r="45" spans="1:9">
      <c r="A45" s="67"/>
      <c r="B45" s="74" t="s">
        <v>291</v>
      </c>
      <c r="C45" s="68"/>
      <c r="D45" s="68"/>
      <c r="E45" s="84">
        <v>0.01</v>
      </c>
      <c r="F45" s="121">
        <f>(G20)*(E45)+(100)</f>
        <v>3100.0000800000003</v>
      </c>
      <c r="G45" s="95"/>
    </row>
    <row r="46" spans="1:9">
      <c r="A46" s="67"/>
      <c r="B46" s="74" t="s">
        <v>274</v>
      </c>
      <c r="C46" s="68"/>
      <c r="D46" s="68"/>
      <c r="E46" s="121">
        <f>G16*0.3/100</f>
        <v>0</v>
      </c>
      <c r="F46" s="121">
        <f>(G20)*1/100*12/100</f>
        <v>360.00000960000006</v>
      </c>
      <c r="G46" s="95"/>
    </row>
    <row r="47" spans="1:9">
      <c r="A47" s="67"/>
      <c r="B47" s="74" t="s">
        <v>292</v>
      </c>
      <c r="C47" s="122">
        <v>2</v>
      </c>
      <c r="D47" s="123" t="s">
        <v>293</v>
      </c>
      <c r="E47" s="121">
        <v>0</v>
      </c>
      <c r="F47" s="121">
        <f>G20*0.2/100</f>
        <v>600.00001600000007</v>
      </c>
      <c r="G47" s="95"/>
    </row>
    <row r="48" spans="1:9">
      <c r="A48" s="67"/>
      <c r="B48" s="113" t="s">
        <v>351</v>
      </c>
      <c r="C48" s="68"/>
      <c r="D48" s="68"/>
      <c r="E48" s="117">
        <v>0</v>
      </c>
      <c r="F48" s="117">
        <v>0</v>
      </c>
      <c r="G48" s="95"/>
      <c r="H48" s="116"/>
    </row>
    <row r="49" spans="1:8">
      <c r="A49" s="67"/>
      <c r="B49" s="113" t="s">
        <v>352</v>
      </c>
      <c r="C49" s="68"/>
      <c r="D49" s="68"/>
      <c r="E49" s="117">
        <v>0</v>
      </c>
      <c r="F49" s="117">
        <v>0</v>
      </c>
      <c r="G49" s="95"/>
    </row>
    <row r="50" spans="1:8">
      <c r="A50" s="67"/>
      <c r="B50" s="113" t="s">
        <v>353</v>
      </c>
      <c r="C50" s="68"/>
      <c r="D50" s="68"/>
      <c r="E50" s="117">
        <v>0</v>
      </c>
      <c r="F50" s="117">
        <v>0</v>
      </c>
      <c r="G50" s="95"/>
    </row>
    <row r="51" spans="1:8">
      <c r="A51" s="67" t="s">
        <v>272</v>
      </c>
      <c r="B51" s="89" t="s">
        <v>295</v>
      </c>
      <c r="C51" s="100"/>
      <c r="D51" s="100"/>
      <c r="E51" s="71"/>
      <c r="F51" s="72"/>
      <c r="G51" s="208"/>
    </row>
    <row r="52" spans="1:8">
      <c r="A52" s="131"/>
      <c r="B52" s="68"/>
      <c r="C52" s="124"/>
      <c r="D52" s="125" t="s">
        <v>296</v>
      </c>
      <c r="E52" s="84">
        <v>0</v>
      </c>
      <c r="F52" s="117"/>
      <c r="G52" s="129"/>
    </row>
    <row r="53" spans="1:8">
      <c r="A53" s="67"/>
      <c r="B53" s="126"/>
      <c r="C53" s="124"/>
      <c r="D53" s="125" t="s">
        <v>296</v>
      </c>
      <c r="E53" s="84">
        <v>0</v>
      </c>
      <c r="F53" s="117"/>
      <c r="G53" s="95"/>
    </row>
    <row r="54" spans="1:8">
      <c r="A54" s="67"/>
      <c r="B54" s="126" t="s">
        <v>297</v>
      </c>
      <c r="C54" s="127"/>
      <c r="D54" s="125"/>
      <c r="E54" s="128"/>
      <c r="G54" s="95"/>
    </row>
    <row r="55" spans="1:8">
      <c r="A55" s="67"/>
      <c r="B55" s="92" t="s">
        <v>298</v>
      </c>
      <c r="C55" s="130"/>
      <c r="D55" s="71"/>
      <c r="E55" s="68"/>
      <c r="F55" s="72"/>
      <c r="G55" s="192"/>
    </row>
    <row r="56" spans="1:8" ht="14.4" thickBot="1">
      <c r="A56" s="67"/>
      <c r="B56" s="92" t="s">
        <v>272</v>
      </c>
      <c r="C56" s="68"/>
      <c r="D56" s="68"/>
      <c r="E56" s="132"/>
      <c r="F56" s="67" t="s">
        <v>299</v>
      </c>
      <c r="G56" s="209">
        <f>SUM(G26)+SUM(G31)+SUM(G44)</f>
        <v>30731.250774400003</v>
      </c>
    </row>
    <row r="57" spans="1:8">
      <c r="A57" s="92" t="s">
        <v>303</v>
      </c>
      <c r="B57" s="134"/>
      <c r="C57" s="92" t="s">
        <v>300</v>
      </c>
      <c r="D57" s="134"/>
      <c r="E57" s="105"/>
      <c r="F57" s="135"/>
      <c r="G57" s="95"/>
    </row>
    <row r="58" spans="1:8" ht="17.399999999999999">
      <c r="A58" s="92" t="s">
        <v>304</v>
      </c>
      <c r="B58" s="134"/>
      <c r="C58" s="134"/>
      <c r="D58" s="68"/>
      <c r="E58" s="136" t="s">
        <v>301</v>
      </c>
      <c r="F58" s="330">
        <f>(G20)-SUM(G56)</f>
        <v>269268.75722560001</v>
      </c>
      <c r="G58" s="330"/>
    </row>
    <row r="59" spans="1:8" ht="19.5" customHeight="1">
      <c r="A59" s="92" t="s">
        <v>305</v>
      </c>
      <c r="B59" s="134"/>
      <c r="C59" s="92" t="s">
        <v>302</v>
      </c>
      <c r="D59" s="68"/>
      <c r="E59" s="68"/>
      <c r="F59" s="68"/>
      <c r="G59" s="88"/>
      <c r="H59" s="157"/>
    </row>
    <row r="60" spans="1:8" ht="14.4">
      <c r="A60" s="92"/>
      <c r="B60" s="134"/>
      <c r="C60" s="92"/>
      <c r="D60" s="68"/>
      <c r="E60" s="68"/>
      <c r="F60" s="68"/>
      <c r="G60" s="139"/>
    </row>
    <row r="61" spans="1:8" ht="14.4">
      <c r="G61" s="139"/>
      <c r="H61" s="157"/>
    </row>
    <row r="62" spans="1:8" ht="14.4">
      <c r="G62" s="139"/>
    </row>
    <row r="63" spans="1:8" ht="14.4">
      <c r="G63" s="139"/>
    </row>
    <row r="64" spans="1:8" ht="14.4">
      <c r="G64" s="139"/>
    </row>
    <row r="65" spans="7:7" ht="14.4">
      <c r="G65" s="139"/>
    </row>
    <row r="66" spans="7:7" ht="14.4">
      <c r="G66" s="139"/>
    </row>
    <row r="67" spans="7:7" ht="14.4">
      <c r="G67" s="139"/>
    </row>
    <row r="68" spans="7:7" ht="14.4">
      <c r="G68" s="139"/>
    </row>
    <row r="69" spans="7:7" ht="14.4">
      <c r="G69" s="139"/>
    </row>
    <row r="70" spans="7:7" ht="14.4">
      <c r="G70" s="139"/>
    </row>
    <row r="71" spans="7:7" ht="14.4">
      <c r="G71" s="139"/>
    </row>
    <row r="72" spans="7:7" ht="14.4">
      <c r="G72" s="139"/>
    </row>
    <row r="73" spans="7:7" ht="14.4">
      <c r="G73" s="139"/>
    </row>
    <row r="74" spans="7:7" ht="14.4">
      <c r="G74" s="139"/>
    </row>
    <row r="75" spans="7:7" ht="14.4">
      <c r="G75" s="139"/>
    </row>
    <row r="76" spans="7:7" ht="14.4">
      <c r="G76" s="139"/>
    </row>
    <row r="77" spans="7:7" ht="14.4">
      <c r="G77" s="139"/>
    </row>
    <row r="78" spans="7:7" ht="14.4">
      <c r="G78" s="139"/>
    </row>
    <row r="79" spans="7:7" ht="14.4">
      <c r="G79" s="139"/>
    </row>
    <row r="80" spans="7:7">
      <c r="G80" s="210"/>
    </row>
    <row r="81" spans="7:7">
      <c r="G81" s="210"/>
    </row>
    <row r="82" spans="7:7">
      <c r="G82" s="210"/>
    </row>
    <row r="83" spans="7:7">
      <c r="G83" s="210"/>
    </row>
    <row r="84" spans="7:7">
      <c r="G84" s="210"/>
    </row>
    <row r="85" spans="7:7">
      <c r="G85" s="210"/>
    </row>
    <row r="86" spans="7:7">
      <c r="G86" s="210"/>
    </row>
    <row r="87" spans="7:7">
      <c r="G87" s="210"/>
    </row>
    <row r="88" spans="7:7">
      <c r="G88" s="210"/>
    </row>
    <row r="89" spans="7:7">
      <c r="G89" s="210"/>
    </row>
    <row r="90" spans="7:7">
      <c r="G90" s="210"/>
    </row>
    <row r="91" spans="7:7">
      <c r="G91" s="210"/>
    </row>
    <row r="92" spans="7:7">
      <c r="G92" s="210"/>
    </row>
    <row r="93" spans="7:7">
      <c r="G93" s="210"/>
    </row>
    <row r="94" spans="7:7">
      <c r="G94" s="210"/>
    </row>
    <row r="95" spans="7:7">
      <c r="G95" s="210"/>
    </row>
    <row r="96" spans="7:7">
      <c r="G96" s="210"/>
    </row>
    <row r="97" spans="7:7">
      <c r="G97" s="210"/>
    </row>
    <row r="98" spans="7:7">
      <c r="G98" s="210"/>
    </row>
    <row r="99" spans="7:7">
      <c r="G99" s="210"/>
    </row>
  </sheetData>
  <mergeCells count="7">
    <mergeCell ref="C4:G10"/>
    <mergeCell ref="C15:G15"/>
    <mergeCell ref="F58:G58"/>
    <mergeCell ref="C14:G14"/>
    <mergeCell ref="C16:G16"/>
    <mergeCell ref="D18:G18"/>
    <mergeCell ref="C17:G17"/>
  </mergeCells>
  <pageMargins left="0.62" right="0.22" top="0.12" bottom="0.25" header="0" footer="0.2"/>
  <pageSetup paperSize="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Hoja1!$C$3:$C$3</xm:f>
          </x14:formula1>
          <xm:sqref>C15:G15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5" tint="-0.249977111117893"/>
  </sheetPr>
  <dimension ref="A8:E30"/>
  <sheetViews>
    <sheetView showGridLines="0" view="pageBreakPreview" topLeftCell="A7" zoomScaleNormal="100" zoomScaleSheetLayoutView="100" workbookViewId="0">
      <selection activeCell="C16" sqref="C16"/>
    </sheetView>
  </sheetViews>
  <sheetFormatPr baseColWidth="10" defaultRowHeight="13.2"/>
  <cols>
    <col min="1" max="1" width="33.33203125" style="57" bestFit="1" customWidth="1"/>
    <col min="2" max="2" width="12" style="57" bestFit="1" customWidth="1"/>
    <col min="3" max="3" width="14.44140625" style="57" bestFit="1" customWidth="1"/>
    <col min="4" max="4" width="9.6640625" style="57" customWidth="1"/>
    <col min="5" max="5" width="12" style="57" bestFit="1" customWidth="1"/>
    <col min="6" max="256" width="11.44140625" style="57"/>
    <col min="257" max="257" width="33.33203125" style="57" bestFit="1" customWidth="1"/>
    <col min="258" max="258" width="11.6640625" style="57" bestFit="1" customWidth="1"/>
    <col min="259" max="259" width="14.44140625" style="57" bestFit="1" customWidth="1"/>
    <col min="260" max="260" width="9.6640625" style="57" customWidth="1"/>
    <col min="261" max="512" width="11.44140625" style="57"/>
    <col min="513" max="513" width="33.33203125" style="57" bestFit="1" customWidth="1"/>
    <col min="514" max="514" width="11.6640625" style="57" bestFit="1" customWidth="1"/>
    <col min="515" max="515" width="14.44140625" style="57" bestFit="1" customWidth="1"/>
    <col min="516" max="516" width="9.6640625" style="57" customWidth="1"/>
    <col min="517" max="768" width="11.44140625" style="57"/>
    <col min="769" max="769" width="33.33203125" style="57" bestFit="1" customWidth="1"/>
    <col min="770" max="770" width="11.6640625" style="57" bestFit="1" customWidth="1"/>
    <col min="771" max="771" width="14.44140625" style="57" bestFit="1" customWidth="1"/>
    <col min="772" max="772" width="9.6640625" style="57" customWidth="1"/>
    <col min="773" max="1024" width="11.44140625" style="57"/>
    <col min="1025" max="1025" width="33.33203125" style="57" bestFit="1" customWidth="1"/>
    <col min="1026" max="1026" width="11.6640625" style="57" bestFit="1" customWidth="1"/>
    <col min="1027" max="1027" width="14.44140625" style="57" bestFit="1" customWidth="1"/>
    <col min="1028" max="1028" width="9.6640625" style="57" customWidth="1"/>
    <col min="1029" max="1280" width="11.44140625" style="57"/>
    <col min="1281" max="1281" width="33.33203125" style="57" bestFit="1" customWidth="1"/>
    <col min="1282" max="1282" width="11.6640625" style="57" bestFit="1" customWidth="1"/>
    <col min="1283" max="1283" width="14.44140625" style="57" bestFit="1" customWidth="1"/>
    <col min="1284" max="1284" width="9.6640625" style="57" customWidth="1"/>
    <col min="1285" max="1536" width="11.44140625" style="57"/>
    <col min="1537" max="1537" width="33.33203125" style="57" bestFit="1" customWidth="1"/>
    <col min="1538" max="1538" width="11.6640625" style="57" bestFit="1" customWidth="1"/>
    <col min="1539" max="1539" width="14.44140625" style="57" bestFit="1" customWidth="1"/>
    <col min="1540" max="1540" width="9.6640625" style="57" customWidth="1"/>
    <col min="1541" max="1792" width="11.44140625" style="57"/>
    <col min="1793" max="1793" width="33.33203125" style="57" bestFit="1" customWidth="1"/>
    <col min="1794" max="1794" width="11.6640625" style="57" bestFit="1" customWidth="1"/>
    <col min="1795" max="1795" width="14.44140625" style="57" bestFit="1" customWidth="1"/>
    <col min="1796" max="1796" width="9.6640625" style="57" customWidth="1"/>
    <col min="1797" max="2048" width="11.44140625" style="57"/>
    <col min="2049" max="2049" width="33.33203125" style="57" bestFit="1" customWidth="1"/>
    <col min="2050" max="2050" width="11.6640625" style="57" bestFit="1" customWidth="1"/>
    <col min="2051" max="2051" width="14.44140625" style="57" bestFit="1" customWidth="1"/>
    <col min="2052" max="2052" width="9.6640625" style="57" customWidth="1"/>
    <col min="2053" max="2304" width="11.44140625" style="57"/>
    <col min="2305" max="2305" width="33.33203125" style="57" bestFit="1" customWidth="1"/>
    <col min="2306" max="2306" width="11.6640625" style="57" bestFit="1" customWidth="1"/>
    <col min="2307" max="2307" width="14.44140625" style="57" bestFit="1" customWidth="1"/>
    <col min="2308" max="2308" width="9.6640625" style="57" customWidth="1"/>
    <col min="2309" max="2560" width="11.44140625" style="57"/>
    <col min="2561" max="2561" width="33.33203125" style="57" bestFit="1" customWidth="1"/>
    <col min="2562" max="2562" width="11.6640625" style="57" bestFit="1" customWidth="1"/>
    <col min="2563" max="2563" width="14.44140625" style="57" bestFit="1" customWidth="1"/>
    <col min="2564" max="2564" width="9.6640625" style="57" customWidth="1"/>
    <col min="2565" max="2816" width="11.44140625" style="57"/>
    <col min="2817" max="2817" width="33.33203125" style="57" bestFit="1" customWidth="1"/>
    <col min="2818" max="2818" width="11.6640625" style="57" bestFit="1" customWidth="1"/>
    <col min="2819" max="2819" width="14.44140625" style="57" bestFit="1" customWidth="1"/>
    <col min="2820" max="2820" width="9.6640625" style="57" customWidth="1"/>
    <col min="2821" max="3072" width="11.44140625" style="57"/>
    <col min="3073" max="3073" width="33.33203125" style="57" bestFit="1" customWidth="1"/>
    <col min="3074" max="3074" width="11.6640625" style="57" bestFit="1" customWidth="1"/>
    <col min="3075" max="3075" width="14.44140625" style="57" bestFit="1" customWidth="1"/>
    <col min="3076" max="3076" width="9.6640625" style="57" customWidth="1"/>
    <col min="3077" max="3328" width="11.44140625" style="57"/>
    <col min="3329" max="3329" width="33.33203125" style="57" bestFit="1" customWidth="1"/>
    <col min="3330" max="3330" width="11.6640625" style="57" bestFit="1" customWidth="1"/>
    <col min="3331" max="3331" width="14.44140625" style="57" bestFit="1" customWidth="1"/>
    <col min="3332" max="3332" width="9.6640625" style="57" customWidth="1"/>
    <col min="3333" max="3584" width="11.44140625" style="57"/>
    <col min="3585" max="3585" width="33.33203125" style="57" bestFit="1" customWidth="1"/>
    <col min="3586" max="3586" width="11.6640625" style="57" bestFit="1" customWidth="1"/>
    <col min="3587" max="3587" width="14.44140625" style="57" bestFit="1" customWidth="1"/>
    <col min="3588" max="3588" width="9.6640625" style="57" customWidth="1"/>
    <col min="3589" max="3840" width="11.44140625" style="57"/>
    <col min="3841" max="3841" width="33.33203125" style="57" bestFit="1" customWidth="1"/>
    <col min="3842" max="3842" width="11.6640625" style="57" bestFit="1" customWidth="1"/>
    <col min="3843" max="3843" width="14.44140625" style="57" bestFit="1" customWidth="1"/>
    <col min="3844" max="3844" width="9.6640625" style="57" customWidth="1"/>
    <col min="3845" max="4096" width="11.44140625" style="57"/>
    <col min="4097" max="4097" width="33.33203125" style="57" bestFit="1" customWidth="1"/>
    <col min="4098" max="4098" width="11.6640625" style="57" bestFit="1" customWidth="1"/>
    <col min="4099" max="4099" width="14.44140625" style="57" bestFit="1" customWidth="1"/>
    <col min="4100" max="4100" width="9.6640625" style="57" customWidth="1"/>
    <col min="4101" max="4352" width="11.44140625" style="57"/>
    <col min="4353" max="4353" width="33.33203125" style="57" bestFit="1" customWidth="1"/>
    <col min="4354" max="4354" width="11.6640625" style="57" bestFit="1" customWidth="1"/>
    <col min="4355" max="4355" width="14.44140625" style="57" bestFit="1" customWidth="1"/>
    <col min="4356" max="4356" width="9.6640625" style="57" customWidth="1"/>
    <col min="4357" max="4608" width="11.44140625" style="57"/>
    <col min="4609" max="4609" width="33.33203125" style="57" bestFit="1" customWidth="1"/>
    <col min="4610" max="4610" width="11.6640625" style="57" bestFit="1" customWidth="1"/>
    <col min="4611" max="4611" width="14.44140625" style="57" bestFit="1" customWidth="1"/>
    <col min="4612" max="4612" width="9.6640625" style="57" customWidth="1"/>
    <col min="4613" max="4864" width="11.44140625" style="57"/>
    <col min="4865" max="4865" width="33.33203125" style="57" bestFit="1" customWidth="1"/>
    <col min="4866" max="4866" width="11.6640625" style="57" bestFit="1" customWidth="1"/>
    <col min="4867" max="4867" width="14.44140625" style="57" bestFit="1" customWidth="1"/>
    <col min="4868" max="4868" width="9.6640625" style="57" customWidth="1"/>
    <col min="4869" max="5120" width="11.44140625" style="57"/>
    <col min="5121" max="5121" width="33.33203125" style="57" bestFit="1" customWidth="1"/>
    <col min="5122" max="5122" width="11.6640625" style="57" bestFit="1" customWidth="1"/>
    <col min="5123" max="5123" width="14.44140625" style="57" bestFit="1" customWidth="1"/>
    <col min="5124" max="5124" width="9.6640625" style="57" customWidth="1"/>
    <col min="5125" max="5376" width="11.44140625" style="57"/>
    <col min="5377" max="5377" width="33.33203125" style="57" bestFit="1" customWidth="1"/>
    <col min="5378" max="5378" width="11.6640625" style="57" bestFit="1" customWidth="1"/>
    <col min="5379" max="5379" width="14.44140625" style="57" bestFit="1" customWidth="1"/>
    <col min="5380" max="5380" width="9.6640625" style="57" customWidth="1"/>
    <col min="5381" max="5632" width="11.44140625" style="57"/>
    <col min="5633" max="5633" width="33.33203125" style="57" bestFit="1" customWidth="1"/>
    <col min="5634" max="5634" width="11.6640625" style="57" bestFit="1" customWidth="1"/>
    <col min="5635" max="5635" width="14.44140625" style="57" bestFit="1" customWidth="1"/>
    <col min="5636" max="5636" width="9.6640625" style="57" customWidth="1"/>
    <col min="5637" max="5888" width="11.44140625" style="57"/>
    <col min="5889" max="5889" width="33.33203125" style="57" bestFit="1" customWidth="1"/>
    <col min="5890" max="5890" width="11.6640625" style="57" bestFit="1" customWidth="1"/>
    <col min="5891" max="5891" width="14.44140625" style="57" bestFit="1" customWidth="1"/>
    <col min="5892" max="5892" width="9.6640625" style="57" customWidth="1"/>
    <col min="5893" max="6144" width="11.44140625" style="57"/>
    <col min="6145" max="6145" width="33.33203125" style="57" bestFit="1" customWidth="1"/>
    <col min="6146" max="6146" width="11.6640625" style="57" bestFit="1" customWidth="1"/>
    <col min="6147" max="6147" width="14.44140625" style="57" bestFit="1" customWidth="1"/>
    <col min="6148" max="6148" width="9.6640625" style="57" customWidth="1"/>
    <col min="6149" max="6400" width="11.44140625" style="57"/>
    <col min="6401" max="6401" width="33.33203125" style="57" bestFit="1" customWidth="1"/>
    <col min="6402" max="6402" width="11.6640625" style="57" bestFit="1" customWidth="1"/>
    <col min="6403" max="6403" width="14.44140625" style="57" bestFit="1" customWidth="1"/>
    <col min="6404" max="6404" width="9.6640625" style="57" customWidth="1"/>
    <col min="6405" max="6656" width="11.44140625" style="57"/>
    <col min="6657" max="6657" width="33.33203125" style="57" bestFit="1" customWidth="1"/>
    <col min="6658" max="6658" width="11.6640625" style="57" bestFit="1" customWidth="1"/>
    <col min="6659" max="6659" width="14.44140625" style="57" bestFit="1" customWidth="1"/>
    <col min="6660" max="6660" width="9.6640625" style="57" customWidth="1"/>
    <col min="6661" max="6912" width="11.44140625" style="57"/>
    <col min="6913" max="6913" width="33.33203125" style="57" bestFit="1" customWidth="1"/>
    <col min="6914" max="6914" width="11.6640625" style="57" bestFit="1" customWidth="1"/>
    <col min="6915" max="6915" width="14.44140625" style="57" bestFit="1" customWidth="1"/>
    <col min="6916" max="6916" width="9.6640625" style="57" customWidth="1"/>
    <col min="6917" max="7168" width="11.44140625" style="57"/>
    <col min="7169" max="7169" width="33.33203125" style="57" bestFit="1" customWidth="1"/>
    <col min="7170" max="7170" width="11.6640625" style="57" bestFit="1" customWidth="1"/>
    <col min="7171" max="7171" width="14.44140625" style="57" bestFit="1" customWidth="1"/>
    <col min="7172" max="7172" width="9.6640625" style="57" customWidth="1"/>
    <col min="7173" max="7424" width="11.44140625" style="57"/>
    <col min="7425" max="7425" width="33.33203125" style="57" bestFit="1" customWidth="1"/>
    <col min="7426" max="7426" width="11.6640625" style="57" bestFit="1" customWidth="1"/>
    <col min="7427" max="7427" width="14.44140625" style="57" bestFit="1" customWidth="1"/>
    <col min="7428" max="7428" width="9.6640625" style="57" customWidth="1"/>
    <col min="7429" max="7680" width="11.44140625" style="57"/>
    <col min="7681" max="7681" width="33.33203125" style="57" bestFit="1" customWidth="1"/>
    <col min="7682" max="7682" width="11.6640625" style="57" bestFit="1" customWidth="1"/>
    <col min="7683" max="7683" width="14.44140625" style="57" bestFit="1" customWidth="1"/>
    <col min="7684" max="7684" width="9.6640625" style="57" customWidth="1"/>
    <col min="7685" max="7936" width="11.44140625" style="57"/>
    <col min="7937" max="7937" width="33.33203125" style="57" bestFit="1" customWidth="1"/>
    <col min="7938" max="7938" width="11.6640625" style="57" bestFit="1" customWidth="1"/>
    <col min="7939" max="7939" width="14.44140625" style="57" bestFit="1" customWidth="1"/>
    <col min="7940" max="7940" width="9.6640625" style="57" customWidth="1"/>
    <col min="7941" max="8192" width="11.44140625" style="57"/>
    <col min="8193" max="8193" width="33.33203125" style="57" bestFit="1" customWidth="1"/>
    <col min="8194" max="8194" width="11.6640625" style="57" bestFit="1" customWidth="1"/>
    <col min="8195" max="8195" width="14.44140625" style="57" bestFit="1" customWidth="1"/>
    <col min="8196" max="8196" width="9.6640625" style="57" customWidth="1"/>
    <col min="8197" max="8448" width="11.44140625" style="57"/>
    <col min="8449" max="8449" width="33.33203125" style="57" bestFit="1" customWidth="1"/>
    <col min="8450" max="8450" width="11.6640625" style="57" bestFit="1" customWidth="1"/>
    <col min="8451" max="8451" width="14.44140625" style="57" bestFit="1" customWidth="1"/>
    <col min="8452" max="8452" width="9.6640625" style="57" customWidth="1"/>
    <col min="8453" max="8704" width="11.44140625" style="57"/>
    <col min="8705" max="8705" width="33.33203125" style="57" bestFit="1" customWidth="1"/>
    <col min="8706" max="8706" width="11.6640625" style="57" bestFit="1" customWidth="1"/>
    <col min="8707" max="8707" width="14.44140625" style="57" bestFit="1" customWidth="1"/>
    <col min="8708" max="8708" width="9.6640625" style="57" customWidth="1"/>
    <col min="8709" max="8960" width="11.44140625" style="57"/>
    <col min="8961" max="8961" width="33.33203125" style="57" bestFit="1" customWidth="1"/>
    <col min="8962" max="8962" width="11.6640625" style="57" bestFit="1" customWidth="1"/>
    <col min="8963" max="8963" width="14.44140625" style="57" bestFit="1" customWidth="1"/>
    <col min="8964" max="8964" width="9.6640625" style="57" customWidth="1"/>
    <col min="8965" max="9216" width="11.44140625" style="57"/>
    <col min="9217" max="9217" width="33.33203125" style="57" bestFit="1" customWidth="1"/>
    <col min="9218" max="9218" width="11.6640625" style="57" bestFit="1" customWidth="1"/>
    <col min="9219" max="9219" width="14.44140625" style="57" bestFit="1" customWidth="1"/>
    <col min="9220" max="9220" width="9.6640625" style="57" customWidth="1"/>
    <col min="9221" max="9472" width="11.44140625" style="57"/>
    <col min="9473" max="9473" width="33.33203125" style="57" bestFit="1" customWidth="1"/>
    <col min="9474" max="9474" width="11.6640625" style="57" bestFit="1" customWidth="1"/>
    <col min="9475" max="9475" width="14.44140625" style="57" bestFit="1" customWidth="1"/>
    <col min="9476" max="9476" width="9.6640625" style="57" customWidth="1"/>
    <col min="9477" max="9728" width="11.44140625" style="57"/>
    <col min="9729" max="9729" width="33.33203125" style="57" bestFit="1" customWidth="1"/>
    <col min="9730" max="9730" width="11.6640625" style="57" bestFit="1" customWidth="1"/>
    <col min="9731" max="9731" width="14.44140625" style="57" bestFit="1" customWidth="1"/>
    <col min="9732" max="9732" width="9.6640625" style="57" customWidth="1"/>
    <col min="9733" max="9984" width="11.44140625" style="57"/>
    <col min="9985" max="9985" width="33.33203125" style="57" bestFit="1" customWidth="1"/>
    <col min="9986" max="9986" width="11.6640625" style="57" bestFit="1" customWidth="1"/>
    <col min="9987" max="9987" width="14.44140625" style="57" bestFit="1" customWidth="1"/>
    <col min="9988" max="9988" width="9.6640625" style="57" customWidth="1"/>
    <col min="9989" max="10240" width="11.44140625" style="57"/>
    <col min="10241" max="10241" width="33.33203125" style="57" bestFit="1" customWidth="1"/>
    <col min="10242" max="10242" width="11.6640625" style="57" bestFit="1" customWidth="1"/>
    <col min="10243" max="10243" width="14.44140625" style="57" bestFit="1" customWidth="1"/>
    <col min="10244" max="10244" width="9.6640625" style="57" customWidth="1"/>
    <col min="10245" max="10496" width="11.44140625" style="57"/>
    <col min="10497" max="10497" width="33.33203125" style="57" bestFit="1" customWidth="1"/>
    <col min="10498" max="10498" width="11.6640625" style="57" bestFit="1" customWidth="1"/>
    <col min="10499" max="10499" width="14.44140625" style="57" bestFit="1" customWidth="1"/>
    <col min="10500" max="10500" width="9.6640625" style="57" customWidth="1"/>
    <col min="10501" max="10752" width="11.44140625" style="57"/>
    <col min="10753" max="10753" width="33.33203125" style="57" bestFit="1" customWidth="1"/>
    <col min="10754" max="10754" width="11.6640625" style="57" bestFit="1" customWidth="1"/>
    <col min="10755" max="10755" width="14.44140625" style="57" bestFit="1" customWidth="1"/>
    <col min="10756" max="10756" width="9.6640625" style="57" customWidth="1"/>
    <col min="10757" max="11008" width="11.44140625" style="57"/>
    <col min="11009" max="11009" width="33.33203125" style="57" bestFit="1" customWidth="1"/>
    <col min="11010" max="11010" width="11.6640625" style="57" bestFit="1" customWidth="1"/>
    <col min="11011" max="11011" width="14.44140625" style="57" bestFit="1" customWidth="1"/>
    <col min="11012" max="11012" width="9.6640625" style="57" customWidth="1"/>
    <col min="11013" max="11264" width="11.44140625" style="57"/>
    <col min="11265" max="11265" width="33.33203125" style="57" bestFit="1" customWidth="1"/>
    <col min="11266" max="11266" width="11.6640625" style="57" bestFit="1" customWidth="1"/>
    <col min="11267" max="11267" width="14.44140625" style="57" bestFit="1" customWidth="1"/>
    <col min="11268" max="11268" width="9.6640625" style="57" customWidth="1"/>
    <col min="11269" max="11520" width="11.44140625" style="57"/>
    <col min="11521" max="11521" width="33.33203125" style="57" bestFit="1" customWidth="1"/>
    <col min="11522" max="11522" width="11.6640625" style="57" bestFit="1" customWidth="1"/>
    <col min="11523" max="11523" width="14.44140625" style="57" bestFit="1" customWidth="1"/>
    <col min="11524" max="11524" width="9.6640625" style="57" customWidth="1"/>
    <col min="11525" max="11776" width="11.44140625" style="57"/>
    <col min="11777" max="11777" width="33.33203125" style="57" bestFit="1" customWidth="1"/>
    <col min="11778" max="11778" width="11.6640625" style="57" bestFit="1" customWidth="1"/>
    <col min="11779" max="11779" width="14.44140625" style="57" bestFit="1" customWidth="1"/>
    <col min="11780" max="11780" width="9.6640625" style="57" customWidth="1"/>
    <col min="11781" max="12032" width="11.44140625" style="57"/>
    <col min="12033" max="12033" width="33.33203125" style="57" bestFit="1" customWidth="1"/>
    <col min="12034" max="12034" width="11.6640625" style="57" bestFit="1" customWidth="1"/>
    <col min="12035" max="12035" width="14.44140625" style="57" bestFit="1" customWidth="1"/>
    <col min="12036" max="12036" width="9.6640625" style="57" customWidth="1"/>
    <col min="12037" max="12288" width="11.44140625" style="57"/>
    <col min="12289" max="12289" width="33.33203125" style="57" bestFit="1" customWidth="1"/>
    <col min="12290" max="12290" width="11.6640625" style="57" bestFit="1" customWidth="1"/>
    <col min="12291" max="12291" width="14.44140625" style="57" bestFit="1" customWidth="1"/>
    <col min="12292" max="12292" width="9.6640625" style="57" customWidth="1"/>
    <col min="12293" max="12544" width="11.44140625" style="57"/>
    <col min="12545" max="12545" width="33.33203125" style="57" bestFit="1" customWidth="1"/>
    <col min="12546" max="12546" width="11.6640625" style="57" bestFit="1" customWidth="1"/>
    <col min="12547" max="12547" width="14.44140625" style="57" bestFit="1" customWidth="1"/>
    <col min="12548" max="12548" width="9.6640625" style="57" customWidth="1"/>
    <col min="12549" max="12800" width="11.44140625" style="57"/>
    <col min="12801" max="12801" width="33.33203125" style="57" bestFit="1" customWidth="1"/>
    <col min="12802" max="12802" width="11.6640625" style="57" bestFit="1" customWidth="1"/>
    <col min="12803" max="12803" width="14.44140625" style="57" bestFit="1" customWidth="1"/>
    <col min="12804" max="12804" width="9.6640625" style="57" customWidth="1"/>
    <col min="12805" max="13056" width="11.44140625" style="57"/>
    <col min="13057" max="13057" width="33.33203125" style="57" bestFit="1" customWidth="1"/>
    <col min="13058" max="13058" width="11.6640625" style="57" bestFit="1" customWidth="1"/>
    <col min="13059" max="13059" width="14.44140625" style="57" bestFit="1" customWidth="1"/>
    <col min="13060" max="13060" width="9.6640625" style="57" customWidth="1"/>
    <col min="13061" max="13312" width="11.44140625" style="57"/>
    <col min="13313" max="13313" width="33.33203125" style="57" bestFit="1" customWidth="1"/>
    <col min="13314" max="13314" width="11.6640625" style="57" bestFit="1" customWidth="1"/>
    <col min="13315" max="13315" width="14.44140625" style="57" bestFit="1" customWidth="1"/>
    <col min="13316" max="13316" width="9.6640625" style="57" customWidth="1"/>
    <col min="13317" max="13568" width="11.44140625" style="57"/>
    <col min="13569" max="13569" width="33.33203125" style="57" bestFit="1" customWidth="1"/>
    <col min="13570" max="13570" width="11.6640625" style="57" bestFit="1" customWidth="1"/>
    <col min="13571" max="13571" width="14.44140625" style="57" bestFit="1" customWidth="1"/>
    <col min="13572" max="13572" width="9.6640625" style="57" customWidth="1"/>
    <col min="13573" max="13824" width="11.44140625" style="57"/>
    <col min="13825" max="13825" width="33.33203125" style="57" bestFit="1" customWidth="1"/>
    <col min="13826" max="13826" width="11.6640625" style="57" bestFit="1" customWidth="1"/>
    <col min="13827" max="13827" width="14.44140625" style="57" bestFit="1" customWidth="1"/>
    <col min="13828" max="13828" width="9.6640625" style="57" customWidth="1"/>
    <col min="13829" max="14080" width="11.44140625" style="57"/>
    <col min="14081" max="14081" width="33.33203125" style="57" bestFit="1" customWidth="1"/>
    <col min="14082" max="14082" width="11.6640625" style="57" bestFit="1" customWidth="1"/>
    <col min="14083" max="14083" width="14.44140625" style="57" bestFit="1" customWidth="1"/>
    <col min="14084" max="14084" width="9.6640625" style="57" customWidth="1"/>
    <col min="14085" max="14336" width="11.44140625" style="57"/>
    <col min="14337" max="14337" width="33.33203125" style="57" bestFit="1" customWidth="1"/>
    <col min="14338" max="14338" width="11.6640625" style="57" bestFit="1" customWidth="1"/>
    <col min="14339" max="14339" width="14.44140625" style="57" bestFit="1" customWidth="1"/>
    <col min="14340" max="14340" width="9.6640625" style="57" customWidth="1"/>
    <col min="14341" max="14592" width="11.44140625" style="57"/>
    <col min="14593" max="14593" width="33.33203125" style="57" bestFit="1" customWidth="1"/>
    <col min="14594" max="14594" width="11.6640625" style="57" bestFit="1" customWidth="1"/>
    <col min="14595" max="14595" width="14.44140625" style="57" bestFit="1" customWidth="1"/>
    <col min="14596" max="14596" width="9.6640625" style="57" customWidth="1"/>
    <col min="14597" max="14848" width="11.44140625" style="57"/>
    <col min="14849" max="14849" width="33.33203125" style="57" bestFit="1" customWidth="1"/>
    <col min="14850" max="14850" width="11.6640625" style="57" bestFit="1" customWidth="1"/>
    <col min="14851" max="14851" width="14.44140625" style="57" bestFit="1" customWidth="1"/>
    <col min="14852" max="14852" width="9.6640625" style="57" customWidth="1"/>
    <col min="14853" max="15104" width="11.44140625" style="57"/>
    <col min="15105" max="15105" width="33.33203125" style="57" bestFit="1" customWidth="1"/>
    <col min="15106" max="15106" width="11.6640625" style="57" bestFit="1" customWidth="1"/>
    <col min="15107" max="15107" width="14.44140625" style="57" bestFit="1" customWidth="1"/>
    <col min="15108" max="15108" width="9.6640625" style="57" customWidth="1"/>
    <col min="15109" max="15360" width="11.44140625" style="57"/>
    <col min="15361" max="15361" width="33.33203125" style="57" bestFit="1" customWidth="1"/>
    <col min="15362" max="15362" width="11.6640625" style="57" bestFit="1" customWidth="1"/>
    <col min="15363" max="15363" width="14.44140625" style="57" bestFit="1" customWidth="1"/>
    <col min="15364" max="15364" width="9.6640625" style="57" customWidth="1"/>
    <col min="15365" max="15616" width="11.44140625" style="57"/>
    <col min="15617" max="15617" width="33.33203125" style="57" bestFit="1" customWidth="1"/>
    <col min="15618" max="15618" width="11.6640625" style="57" bestFit="1" customWidth="1"/>
    <col min="15619" max="15619" width="14.44140625" style="57" bestFit="1" customWidth="1"/>
    <col min="15620" max="15620" width="9.6640625" style="57" customWidth="1"/>
    <col min="15621" max="15872" width="11.44140625" style="57"/>
    <col min="15873" max="15873" width="33.33203125" style="57" bestFit="1" customWidth="1"/>
    <col min="15874" max="15874" width="11.6640625" style="57" bestFit="1" customWidth="1"/>
    <col min="15875" max="15875" width="14.44140625" style="57" bestFit="1" customWidth="1"/>
    <col min="15876" max="15876" width="9.6640625" style="57" customWidth="1"/>
    <col min="15877" max="16128" width="11.44140625" style="57"/>
    <col min="16129" max="16129" width="33.33203125" style="57" bestFit="1" customWidth="1"/>
    <col min="16130" max="16130" width="11.6640625" style="57" bestFit="1" customWidth="1"/>
    <col min="16131" max="16131" width="14.44140625" style="57" bestFit="1" customWidth="1"/>
    <col min="16132" max="16132" width="9.6640625" style="57" customWidth="1"/>
    <col min="16133" max="16384" width="11.44140625" style="57"/>
  </cols>
  <sheetData>
    <row r="8" spans="1:5" ht="18">
      <c r="A8" s="178"/>
    </row>
    <row r="9" spans="1:5" ht="18">
      <c r="A9" s="178"/>
    </row>
    <row r="10" spans="1:5" ht="18">
      <c r="A10" s="178"/>
    </row>
    <row r="11" spans="1:5" ht="15.6">
      <c r="E11" s="60">
        <v>43790</v>
      </c>
    </row>
    <row r="13" spans="1:5">
      <c r="A13" s="57" t="s">
        <v>315</v>
      </c>
    </row>
    <row r="14" spans="1:5">
      <c r="A14" s="160" t="s">
        <v>375</v>
      </c>
    </row>
    <row r="16" spans="1:5" ht="14.4">
      <c r="A16" s="57" t="s">
        <v>336</v>
      </c>
      <c r="B16" s="139"/>
      <c r="C16" s="161">
        <f>'Detalle hipotecario'!G20</f>
        <v>300000.00800000003</v>
      </c>
    </row>
    <row r="17" spans="1:3" ht="14.4">
      <c r="B17" s="139"/>
      <c r="C17" s="139"/>
    </row>
    <row r="18" spans="1:3" ht="14.4">
      <c r="A18" s="160" t="s">
        <v>317</v>
      </c>
      <c r="B18" s="139"/>
      <c r="C18" s="139"/>
    </row>
    <row r="19" spans="1:3" ht="14.4">
      <c r="A19" s="57" t="s">
        <v>372</v>
      </c>
      <c r="B19" s="139">
        <f>'Detalle hipotecario'!G26</f>
        <v>10080.000268800002</v>
      </c>
      <c r="C19" s="139"/>
    </row>
    <row r="20" spans="1:3" ht="14.4">
      <c r="A20" s="57" t="s">
        <v>373</v>
      </c>
      <c r="B20" s="139">
        <f>'Detalle hipotecario'!F31</f>
        <v>12000.000320000001</v>
      </c>
      <c r="C20" s="139"/>
    </row>
    <row r="21" spans="1:3" ht="14.4">
      <c r="A21" s="57" t="s">
        <v>284</v>
      </c>
      <c r="B21" s="179">
        <f>'Detalle hipotecario'!F32+'Detalle hipotecario'!F34</f>
        <v>3600.0000800000003</v>
      </c>
      <c r="C21" s="139"/>
    </row>
    <row r="22" spans="1:3" ht="14.4">
      <c r="A22" s="57" t="s">
        <v>337</v>
      </c>
      <c r="B22" s="139">
        <f>'Detalle hipotecario'!F36</f>
        <v>991.25</v>
      </c>
      <c r="C22" s="139"/>
    </row>
    <row r="23" spans="1:3" ht="14.4">
      <c r="A23" s="57" t="s">
        <v>338</v>
      </c>
      <c r="B23" s="166">
        <f>'Detalle hipotecario'!G44</f>
        <v>4060.0001056000001</v>
      </c>
      <c r="C23" s="166">
        <f>SUM(B19:B23)</f>
        <v>30731.250774400003</v>
      </c>
    </row>
    <row r="24" spans="1:3" ht="18.75" customHeight="1" thickBot="1">
      <c r="A24" s="57" t="s">
        <v>321</v>
      </c>
      <c r="B24" s="139"/>
      <c r="C24" s="167">
        <f>C16-C23</f>
        <v>269268.75722560001</v>
      </c>
    </row>
    <row r="25" spans="1:3" ht="14.4">
      <c r="B25" s="139"/>
      <c r="C25" s="139"/>
    </row>
    <row r="26" spans="1:3" ht="14.4">
      <c r="B26" s="139"/>
      <c r="C26" s="139"/>
    </row>
    <row r="27" spans="1:3" ht="14.4">
      <c r="B27" s="139"/>
      <c r="C27" s="139"/>
    </row>
    <row r="28" spans="1:3">
      <c r="B28" s="180"/>
      <c r="C28" s="180"/>
    </row>
    <row r="29" spans="1:3">
      <c r="B29" s="180"/>
      <c r="C29" s="180"/>
    </row>
    <row r="30" spans="1:3">
      <c r="B30" s="180"/>
      <c r="C30" s="180"/>
    </row>
  </sheetData>
  <pageMargins left="0.7" right="0.52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theme="5" tint="-0.249977111117893"/>
  </sheetPr>
  <dimension ref="A3:D28"/>
  <sheetViews>
    <sheetView workbookViewId="0">
      <selection activeCell="A17" sqref="A17"/>
    </sheetView>
  </sheetViews>
  <sheetFormatPr baseColWidth="10" defaultRowHeight="13.2"/>
  <cols>
    <col min="1" max="1" width="31.33203125" style="57" bestFit="1" customWidth="1"/>
    <col min="2" max="2" width="10.6640625" style="57" bestFit="1" customWidth="1"/>
    <col min="3" max="3" width="17.6640625" style="57" customWidth="1"/>
    <col min="4" max="4" width="11.6640625" style="57" bestFit="1" customWidth="1"/>
    <col min="5" max="6" width="11.44140625" style="57"/>
    <col min="7" max="7" width="12" style="57" bestFit="1" customWidth="1"/>
    <col min="8" max="256" width="11.44140625" style="57"/>
    <col min="257" max="257" width="31.33203125" style="57" bestFit="1" customWidth="1"/>
    <col min="258" max="258" width="10.6640625" style="57" bestFit="1" customWidth="1"/>
    <col min="259" max="259" width="17.6640625" style="57" customWidth="1"/>
    <col min="260" max="262" width="11.44140625" style="57"/>
    <col min="263" max="263" width="12" style="57" bestFit="1" customWidth="1"/>
    <col min="264" max="512" width="11.44140625" style="57"/>
    <col min="513" max="513" width="31.33203125" style="57" bestFit="1" customWidth="1"/>
    <col min="514" max="514" width="10.6640625" style="57" bestFit="1" customWidth="1"/>
    <col min="515" max="515" width="17.6640625" style="57" customWidth="1"/>
    <col min="516" max="518" width="11.44140625" style="57"/>
    <col min="519" max="519" width="12" style="57" bestFit="1" customWidth="1"/>
    <col min="520" max="768" width="11.44140625" style="57"/>
    <col min="769" max="769" width="31.33203125" style="57" bestFit="1" customWidth="1"/>
    <col min="770" max="770" width="10.6640625" style="57" bestFit="1" customWidth="1"/>
    <col min="771" max="771" width="17.6640625" style="57" customWidth="1"/>
    <col min="772" max="774" width="11.44140625" style="57"/>
    <col min="775" max="775" width="12" style="57" bestFit="1" customWidth="1"/>
    <col min="776" max="1024" width="11.44140625" style="57"/>
    <col min="1025" max="1025" width="31.33203125" style="57" bestFit="1" customWidth="1"/>
    <col min="1026" max="1026" width="10.6640625" style="57" bestFit="1" customWidth="1"/>
    <col min="1027" max="1027" width="17.6640625" style="57" customWidth="1"/>
    <col min="1028" max="1030" width="11.44140625" style="57"/>
    <col min="1031" max="1031" width="12" style="57" bestFit="1" customWidth="1"/>
    <col min="1032" max="1280" width="11.44140625" style="57"/>
    <col min="1281" max="1281" width="31.33203125" style="57" bestFit="1" customWidth="1"/>
    <col min="1282" max="1282" width="10.6640625" style="57" bestFit="1" customWidth="1"/>
    <col min="1283" max="1283" width="17.6640625" style="57" customWidth="1"/>
    <col min="1284" max="1286" width="11.44140625" style="57"/>
    <col min="1287" max="1287" width="12" style="57" bestFit="1" customWidth="1"/>
    <col min="1288" max="1536" width="11.44140625" style="57"/>
    <col min="1537" max="1537" width="31.33203125" style="57" bestFit="1" customWidth="1"/>
    <col min="1538" max="1538" width="10.6640625" style="57" bestFit="1" customWidth="1"/>
    <col min="1539" max="1539" width="17.6640625" style="57" customWidth="1"/>
    <col min="1540" max="1542" width="11.44140625" style="57"/>
    <col min="1543" max="1543" width="12" style="57" bestFit="1" customWidth="1"/>
    <col min="1544" max="1792" width="11.44140625" style="57"/>
    <col min="1793" max="1793" width="31.33203125" style="57" bestFit="1" customWidth="1"/>
    <col min="1794" max="1794" width="10.6640625" style="57" bestFit="1" customWidth="1"/>
    <col min="1795" max="1795" width="17.6640625" style="57" customWidth="1"/>
    <col min="1796" max="1798" width="11.44140625" style="57"/>
    <col min="1799" max="1799" width="12" style="57" bestFit="1" customWidth="1"/>
    <col min="1800" max="2048" width="11.44140625" style="57"/>
    <col min="2049" max="2049" width="31.33203125" style="57" bestFit="1" customWidth="1"/>
    <col min="2050" max="2050" width="10.6640625" style="57" bestFit="1" customWidth="1"/>
    <col min="2051" max="2051" width="17.6640625" style="57" customWidth="1"/>
    <col min="2052" max="2054" width="11.44140625" style="57"/>
    <col min="2055" max="2055" width="12" style="57" bestFit="1" customWidth="1"/>
    <col min="2056" max="2304" width="11.44140625" style="57"/>
    <col min="2305" max="2305" width="31.33203125" style="57" bestFit="1" customWidth="1"/>
    <col min="2306" max="2306" width="10.6640625" style="57" bestFit="1" customWidth="1"/>
    <col min="2307" max="2307" width="17.6640625" style="57" customWidth="1"/>
    <col min="2308" max="2310" width="11.44140625" style="57"/>
    <col min="2311" max="2311" width="12" style="57" bestFit="1" customWidth="1"/>
    <col min="2312" max="2560" width="11.44140625" style="57"/>
    <col min="2561" max="2561" width="31.33203125" style="57" bestFit="1" customWidth="1"/>
    <col min="2562" max="2562" width="10.6640625" style="57" bestFit="1" customWidth="1"/>
    <col min="2563" max="2563" width="17.6640625" style="57" customWidth="1"/>
    <col min="2564" max="2566" width="11.44140625" style="57"/>
    <col min="2567" max="2567" width="12" style="57" bestFit="1" customWidth="1"/>
    <col min="2568" max="2816" width="11.44140625" style="57"/>
    <col min="2817" max="2817" width="31.33203125" style="57" bestFit="1" customWidth="1"/>
    <col min="2818" max="2818" width="10.6640625" style="57" bestFit="1" customWidth="1"/>
    <col min="2819" max="2819" width="17.6640625" style="57" customWidth="1"/>
    <col min="2820" max="2822" width="11.44140625" style="57"/>
    <col min="2823" max="2823" width="12" style="57" bestFit="1" customWidth="1"/>
    <col min="2824" max="3072" width="11.44140625" style="57"/>
    <col min="3073" max="3073" width="31.33203125" style="57" bestFit="1" customWidth="1"/>
    <col min="3074" max="3074" width="10.6640625" style="57" bestFit="1" customWidth="1"/>
    <col min="3075" max="3075" width="17.6640625" style="57" customWidth="1"/>
    <col min="3076" max="3078" width="11.44140625" style="57"/>
    <col min="3079" max="3079" width="12" style="57" bestFit="1" customWidth="1"/>
    <col min="3080" max="3328" width="11.44140625" style="57"/>
    <col min="3329" max="3329" width="31.33203125" style="57" bestFit="1" customWidth="1"/>
    <col min="3330" max="3330" width="10.6640625" style="57" bestFit="1" customWidth="1"/>
    <col min="3331" max="3331" width="17.6640625" style="57" customWidth="1"/>
    <col min="3332" max="3334" width="11.44140625" style="57"/>
    <col min="3335" max="3335" width="12" style="57" bestFit="1" customWidth="1"/>
    <col min="3336" max="3584" width="11.44140625" style="57"/>
    <col min="3585" max="3585" width="31.33203125" style="57" bestFit="1" customWidth="1"/>
    <col min="3586" max="3586" width="10.6640625" style="57" bestFit="1" customWidth="1"/>
    <col min="3587" max="3587" width="17.6640625" style="57" customWidth="1"/>
    <col min="3588" max="3590" width="11.44140625" style="57"/>
    <col min="3591" max="3591" width="12" style="57" bestFit="1" customWidth="1"/>
    <col min="3592" max="3840" width="11.44140625" style="57"/>
    <col min="3841" max="3841" width="31.33203125" style="57" bestFit="1" customWidth="1"/>
    <col min="3842" max="3842" width="10.6640625" style="57" bestFit="1" customWidth="1"/>
    <col min="3843" max="3843" width="17.6640625" style="57" customWidth="1"/>
    <col min="3844" max="3846" width="11.44140625" style="57"/>
    <col min="3847" max="3847" width="12" style="57" bestFit="1" customWidth="1"/>
    <col min="3848" max="4096" width="11.44140625" style="57"/>
    <col min="4097" max="4097" width="31.33203125" style="57" bestFit="1" customWidth="1"/>
    <col min="4098" max="4098" width="10.6640625" style="57" bestFit="1" customWidth="1"/>
    <col min="4099" max="4099" width="17.6640625" style="57" customWidth="1"/>
    <col min="4100" max="4102" width="11.44140625" style="57"/>
    <col min="4103" max="4103" width="12" style="57" bestFit="1" customWidth="1"/>
    <col min="4104" max="4352" width="11.44140625" style="57"/>
    <col min="4353" max="4353" width="31.33203125" style="57" bestFit="1" customWidth="1"/>
    <col min="4354" max="4354" width="10.6640625" style="57" bestFit="1" customWidth="1"/>
    <col min="4355" max="4355" width="17.6640625" style="57" customWidth="1"/>
    <col min="4356" max="4358" width="11.44140625" style="57"/>
    <col min="4359" max="4359" width="12" style="57" bestFit="1" customWidth="1"/>
    <col min="4360" max="4608" width="11.44140625" style="57"/>
    <col min="4609" max="4609" width="31.33203125" style="57" bestFit="1" customWidth="1"/>
    <col min="4610" max="4610" width="10.6640625" style="57" bestFit="1" customWidth="1"/>
    <col min="4611" max="4611" width="17.6640625" style="57" customWidth="1"/>
    <col min="4612" max="4614" width="11.44140625" style="57"/>
    <col min="4615" max="4615" width="12" style="57" bestFit="1" customWidth="1"/>
    <col min="4616" max="4864" width="11.44140625" style="57"/>
    <col min="4865" max="4865" width="31.33203125" style="57" bestFit="1" customWidth="1"/>
    <col min="4866" max="4866" width="10.6640625" style="57" bestFit="1" customWidth="1"/>
    <col min="4867" max="4867" width="17.6640625" style="57" customWidth="1"/>
    <col min="4868" max="4870" width="11.44140625" style="57"/>
    <col min="4871" max="4871" width="12" style="57" bestFit="1" customWidth="1"/>
    <col min="4872" max="5120" width="11.44140625" style="57"/>
    <col min="5121" max="5121" width="31.33203125" style="57" bestFit="1" customWidth="1"/>
    <col min="5122" max="5122" width="10.6640625" style="57" bestFit="1" customWidth="1"/>
    <col min="5123" max="5123" width="17.6640625" style="57" customWidth="1"/>
    <col min="5124" max="5126" width="11.44140625" style="57"/>
    <col min="5127" max="5127" width="12" style="57" bestFit="1" customWidth="1"/>
    <col min="5128" max="5376" width="11.44140625" style="57"/>
    <col min="5377" max="5377" width="31.33203125" style="57" bestFit="1" customWidth="1"/>
    <col min="5378" max="5378" width="10.6640625" style="57" bestFit="1" customWidth="1"/>
    <col min="5379" max="5379" width="17.6640625" style="57" customWidth="1"/>
    <col min="5380" max="5382" width="11.44140625" style="57"/>
    <col min="5383" max="5383" width="12" style="57" bestFit="1" customWidth="1"/>
    <col min="5384" max="5632" width="11.44140625" style="57"/>
    <col min="5633" max="5633" width="31.33203125" style="57" bestFit="1" customWidth="1"/>
    <col min="5634" max="5634" width="10.6640625" style="57" bestFit="1" customWidth="1"/>
    <col min="5635" max="5635" width="17.6640625" style="57" customWidth="1"/>
    <col min="5636" max="5638" width="11.44140625" style="57"/>
    <col min="5639" max="5639" width="12" style="57" bestFit="1" customWidth="1"/>
    <col min="5640" max="5888" width="11.44140625" style="57"/>
    <col min="5889" max="5889" width="31.33203125" style="57" bestFit="1" customWidth="1"/>
    <col min="5890" max="5890" width="10.6640625" style="57" bestFit="1" customWidth="1"/>
    <col min="5891" max="5891" width="17.6640625" style="57" customWidth="1"/>
    <col min="5892" max="5894" width="11.44140625" style="57"/>
    <col min="5895" max="5895" width="12" style="57" bestFit="1" customWidth="1"/>
    <col min="5896" max="6144" width="11.44140625" style="57"/>
    <col min="6145" max="6145" width="31.33203125" style="57" bestFit="1" customWidth="1"/>
    <col min="6146" max="6146" width="10.6640625" style="57" bestFit="1" customWidth="1"/>
    <col min="6147" max="6147" width="17.6640625" style="57" customWidth="1"/>
    <col min="6148" max="6150" width="11.44140625" style="57"/>
    <col min="6151" max="6151" width="12" style="57" bestFit="1" customWidth="1"/>
    <col min="6152" max="6400" width="11.44140625" style="57"/>
    <col min="6401" max="6401" width="31.33203125" style="57" bestFit="1" customWidth="1"/>
    <col min="6402" max="6402" width="10.6640625" style="57" bestFit="1" customWidth="1"/>
    <col min="6403" max="6403" width="17.6640625" style="57" customWidth="1"/>
    <col min="6404" max="6406" width="11.44140625" style="57"/>
    <col min="6407" max="6407" width="12" style="57" bestFit="1" customWidth="1"/>
    <col min="6408" max="6656" width="11.44140625" style="57"/>
    <col min="6657" max="6657" width="31.33203125" style="57" bestFit="1" customWidth="1"/>
    <col min="6658" max="6658" width="10.6640625" style="57" bestFit="1" customWidth="1"/>
    <col min="6659" max="6659" width="17.6640625" style="57" customWidth="1"/>
    <col min="6660" max="6662" width="11.44140625" style="57"/>
    <col min="6663" max="6663" width="12" style="57" bestFit="1" customWidth="1"/>
    <col min="6664" max="6912" width="11.44140625" style="57"/>
    <col min="6913" max="6913" width="31.33203125" style="57" bestFit="1" customWidth="1"/>
    <col min="6914" max="6914" width="10.6640625" style="57" bestFit="1" customWidth="1"/>
    <col min="6915" max="6915" width="17.6640625" style="57" customWidth="1"/>
    <col min="6916" max="6918" width="11.44140625" style="57"/>
    <col min="6919" max="6919" width="12" style="57" bestFit="1" customWidth="1"/>
    <col min="6920" max="7168" width="11.44140625" style="57"/>
    <col min="7169" max="7169" width="31.33203125" style="57" bestFit="1" customWidth="1"/>
    <col min="7170" max="7170" width="10.6640625" style="57" bestFit="1" customWidth="1"/>
    <col min="7171" max="7171" width="17.6640625" style="57" customWidth="1"/>
    <col min="7172" max="7174" width="11.44140625" style="57"/>
    <col min="7175" max="7175" width="12" style="57" bestFit="1" customWidth="1"/>
    <col min="7176" max="7424" width="11.44140625" style="57"/>
    <col min="7425" max="7425" width="31.33203125" style="57" bestFit="1" customWidth="1"/>
    <col min="7426" max="7426" width="10.6640625" style="57" bestFit="1" customWidth="1"/>
    <col min="7427" max="7427" width="17.6640625" style="57" customWidth="1"/>
    <col min="7428" max="7430" width="11.44140625" style="57"/>
    <col min="7431" max="7431" width="12" style="57" bestFit="1" customWidth="1"/>
    <col min="7432" max="7680" width="11.44140625" style="57"/>
    <col min="7681" max="7681" width="31.33203125" style="57" bestFit="1" customWidth="1"/>
    <col min="7682" max="7682" width="10.6640625" style="57" bestFit="1" customWidth="1"/>
    <col min="7683" max="7683" width="17.6640625" style="57" customWidth="1"/>
    <col min="7684" max="7686" width="11.44140625" style="57"/>
    <col min="7687" max="7687" width="12" style="57" bestFit="1" customWidth="1"/>
    <col min="7688" max="7936" width="11.44140625" style="57"/>
    <col min="7937" max="7937" width="31.33203125" style="57" bestFit="1" customWidth="1"/>
    <col min="7938" max="7938" width="10.6640625" style="57" bestFit="1" customWidth="1"/>
    <col min="7939" max="7939" width="17.6640625" style="57" customWidth="1"/>
    <col min="7940" max="7942" width="11.44140625" style="57"/>
    <col min="7943" max="7943" width="12" style="57" bestFit="1" customWidth="1"/>
    <col min="7944" max="8192" width="11.44140625" style="57"/>
    <col min="8193" max="8193" width="31.33203125" style="57" bestFit="1" customWidth="1"/>
    <col min="8194" max="8194" width="10.6640625" style="57" bestFit="1" customWidth="1"/>
    <col min="8195" max="8195" width="17.6640625" style="57" customWidth="1"/>
    <col min="8196" max="8198" width="11.44140625" style="57"/>
    <col min="8199" max="8199" width="12" style="57" bestFit="1" customWidth="1"/>
    <col min="8200" max="8448" width="11.44140625" style="57"/>
    <col min="8449" max="8449" width="31.33203125" style="57" bestFit="1" customWidth="1"/>
    <col min="8450" max="8450" width="10.6640625" style="57" bestFit="1" customWidth="1"/>
    <col min="8451" max="8451" width="17.6640625" style="57" customWidth="1"/>
    <col min="8452" max="8454" width="11.44140625" style="57"/>
    <col min="8455" max="8455" width="12" style="57" bestFit="1" customWidth="1"/>
    <col min="8456" max="8704" width="11.44140625" style="57"/>
    <col min="8705" max="8705" width="31.33203125" style="57" bestFit="1" customWidth="1"/>
    <col min="8706" max="8706" width="10.6640625" style="57" bestFit="1" customWidth="1"/>
    <col min="8707" max="8707" width="17.6640625" style="57" customWidth="1"/>
    <col min="8708" max="8710" width="11.44140625" style="57"/>
    <col min="8711" max="8711" width="12" style="57" bestFit="1" customWidth="1"/>
    <col min="8712" max="8960" width="11.44140625" style="57"/>
    <col min="8961" max="8961" width="31.33203125" style="57" bestFit="1" customWidth="1"/>
    <col min="8962" max="8962" width="10.6640625" style="57" bestFit="1" customWidth="1"/>
    <col min="8963" max="8963" width="17.6640625" style="57" customWidth="1"/>
    <col min="8964" max="8966" width="11.44140625" style="57"/>
    <col min="8967" max="8967" width="12" style="57" bestFit="1" customWidth="1"/>
    <col min="8968" max="9216" width="11.44140625" style="57"/>
    <col min="9217" max="9217" width="31.33203125" style="57" bestFit="1" customWidth="1"/>
    <col min="9218" max="9218" width="10.6640625" style="57" bestFit="1" customWidth="1"/>
    <col min="9219" max="9219" width="17.6640625" style="57" customWidth="1"/>
    <col min="9220" max="9222" width="11.44140625" style="57"/>
    <col min="9223" max="9223" width="12" style="57" bestFit="1" customWidth="1"/>
    <col min="9224" max="9472" width="11.44140625" style="57"/>
    <col min="9473" max="9473" width="31.33203125" style="57" bestFit="1" customWidth="1"/>
    <col min="9474" max="9474" width="10.6640625" style="57" bestFit="1" customWidth="1"/>
    <col min="9475" max="9475" width="17.6640625" style="57" customWidth="1"/>
    <col min="9476" max="9478" width="11.44140625" style="57"/>
    <col min="9479" max="9479" width="12" style="57" bestFit="1" customWidth="1"/>
    <col min="9480" max="9728" width="11.44140625" style="57"/>
    <col min="9729" max="9729" width="31.33203125" style="57" bestFit="1" customWidth="1"/>
    <col min="9730" max="9730" width="10.6640625" style="57" bestFit="1" customWidth="1"/>
    <col min="9731" max="9731" width="17.6640625" style="57" customWidth="1"/>
    <col min="9732" max="9734" width="11.44140625" style="57"/>
    <col min="9735" max="9735" width="12" style="57" bestFit="1" customWidth="1"/>
    <col min="9736" max="9984" width="11.44140625" style="57"/>
    <col min="9985" max="9985" width="31.33203125" style="57" bestFit="1" customWidth="1"/>
    <col min="9986" max="9986" width="10.6640625" style="57" bestFit="1" customWidth="1"/>
    <col min="9987" max="9987" width="17.6640625" style="57" customWidth="1"/>
    <col min="9988" max="9990" width="11.44140625" style="57"/>
    <col min="9991" max="9991" width="12" style="57" bestFit="1" customWidth="1"/>
    <col min="9992" max="10240" width="11.44140625" style="57"/>
    <col min="10241" max="10241" width="31.33203125" style="57" bestFit="1" customWidth="1"/>
    <col min="10242" max="10242" width="10.6640625" style="57" bestFit="1" customWidth="1"/>
    <col min="10243" max="10243" width="17.6640625" style="57" customWidth="1"/>
    <col min="10244" max="10246" width="11.44140625" style="57"/>
    <col min="10247" max="10247" width="12" style="57" bestFit="1" customWidth="1"/>
    <col min="10248" max="10496" width="11.44140625" style="57"/>
    <col min="10497" max="10497" width="31.33203125" style="57" bestFit="1" customWidth="1"/>
    <col min="10498" max="10498" width="10.6640625" style="57" bestFit="1" customWidth="1"/>
    <col min="10499" max="10499" width="17.6640625" style="57" customWidth="1"/>
    <col min="10500" max="10502" width="11.44140625" style="57"/>
    <col min="10503" max="10503" width="12" style="57" bestFit="1" customWidth="1"/>
    <col min="10504" max="10752" width="11.44140625" style="57"/>
    <col min="10753" max="10753" width="31.33203125" style="57" bestFit="1" customWidth="1"/>
    <col min="10754" max="10754" width="10.6640625" style="57" bestFit="1" customWidth="1"/>
    <col min="10755" max="10755" width="17.6640625" style="57" customWidth="1"/>
    <col min="10756" max="10758" width="11.44140625" style="57"/>
    <col min="10759" max="10759" width="12" style="57" bestFit="1" customWidth="1"/>
    <col min="10760" max="11008" width="11.44140625" style="57"/>
    <col min="11009" max="11009" width="31.33203125" style="57" bestFit="1" customWidth="1"/>
    <col min="11010" max="11010" width="10.6640625" style="57" bestFit="1" customWidth="1"/>
    <col min="11011" max="11011" width="17.6640625" style="57" customWidth="1"/>
    <col min="11012" max="11014" width="11.44140625" style="57"/>
    <col min="11015" max="11015" width="12" style="57" bestFit="1" customWidth="1"/>
    <col min="11016" max="11264" width="11.44140625" style="57"/>
    <col min="11265" max="11265" width="31.33203125" style="57" bestFit="1" customWidth="1"/>
    <col min="11266" max="11266" width="10.6640625" style="57" bestFit="1" customWidth="1"/>
    <col min="11267" max="11267" width="17.6640625" style="57" customWidth="1"/>
    <col min="11268" max="11270" width="11.44140625" style="57"/>
    <col min="11271" max="11271" width="12" style="57" bestFit="1" customWidth="1"/>
    <col min="11272" max="11520" width="11.44140625" style="57"/>
    <col min="11521" max="11521" width="31.33203125" style="57" bestFit="1" customWidth="1"/>
    <col min="11522" max="11522" width="10.6640625" style="57" bestFit="1" customWidth="1"/>
    <col min="11523" max="11523" width="17.6640625" style="57" customWidth="1"/>
    <col min="11524" max="11526" width="11.44140625" style="57"/>
    <col min="11527" max="11527" width="12" style="57" bestFit="1" customWidth="1"/>
    <col min="11528" max="11776" width="11.44140625" style="57"/>
    <col min="11777" max="11777" width="31.33203125" style="57" bestFit="1" customWidth="1"/>
    <col min="11778" max="11778" width="10.6640625" style="57" bestFit="1" customWidth="1"/>
    <col min="11779" max="11779" width="17.6640625" style="57" customWidth="1"/>
    <col min="11780" max="11782" width="11.44140625" style="57"/>
    <col min="11783" max="11783" width="12" style="57" bestFit="1" customWidth="1"/>
    <col min="11784" max="12032" width="11.44140625" style="57"/>
    <col min="12033" max="12033" width="31.33203125" style="57" bestFit="1" customWidth="1"/>
    <col min="12034" max="12034" width="10.6640625" style="57" bestFit="1" customWidth="1"/>
    <col min="12035" max="12035" width="17.6640625" style="57" customWidth="1"/>
    <col min="12036" max="12038" width="11.44140625" style="57"/>
    <col min="12039" max="12039" width="12" style="57" bestFit="1" customWidth="1"/>
    <col min="12040" max="12288" width="11.44140625" style="57"/>
    <col min="12289" max="12289" width="31.33203125" style="57" bestFit="1" customWidth="1"/>
    <col min="12290" max="12290" width="10.6640625" style="57" bestFit="1" customWidth="1"/>
    <col min="12291" max="12291" width="17.6640625" style="57" customWidth="1"/>
    <col min="12292" max="12294" width="11.44140625" style="57"/>
    <col min="12295" max="12295" width="12" style="57" bestFit="1" customWidth="1"/>
    <col min="12296" max="12544" width="11.44140625" style="57"/>
    <col min="12545" max="12545" width="31.33203125" style="57" bestFit="1" customWidth="1"/>
    <col min="12546" max="12546" width="10.6640625" style="57" bestFit="1" customWidth="1"/>
    <col min="12547" max="12547" width="17.6640625" style="57" customWidth="1"/>
    <col min="12548" max="12550" width="11.44140625" style="57"/>
    <col min="12551" max="12551" width="12" style="57" bestFit="1" customWidth="1"/>
    <col min="12552" max="12800" width="11.44140625" style="57"/>
    <col min="12801" max="12801" width="31.33203125" style="57" bestFit="1" customWidth="1"/>
    <col min="12802" max="12802" width="10.6640625" style="57" bestFit="1" customWidth="1"/>
    <col min="12803" max="12803" width="17.6640625" style="57" customWidth="1"/>
    <col min="12804" max="12806" width="11.44140625" style="57"/>
    <col min="12807" max="12807" width="12" style="57" bestFit="1" customWidth="1"/>
    <col min="12808" max="13056" width="11.44140625" style="57"/>
    <col min="13057" max="13057" width="31.33203125" style="57" bestFit="1" customWidth="1"/>
    <col min="13058" max="13058" width="10.6640625" style="57" bestFit="1" customWidth="1"/>
    <col min="13059" max="13059" width="17.6640625" style="57" customWidth="1"/>
    <col min="13060" max="13062" width="11.44140625" style="57"/>
    <col min="13063" max="13063" width="12" style="57" bestFit="1" customWidth="1"/>
    <col min="13064" max="13312" width="11.44140625" style="57"/>
    <col min="13313" max="13313" width="31.33203125" style="57" bestFit="1" customWidth="1"/>
    <col min="13314" max="13314" width="10.6640625" style="57" bestFit="1" customWidth="1"/>
    <col min="13315" max="13315" width="17.6640625" style="57" customWidth="1"/>
    <col min="13316" max="13318" width="11.44140625" style="57"/>
    <col min="13319" max="13319" width="12" style="57" bestFit="1" customWidth="1"/>
    <col min="13320" max="13568" width="11.44140625" style="57"/>
    <col min="13569" max="13569" width="31.33203125" style="57" bestFit="1" customWidth="1"/>
    <col min="13570" max="13570" width="10.6640625" style="57" bestFit="1" customWidth="1"/>
    <col min="13571" max="13571" width="17.6640625" style="57" customWidth="1"/>
    <col min="13572" max="13574" width="11.44140625" style="57"/>
    <col min="13575" max="13575" width="12" style="57" bestFit="1" customWidth="1"/>
    <col min="13576" max="13824" width="11.44140625" style="57"/>
    <col min="13825" max="13825" width="31.33203125" style="57" bestFit="1" customWidth="1"/>
    <col min="13826" max="13826" width="10.6640625" style="57" bestFit="1" customWidth="1"/>
    <col min="13827" max="13827" width="17.6640625" style="57" customWidth="1"/>
    <col min="13828" max="13830" width="11.44140625" style="57"/>
    <col min="13831" max="13831" width="12" style="57" bestFit="1" customWidth="1"/>
    <col min="13832" max="14080" width="11.44140625" style="57"/>
    <col min="14081" max="14081" width="31.33203125" style="57" bestFit="1" customWidth="1"/>
    <col min="14082" max="14082" width="10.6640625" style="57" bestFit="1" customWidth="1"/>
    <col min="14083" max="14083" width="17.6640625" style="57" customWidth="1"/>
    <col min="14084" max="14086" width="11.44140625" style="57"/>
    <col min="14087" max="14087" width="12" style="57" bestFit="1" customWidth="1"/>
    <col min="14088" max="14336" width="11.44140625" style="57"/>
    <col min="14337" max="14337" width="31.33203125" style="57" bestFit="1" customWidth="1"/>
    <col min="14338" max="14338" width="10.6640625" style="57" bestFit="1" customWidth="1"/>
    <col min="14339" max="14339" width="17.6640625" style="57" customWidth="1"/>
    <col min="14340" max="14342" width="11.44140625" style="57"/>
    <col min="14343" max="14343" width="12" style="57" bestFit="1" customWidth="1"/>
    <col min="14344" max="14592" width="11.44140625" style="57"/>
    <col min="14593" max="14593" width="31.33203125" style="57" bestFit="1" customWidth="1"/>
    <col min="14594" max="14594" width="10.6640625" style="57" bestFit="1" customWidth="1"/>
    <col min="14595" max="14595" width="17.6640625" style="57" customWidth="1"/>
    <col min="14596" max="14598" width="11.44140625" style="57"/>
    <col min="14599" max="14599" width="12" style="57" bestFit="1" customWidth="1"/>
    <col min="14600" max="14848" width="11.44140625" style="57"/>
    <col min="14849" max="14849" width="31.33203125" style="57" bestFit="1" customWidth="1"/>
    <col min="14850" max="14850" width="10.6640625" style="57" bestFit="1" customWidth="1"/>
    <col min="14851" max="14851" width="17.6640625" style="57" customWidth="1"/>
    <col min="14852" max="14854" width="11.44140625" style="57"/>
    <col min="14855" max="14855" width="12" style="57" bestFit="1" customWidth="1"/>
    <col min="14856" max="15104" width="11.44140625" style="57"/>
    <col min="15105" max="15105" width="31.33203125" style="57" bestFit="1" customWidth="1"/>
    <col min="15106" max="15106" width="10.6640625" style="57" bestFit="1" customWidth="1"/>
    <col min="15107" max="15107" width="17.6640625" style="57" customWidth="1"/>
    <col min="15108" max="15110" width="11.44140625" style="57"/>
    <col min="15111" max="15111" width="12" style="57" bestFit="1" customWidth="1"/>
    <col min="15112" max="15360" width="11.44140625" style="57"/>
    <col min="15361" max="15361" width="31.33203125" style="57" bestFit="1" customWidth="1"/>
    <col min="15362" max="15362" width="10.6640625" style="57" bestFit="1" customWidth="1"/>
    <col min="15363" max="15363" width="17.6640625" style="57" customWidth="1"/>
    <col min="15364" max="15366" width="11.44140625" style="57"/>
    <col min="15367" max="15367" width="12" style="57" bestFit="1" customWidth="1"/>
    <col min="15368" max="15616" width="11.44140625" style="57"/>
    <col min="15617" max="15617" width="31.33203125" style="57" bestFit="1" customWidth="1"/>
    <col min="15618" max="15618" width="10.6640625" style="57" bestFit="1" customWidth="1"/>
    <col min="15619" max="15619" width="17.6640625" style="57" customWidth="1"/>
    <col min="15620" max="15622" width="11.44140625" style="57"/>
    <col min="15623" max="15623" width="12" style="57" bestFit="1" customWidth="1"/>
    <col min="15624" max="15872" width="11.44140625" style="57"/>
    <col min="15873" max="15873" width="31.33203125" style="57" bestFit="1" customWidth="1"/>
    <col min="15874" max="15874" width="10.6640625" style="57" bestFit="1" customWidth="1"/>
    <col min="15875" max="15875" width="17.6640625" style="57" customWidth="1"/>
    <col min="15876" max="15878" width="11.44140625" style="57"/>
    <col min="15879" max="15879" width="12" style="57" bestFit="1" customWidth="1"/>
    <col min="15880" max="16128" width="11.44140625" style="57"/>
    <col min="16129" max="16129" width="31.33203125" style="57" bestFit="1" customWidth="1"/>
    <col min="16130" max="16130" width="10.6640625" style="57" bestFit="1" customWidth="1"/>
    <col min="16131" max="16131" width="17.6640625" style="57" customWidth="1"/>
    <col min="16132" max="16134" width="11.44140625" style="57"/>
    <col min="16135" max="16135" width="12" style="57" bestFit="1" customWidth="1"/>
    <col min="16136" max="16384" width="11.44140625" style="57"/>
  </cols>
  <sheetData>
    <row r="3" spans="1:4">
      <c r="A3" s="57" t="s">
        <v>364</v>
      </c>
    </row>
    <row r="4" spans="1:4" ht="14.4">
      <c r="A4" s="139">
        <v>250000</v>
      </c>
      <c r="B4" s="213" t="s">
        <v>365</v>
      </c>
      <c r="C4" s="157">
        <f>A4-10000</f>
        <v>240000</v>
      </c>
      <c r="D4" s="57">
        <f>+A4/7.89</f>
        <v>31685.678073510775</v>
      </c>
    </row>
    <row r="6" spans="1:4">
      <c r="A6" s="157">
        <f>C4</f>
        <v>240000</v>
      </c>
      <c r="B6" s="213" t="s">
        <v>366</v>
      </c>
      <c r="C6" s="157">
        <f>+A6*0.15/100</f>
        <v>360</v>
      </c>
      <c r="D6" s="171"/>
    </row>
    <row r="7" spans="1:4">
      <c r="A7" s="57" t="s">
        <v>367</v>
      </c>
    </row>
    <row r="8" spans="1:4">
      <c r="A8" s="57" t="s">
        <v>368</v>
      </c>
      <c r="C8" s="157">
        <f>160+50</f>
        <v>210</v>
      </c>
    </row>
    <row r="9" spans="1:4">
      <c r="A9" s="57" t="s">
        <v>369</v>
      </c>
      <c r="C9" s="157">
        <v>75</v>
      </c>
    </row>
    <row r="10" spans="1:4">
      <c r="A10" s="57" t="s">
        <v>370</v>
      </c>
      <c r="C10" s="214">
        <v>0</v>
      </c>
      <c r="D10" s="157"/>
    </row>
    <row r="11" spans="1:4" ht="13.8" thickBot="1">
      <c r="C11" s="215">
        <f>+C10+C9+C8+C6</f>
        <v>645</v>
      </c>
    </row>
    <row r="12" spans="1:4" ht="13.8" thickTop="1">
      <c r="C12" s="157"/>
    </row>
    <row r="13" spans="1:4">
      <c r="C13" s="157"/>
    </row>
    <row r="14" spans="1:4">
      <c r="C14" s="157"/>
    </row>
    <row r="15" spans="1:4">
      <c r="A15" s="57" t="s">
        <v>364</v>
      </c>
    </row>
    <row r="16" spans="1:4" ht="14.4">
      <c r="A16" s="139">
        <v>50000</v>
      </c>
      <c r="B16" s="213" t="s">
        <v>365</v>
      </c>
      <c r="C16" s="157">
        <f>A16-10000</f>
        <v>40000</v>
      </c>
      <c r="D16" s="57">
        <f>+A16/7.89</f>
        <v>6337.1356147021552</v>
      </c>
    </row>
    <row r="18" spans="1:4">
      <c r="A18" s="157">
        <f>C16</f>
        <v>40000</v>
      </c>
      <c r="B18" s="213" t="s">
        <v>366</v>
      </c>
      <c r="C18" s="157">
        <f>+A18*0.15/100</f>
        <v>60</v>
      </c>
    </row>
    <row r="19" spans="1:4">
      <c r="A19" s="57" t="s">
        <v>367</v>
      </c>
    </row>
    <row r="20" spans="1:4">
      <c r="A20" s="57" t="s">
        <v>368</v>
      </c>
      <c r="C20" s="157">
        <f>160+50</f>
        <v>210</v>
      </c>
    </row>
    <row r="21" spans="1:4">
      <c r="A21" s="57" t="s">
        <v>369</v>
      </c>
      <c r="C21" s="157">
        <v>75</v>
      </c>
    </row>
    <row r="22" spans="1:4">
      <c r="A22" s="57" t="s">
        <v>370</v>
      </c>
      <c r="C22" s="214">
        <v>0</v>
      </c>
    </row>
    <row r="23" spans="1:4" ht="13.8" thickBot="1">
      <c r="C23" s="215">
        <f>+C22+C21+C20+C18</f>
        <v>345</v>
      </c>
      <c r="D23" s="157"/>
    </row>
    <row r="24" spans="1:4" ht="13.8" thickTop="1">
      <c r="C24" s="157"/>
      <c r="D24" s="157"/>
    </row>
    <row r="26" spans="1:4">
      <c r="C26" s="157">
        <f>+C23+C11+(1.25)</f>
        <v>991.25</v>
      </c>
    </row>
    <row r="27" spans="1:4">
      <c r="C27" s="157"/>
    </row>
    <row r="28" spans="1:4">
      <c r="C28" s="157"/>
    </row>
  </sheetData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  <pageSetUpPr fitToPage="1"/>
  </sheetPr>
  <dimension ref="A1:G20"/>
  <sheetViews>
    <sheetView showGridLines="0" view="pageLayout" zoomScale="70" zoomScaleNormal="85" zoomScalePageLayoutView="70" workbookViewId="0">
      <selection activeCell="D15" sqref="D15"/>
    </sheetView>
  </sheetViews>
  <sheetFormatPr baseColWidth="10" defaultColWidth="11.44140625" defaultRowHeight="13.2"/>
  <cols>
    <col min="1" max="1" width="12.44140625" style="57" customWidth="1"/>
    <col min="2" max="2" width="27.109375" style="57" bestFit="1" customWidth="1"/>
    <col min="3" max="3" width="14.5546875" style="57" customWidth="1"/>
    <col min="4" max="4" width="42.5546875" style="57" customWidth="1"/>
    <col min="5" max="5" width="60.44140625" style="57" customWidth="1"/>
    <col min="6" max="6" width="9.33203125" style="57" customWidth="1"/>
    <col min="7" max="7" width="17" style="57" customWidth="1"/>
    <col min="8" max="16384" width="11.44140625" style="57"/>
  </cols>
  <sheetData>
    <row r="1" spans="1:7">
      <c r="A1" s="141"/>
      <c r="B1" s="142"/>
      <c r="C1" s="142"/>
      <c r="D1" s="143"/>
      <c r="E1" s="142"/>
      <c r="F1" s="144"/>
      <c r="G1" s="145"/>
    </row>
    <row r="2" spans="1:7" ht="15.6">
      <c r="A2" s="146"/>
      <c r="B2" s="147"/>
      <c r="C2" s="147"/>
      <c r="D2" s="143"/>
      <c r="E2" s="147"/>
      <c r="F2" s="148"/>
      <c r="G2" s="145"/>
    </row>
    <row r="3" spans="1:7" ht="14.4">
      <c r="A3" s="149"/>
      <c r="B3" s="147"/>
      <c r="C3" s="147"/>
      <c r="D3" s="143"/>
      <c r="E3" s="142"/>
      <c r="F3" s="144"/>
      <c r="G3" s="145"/>
    </row>
    <row r="4" spans="1:7">
      <c r="A4" s="141"/>
      <c r="B4" s="142"/>
      <c r="C4" s="142"/>
      <c r="D4" s="143"/>
      <c r="E4" s="142"/>
      <c r="F4" s="144"/>
      <c r="G4" s="145"/>
    </row>
    <row r="5" spans="1:7">
      <c r="A5" s="141"/>
      <c r="B5" s="142"/>
      <c r="C5" s="142"/>
      <c r="D5" s="143"/>
      <c r="E5" s="142"/>
      <c r="F5" s="144"/>
      <c r="G5" s="145"/>
    </row>
    <row r="6" spans="1:7">
      <c r="A6" s="141"/>
      <c r="B6" s="142"/>
      <c r="C6" s="142"/>
      <c r="D6" s="143"/>
      <c r="E6" s="142"/>
      <c r="F6" s="144"/>
      <c r="G6" s="145"/>
    </row>
    <row r="7" spans="1:7">
      <c r="A7" s="141"/>
      <c r="B7" s="142"/>
      <c r="C7" s="142"/>
      <c r="D7" s="143"/>
      <c r="E7" s="142"/>
      <c r="F7" s="144"/>
      <c r="G7" s="145"/>
    </row>
    <row r="8" spans="1:7" ht="14.4">
      <c r="A8" s="141"/>
      <c r="B8" s="142"/>
      <c r="C8" s="142"/>
      <c r="D8" s="143"/>
      <c r="E8" s="142"/>
      <c r="F8" s="277" t="s">
        <v>306</v>
      </c>
      <c r="G8" s="278" t="s">
        <v>307</v>
      </c>
    </row>
    <row r="9" spans="1:7" ht="20.25" customHeight="1">
      <c r="A9" s="248" t="s">
        <v>308</v>
      </c>
      <c r="B9" s="247" t="s">
        <v>309</v>
      </c>
      <c r="C9" s="247" t="s">
        <v>310</v>
      </c>
      <c r="D9" s="249" t="s">
        <v>311</v>
      </c>
      <c r="E9" s="247" t="s">
        <v>312</v>
      </c>
      <c r="F9" s="247" t="s">
        <v>313</v>
      </c>
      <c r="G9" s="247" t="s">
        <v>313</v>
      </c>
    </row>
    <row r="10" spans="1:7" ht="20.25" customHeight="1">
      <c r="A10" s="282"/>
      <c r="B10" s="283"/>
      <c r="C10" s="283"/>
      <c r="D10" s="284"/>
      <c r="E10" s="285"/>
      <c r="F10" s="148"/>
      <c r="G10" s="286">
        <f>'Detalle vehiculo'!G48</f>
        <v>36085.411</v>
      </c>
    </row>
    <row r="11" spans="1:7" ht="15.6">
      <c r="A11" s="282"/>
      <c r="B11" s="283"/>
      <c r="C11" s="283"/>
      <c r="D11" s="288"/>
      <c r="E11" s="289"/>
      <c r="F11" s="148"/>
      <c r="G11" s="290">
        <f>'Detalle vehiculo'!G46</f>
        <v>6914.5889999999999</v>
      </c>
    </row>
    <row r="12" spans="1:7" ht="14.4">
      <c r="A12" s="291"/>
      <c r="B12" s="287"/>
      <c r="C12" s="287"/>
      <c r="D12" s="288"/>
      <c r="E12" s="289"/>
      <c r="F12" s="148"/>
      <c r="G12" s="292"/>
    </row>
    <row r="13" spans="1:7" ht="14.4">
      <c r="A13" s="291"/>
      <c r="B13" s="287"/>
      <c r="C13" s="287"/>
      <c r="D13" s="288"/>
      <c r="E13" s="289"/>
      <c r="F13" s="148"/>
      <c r="G13" s="292"/>
    </row>
    <row r="14" spans="1:7" ht="14.4" thickBot="1">
      <c r="A14" s="291"/>
      <c r="B14" s="289"/>
      <c r="C14" s="289"/>
      <c r="D14" s="156"/>
      <c r="E14" s="156"/>
      <c r="F14" s="287"/>
      <c r="G14" s="293">
        <f>SUM(G10:G13)</f>
        <v>43000</v>
      </c>
    </row>
    <row r="15" spans="1:7" ht="14.4" thickTop="1">
      <c r="A15" s="152"/>
      <c r="B15" s="150"/>
      <c r="C15" s="150"/>
      <c r="D15" s="153"/>
      <c r="E15" s="153"/>
      <c r="F15" s="154"/>
      <c r="G15" s="155"/>
    </row>
    <row r="16" spans="1:7">
      <c r="A16" s="152"/>
      <c r="B16" s="151"/>
      <c r="C16" s="151"/>
      <c r="D16" s="335"/>
      <c r="E16" s="335"/>
      <c r="F16" s="154"/>
      <c r="G16" s="155"/>
    </row>
    <row r="17" spans="1:7">
      <c r="A17" s="152"/>
      <c r="B17" s="151"/>
      <c r="C17" s="151"/>
      <c r="D17" s="153"/>
      <c r="E17" s="156"/>
      <c r="F17" s="154"/>
      <c r="G17" s="175"/>
    </row>
    <row r="18" spans="1:7">
      <c r="A18" s="152"/>
      <c r="B18" s="151"/>
      <c r="C18" s="151"/>
      <c r="D18" s="153"/>
      <c r="E18" s="151"/>
      <c r="F18" s="154"/>
      <c r="G18" s="175"/>
    </row>
    <row r="19" spans="1:7">
      <c r="A19" s="152"/>
      <c r="B19" s="151"/>
      <c r="C19" s="151"/>
      <c r="D19" s="153"/>
      <c r="E19" s="153"/>
      <c r="F19" s="154"/>
      <c r="G19" s="155"/>
    </row>
    <row r="20" spans="1:7" ht="15.6">
      <c r="A20" s="336" t="s">
        <v>314</v>
      </c>
      <c r="B20" s="336"/>
      <c r="C20" s="336"/>
      <c r="D20" s="336"/>
      <c r="E20" s="336"/>
      <c r="F20" s="336"/>
      <c r="G20" s="336"/>
    </row>
  </sheetData>
  <mergeCells count="2">
    <mergeCell ref="D16:E16"/>
    <mergeCell ref="A20:G20"/>
  </mergeCells>
  <pageMargins left="0.47244094488188981" right="0.39370078740157483" top="1.1811023622047245" bottom="0.9055118110236221" header="0.47244094488188981" footer="0.31496062992125984"/>
  <pageSetup paperSize="5" scale="91" orientation="landscape" r:id="rId1"/>
  <headerFooter>
    <oddHeader>&amp;L&amp;G</oddHeader>
    <oddFooter>&amp;L&amp;G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4" tint="-0.249977111117893"/>
  </sheetPr>
  <dimension ref="A9:Z89"/>
  <sheetViews>
    <sheetView showGridLines="0" view="pageLayout" topLeftCell="A6" zoomScale="90" zoomScaleNormal="100" zoomScaleSheetLayoutView="100" zoomScalePageLayoutView="90" workbookViewId="0">
      <selection activeCell="C26" sqref="C26"/>
    </sheetView>
  </sheetViews>
  <sheetFormatPr baseColWidth="10" defaultColWidth="11.33203125" defaultRowHeight="13.2"/>
  <cols>
    <col min="1" max="1" width="5.88671875" style="173" bestFit="1" customWidth="1"/>
    <col min="2" max="2" width="4.33203125" style="57" hidden="1" customWidth="1"/>
    <col min="3" max="3" width="13.6640625" style="57" customWidth="1"/>
    <col min="4" max="4" width="3.5546875" style="57" customWidth="1"/>
    <col min="5" max="5" width="5.109375" style="57" customWidth="1"/>
    <col min="6" max="6" width="7" style="57" customWidth="1"/>
    <col min="7" max="7" width="2.6640625" style="57" hidden="1" customWidth="1"/>
    <col min="8" max="8" width="10.6640625" style="57" hidden="1" customWidth="1"/>
    <col min="9" max="9" width="5.109375" style="57" hidden="1" customWidth="1"/>
    <col min="10" max="10" width="9.88671875" style="57" hidden="1" customWidth="1"/>
    <col min="11" max="11" width="15.109375" style="57" customWidth="1"/>
    <col min="12" max="12" width="6" style="57" hidden="1" customWidth="1"/>
    <col min="13" max="13" width="9" style="57" hidden="1" customWidth="1"/>
    <col min="14" max="14" width="7.5546875" style="57" hidden="1" customWidth="1"/>
    <col min="15" max="15" width="12.109375" style="57" hidden="1" customWidth="1"/>
    <col min="16" max="16" width="4.33203125" style="57" hidden="1" customWidth="1"/>
    <col min="17" max="17" width="4.33203125" style="57" customWidth="1"/>
    <col min="18" max="18" width="10.6640625" style="57" customWidth="1"/>
    <col min="19" max="19" width="12.6640625" style="57" customWidth="1"/>
    <col min="20" max="20" width="10.6640625" style="57" customWidth="1"/>
    <col min="21" max="22" width="4.33203125" style="57" customWidth="1"/>
    <col min="23" max="23" width="7" style="57" customWidth="1"/>
    <col min="24" max="26" width="4.33203125" style="57" customWidth="1"/>
    <col min="27" max="225" width="11.33203125" style="57"/>
    <col min="226" max="226" width="4.33203125" style="57" customWidth="1"/>
    <col min="227" max="227" width="3.5546875" style="57" customWidth="1"/>
    <col min="228" max="228" width="5.109375" style="57" customWidth="1"/>
    <col min="229" max="229" width="4.33203125" style="57" customWidth="1"/>
    <col min="230" max="233" width="0" style="57" hidden="1" customWidth="1"/>
    <col min="234" max="234" width="6.6640625" style="57" customWidth="1"/>
    <col min="235" max="235" width="6" style="57" customWidth="1"/>
    <col min="236" max="238" width="0" style="57" hidden="1" customWidth="1"/>
    <col min="239" max="241" width="4.33203125" style="57" customWidth="1"/>
    <col min="242" max="242" width="12.6640625" style="57" bestFit="1" customWidth="1"/>
    <col min="243" max="243" width="10.6640625" style="57" bestFit="1" customWidth="1"/>
    <col min="244" max="250" width="4.33203125" style="57" customWidth="1"/>
    <col min="251" max="253" width="11.6640625" style="57" bestFit="1" customWidth="1"/>
    <col min="254" max="481" width="11.33203125" style="57"/>
    <col min="482" max="482" width="4.33203125" style="57" customWidth="1"/>
    <col min="483" max="483" width="3.5546875" style="57" customWidth="1"/>
    <col min="484" max="484" width="5.109375" style="57" customWidth="1"/>
    <col min="485" max="485" width="4.33203125" style="57" customWidth="1"/>
    <col min="486" max="489" width="0" style="57" hidden="1" customWidth="1"/>
    <col min="490" max="490" width="6.6640625" style="57" customWidth="1"/>
    <col min="491" max="491" width="6" style="57" customWidth="1"/>
    <col min="492" max="494" width="0" style="57" hidden="1" customWidth="1"/>
    <col min="495" max="497" width="4.33203125" style="57" customWidth="1"/>
    <col min="498" max="498" width="12.6640625" style="57" bestFit="1" customWidth="1"/>
    <col min="499" max="499" width="10.6640625" style="57" bestFit="1" customWidth="1"/>
    <col min="500" max="506" width="4.33203125" style="57" customWidth="1"/>
    <col min="507" max="509" width="11.6640625" style="57" bestFit="1" customWidth="1"/>
    <col min="510" max="737" width="11.33203125" style="57"/>
    <col min="738" max="738" width="4.33203125" style="57" customWidth="1"/>
    <col min="739" max="739" width="3.5546875" style="57" customWidth="1"/>
    <col min="740" max="740" width="5.109375" style="57" customWidth="1"/>
    <col min="741" max="741" width="4.33203125" style="57" customWidth="1"/>
    <col min="742" max="745" width="0" style="57" hidden="1" customWidth="1"/>
    <col min="746" max="746" width="6.6640625" style="57" customWidth="1"/>
    <col min="747" max="747" width="6" style="57" customWidth="1"/>
    <col min="748" max="750" width="0" style="57" hidden="1" customWidth="1"/>
    <col min="751" max="753" width="4.33203125" style="57" customWidth="1"/>
    <col min="754" max="754" width="12.6640625" style="57" bestFit="1" customWidth="1"/>
    <col min="755" max="755" width="10.6640625" style="57" bestFit="1" customWidth="1"/>
    <col min="756" max="762" width="4.33203125" style="57" customWidth="1"/>
    <col min="763" max="765" width="11.6640625" style="57" bestFit="1" customWidth="1"/>
    <col min="766" max="993" width="11.33203125" style="57"/>
    <col min="994" max="994" width="4.33203125" style="57" customWidth="1"/>
    <col min="995" max="995" width="3.5546875" style="57" customWidth="1"/>
    <col min="996" max="996" width="5.109375" style="57" customWidth="1"/>
    <col min="997" max="997" width="4.33203125" style="57" customWidth="1"/>
    <col min="998" max="1001" width="0" style="57" hidden="1" customWidth="1"/>
    <col min="1002" max="1002" width="6.6640625" style="57" customWidth="1"/>
    <col min="1003" max="1003" width="6" style="57" customWidth="1"/>
    <col min="1004" max="1006" width="0" style="57" hidden="1" customWidth="1"/>
    <col min="1007" max="1009" width="4.33203125" style="57" customWidth="1"/>
    <col min="1010" max="1010" width="12.6640625" style="57" bestFit="1" customWidth="1"/>
    <col min="1011" max="1011" width="10.6640625" style="57" bestFit="1" customWidth="1"/>
    <col min="1012" max="1018" width="4.33203125" style="57" customWidth="1"/>
    <col min="1019" max="1021" width="11.6640625" style="57" bestFit="1" customWidth="1"/>
    <col min="1022" max="1249" width="11.33203125" style="57"/>
    <col min="1250" max="1250" width="4.33203125" style="57" customWidth="1"/>
    <col min="1251" max="1251" width="3.5546875" style="57" customWidth="1"/>
    <col min="1252" max="1252" width="5.109375" style="57" customWidth="1"/>
    <col min="1253" max="1253" width="4.33203125" style="57" customWidth="1"/>
    <col min="1254" max="1257" width="0" style="57" hidden="1" customWidth="1"/>
    <col min="1258" max="1258" width="6.6640625" style="57" customWidth="1"/>
    <col min="1259" max="1259" width="6" style="57" customWidth="1"/>
    <col min="1260" max="1262" width="0" style="57" hidden="1" customWidth="1"/>
    <col min="1263" max="1265" width="4.33203125" style="57" customWidth="1"/>
    <col min="1266" max="1266" width="12.6640625" style="57" bestFit="1" customWidth="1"/>
    <col min="1267" max="1267" width="10.6640625" style="57" bestFit="1" customWidth="1"/>
    <col min="1268" max="1274" width="4.33203125" style="57" customWidth="1"/>
    <col min="1275" max="1277" width="11.6640625" style="57" bestFit="1" customWidth="1"/>
    <col min="1278" max="1505" width="11.33203125" style="57"/>
    <col min="1506" max="1506" width="4.33203125" style="57" customWidth="1"/>
    <col min="1507" max="1507" width="3.5546875" style="57" customWidth="1"/>
    <col min="1508" max="1508" width="5.109375" style="57" customWidth="1"/>
    <col min="1509" max="1509" width="4.33203125" style="57" customWidth="1"/>
    <col min="1510" max="1513" width="0" style="57" hidden="1" customWidth="1"/>
    <col min="1514" max="1514" width="6.6640625" style="57" customWidth="1"/>
    <col min="1515" max="1515" width="6" style="57" customWidth="1"/>
    <col min="1516" max="1518" width="0" style="57" hidden="1" customWidth="1"/>
    <col min="1519" max="1521" width="4.33203125" style="57" customWidth="1"/>
    <col min="1522" max="1522" width="12.6640625" style="57" bestFit="1" customWidth="1"/>
    <col min="1523" max="1523" width="10.6640625" style="57" bestFit="1" customWidth="1"/>
    <col min="1524" max="1530" width="4.33203125" style="57" customWidth="1"/>
    <col min="1531" max="1533" width="11.6640625" style="57" bestFit="1" customWidth="1"/>
    <col min="1534" max="1761" width="11.33203125" style="57"/>
    <col min="1762" max="1762" width="4.33203125" style="57" customWidth="1"/>
    <col min="1763" max="1763" width="3.5546875" style="57" customWidth="1"/>
    <col min="1764" max="1764" width="5.109375" style="57" customWidth="1"/>
    <col min="1765" max="1765" width="4.33203125" style="57" customWidth="1"/>
    <col min="1766" max="1769" width="0" style="57" hidden="1" customWidth="1"/>
    <col min="1770" max="1770" width="6.6640625" style="57" customWidth="1"/>
    <col min="1771" max="1771" width="6" style="57" customWidth="1"/>
    <col min="1772" max="1774" width="0" style="57" hidden="1" customWidth="1"/>
    <col min="1775" max="1777" width="4.33203125" style="57" customWidth="1"/>
    <col min="1778" max="1778" width="12.6640625" style="57" bestFit="1" customWidth="1"/>
    <col min="1779" max="1779" width="10.6640625" style="57" bestFit="1" customWidth="1"/>
    <col min="1780" max="1786" width="4.33203125" style="57" customWidth="1"/>
    <col min="1787" max="1789" width="11.6640625" style="57" bestFit="1" customWidth="1"/>
    <col min="1790" max="2017" width="11.33203125" style="57"/>
    <col min="2018" max="2018" width="4.33203125" style="57" customWidth="1"/>
    <col min="2019" max="2019" width="3.5546875" style="57" customWidth="1"/>
    <col min="2020" max="2020" width="5.109375" style="57" customWidth="1"/>
    <col min="2021" max="2021" width="4.33203125" style="57" customWidth="1"/>
    <col min="2022" max="2025" width="0" style="57" hidden="1" customWidth="1"/>
    <col min="2026" max="2026" width="6.6640625" style="57" customWidth="1"/>
    <col min="2027" max="2027" width="6" style="57" customWidth="1"/>
    <col min="2028" max="2030" width="0" style="57" hidden="1" customWidth="1"/>
    <col min="2031" max="2033" width="4.33203125" style="57" customWidth="1"/>
    <col min="2034" max="2034" width="12.6640625" style="57" bestFit="1" customWidth="1"/>
    <col min="2035" max="2035" width="10.6640625" style="57" bestFit="1" customWidth="1"/>
    <col min="2036" max="2042" width="4.33203125" style="57" customWidth="1"/>
    <col min="2043" max="2045" width="11.6640625" style="57" bestFit="1" customWidth="1"/>
    <col min="2046" max="2273" width="11.33203125" style="57"/>
    <col min="2274" max="2274" width="4.33203125" style="57" customWidth="1"/>
    <col min="2275" max="2275" width="3.5546875" style="57" customWidth="1"/>
    <col min="2276" max="2276" width="5.109375" style="57" customWidth="1"/>
    <col min="2277" max="2277" width="4.33203125" style="57" customWidth="1"/>
    <col min="2278" max="2281" width="0" style="57" hidden="1" customWidth="1"/>
    <col min="2282" max="2282" width="6.6640625" style="57" customWidth="1"/>
    <col min="2283" max="2283" width="6" style="57" customWidth="1"/>
    <col min="2284" max="2286" width="0" style="57" hidden="1" customWidth="1"/>
    <col min="2287" max="2289" width="4.33203125" style="57" customWidth="1"/>
    <col min="2290" max="2290" width="12.6640625" style="57" bestFit="1" customWidth="1"/>
    <col min="2291" max="2291" width="10.6640625" style="57" bestFit="1" customWidth="1"/>
    <col min="2292" max="2298" width="4.33203125" style="57" customWidth="1"/>
    <col min="2299" max="2301" width="11.6640625" style="57" bestFit="1" customWidth="1"/>
    <col min="2302" max="2529" width="11.33203125" style="57"/>
    <col min="2530" max="2530" width="4.33203125" style="57" customWidth="1"/>
    <col min="2531" max="2531" width="3.5546875" style="57" customWidth="1"/>
    <col min="2532" max="2532" width="5.109375" style="57" customWidth="1"/>
    <col min="2533" max="2533" width="4.33203125" style="57" customWidth="1"/>
    <col min="2534" max="2537" width="0" style="57" hidden="1" customWidth="1"/>
    <col min="2538" max="2538" width="6.6640625" style="57" customWidth="1"/>
    <col min="2539" max="2539" width="6" style="57" customWidth="1"/>
    <col min="2540" max="2542" width="0" style="57" hidden="1" customWidth="1"/>
    <col min="2543" max="2545" width="4.33203125" style="57" customWidth="1"/>
    <col min="2546" max="2546" width="12.6640625" style="57" bestFit="1" customWidth="1"/>
    <col min="2547" max="2547" width="10.6640625" style="57" bestFit="1" customWidth="1"/>
    <col min="2548" max="2554" width="4.33203125" style="57" customWidth="1"/>
    <col min="2555" max="2557" width="11.6640625" style="57" bestFit="1" customWidth="1"/>
    <col min="2558" max="2785" width="11.33203125" style="57"/>
    <col min="2786" max="2786" width="4.33203125" style="57" customWidth="1"/>
    <col min="2787" max="2787" width="3.5546875" style="57" customWidth="1"/>
    <col min="2788" max="2788" width="5.109375" style="57" customWidth="1"/>
    <col min="2789" max="2789" width="4.33203125" style="57" customWidth="1"/>
    <col min="2790" max="2793" width="0" style="57" hidden="1" customWidth="1"/>
    <col min="2794" max="2794" width="6.6640625" style="57" customWidth="1"/>
    <col min="2795" max="2795" width="6" style="57" customWidth="1"/>
    <col min="2796" max="2798" width="0" style="57" hidden="1" customWidth="1"/>
    <col min="2799" max="2801" width="4.33203125" style="57" customWidth="1"/>
    <col min="2802" max="2802" width="12.6640625" style="57" bestFit="1" customWidth="1"/>
    <col min="2803" max="2803" width="10.6640625" style="57" bestFit="1" customWidth="1"/>
    <col min="2804" max="2810" width="4.33203125" style="57" customWidth="1"/>
    <col min="2811" max="2813" width="11.6640625" style="57" bestFit="1" customWidth="1"/>
    <col min="2814" max="3041" width="11.33203125" style="57"/>
    <col min="3042" max="3042" width="4.33203125" style="57" customWidth="1"/>
    <col min="3043" max="3043" width="3.5546875" style="57" customWidth="1"/>
    <col min="3044" max="3044" width="5.109375" style="57" customWidth="1"/>
    <col min="3045" max="3045" width="4.33203125" style="57" customWidth="1"/>
    <col min="3046" max="3049" width="0" style="57" hidden="1" customWidth="1"/>
    <col min="3050" max="3050" width="6.6640625" style="57" customWidth="1"/>
    <col min="3051" max="3051" width="6" style="57" customWidth="1"/>
    <col min="3052" max="3054" width="0" style="57" hidden="1" customWidth="1"/>
    <col min="3055" max="3057" width="4.33203125" style="57" customWidth="1"/>
    <col min="3058" max="3058" width="12.6640625" style="57" bestFit="1" customWidth="1"/>
    <col min="3059" max="3059" width="10.6640625" style="57" bestFit="1" customWidth="1"/>
    <col min="3060" max="3066" width="4.33203125" style="57" customWidth="1"/>
    <col min="3067" max="3069" width="11.6640625" style="57" bestFit="1" customWidth="1"/>
    <col min="3070" max="3297" width="11.33203125" style="57"/>
    <col min="3298" max="3298" width="4.33203125" style="57" customWidth="1"/>
    <col min="3299" max="3299" width="3.5546875" style="57" customWidth="1"/>
    <col min="3300" max="3300" width="5.109375" style="57" customWidth="1"/>
    <col min="3301" max="3301" width="4.33203125" style="57" customWidth="1"/>
    <col min="3302" max="3305" width="0" style="57" hidden="1" customWidth="1"/>
    <col min="3306" max="3306" width="6.6640625" style="57" customWidth="1"/>
    <col min="3307" max="3307" width="6" style="57" customWidth="1"/>
    <col min="3308" max="3310" width="0" style="57" hidden="1" customWidth="1"/>
    <col min="3311" max="3313" width="4.33203125" style="57" customWidth="1"/>
    <col min="3314" max="3314" width="12.6640625" style="57" bestFit="1" customWidth="1"/>
    <col min="3315" max="3315" width="10.6640625" style="57" bestFit="1" customWidth="1"/>
    <col min="3316" max="3322" width="4.33203125" style="57" customWidth="1"/>
    <col min="3323" max="3325" width="11.6640625" style="57" bestFit="1" customWidth="1"/>
    <col min="3326" max="3553" width="11.33203125" style="57"/>
    <col min="3554" max="3554" width="4.33203125" style="57" customWidth="1"/>
    <col min="3555" max="3555" width="3.5546875" style="57" customWidth="1"/>
    <col min="3556" max="3556" width="5.109375" style="57" customWidth="1"/>
    <col min="3557" max="3557" width="4.33203125" style="57" customWidth="1"/>
    <col min="3558" max="3561" width="0" style="57" hidden="1" customWidth="1"/>
    <col min="3562" max="3562" width="6.6640625" style="57" customWidth="1"/>
    <col min="3563" max="3563" width="6" style="57" customWidth="1"/>
    <col min="3564" max="3566" width="0" style="57" hidden="1" customWidth="1"/>
    <col min="3567" max="3569" width="4.33203125" style="57" customWidth="1"/>
    <col min="3570" max="3570" width="12.6640625" style="57" bestFit="1" customWidth="1"/>
    <col min="3571" max="3571" width="10.6640625" style="57" bestFit="1" customWidth="1"/>
    <col min="3572" max="3578" width="4.33203125" style="57" customWidth="1"/>
    <col min="3579" max="3581" width="11.6640625" style="57" bestFit="1" customWidth="1"/>
    <col min="3582" max="3809" width="11.33203125" style="57"/>
    <col min="3810" max="3810" width="4.33203125" style="57" customWidth="1"/>
    <col min="3811" max="3811" width="3.5546875" style="57" customWidth="1"/>
    <col min="3812" max="3812" width="5.109375" style="57" customWidth="1"/>
    <col min="3813" max="3813" width="4.33203125" style="57" customWidth="1"/>
    <col min="3814" max="3817" width="0" style="57" hidden="1" customWidth="1"/>
    <col min="3818" max="3818" width="6.6640625" style="57" customWidth="1"/>
    <col min="3819" max="3819" width="6" style="57" customWidth="1"/>
    <col min="3820" max="3822" width="0" style="57" hidden="1" customWidth="1"/>
    <col min="3823" max="3825" width="4.33203125" style="57" customWidth="1"/>
    <col min="3826" max="3826" width="12.6640625" style="57" bestFit="1" customWidth="1"/>
    <col min="3827" max="3827" width="10.6640625" style="57" bestFit="1" customWidth="1"/>
    <col min="3828" max="3834" width="4.33203125" style="57" customWidth="1"/>
    <col min="3835" max="3837" width="11.6640625" style="57" bestFit="1" customWidth="1"/>
    <col min="3838" max="4065" width="11.33203125" style="57"/>
    <col min="4066" max="4066" width="4.33203125" style="57" customWidth="1"/>
    <col min="4067" max="4067" width="3.5546875" style="57" customWidth="1"/>
    <col min="4068" max="4068" width="5.109375" style="57" customWidth="1"/>
    <col min="4069" max="4069" width="4.33203125" style="57" customWidth="1"/>
    <col min="4070" max="4073" width="0" style="57" hidden="1" customWidth="1"/>
    <col min="4074" max="4074" width="6.6640625" style="57" customWidth="1"/>
    <col min="4075" max="4075" width="6" style="57" customWidth="1"/>
    <col min="4076" max="4078" width="0" style="57" hidden="1" customWidth="1"/>
    <col min="4079" max="4081" width="4.33203125" style="57" customWidth="1"/>
    <col min="4082" max="4082" width="12.6640625" style="57" bestFit="1" customWidth="1"/>
    <col min="4083" max="4083" width="10.6640625" style="57" bestFit="1" customWidth="1"/>
    <col min="4084" max="4090" width="4.33203125" style="57" customWidth="1"/>
    <col min="4091" max="4093" width="11.6640625" style="57" bestFit="1" customWidth="1"/>
    <col min="4094" max="4321" width="11.33203125" style="57"/>
    <col min="4322" max="4322" width="4.33203125" style="57" customWidth="1"/>
    <col min="4323" max="4323" width="3.5546875" style="57" customWidth="1"/>
    <col min="4324" max="4324" width="5.109375" style="57" customWidth="1"/>
    <col min="4325" max="4325" width="4.33203125" style="57" customWidth="1"/>
    <col min="4326" max="4329" width="0" style="57" hidden="1" customWidth="1"/>
    <col min="4330" max="4330" width="6.6640625" style="57" customWidth="1"/>
    <col min="4331" max="4331" width="6" style="57" customWidth="1"/>
    <col min="4332" max="4334" width="0" style="57" hidden="1" customWidth="1"/>
    <col min="4335" max="4337" width="4.33203125" style="57" customWidth="1"/>
    <col min="4338" max="4338" width="12.6640625" style="57" bestFit="1" customWidth="1"/>
    <col min="4339" max="4339" width="10.6640625" style="57" bestFit="1" customWidth="1"/>
    <col min="4340" max="4346" width="4.33203125" style="57" customWidth="1"/>
    <col min="4347" max="4349" width="11.6640625" style="57" bestFit="1" customWidth="1"/>
    <col min="4350" max="4577" width="11.33203125" style="57"/>
    <col min="4578" max="4578" width="4.33203125" style="57" customWidth="1"/>
    <col min="4579" max="4579" width="3.5546875" style="57" customWidth="1"/>
    <col min="4580" max="4580" width="5.109375" style="57" customWidth="1"/>
    <col min="4581" max="4581" width="4.33203125" style="57" customWidth="1"/>
    <col min="4582" max="4585" width="0" style="57" hidden="1" customWidth="1"/>
    <col min="4586" max="4586" width="6.6640625" style="57" customWidth="1"/>
    <col min="4587" max="4587" width="6" style="57" customWidth="1"/>
    <col min="4588" max="4590" width="0" style="57" hidden="1" customWidth="1"/>
    <col min="4591" max="4593" width="4.33203125" style="57" customWidth="1"/>
    <col min="4594" max="4594" width="12.6640625" style="57" bestFit="1" customWidth="1"/>
    <col min="4595" max="4595" width="10.6640625" style="57" bestFit="1" customWidth="1"/>
    <col min="4596" max="4602" width="4.33203125" style="57" customWidth="1"/>
    <col min="4603" max="4605" width="11.6640625" style="57" bestFit="1" customWidth="1"/>
    <col min="4606" max="4833" width="11.33203125" style="57"/>
    <col min="4834" max="4834" width="4.33203125" style="57" customWidth="1"/>
    <col min="4835" max="4835" width="3.5546875" style="57" customWidth="1"/>
    <col min="4836" max="4836" width="5.109375" style="57" customWidth="1"/>
    <col min="4837" max="4837" width="4.33203125" style="57" customWidth="1"/>
    <col min="4838" max="4841" width="0" style="57" hidden="1" customWidth="1"/>
    <col min="4842" max="4842" width="6.6640625" style="57" customWidth="1"/>
    <col min="4843" max="4843" width="6" style="57" customWidth="1"/>
    <col min="4844" max="4846" width="0" style="57" hidden="1" customWidth="1"/>
    <col min="4847" max="4849" width="4.33203125" style="57" customWidth="1"/>
    <col min="4850" max="4850" width="12.6640625" style="57" bestFit="1" customWidth="1"/>
    <col min="4851" max="4851" width="10.6640625" style="57" bestFit="1" customWidth="1"/>
    <col min="4852" max="4858" width="4.33203125" style="57" customWidth="1"/>
    <col min="4859" max="4861" width="11.6640625" style="57" bestFit="1" customWidth="1"/>
    <col min="4862" max="5089" width="11.33203125" style="57"/>
    <col min="5090" max="5090" width="4.33203125" style="57" customWidth="1"/>
    <col min="5091" max="5091" width="3.5546875" style="57" customWidth="1"/>
    <col min="5092" max="5092" width="5.109375" style="57" customWidth="1"/>
    <col min="5093" max="5093" width="4.33203125" style="57" customWidth="1"/>
    <col min="5094" max="5097" width="0" style="57" hidden="1" customWidth="1"/>
    <col min="5098" max="5098" width="6.6640625" style="57" customWidth="1"/>
    <col min="5099" max="5099" width="6" style="57" customWidth="1"/>
    <col min="5100" max="5102" width="0" style="57" hidden="1" customWidth="1"/>
    <col min="5103" max="5105" width="4.33203125" style="57" customWidth="1"/>
    <col min="5106" max="5106" width="12.6640625" style="57" bestFit="1" customWidth="1"/>
    <col min="5107" max="5107" width="10.6640625" style="57" bestFit="1" customWidth="1"/>
    <col min="5108" max="5114" width="4.33203125" style="57" customWidth="1"/>
    <col min="5115" max="5117" width="11.6640625" style="57" bestFit="1" customWidth="1"/>
    <col min="5118" max="5345" width="11.33203125" style="57"/>
    <col min="5346" max="5346" width="4.33203125" style="57" customWidth="1"/>
    <col min="5347" max="5347" width="3.5546875" style="57" customWidth="1"/>
    <col min="5348" max="5348" width="5.109375" style="57" customWidth="1"/>
    <col min="5349" max="5349" width="4.33203125" style="57" customWidth="1"/>
    <col min="5350" max="5353" width="0" style="57" hidden="1" customWidth="1"/>
    <col min="5354" max="5354" width="6.6640625" style="57" customWidth="1"/>
    <col min="5355" max="5355" width="6" style="57" customWidth="1"/>
    <col min="5356" max="5358" width="0" style="57" hidden="1" customWidth="1"/>
    <col min="5359" max="5361" width="4.33203125" style="57" customWidth="1"/>
    <col min="5362" max="5362" width="12.6640625" style="57" bestFit="1" customWidth="1"/>
    <col min="5363" max="5363" width="10.6640625" style="57" bestFit="1" customWidth="1"/>
    <col min="5364" max="5370" width="4.33203125" style="57" customWidth="1"/>
    <col min="5371" max="5373" width="11.6640625" style="57" bestFit="1" customWidth="1"/>
    <col min="5374" max="5601" width="11.33203125" style="57"/>
    <col min="5602" max="5602" width="4.33203125" style="57" customWidth="1"/>
    <col min="5603" max="5603" width="3.5546875" style="57" customWidth="1"/>
    <col min="5604" max="5604" width="5.109375" style="57" customWidth="1"/>
    <col min="5605" max="5605" width="4.33203125" style="57" customWidth="1"/>
    <col min="5606" max="5609" width="0" style="57" hidden="1" customWidth="1"/>
    <col min="5610" max="5610" width="6.6640625" style="57" customWidth="1"/>
    <col min="5611" max="5611" width="6" style="57" customWidth="1"/>
    <col min="5612" max="5614" width="0" style="57" hidden="1" customWidth="1"/>
    <col min="5615" max="5617" width="4.33203125" style="57" customWidth="1"/>
    <col min="5618" max="5618" width="12.6640625" style="57" bestFit="1" customWidth="1"/>
    <col min="5619" max="5619" width="10.6640625" style="57" bestFit="1" customWidth="1"/>
    <col min="5620" max="5626" width="4.33203125" style="57" customWidth="1"/>
    <col min="5627" max="5629" width="11.6640625" style="57" bestFit="1" customWidth="1"/>
    <col min="5630" max="5857" width="11.33203125" style="57"/>
    <col min="5858" max="5858" width="4.33203125" style="57" customWidth="1"/>
    <col min="5859" max="5859" width="3.5546875" style="57" customWidth="1"/>
    <col min="5860" max="5860" width="5.109375" style="57" customWidth="1"/>
    <col min="5861" max="5861" width="4.33203125" style="57" customWidth="1"/>
    <col min="5862" max="5865" width="0" style="57" hidden="1" customWidth="1"/>
    <col min="5866" max="5866" width="6.6640625" style="57" customWidth="1"/>
    <col min="5867" max="5867" width="6" style="57" customWidth="1"/>
    <col min="5868" max="5870" width="0" style="57" hidden="1" customWidth="1"/>
    <col min="5871" max="5873" width="4.33203125" style="57" customWidth="1"/>
    <col min="5874" max="5874" width="12.6640625" style="57" bestFit="1" customWidth="1"/>
    <col min="5875" max="5875" width="10.6640625" style="57" bestFit="1" customWidth="1"/>
    <col min="5876" max="5882" width="4.33203125" style="57" customWidth="1"/>
    <col min="5883" max="5885" width="11.6640625" style="57" bestFit="1" customWidth="1"/>
    <col min="5886" max="6113" width="11.33203125" style="57"/>
    <col min="6114" max="6114" width="4.33203125" style="57" customWidth="1"/>
    <col min="6115" max="6115" width="3.5546875" style="57" customWidth="1"/>
    <col min="6116" max="6116" width="5.109375" style="57" customWidth="1"/>
    <col min="6117" max="6117" width="4.33203125" style="57" customWidth="1"/>
    <col min="6118" max="6121" width="0" style="57" hidden="1" customWidth="1"/>
    <col min="6122" max="6122" width="6.6640625" style="57" customWidth="1"/>
    <col min="6123" max="6123" width="6" style="57" customWidth="1"/>
    <col min="6124" max="6126" width="0" style="57" hidden="1" customWidth="1"/>
    <col min="6127" max="6129" width="4.33203125" style="57" customWidth="1"/>
    <col min="6130" max="6130" width="12.6640625" style="57" bestFit="1" customWidth="1"/>
    <col min="6131" max="6131" width="10.6640625" style="57" bestFit="1" customWidth="1"/>
    <col min="6132" max="6138" width="4.33203125" style="57" customWidth="1"/>
    <col min="6139" max="6141" width="11.6640625" style="57" bestFit="1" customWidth="1"/>
    <col min="6142" max="6369" width="11.33203125" style="57"/>
    <col min="6370" max="6370" width="4.33203125" style="57" customWidth="1"/>
    <col min="6371" max="6371" width="3.5546875" style="57" customWidth="1"/>
    <col min="6372" max="6372" width="5.109375" style="57" customWidth="1"/>
    <col min="6373" max="6373" width="4.33203125" style="57" customWidth="1"/>
    <col min="6374" max="6377" width="0" style="57" hidden="1" customWidth="1"/>
    <col min="6378" max="6378" width="6.6640625" style="57" customWidth="1"/>
    <col min="6379" max="6379" width="6" style="57" customWidth="1"/>
    <col min="6380" max="6382" width="0" style="57" hidden="1" customWidth="1"/>
    <col min="6383" max="6385" width="4.33203125" style="57" customWidth="1"/>
    <col min="6386" max="6386" width="12.6640625" style="57" bestFit="1" customWidth="1"/>
    <col min="6387" max="6387" width="10.6640625" style="57" bestFit="1" customWidth="1"/>
    <col min="6388" max="6394" width="4.33203125" style="57" customWidth="1"/>
    <col min="6395" max="6397" width="11.6640625" style="57" bestFit="1" customWidth="1"/>
    <col min="6398" max="6625" width="11.33203125" style="57"/>
    <col min="6626" max="6626" width="4.33203125" style="57" customWidth="1"/>
    <col min="6627" max="6627" width="3.5546875" style="57" customWidth="1"/>
    <col min="6628" max="6628" width="5.109375" style="57" customWidth="1"/>
    <col min="6629" max="6629" width="4.33203125" style="57" customWidth="1"/>
    <col min="6630" max="6633" width="0" style="57" hidden="1" customWidth="1"/>
    <col min="6634" max="6634" width="6.6640625" style="57" customWidth="1"/>
    <col min="6635" max="6635" width="6" style="57" customWidth="1"/>
    <col min="6636" max="6638" width="0" style="57" hidden="1" customWidth="1"/>
    <col min="6639" max="6641" width="4.33203125" style="57" customWidth="1"/>
    <col min="6642" max="6642" width="12.6640625" style="57" bestFit="1" customWidth="1"/>
    <col min="6643" max="6643" width="10.6640625" style="57" bestFit="1" customWidth="1"/>
    <col min="6644" max="6650" width="4.33203125" style="57" customWidth="1"/>
    <col min="6651" max="6653" width="11.6640625" style="57" bestFit="1" customWidth="1"/>
    <col min="6654" max="6881" width="11.33203125" style="57"/>
    <col min="6882" max="6882" width="4.33203125" style="57" customWidth="1"/>
    <col min="6883" max="6883" width="3.5546875" style="57" customWidth="1"/>
    <col min="6884" max="6884" width="5.109375" style="57" customWidth="1"/>
    <col min="6885" max="6885" width="4.33203125" style="57" customWidth="1"/>
    <col min="6886" max="6889" width="0" style="57" hidden="1" customWidth="1"/>
    <col min="6890" max="6890" width="6.6640625" style="57" customWidth="1"/>
    <col min="6891" max="6891" width="6" style="57" customWidth="1"/>
    <col min="6892" max="6894" width="0" style="57" hidden="1" customWidth="1"/>
    <col min="6895" max="6897" width="4.33203125" style="57" customWidth="1"/>
    <col min="6898" max="6898" width="12.6640625" style="57" bestFit="1" customWidth="1"/>
    <col min="6899" max="6899" width="10.6640625" style="57" bestFit="1" customWidth="1"/>
    <col min="6900" max="6906" width="4.33203125" style="57" customWidth="1"/>
    <col min="6907" max="6909" width="11.6640625" style="57" bestFit="1" customWidth="1"/>
    <col min="6910" max="7137" width="11.33203125" style="57"/>
    <col min="7138" max="7138" width="4.33203125" style="57" customWidth="1"/>
    <col min="7139" max="7139" width="3.5546875" style="57" customWidth="1"/>
    <col min="7140" max="7140" width="5.109375" style="57" customWidth="1"/>
    <col min="7141" max="7141" width="4.33203125" style="57" customWidth="1"/>
    <col min="7142" max="7145" width="0" style="57" hidden="1" customWidth="1"/>
    <col min="7146" max="7146" width="6.6640625" style="57" customWidth="1"/>
    <col min="7147" max="7147" width="6" style="57" customWidth="1"/>
    <col min="7148" max="7150" width="0" style="57" hidden="1" customWidth="1"/>
    <col min="7151" max="7153" width="4.33203125" style="57" customWidth="1"/>
    <col min="7154" max="7154" width="12.6640625" style="57" bestFit="1" customWidth="1"/>
    <col min="7155" max="7155" width="10.6640625" style="57" bestFit="1" customWidth="1"/>
    <col min="7156" max="7162" width="4.33203125" style="57" customWidth="1"/>
    <col min="7163" max="7165" width="11.6640625" style="57" bestFit="1" customWidth="1"/>
    <col min="7166" max="7393" width="11.33203125" style="57"/>
    <col min="7394" max="7394" width="4.33203125" style="57" customWidth="1"/>
    <col min="7395" max="7395" width="3.5546875" style="57" customWidth="1"/>
    <col min="7396" max="7396" width="5.109375" style="57" customWidth="1"/>
    <col min="7397" max="7397" width="4.33203125" style="57" customWidth="1"/>
    <col min="7398" max="7401" width="0" style="57" hidden="1" customWidth="1"/>
    <col min="7402" max="7402" width="6.6640625" style="57" customWidth="1"/>
    <col min="7403" max="7403" width="6" style="57" customWidth="1"/>
    <col min="7404" max="7406" width="0" style="57" hidden="1" customWidth="1"/>
    <col min="7407" max="7409" width="4.33203125" style="57" customWidth="1"/>
    <col min="7410" max="7410" width="12.6640625" style="57" bestFit="1" customWidth="1"/>
    <col min="7411" max="7411" width="10.6640625" style="57" bestFit="1" customWidth="1"/>
    <col min="7412" max="7418" width="4.33203125" style="57" customWidth="1"/>
    <col min="7419" max="7421" width="11.6640625" style="57" bestFit="1" customWidth="1"/>
    <col min="7422" max="7649" width="11.33203125" style="57"/>
    <col min="7650" max="7650" width="4.33203125" style="57" customWidth="1"/>
    <col min="7651" max="7651" width="3.5546875" style="57" customWidth="1"/>
    <col min="7652" max="7652" width="5.109375" style="57" customWidth="1"/>
    <col min="7653" max="7653" width="4.33203125" style="57" customWidth="1"/>
    <col min="7654" max="7657" width="0" style="57" hidden="1" customWidth="1"/>
    <col min="7658" max="7658" width="6.6640625" style="57" customWidth="1"/>
    <col min="7659" max="7659" width="6" style="57" customWidth="1"/>
    <col min="7660" max="7662" width="0" style="57" hidden="1" customWidth="1"/>
    <col min="7663" max="7665" width="4.33203125" style="57" customWidth="1"/>
    <col min="7666" max="7666" width="12.6640625" style="57" bestFit="1" customWidth="1"/>
    <col min="7667" max="7667" width="10.6640625" style="57" bestFit="1" customWidth="1"/>
    <col min="7668" max="7674" width="4.33203125" style="57" customWidth="1"/>
    <col min="7675" max="7677" width="11.6640625" style="57" bestFit="1" customWidth="1"/>
    <col min="7678" max="7905" width="11.33203125" style="57"/>
    <col min="7906" max="7906" width="4.33203125" style="57" customWidth="1"/>
    <col min="7907" max="7907" width="3.5546875" style="57" customWidth="1"/>
    <col min="7908" max="7908" width="5.109375" style="57" customWidth="1"/>
    <col min="7909" max="7909" width="4.33203125" style="57" customWidth="1"/>
    <col min="7910" max="7913" width="0" style="57" hidden="1" customWidth="1"/>
    <col min="7914" max="7914" width="6.6640625" style="57" customWidth="1"/>
    <col min="7915" max="7915" width="6" style="57" customWidth="1"/>
    <col min="7916" max="7918" width="0" style="57" hidden="1" customWidth="1"/>
    <col min="7919" max="7921" width="4.33203125" style="57" customWidth="1"/>
    <col min="7922" max="7922" width="12.6640625" style="57" bestFit="1" customWidth="1"/>
    <col min="7923" max="7923" width="10.6640625" style="57" bestFit="1" customWidth="1"/>
    <col min="7924" max="7930" width="4.33203125" style="57" customWidth="1"/>
    <col min="7931" max="7933" width="11.6640625" style="57" bestFit="1" customWidth="1"/>
    <col min="7934" max="8161" width="11.33203125" style="57"/>
    <col min="8162" max="8162" width="4.33203125" style="57" customWidth="1"/>
    <col min="8163" max="8163" width="3.5546875" style="57" customWidth="1"/>
    <col min="8164" max="8164" width="5.109375" style="57" customWidth="1"/>
    <col min="8165" max="8165" width="4.33203125" style="57" customWidth="1"/>
    <col min="8166" max="8169" width="0" style="57" hidden="1" customWidth="1"/>
    <col min="8170" max="8170" width="6.6640625" style="57" customWidth="1"/>
    <col min="8171" max="8171" width="6" style="57" customWidth="1"/>
    <col min="8172" max="8174" width="0" style="57" hidden="1" customWidth="1"/>
    <col min="8175" max="8177" width="4.33203125" style="57" customWidth="1"/>
    <col min="8178" max="8178" width="12.6640625" style="57" bestFit="1" customWidth="1"/>
    <col min="8179" max="8179" width="10.6640625" style="57" bestFit="1" customWidth="1"/>
    <col min="8180" max="8186" width="4.33203125" style="57" customWidth="1"/>
    <col min="8187" max="8189" width="11.6640625" style="57" bestFit="1" customWidth="1"/>
    <col min="8190" max="8417" width="11.33203125" style="57"/>
    <col min="8418" max="8418" width="4.33203125" style="57" customWidth="1"/>
    <col min="8419" max="8419" width="3.5546875" style="57" customWidth="1"/>
    <col min="8420" max="8420" width="5.109375" style="57" customWidth="1"/>
    <col min="8421" max="8421" width="4.33203125" style="57" customWidth="1"/>
    <col min="8422" max="8425" width="0" style="57" hidden="1" customWidth="1"/>
    <col min="8426" max="8426" width="6.6640625" style="57" customWidth="1"/>
    <col min="8427" max="8427" width="6" style="57" customWidth="1"/>
    <col min="8428" max="8430" width="0" style="57" hidden="1" customWidth="1"/>
    <col min="8431" max="8433" width="4.33203125" style="57" customWidth="1"/>
    <col min="8434" max="8434" width="12.6640625" style="57" bestFit="1" customWidth="1"/>
    <col min="8435" max="8435" width="10.6640625" style="57" bestFit="1" customWidth="1"/>
    <col min="8436" max="8442" width="4.33203125" style="57" customWidth="1"/>
    <col min="8443" max="8445" width="11.6640625" style="57" bestFit="1" customWidth="1"/>
    <col min="8446" max="8673" width="11.33203125" style="57"/>
    <col min="8674" max="8674" width="4.33203125" style="57" customWidth="1"/>
    <col min="8675" max="8675" width="3.5546875" style="57" customWidth="1"/>
    <col min="8676" max="8676" width="5.109375" style="57" customWidth="1"/>
    <col min="8677" max="8677" width="4.33203125" style="57" customWidth="1"/>
    <col min="8678" max="8681" width="0" style="57" hidden="1" customWidth="1"/>
    <col min="8682" max="8682" width="6.6640625" style="57" customWidth="1"/>
    <col min="8683" max="8683" width="6" style="57" customWidth="1"/>
    <col min="8684" max="8686" width="0" style="57" hidden="1" customWidth="1"/>
    <col min="8687" max="8689" width="4.33203125" style="57" customWidth="1"/>
    <col min="8690" max="8690" width="12.6640625" style="57" bestFit="1" customWidth="1"/>
    <col min="8691" max="8691" width="10.6640625" style="57" bestFit="1" customWidth="1"/>
    <col min="8692" max="8698" width="4.33203125" style="57" customWidth="1"/>
    <col min="8699" max="8701" width="11.6640625" style="57" bestFit="1" customWidth="1"/>
    <col min="8702" max="8929" width="11.33203125" style="57"/>
    <col min="8930" max="8930" width="4.33203125" style="57" customWidth="1"/>
    <col min="8931" max="8931" width="3.5546875" style="57" customWidth="1"/>
    <col min="8932" max="8932" width="5.109375" style="57" customWidth="1"/>
    <col min="8933" max="8933" width="4.33203125" style="57" customWidth="1"/>
    <col min="8934" max="8937" width="0" style="57" hidden="1" customWidth="1"/>
    <col min="8938" max="8938" width="6.6640625" style="57" customWidth="1"/>
    <col min="8939" max="8939" width="6" style="57" customWidth="1"/>
    <col min="8940" max="8942" width="0" style="57" hidden="1" customWidth="1"/>
    <col min="8943" max="8945" width="4.33203125" style="57" customWidth="1"/>
    <col min="8946" max="8946" width="12.6640625" style="57" bestFit="1" customWidth="1"/>
    <col min="8947" max="8947" width="10.6640625" style="57" bestFit="1" customWidth="1"/>
    <col min="8948" max="8954" width="4.33203125" style="57" customWidth="1"/>
    <col min="8955" max="8957" width="11.6640625" style="57" bestFit="1" customWidth="1"/>
    <col min="8958" max="9185" width="11.33203125" style="57"/>
    <col min="9186" max="9186" width="4.33203125" style="57" customWidth="1"/>
    <col min="9187" max="9187" width="3.5546875" style="57" customWidth="1"/>
    <col min="9188" max="9188" width="5.109375" style="57" customWidth="1"/>
    <col min="9189" max="9189" width="4.33203125" style="57" customWidth="1"/>
    <col min="9190" max="9193" width="0" style="57" hidden="1" customWidth="1"/>
    <col min="9194" max="9194" width="6.6640625" style="57" customWidth="1"/>
    <col min="9195" max="9195" width="6" style="57" customWidth="1"/>
    <col min="9196" max="9198" width="0" style="57" hidden="1" customWidth="1"/>
    <col min="9199" max="9201" width="4.33203125" style="57" customWidth="1"/>
    <col min="9202" max="9202" width="12.6640625" style="57" bestFit="1" customWidth="1"/>
    <col min="9203" max="9203" width="10.6640625" style="57" bestFit="1" customWidth="1"/>
    <col min="9204" max="9210" width="4.33203125" style="57" customWidth="1"/>
    <col min="9211" max="9213" width="11.6640625" style="57" bestFit="1" customWidth="1"/>
    <col min="9214" max="9441" width="11.33203125" style="57"/>
    <col min="9442" max="9442" width="4.33203125" style="57" customWidth="1"/>
    <col min="9443" max="9443" width="3.5546875" style="57" customWidth="1"/>
    <col min="9444" max="9444" width="5.109375" style="57" customWidth="1"/>
    <col min="9445" max="9445" width="4.33203125" style="57" customWidth="1"/>
    <col min="9446" max="9449" width="0" style="57" hidden="1" customWidth="1"/>
    <col min="9450" max="9450" width="6.6640625" style="57" customWidth="1"/>
    <col min="9451" max="9451" width="6" style="57" customWidth="1"/>
    <col min="9452" max="9454" width="0" style="57" hidden="1" customWidth="1"/>
    <col min="9455" max="9457" width="4.33203125" style="57" customWidth="1"/>
    <col min="9458" max="9458" width="12.6640625" style="57" bestFit="1" customWidth="1"/>
    <col min="9459" max="9459" width="10.6640625" style="57" bestFit="1" customWidth="1"/>
    <col min="9460" max="9466" width="4.33203125" style="57" customWidth="1"/>
    <col min="9467" max="9469" width="11.6640625" style="57" bestFit="1" customWidth="1"/>
    <col min="9470" max="9697" width="11.33203125" style="57"/>
    <col min="9698" max="9698" width="4.33203125" style="57" customWidth="1"/>
    <col min="9699" max="9699" width="3.5546875" style="57" customWidth="1"/>
    <col min="9700" max="9700" width="5.109375" style="57" customWidth="1"/>
    <col min="9701" max="9701" width="4.33203125" style="57" customWidth="1"/>
    <col min="9702" max="9705" width="0" style="57" hidden="1" customWidth="1"/>
    <col min="9706" max="9706" width="6.6640625" style="57" customWidth="1"/>
    <col min="9707" max="9707" width="6" style="57" customWidth="1"/>
    <col min="9708" max="9710" width="0" style="57" hidden="1" customWidth="1"/>
    <col min="9711" max="9713" width="4.33203125" style="57" customWidth="1"/>
    <col min="9714" max="9714" width="12.6640625" style="57" bestFit="1" customWidth="1"/>
    <col min="9715" max="9715" width="10.6640625" style="57" bestFit="1" customWidth="1"/>
    <col min="9716" max="9722" width="4.33203125" style="57" customWidth="1"/>
    <col min="9723" max="9725" width="11.6640625" style="57" bestFit="1" customWidth="1"/>
    <col min="9726" max="9953" width="11.33203125" style="57"/>
    <col min="9954" max="9954" width="4.33203125" style="57" customWidth="1"/>
    <col min="9955" max="9955" width="3.5546875" style="57" customWidth="1"/>
    <col min="9956" max="9956" width="5.109375" style="57" customWidth="1"/>
    <col min="9957" max="9957" width="4.33203125" style="57" customWidth="1"/>
    <col min="9958" max="9961" width="0" style="57" hidden="1" customWidth="1"/>
    <col min="9962" max="9962" width="6.6640625" style="57" customWidth="1"/>
    <col min="9963" max="9963" width="6" style="57" customWidth="1"/>
    <col min="9964" max="9966" width="0" style="57" hidden="1" customWidth="1"/>
    <col min="9967" max="9969" width="4.33203125" style="57" customWidth="1"/>
    <col min="9970" max="9970" width="12.6640625" style="57" bestFit="1" customWidth="1"/>
    <col min="9971" max="9971" width="10.6640625" style="57" bestFit="1" customWidth="1"/>
    <col min="9972" max="9978" width="4.33203125" style="57" customWidth="1"/>
    <col min="9979" max="9981" width="11.6640625" style="57" bestFit="1" customWidth="1"/>
    <col min="9982" max="10209" width="11.33203125" style="57"/>
    <col min="10210" max="10210" width="4.33203125" style="57" customWidth="1"/>
    <col min="10211" max="10211" width="3.5546875" style="57" customWidth="1"/>
    <col min="10212" max="10212" width="5.109375" style="57" customWidth="1"/>
    <col min="10213" max="10213" width="4.33203125" style="57" customWidth="1"/>
    <col min="10214" max="10217" width="0" style="57" hidden="1" customWidth="1"/>
    <col min="10218" max="10218" width="6.6640625" style="57" customWidth="1"/>
    <col min="10219" max="10219" width="6" style="57" customWidth="1"/>
    <col min="10220" max="10222" width="0" style="57" hidden="1" customWidth="1"/>
    <col min="10223" max="10225" width="4.33203125" style="57" customWidth="1"/>
    <col min="10226" max="10226" width="12.6640625" style="57" bestFit="1" customWidth="1"/>
    <col min="10227" max="10227" width="10.6640625" style="57" bestFit="1" customWidth="1"/>
    <col min="10228" max="10234" width="4.33203125" style="57" customWidth="1"/>
    <col min="10235" max="10237" width="11.6640625" style="57" bestFit="1" customWidth="1"/>
    <col min="10238" max="10465" width="11.33203125" style="57"/>
    <col min="10466" max="10466" width="4.33203125" style="57" customWidth="1"/>
    <col min="10467" max="10467" width="3.5546875" style="57" customWidth="1"/>
    <col min="10468" max="10468" width="5.109375" style="57" customWidth="1"/>
    <col min="10469" max="10469" width="4.33203125" style="57" customWidth="1"/>
    <col min="10470" max="10473" width="0" style="57" hidden="1" customWidth="1"/>
    <col min="10474" max="10474" width="6.6640625" style="57" customWidth="1"/>
    <col min="10475" max="10475" width="6" style="57" customWidth="1"/>
    <col min="10476" max="10478" width="0" style="57" hidden="1" customWidth="1"/>
    <col min="10479" max="10481" width="4.33203125" style="57" customWidth="1"/>
    <col min="10482" max="10482" width="12.6640625" style="57" bestFit="1" customWidth="1"/>
    <col min="10483" max="10483" width="10.6640625" style="57" bestFit="1" customWidth="1"/>
    <col min="10484" max="10490" width="4.33203125" style="57" customWidth="1"/>
    <col min="10491" max="10493" width="11.6640625" style="57" bestFit="1" customWidth="1"/>
    <col min="10494" max="10721" width="11.33203125" style="57"/>
    <col min="10722" max="10722" width="4.33203125" style="57" customWidth="1"/>
    <col min="10723" max="10723" width="3.5546875" style="57" customWidth="1"/>
    <col min="10724" max="10724" width="5.109375" style="57" customWidth="1"/>
    <col min="10725" max="10725" width="4.33203125" style="57" customWidth="1"/>
    <col min="10726" max="10729" width="0" style="57" hidden="1" customWidth="1"/>
    <col min="10730" max="10730" width="6.6640625" style="57" customWidth="1"/>
    <col min="10731" max="10731" width="6" style="57" customWidth="1"/>
    <col min="10732" max="10734" width="0" style="57" hidden="1" customWidth="1"/>
    <col min="10735" max="10737" width="4.33203125" style="57" customWidth="1"/>
    <col min="10738" max="10738" width="12.6640625" style="57" bestFit="1" customWidth="1"/>
    <col min="10739" max="10739" width="10.6640625" style="57" bestFit="1" customWidth="1"/>
    <col min="10740" max="10746" width="4.33203125" style="57" customWidth="1"/>
    <col min="10747" max="10749" width="11.6640625" style="57" bestFit="1" customWidth="1"/>
    <col min="10750" max="10977" width="11.33203125" style="57"/>
    <col min="10978" max="10978" width="4.33203125" style="57" customWidth="1"/>
    <col min="10979" max="10979" width="3.5546875" style="57" customWidth="1"/>
    <col min="10980" max="10980" width="5.109375" style="57" customWidth="1"/>
    <col min="10981" max="10981" width="4.33203125" style="57" customWidth="1"/>
    <col min="10982" max="10985" width="0" style="57" hidden="1" customWidth="1"/>
    <col min="10986" max="10986" width="6.6640625" style="57" customWidth="1"/>
    <col min="10987" max="10987" width="6" style="57" customWidth="1"/>
    <col min="10988" max="10990" width="0" style="57" hidden="1" customWidth="1"/>
    <col min="10991" max="10993" width="4.33203125" style="57" customWidth="1"/>
    <col min="10994" max="10994" width="12.6640625" style="57" bestFit="1" customWidth="1"/>
    <col min="10995" max="10995" width="10.6640625" style="57" bestFit="1" customWidth="1"/>
    <col min="10996" max="11002" width="4.33203125" style="57" customWidth="1"/>
    <col min="11003" max="11005" width="11.6640625" style="57" bestFit="1" customWidth="1"/>
    <col min="11006" max="11233" width="11.33203125" style="57"/>
    <col min="11234" max="11234" width="4.33203125" style="57" customWidth="1"/>
    <col min="11235" max="11235" width="3.5546875" style="57" customWidth="1"/>
    <col min="11236" max="11236" width="5.109375" style="57" customWidth="1"/>
    <col min="11237" max="11237" width="4.33203125" style="57" customWidth="1"/>
    <col min="11238" max="11241" width="0" style="57" hidden="1" customWidth="1"/>
    <col min="11242" max="11242" width="6.6640625" style="57" customWidth="1"/>
    <col min="11243" max="11243" width="6" style="57" customWidth="1"/>
    <col min="11244" max="11246" width="0" style="57" hidden="1" customWidth="1"/>
    <col min="11247" max="11249" width="4.33203125" style="57" customWidth="1"/>
    <col min="11250" max="11250" width="12.6640625" style="57" bestFit="1" customWidth="1"/>
    <col min="11251" max="11251" width="10.6640625" style="57" bestFit="1" customWidth="1"/>
    <col min="11252" max="11258" width="4.33203125" style="57" customWidth="1"/>
    <col min="11259" max="11261" width="11.6640625" style="57" bestFit="1" customWidth="1"/>
    <col min="11262" max="11489" width="11.33203125" style="57"/>
    <col min="11490" max="11490" width="4.33203125" style="57" customWidth="1"/>
    <col min="11491" max="11491" width="3.5546875" style="57" customWidth="1"/>
    <col min="11492" max="11492" width="5.109375" style="57" customWidth="1"/>
    <col min="11493" max="11493" width="4.33203125" style="57" customWidth="1"/>
    <col min="11494" max="11497" width="0" style="57" hidden="1" customWidth="1"/>
    <col min="11498" max="11498" width="6.6640625" style="57" customWidth="1"/>
    <col min="11499" max="11499" width="6" style="57" customWidth="1"/>
    <col min="11500" max="11502" width="0" style="57" hidden="1" customWidth="1"/>
    <col min="11503" max="11505" width="4.33203125" style="57" customWidth="1"/>
    <col min="11506" max="11506" width="12.6640625" style="57" bestFit="1" customWidth="1"/>
    <col min="11507" max="11507" width="10.6640625" style="57" bestFit="1" customWidth="1"/>
    <col min="11508" max="11514" width="4.33203125" style="57" customWidth="1"/>
    <col min="11515" max="11517" width="11.6640625" style="57" bestFit="1" customWidth="1"/>
    <col min="11518" max="11745" width="11.33203125" style="57"/>
    <col min="11746" max="11746" width="4.33203125" style="57" customWidth="1"/>
    <col min="11747" max="11747" width="3.5546875" style="57" customWidth="1"/>
    <col min="11748" max="11748" width="5.109375" style="57" customWidth="1"/>
    <col min="11749" max="11749" width="4.33203125" style="57" customWidth="1"/>
    <col min="11750" max="11753" width="0" style="57" hidden="1" customWidth="1"/>
    <col min="11754" max="11754" width="6.6640625" style="57" customWidth="1"/>
    <col min="11755" max="11755" width="6" style="57" customWidth="1"/>
    <col min="11756" max="11758" width="0" style="57" hidden="1" customWidth="1"/>
    <col min="11759" max="11761" width="4.33203125" style="57" customWidth="1"/>
    <col min="11762" max="11762" width="12.6640625" style="57" bestFit="1" customWidth="1"/>
    <col min="11763" max="11763" width="10.6640625" style="57" bestFit="1" customWidth="1"/>
    <col min="11764" max="11770" width="4.33203125" style="57" customWidth="1"/>
    <col min="11771" max="11773" width="11.6640625" style="57" bestFit="1" customWidth="1"/>
    <col min="11774" max="12001" width="11.33203125" style="57"/>
    <col min="12002" max="12002" width="4.33203125" style="57" customWidth="1"/>
    <col min="12003" max="12003" width="3.5546875" style="57" customWidth="1"/>
    <col min="12004" max="12004" width="5.109375" style="57" customWidth="1"/>
    <col min="12005" max="12005" width="4.33203125" style="57" customWidth="1"/>
    <col min="12006" max="12009" width="0" style="57" hidden="1" customWidth="1"/>
    <col min="12010" max="12010" width="6.6640625" style="57" customWidth="1"/>
    <col min="12011" max="12011" width="6" style="57" customWidth="1"/>
    <col min="12012" max="12014" width="0" style="57" hidden="1" customWidth="1"/>
    <col min="12015" max="12017" width="4.33203125" style="57" customWidth="1"/>
    <col min="12018" max="12018" width="12.6640625" style="57" bestFit="1" customWidth="1"/>
    <col min="12019" max="12019" width="10.6640625" style="57" bestFit="1" customWidth="1"/>
    <col min="12020" max="12026" width="4.33203125" style="57" customWidth="1"/>
    <col min="12027" max="12029" width="11.6640625" style="57" bestFit="1" customWidth="1"/>
    <col min="12030" max="12257" width="11.33203125" style="57"/>
    <col min="12258" max="12258" width="4.33203125" style="57" customWidth="1"/>
    <col min="12259" max="12259" width="3.5546875" style="57" customWidth="1"/>
    <col min="12260" max="12260" width="5.109375" style="57" customWidth="1"/>
    <col min="12261" max="12261" width="4.33203125" style="57" customWidth="1"/>
    <col min="12262" max="12265" width="0" style="57" hidden="1" customWidth="1"/>
    <col min="12266" max="12266" width="6.6640625" style="57" customWidth="1"/>
    <col min="12267" max="12267" width="6" style="57" customWidth="1"/>
    <col min="12268" max="12270" width="0" style="57" hidden="1" customWidth="1"/>
    <col min="12271" max="12273" width="4.33203125" style="57" customWidth="1"/>
    <col min="12274" max="12274" width="12.6640625" style="57" bestFit="1" customWidth="1"/>
    <col min="12275" max="12275" width="10.6640625" style="57" bestFit="1" customWidth="1"/>
    <col min="12276" max="12282" width="4.33203125" style="57" customWidth="1"/>
    <col min="12283" max="12285" width="11.6640625" style="57" bestFit="1" customWidth="1"/>
    <col min="12286" max="12513" width="11.33203125" style="57"/>
    <col min="12514" max="12514" width="4.33203125" style="57" customWidth="1"/>
    <col min="12515" max="12515" width="3.5546875" style="57" customWidth="1"/>
    <col min="12516" max="12516" width="5.109375" style="57" customWidth="1"/>
    <col min="12517" max="12517" width="4.33203125" style="57" customWidth="1"/>
    <col min="12518" max="12521" width="0" style="57" hidden="1" customWidth="1"/>
    <col min="12522" max="12522" width="6.6640625" style="57" customWidth="1"/>
    <col min="12523" max="12523" width="6" style="57" customWidth="1"/>
    <col min="12524" max="12526" width="0" style="57" hidden="1" customWidth="1"/>
    <col min="12527" max="12529" width="4.33203125" style="57" customWidth="1"/>
    <col min="12530" max="12530" width="12.6640625" style="57" bestFit="1" customWidth="1"/>
    <col min="12531" max="12531" width="10.6640625" style="57" bestFit="1" customWidth="1"/>
    <col min="12532" max="12538" width="4.33203125" style="57" customWidth="1"/>
    <col min="12539" max="12541" width="11.6640625" style="57" bestFit="1" customWidth="1"/>
    <col min="12542" max="12769" width="11.33203125" style="57"/>
    <col min="12770" max="12770" width="4.33203125" style="57" customWidth="1"/>
    <col min="12771" max="12771" width="3.5546875" style="57" customWidth="1"/>
    <col min="12772" max="12772" width="5.109375" style="57" customWidth="1"/>
    <col min="12773" max="12773" width="4.33203125" style="57" customWidth="1"/>
    <col min="12774" max="12777" width="0" style="57" hidden="1" customWidth="1"/>
    <col min="12778" max="12778" width="6.6640625" style="57" customWidth="1"/>
    <col min="12779" max="12779" width="6" style="57" customWidth="1"/>
    <col min="12780" max="12782" width="0" style="57" hidden="1" customWidth="1"/>
    <col min="12783" max="12785" width="4.33203125" style="57" customWidth="1"/>
    <col min="12786" max="12786" width="12.6640625" style="57" bestFit="1" customWidth="1"/>
    <col min="12787" max="12787" width="10.6640625" style="57" bestFit="1" customWidth="1"/>
    <col min="12788" max="12794" width="4.33203125" style="57" customWidth="1"/>
    <col min="12795" max="12797" width="11.6640625" style="57" bestFit="1" customWidth="1"/>
    <col min="12798" max="13025" width="11.33203125" style="57"/>
    <col min="13026" max="13026" width="4.33203125" style="57" customWidth="1"/>
    <col min="13027" max="13027" width="3.5546875" style="57" customWidth="1"/>
    <col min="13028" max="13028" width="5.109375" style="57" customWidth="1"/>
    <col min="13029" max="13029" width="4.33203125" style="57" customWidth="1"/>
    <col min="13030" max="13033" width="0" style="57" hidden="1" customWidth="1"/>
    <col min="13034" max="13034" width="6.6640625" style="57" customWidth="1"/>
    <col min="13035" max="13035" width="6" style="57" customWidth="1"/>
    <col min="13036" max="13038" width="0" style="57" hidden="1" customWidth="1"/>
    <col min="13039" max="13041" width="4.33203125" style="57" customWidth="1"/>
    <col min="13042" max="13042" width="12.6640625" style="57" bestFit="1" customWidth="1"/>
    <col min="13043" max="13043" width="10.6640625" style="57" bestFit="1" customWidth="1"/>
    <col min="13044" max="13050" width="4.33203125" style="57" customWidth="1"/>
    <col min="13051" max="13053" width="11.6640625" style="57" bestFit="1" customWidth="1"/>
    <col min="13054" max="13281" width="11.33203125" style="57"/>
    <col min="13282" max="13282" width="4.33203125" style="57" customWidth="1"/>
    <col min="13283" max="13283" width="3.5546875" style="57" customWidth="1"/>
    <col min="13284" max="13284" width="5.109375" style="57" customWidth="1"/>
    <col min="13285" max="13285" width="4.33203125" style="57" customWidth="1"/>
    <col min="13286" max="13289" width="0" style="57" hidden="1" customWidth="1"/>
    <col min="13290" max="13290" width="6.6640625" style="57" customWidth="1"/>
    <col min="13291" max="13291" width="6" style="57" customWidth="1"/>
    <col min="13292" max="13294" width="0" style="57" hidden="1" customWidth="1"/>
    <col min="13295" max="13297" width="4.33203125" style="57" customWidth="1"/>
    <col min="13298" max="13298" width="12.6640625" style="57" bestFit="1" customWidth="1"/>
    <col min="13299" max="13299" width="10.6640625" style="57" bestFit="1" customWidth="1"/>
    <col min="13300" max="13306" width="4.33203125" style="57" customWidth="1"/>
    <col min="13307" max="13309" width="11.6640625" style="57" bestFit="1" customWidth="1"/>
    <col min="13310" max="13537" width="11.33203125" style="57"/>
    <col min="13538" max="13538" width="4.33203125" style="57" customWidth="1"/>
    <col min="13539" max="13539" width="3.5546875" style="57" customWidth="1"/>
    <col min="13540" max="13540" width="5.109375" style="57" customWidth="1"/>
    <col min="13541" max="13541" width="4.33203125" style="57" customWidth="1"/>
    <col min="13542" max="13545" width="0" style="57" hidden="1" customWidth="1"/>
    <col min="13546" max="13546" width="6.6640625" style="57" customWidth="1"/>
    <col min="13547" max="13547" width="6" style="57" customWidth="1"/>
    <col min="13548" max="13550" width="0" style="57" hidden="1" customWidth="1"/>
    <col min="13551" max="13553" width="4.33203125" style="57" customWidth="1"/>
    <col min="13554" max="13554" width="12.6640625" style="57" bestFit="1" customWidth="1"/>
    <col min="13555" max="13555" width="10.6640625" style="57" bestFit="1" customWidth="1"/>
    <col min="13556" max="13562" width="4.33203125" style="57" customWidth="1"/>
    <col min="13563" max="13565" width="11.6640625" style="57" bestFit="1" customWidth="1"/>
    <col min="13566" max="13793" width="11.33203125" style="57"/>
    <col min="13794" max="13794" width="4.33203125" style="57" customWidth="1"/>
    <col min="13795" max="13795" width="3.5546875" style="57" customWidth="1"/>
    <col min="13796" max="13796" width="5.109375" style="57" customWidth="1"/>
    <col min="13797" max="13797" width="4.33203125" style="57" customWidth="1"/>
    <col min="13798" max="13801" width="0" style="57" hidden="1" customWidth="1"/>
    <col min="13802" max="13802" width="6.6640625" style="57" customWidth="1"/>
    <col min="13803" max="13803" width="6" style="57" customWidth="1"/>
    <col min="13804" max="13806" width="0" style="57" hidden="1" customWidth="1"/>
    <col min="13807" max="13809" width="4.33203125" style="57" customWidth="1"/>
    <col min="13810" max="13810" width="12.6640625" style="57" bestFit="1" customWidth="1"/>
    <col min="13811" max="13811" width="10.6640625" style="57" bestFit="1" customWidth="1"/>
    <col min="13812" max="13818" width="4.33203125" style="57" customWidth="1"/>
    <col min="13819" max="13821" width="11.6640625" style="57" bestFit="1" customWidth="1"/>
    <col min="13822" max="14049" width="11.33203125" style="57"/>
    <col min="14050" max="14050" width="4.33203125" style="57" customWidth="1"/>
    <col min="14051" max="14051" width="3.5546875" style="57" customWidth="1"/>
    <col min="14052" max="14052" width="5.109375" style="57" customWidth="1"/>
    <col min="14053" max="14053" width="4.33203125" style="57" customWidth="1"/>
    <col min="14054" max="14057" width="0" style="57" hidden="1" customWidth="1"/>
    <col min="14058" max="14058" width="6.6640625" style="57" customWidth="1"/>
    <col min="14059" max="14059" width="6" style="57" customWidth="1"/>
    <col min="14060" max="14062" width="0" style="57" hidden="1" customWidth="1"/>
    <col min="14063" max="14065" width="4.33203125" style="57" customWidth="1"/>
    <col min="14066" max="14066" width="12.6640625" style="57" bestFit="1" customWidth="1"/>
    <col min="14067" max="14067" width="10.6640625" style="57" bestFit="1" customWidth="1"/>
    <col min="14068" max="14074" width="4.33203125" style="57" customWidth="1"/>
    <col min="14075" max="14077" width="11.6640625" style="57" bestFit="1" customWidth="1"/>
    <col min="14078" max="14305" width="11.33203125" style="57"/>
    <col min="14306" max="14306" width="4.33203125" style="57" customWidth="1"/>
    <col min="14307" max="14307" width="3.5546875" style="57" customWidth="1"/>
    <col min="14308" max="14308" width="5.109375" style="57" customWidth="1"/>
    <col min="14309" max="14309" width="4.33203125" style="57" customWidth="1"/>
    <col min="14310" max="14313" width="0" style="57" hidden="1" customWidth="1"/>
    <col min="14314" max="14314" width="6.6640625" style="57" customWidth="1"/>
    <col min="14315" max="14315" width="6" style="57" customWidth="1"/>
    <col min="14316" max="14318" width="0" style="57" hidden="1" customWidth="1"/>
    <col min="14319" max="14321" width="4.33203125" style="57" customWidth="1"/>
    <col min="14322" max="14322" width="12.6640625" style="57" bestFit="1" customWidth="1"/>
    <col min="14323" max="14323" width="10.6640625" style="57" bestFit="1" customWidth="1"/>
    <col min="14324" max="14330" width="4.33203125" style="57" customWidth="1"/>
    <col min="14331" max="14333" width="11.6640625" style="57" bestFit="1" customWidth="1"/>
    <col min="14334" max="14561" width="11.33203125" style="57"/>
    <col min="14562" max="14562" width="4.33203125" style="57" customWidth="1"/>
    <col min="14563" max="14563" width="3.5546875" style="57" customWidth="1"/>
    <col min="14564" max="14564" width="5.109375" style="57" customWidth="1"/>
    <col min="14565" max="14565" width="4.33203125" style="57" customWidth="1"/>
    <col min="14566" max="14569" width="0" style="57" hidden="1" customWidth="1"/>
    <col min="14570" max="14570" width="6.6640625" style="57" customWidth="1"/>
    <col min="14571" max="14571" width="6" style="57" customWidth="1"/>
    <col min="14572" max="14574" width="0" style="57" hidden="1" customWidth="1"/>
    <col min="14575" max="14577" width="4.33203125" style="57" customWidth="1"/>
    <col min="14578" max="14578" width="12.6640625" style="57" bestFit="1" customWidth="1"/>
    <col min="14579" max="14579" width="10.6640625" style="57" bestFit="1" customWidth="1"/>
    <col min="14580" max="14586" width="4.33203125" style="57" customWidth="1"/>
    <col min="14587" max="14589" width="11.6640625" style="57" bestFit="1" customWidth="1"/>
    <col min="14590" max="14817" width="11.33203125" style="57"/>
    <col min="14818" max="14818" width="4.33203125" style="57" customWidth="1"/>
    <col min="14819" max="14819" width="3.5546875" style="57" customWidth="1"/>
    <col min="14820" max="14820" width="5.109375" style="57" customWidth="1"/>
    <col min="14821" max="14821" width="4.33203125" style="57" customWidth="1"/>
    <col min="14822" max="14825" width="0" style="57" hidden="1" customWidth="1"/>
    <col min="14826" max="14826" width="6.6640625" style="57" customWidth="1"/>
    <col min="14827" max="14827" width="6" style="57" customWidth="1"/>
    <col min="14828" max="14830" width="0" style="57" hidden="1" customWidth="1"/>
    <col min="14831" max="14833" width="4.33203125" style="57" customWidth="1"/>
    <col min="14834" max="14834" width="12.6640625" style="57" bestFit="1" customWidth="1"/>
    <col min="14835" max="14835" width="10.6640625" style="57" bestFit="1" customWidth="1"/>
    <col min="14836" max="14842" width="4.33203125" style="57" customWidth="1"/>
    <col min="14843" max="14845" width="11.6640625" style="57" bestFit="1" customWidth="1"/>
    <col min="14846" max="15073" width="11.33203125" style="57"/>
    <col min="15074" max="15074" width="4.33203125" style="57" customWidth="1"/>
    <col min="15075" max="15075" width="3.5546875" style="57" customWidth="1"/>
    <col min="15076" max="15076" width="5.109375" style="57" customWidth="1"/>
    <col min="15077" max="15077" width="4.33203125" style="57" customWidth="1"/>
    <col min="15078" max="15081" width="0" style="57" hidden="1" customWidth="1"/>
    <col min="15082" max="15082" width="6.6640625" style="57" customWidth="1"/>
    <col min="15083" max="15083" width="6" style="57" customWidth="1"/>
    <col min="15084" max="15086" width="0" style="57" hidden="1" customWidth="1"/>
    <col min="15087" max="15089" width="4.33203125" style="57" customWidth="1"/>
    <col min="15090" max="15090" width="12.6640625" style="57" bestFit="1" customWidth="1"/>
    <col min="15091" max="15091" width="10.6640625" style="57" bestFit="1" customWidth="1"/>
    <col min="15092" max="15098" width="4.33203125" style="57" customWidth="1"/>
    <col min="15099" max="15101" width="11.6640625" style="57" bestFit="1" customWidth="1"/>
    <col min="15102" max="15329" width="11.33203125" style="57"/>
    <col min="15330" max="15330" width="4.33203125" style="57" customWidth="1"/>
    <col min="15331" max="15331" width="3.5546875" style="57" customWidth="1"/>
    <col min="15332" max="15332" width="5.109375" style="57" customWidth="1"/>
    <col min="15333" max="15333" width="4.33203125" style="57" customWidth="1"/>
    <col min="15334" max="15337" width="0" style="57" hidden="1" customWidth="1"/>
    <col min="15338" max="15338" width="6.6640625" style="57" customWidth="1"/>
    <col min="15339" max="15339" width="6" style="57" customWidth="1"/>
    <col min="15340" max="15342" width="0" style="57" hidden="1" customWidth="1"/>
    <col min="15343" max="15345" width="4.33203125" style="57" customWidth="1"/>
    <col min="15346" max="15346" width="12.6640625" style="57" bestFit="1" customWidth="1"/>
    <col min="15347" max="15347" width="10.6640625" style="57" bestFit="1" customWidth="1"/>
    <col min="15348" max="15354" width="4.33203125" style="57" customWidth="1"/>
    <col min="15355" max="15357" width="11.6640625" style="57" bestFit="1" customWidth="1"/>
    <col min="15358" max="15585" width="11.33203125" style="57"/>
    <col min="15586" max="15586" width="4.33203125" style="57" customWidth="1"/>
    <col min="15587" max="15587" width="3.5546875" style="57" customWidth="1"/>
    <col min="15588" max="15588" width="5.109375" style="57" customWidth="1"/>
    <col min="15589" max="15589" width="4.33203125" style="57" customWidth="1"/>
    <col min="15590" max="15593" width="0" style="57" hidden="1" customWidth="1"/>
    <col min="15594" max="15594" width="6.6640625" style="57" customWidth="1"/>
    <col min="15595" max="15595" width="6" style="57" customWidth="1"/>
    <col min="15596" max="15598" width="0" style="57" hidden="1" customWidth="1"/>
    <col min="15599" max="15601" width="4.33203125" style="57" customWidth="1"/>
    <col min="15602" max="15602" width="12.6640625" style="57" bestFit="1" customWidth="1"/>
    <col min="15603" max="15603" width="10.6640625" style="57" bestFit="1" customWidth="1"/>
    <col min="15604" max="15610" width="4.33203125" style="57" customWidth="1"/>
    <col min="15611" max="15613" width="11.6640625" style="57" bestFit="1" customWidth="1"/>
    <col min="15614" max="15841" width="11.33203125" style="57"/>
    <col min="15842" max="15842" width="4.33203125" style="57" customWidth="1"/>
    <col min="15843" max="15843" width="3.5546875" style="57" customWidth="1"/>
    <col min="15844" max="15844" width="5.109375" style="57" customWidth="1"/>
    <col min="15845" max="15845" width="4.33203125" style="57" customWidth="1"/>
    <col min="15846" max="15849" width="0" style="57" hidden="1" customWidth="1"/>
    <col min="15850" max="15850" width="6.6640625" style="57" customWidth="1"/>
    <col min="15851" max="15851" width="6" style="57" customWidth="1"/>
    <col min="15852" max="15854" width="0" style="57" hidden="1" customWidth="1"/>
    <col min="15855" max="15857" width="4.33203125" style="57" customWidth="1"/>
    <col min="15858" max="15858" width="12.6640625" style="57" bestFit="1" customWidth="1"/>
    <col min="15859" max="15859" width="10.6640625" style="57" bestFit="1" customWidth="1"/>
    <col min="15860" max="15866" width="4.33203125" style="57" customWidth="1"/>
    <col min="15867" max="15869" width="11.6640625" style="57" bestFit="1" customWidth="1"/>
    <col min="15870" max="16097" width="11.33203125" style="57"/>
    <col min="16098" max="16098" width="4.33203125" style="57" customWidth="1"/>
    <col min="16099" max="16099" width="3.5546875" style="57" customWidth="1"/>
    <col min="16100" max="16100" width="5.109375" style="57" customWidth="1"/>
    <col min="16101" max="16101" width="4.33203125" style="57" customWidth="1"/>
    <col min="16102" max="16105" width="0" style="57" hidden="1" customWidth="1"/>
    <col min="16106" max="16106" width="6.6640625" style="57" customWidth="1"/>
    <col min="16107" max="16107" width="6" style="57" customWidth="1"/>
    <col min="16108" max="16110" width="0" style="57" hidden="1" customWidth="1"/>
    <col min="16111" max="16113" width="4.33203125" style="57" customWidth="1"/>
    <col min="16114" max="16114" width="12.6640625" style="57" bestFit="1" customWidth="1"/>
    <col min="16115" max="16115" width="10.6640625" style="57" bestFit="1" customWidth="1"/>
    <col min="16116" max="16122" width="4.33203125" style="57" customWidth="1"/>
    <col min="16123" max="16125" width="11.6640625" style="57" bestFit="1" customWidth="1"/>
    <col min="16126" max="16384" width="11.33203125" style="57"/>
  </cols>
  <sheetData>
    <row r="9" spans="1:16" ht="18" customHeight="1"/>
    <row r="10" spans="1:16" ht="18" customHeight="1">
      <c r="C10" s="348" t="s">
        <v>100</v>
      </c>
      <c r="D10" s="348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</row>
    <row r="11" spans="1:16" ht="18" customHeight="1">
      <c r="A11" s="295"/>
      <c r="C11" s="57" t="s">
        <v>397</v>
      </c>
      <c r="D11" s="294"/>
      <c r="E11" s="300"/>
      <c r="F11" s="300"/>
      <c r="G11" s="300"/>
      <c r="H11" s="300"/>
      <c r="I11" s="300"/>
      <c r="J11" s="300"/>
      <c r="K11" s="301">
        <v>89000</v>
      </c>
      <c r="L11" s="300"/>
      <c r="M11" s="300"/>
      <c r="N11" s="300"/>
      <c r="O11" s="300"/>
      <c r="P11" s="300"/>
    </row>
    <row r="12" spans="1:16" ht="14.25" customHeight="1">
      <c r="C12" s="57" t="s">
        <v>406</v>
      </c>
      <c r="D12" s="263"/>
      <c r="E12" s="271"/>
      <c r="F12" s="271"/>
      <c r="G12" s="264"/>
      <c r="H12" s="264"/>
      <c r="I12" s="264"/>
      <c r="J12" s="264"/>
      <c r="K12" s="266">
        <v>45000</v>
      </c>
      <c r="L12" s="264"/>
      <c r="M12" s="264"/>
      <c r="N12" s="264"/>
      <c r="O12" s="264"/>
      <c r="P12" s="264"/>
    </row>
    <row r="13" spans="1:16">
      <c r="C13" s="57" t="s">
        <v>396</v>
      </c>
      <c r="D13" s="263"/>
      <c r="E13" s="271"/>
      <c r="F13" s="271"/>
      <c r="G13" s="264"/>
      <c r="H13" s="264"/>
      <c r="I13" s="264"/>
      <c r="J13" s="264"/>
      <c r="K13" s="266" t="s">
        <v>409</v>
      </c>
      <c r="L13" s="264"/>
      <c r="M13" s="264"/>
      <c r="N13" s="264"/>
      <c r="O13" s="264"/>
      <c r="P13" s="264"/>
    </row>
    <row r="14" spans="1:16">
      <c r="C14" s="57" t="s">
        <v>324</v>
      </c>
      <c r="G14" s="218"/>
      <c r="H14" s="218"/>
      <c r="I14" s="218"/>
      <c r="J14" s="218"/>
      <c r="K14" s="351">
        <v>43000</v>
      </c>
      <c r="L14" s="351"/>
      <c r="M14" s="351"/>
      <c r="N14" s="219"/>
      <c r="O14" s="218"/>
    </row>
    <row r="15" spans="1:16">
      <c r="C15" s="57" t="s">
        <v>193</v>
      </c>
      <c r="G15" s="218"/>
      <c r="H15" s="218"/>
      <c r="I15" s="218"/>
      <c r="J15" s="218"/>
      <c r="K15" s="352">
        <v>0.03</v>
      </c>
      <c r="L15" s="352"/>
      <c r="M15" s="352"/>
      <c r="N15" s="353">
        <f>(K15*1.12)</f>
        <v>3.3600000000000005E-2</v>
      </c>
      <c r="O15" s="353"/>
    </row>
    <row r="16" spans="1:16">
      <c r="C16" s="57" t="s">
        <v>325</v>
      </c>
      <c r="G16" s="218"/>
      <c r="H16" s="218"/>
      <c r="I16" s="218"/>
      <c r="J16" s="218"/>
      <c r="K16" s="354">
        <v>60</v>
      </c>
      <c r="L16" s="354"/>
      <c r="M16" s="354"/>
      <c r="N16" s="219"/>
      <c r="O16" s="218"/>
    </row>
    <row r="17" spans="1:26" ht="14.4">
      <c r="C17" s="57" t="s">
        <v>124</v>
      </c>
      <c r="K17" s="356">
        <f>(IF(K13="UBER",VLOOKUP(K12,'Costo de seguro'!B2:L782,2,TRUE),IF(K13="Particular",VLOOKUP(K12,'Costo de seguro'!B2:L782,2,TRUE),IF(K13="Pick Up",VLOOKUP(K12,'Costo de seguro'!B2:L782,3,TRUE),IF(K13="Nuevo",VLOOKUP(K12,'Costo de seguro'!B2:L207,2,TRUE),IF(K13="Panel",VLOOKUP(K12,'Costo de seguro'!B2:L782,4,TRUE),IF(K13="Camion",VLOOKUP(K12,'Costo de seguro'!B2:L207,4,TRUE),IF(K13="Microbus",VLOOKUP(K12,'Costo de seguro'!B2:L782,4,TRUE),""))))))))+K20</f>
        <v>471.58900000000006</v>
      </c>
      <c r="L17" s="356"/>
      <c r="M17" s="177"/>
      <c r="N17" s="219"/>
      <c r="O17" s="218"/>
      <c r="U17" s="139"/>
    </row>
    <row r="18" spans="1:26" ht="14.4">
      <c r="C18" s="57" t="s">
        <v>123</v>
      </c>
      <c r="K18" s="350">
        <v>148.19999999999999</v>
      </c>
      <c r="L18" s="350"/>
      <c r="M18" s="350"/>
      <c r="N18" s="165"/>
      <c r="U18" s="139"/>
    </row>
    <row r="19" spans="1:26" ht="12" hidden="1" customHeight="1">
      <c r="C19" s="57" t="s">
        <v>398</v>
      </c>
      <c r="G19" s="218"/>
      <c r="H19" s="218"/>
      <c r="I19" s="218"/>
      <c r="J19" s="218"/>
      <c r="K19" s="355">
        <f>IFERROR(PMT(N15,K16,-K14),0)</f>
        <v>1675.4672291253412</v>
      </c>
      <c r="L19" s="355"/>
      <c r="M19" s="355"/>
      <c r="N19" s="165"/>
      <c r="T19" s="171"/>
      <c r="U19" s="139"/>
    </row>
    <row r="20" spans="1:26" ht="15" hidden="1" customHeight="1">
      <c r="C20" s="57" t="s">
        <v>400</v>
      </c>
      <c r="K20" s="273">
        <f>VLOOKUP(K12,'Costo de seguro'!B2:P782,5,TRUE)-K18</f>
        <v>226.589</v>
      </c>
    </row>
    <row r="21" spans="1:26">
      <c r="C21" s="57" t="s">
        <v>333</v>
      </c>
      <c r="K21" s="267">
        <f>K19+K18+K17</f>
        <v>2295.2562291253412</v>
      </c>
    </row>
    <row r="22" spans="1:26" ht="33.75" customHeight="1">
      <c r="A22" s="172" t="s">
        <v>326</v>
      </c>
      <c r="B22" s="160" t="s">
        <v>327</v>
      </c>
      <c r="C22" s="172" t="s">
        <v>379</v>
      </c>
      <c r="D22" s="341" t="s">
        <v>328</v>
      </c>
      <c r="E22" s="341"/>
      <c r="F22" s="341"/>
      <c r="G22" s="341" t="s">
        <v>329</v>
      </c>
      <c r="H22" s="341"/>
      <c r="I22" s="341" t="s">
        <v>274</v>
      </c>
      <c r="J22" s="341"/>
      <c r="K22" s="341" t="s">
        <v>330</v>
      </c>
      <c r="L22" s="341"/>
      <c r="M22" s="341" t="s">
        <v>326</v>
      </c>
      <c r="N22" s="341"/>
      <c r="O22" s="341"/>
      <c r="P22" s="341" t="s">
        <v>331</v>
      </c>
      <c r="Q22" s="341"/>
      <c r="R22" s="341"/>
      <c r="S22" s="172" t="s">
        <v>124</v>
      </c>
      <c r="T22" s="172" t="s">
        <v>123</v>
      </c>
      <c r="U22" s="341" t="s">
        <v>332</v>
      </c>
      <c r="V22" s="341"/>
      <c r="W22" s="341"/>
      <c r="X22" s="342" t="s">
        <v>333</v>
      </c>
      <c r="Y22" s="342"/>
      <c r="Z22" s="342"/>
    </row>
    <row r="23" spans="1:26" ht="5.25" customHeight="1">
      <c r="B23" s="160"/>
      <c r="C23" s="225"/>
      <c r="D23" s="344"/>
      <c r="E23" s="345"/>
      <c r="F23" s="345"/>
      <c r="G23" s="346"/>
      <c r="H23" s="346"/>
      <c r="I23" s="340"/>
      <c r="J23" s="340"/>
      <c r="K23" s="340"/>
      <c r="L23" s="340"/>
      <c r="M23" s="226"/>
      <c r="N23" s="226"/>
      <c r="O23" s="226"/>
      <c r="P23" s="340"/>
      <c r="Q23" s="340"/>
      <c r="R23" s="340"/>
      <c r="S23" s="222"/>
      <c r="T23" s="222"/>
      <c r="U23" s="340"/>
      <c r="V23" s="340"/>
      <c r="W23" s="340"/>
      <c r="X23" s="340"/>
      <c r="Y23" s="340"/>
      <c r="Z23" s="340"/>
    </row>
    <row r="24" spans="1:26" ht="4.5" customHeight="1">
      <c r="B24" s="160"/>
      <c r="C24" s="225"/>
      <c r="D24" s="344"/>
      <c r="E24" s="345"/>
      <c r="F24" s="345"/>
      <c r="G24" s="347"/>
      <c r="H24" s="347"/>
      <c r="I24" s="340"/>
      <c r="J24" s="340"/>
      <c r="K24" s="340"/>
      <c r="L24" s="340"/>
      <c r="M24" s="226"/>
      <c r="N24" s="226"/>
      <c r="O24" s="226"/>
      <c r="P24" s="340"/>
      <c r="Q24" s="340"/>
      <c r="R24" s="340"/>
      <c r="S24" s="222"/>
      <c r="T24" s="222"/>
      <c r="U24" s="340"/>
      <c r="V24" s="340"/>
      <c r="W24" s="340"/>
      <c r="X24" s="340"/>
      <c r="Y24" s="340"/>
      <c r="Z24" s="340"/>
    </row>
    <row r="25" spans="1:26" ht="6" customHeight="1">
      <c r="B25" s="160"/>
      <c r="C25" s="225"/>
      <c r="D25" s="344"/>
      <c r="E25" s="345"/>
      <c r="F25" s="345"/>
      <c r="G25" s="346"/>
      <c r="H25" s="346"/>
      <c r="I25" s="340"/>
      <c r="J25" s="340"/>
      <c r="K25" s="340"/>
      <c r="L25" s="340"/>
      <c r="M25" s="226"/>
      <c r="N25" s="226"/>
      <c r="O25" s="226"/>
      <c r="P25" s="340"/>
      <c r="Q25" s="340"/>
      <c r="R25" s="340"/>
      <c r="S25" s="222"/>
      <c r="T25" s="222"/>
      <c r="U25" s="340"/>
      <c r="V25" s="340"/>
      <c r="W25" s="340"/>
      <c r="X25" s="340"/>
      <c r="Y25" s="340"/>
      <c r="Z25" s="340"/>
    </row>
    <row r="26" spans="1:26">
      <c r="A26" s="173">
        <v>1</v>
      </c>
      <c r="C26" s="268">
        <v>46021</v>
      </c>
      <c r="D26" s="343">
        <f>K14</f>
        <v>43000</v>
      </c>
      <c r="E26" s="343"/>
      <c r="F26" s="343"/>
      <c r="G26" s="338">
        <f t="shared" ref="G26:G31" si="0">D26*$K$15</f>
        <v>1290</v>
      </c>
      <c r="H26" s="338"/>
      <c r="I26" s="338">
        <f t="shared" ref="I26:I31" si="1">G26*0.12</f>
        <v>154.79999999999998</v>
      </c>
      <c r="J26" s="338"/>
      <c r="K26" s="338">
        <f>G26+I26</f>
        <v>1444.8</v>
      </c>
      <c r="L26" s="338"/>
      <c r="M26" s="338">
        <f t="shared" ref="M26:M31" si="2">$K$19</f>
        <v>1675.4672291253412</v>
      </c>
      <c r="N26" s="338"/>
      <c r="O26" s="338"/>
      <c r="P26" s="338">
        <f t="shared" ref="P26:P31" si="3">M26-K26</f>
        <v>230.66722912534124</v>
      </c>
      <c r="Q26" s="338"/>
      <c r="R26" s="338"/>
      <c r="S26" s="174">
        <f t="shared" ref="S26:S57" si="4">IF(D26="","",$K$17)</f>
        <v>471.58900000000006</v>
      </c>
      <c r="T26" s="174">
        <f t="shared" ref="T26:T57" si="5">IF(D26="","",$K$18)</f>
        <v>148.19999999999999</v>
      </c>
      <c r="U26" s="338">
        <f t="shared" ref="U26:U31" si="6">D26-P26</f>
        <v>42769.332770874658</v>
      </c>
      <c r="V26" s="338"/>
      <c r="W26" s="338"/>
      <c r="X26" s="338">
        <f>IFERROR(M26+S26+T26,"")</f>
        <v>2295.2562291253412</v>
      </c>
      <c r="Y26" s="338"/>
      <c r="Z26" s="338"/>
    </row>
    <row r="27" spans="1:26">
      <c r="A27" s="173">
        <f>IF(C27="","",A26+1)</f>
        <v>2</v>
      </c>
      <c r="B27" s="57">
        <v>1</v>
      </c>
      <c r="C27" s="269">
        <f>IF(D27="","",EDATE($C$26,B27))</f>
        <v>46052</v>
      </c>
      <c r="D27" s="337">
        <f>IF(D26="","",U26)</f>
        <v>42769.332770874658</v>
      </c>
      <c r="E27" s="337"/>
      <c r="F27" s="337"/>
      <c r="G27" s="338">
        <f t="shared" si="0"/>
        <v>1283.0799831262398</v>
      </c>
      <c r="H27" s="338"/>
      <c r="I27" s="338">
        <f t="shared" si="1"/>
        <v>153.96959797514876</v>
      </c>
      <c r="J27" s="338"/>
      <c r="K27" s="338">
        <f>G27+I27</f>
        <v>1437.0495811013884</v>
      </c>
      <c r="L27" s="338"/>
      <c r="M27" s="338">
        <f t="shared" si="2"/>
        <v>1675.4672291253412</v>
      </c>
      <c r="N27" s="338"/>
      <c r="O27" s="338"/>
      <c r="P27" s="338">
        <f t="shared" si="3"/>
        <v>238.41764802395278</v>
      </c>
      <c r="Q27" s="338"/>
      <c r="R27" s="338"/>
      <c r="S27" s="174">
        <f t="shared" si="4"/>
        <v>471.58900000000006</v>
      </c>
      <c r="T27" s="174">
        <f t="shared" si="5"/>
        <v>148.19999999999999</v>
      </c>
      <c r="U27" s="338">
        <f t="shared" si="6"/>
        <v>42530.915122850703</v>
      </c>
      <c r="V27" s="338"/>
      <c r="W27" s="338"/>
      <c r="X27" s="338">
        <f>IF(D27="","",$X$26)</f>
        <v>2295.2562291253412</v>
      </c>
      <c r="Y27" s="338"/>
      <c r="Z27" s="338"/>
    </row>
    <row r="28" spans="1:26">
      <c r="A28" s="173">
        <f t="shared" ref="A28:A89" si="7">IF(C28="","",A27+1)</f>
        <v>3</v>
      </c>
      <c r="B28" s="57">
        <v>2</v>
      </c>
      <c r="C28" s="269">
        <f t="shared" ref="C28:C73" si="8">IF(D28="","",EDATE($C$26,B28))</f>
        <v>46081</v>
      </c>
      <c r="D28" s="337">
        <f>IF(D27="","",U27)</f>
        <v>42530.915122850703</v>
      </c>
      <c r="E28" s="337"/>
      <c r="F28" s="337"/>
      <c r="G28" s="338">
        <f t="shared" si="0"/>
        <v>1275.927453685521</v>
      </c>
      <c r="H28" s="338"/>
      <c r="I28" s="338">
        <f t="shared" si="1"/>
        <v>153.1112944422625</v>
      </c>
      <c r="J28" s="338"/>
      <c r="K28" s="338">
        <f>G28+I28</f>
        <v>1429.0387481277835</v>
      </c>
      <c r="L28" s="338"/>
      <c r="M28" s="338">
        <f t="shared" si="2"/>
        <v>1675.4672291253412</v>
      </c>
      <c r="N28" s="338"/>
      <c r="O28" s="338"/>
      <c r="P28" s="338">
        <f t="shared" si="3"/>
        <v>246.4284809975577</v>
      </c>
      <c r="Q28" s="338"/>
      <c r="R28" s="338"/>
      <c r="S28" s="174">
        <f t="shared" si="4"/>
        <v>471.58900000000006</v>
      </c>
      <c r="T28" s="174">
        <f t="shared" si="5"/>
        <v>148.19999999999999</v>
      </c>
      <c r="U28" s="338">
        <f t="shared" si="6"/>
        <v>42284.486641853146</v>
      </c>
      <c r="V28" s="338"/>
      <c r="W28" s="338"/>
      <c r="X28" s="338">
        <f t="shared" ref="X28:X43" si="9">IF(D28="","",$X$26)</f>
        <v>2295.2562291253412</v>
      </c>
      <c r="Y28" s="338"/>
      <c r="Z28" s="338"/>
    </row>
    <row r="29" spans="1:26">
      <c r="A29" s="173">
        <f t="shared" si="7"/>
        <v>4</v>
      </c>
      <c r="B29" s="57">
        <v>3</v>
      </c>
      <c r="C29" s="269">
        <f t="shared" si="8"/>
        <v>46111</v>
      </c>
      <c r="D29" s="337">
        <f>IF(D28="","",U28)</f>
        <v>42284.486641853146</v>
      </c>
      <c r="E29" s="337"/>
      <c r="F29" s="337"/>
      <c r="G29" s="338">
        <f t="shared" si="0"/>
        <v>1268.5345992555942</v>
      </c>
      <c r="H29" s="338"/>
      <c r="I29" s="338">
        <f t="shared" si="1"/>
        <v>152.22415191067131</v>
      </c>
      <c r="J29" s="338"/>
      <c r="K29" s="338">
        <f>G29+I29</f>
        <v>1420.7587511662655</v>
      </c>
      <c r="L29" s="338"/>
      <c r="M29" s="338">
        <f t="shared" si="2"/>
        <v>1675.4672291253412</v>
      </c>
      <c r="N29" s="338"/>
      <c r="O29" s="338"/>
      <c r="P29" s="338">
        <f t="shared" si="3"/>
        <v>254.70847795907571</v>
      </c>
      <c r="Q29" s="338"/>
      <c r="R29" s="338"/>
      <c r="S29" s="174">
        <f t="shared" si="4"/>
        <v>471.58900000000006</v>
      </c>
      <c r="T29" s="174">
        <f t="shared" si="5"/>
        <v>148.19999999999999</v>
      </c>
      <c r="U29" s="338">
        <f t="shared" si="6"/>
        <v>42029.778163894072</v>
      </c>
      <c r="V29" s="338"/>
      <c r="W29" s="338"/>
      <c r="X29" s="338">
        <f t="shared" si="9"/>
        <v>2295.2562291253412</v>
      </c>
      <c r="Y29" s="338"/>
      <c r="Z29" s="338"/>
    </row>
    <row r="30" spans="1:26">
      <c r="A30" s="173">
        <f t="shared" si="7"/>
        <v>5</v>
      </c>
      <c r="B30" s="57">
        <v>4</v>
      </c>
      <c r="C30" s="269">
        <f t="shared" si="8"/>
        <v>46142</v>
      </c>
      <c r="D30" s="337">
        <f>IF(D29="","",U29)</f>
        <v>42029.778163894072</v>
      </c>
      <c r="E30" s="337"/>
      <c r="F30" s="337"/>
      <c r="G30" s="338">
        <f t="shared" si="0"/>
        <v>1260.8933449168221</v>
      </c>
      <c r="H30" s="338"/>
      <c r="I30" s="338">
        <f t="shared" si="1"/>
        <v>151.30720139001866</v>
      </c>
      <c r="J30" s="338"/>
      <c r="K30" s="338">
        <f>G30+I30</f>
        <v>1412.2005463068408</v>
      </c>
      <c r="L30" s="338"/>
      <c r="M30" s="338">
        <f t="shared" si="2"/>
        <v>1675.4672291253412</v>
      </c>
      <c r="N30" s="338"/>
      <c r="O30" s="338"/>
      <c r="P30" s="338">
        <f t="shared" si="3"/>
        <v>263.26668281850039</v>
      </c>
      <c r="Q30" s="338"/>
      <c r="R30" s="338"/>
      <c r="S30" s="174">
        <f t="shared" si="4"/>
        <v>471.58900000000006</v>
      </c>
      <c r="T30" s="174">
        <f t="shared" si="5"/>
        <v>148.19999999999999</v>
      </c>
      <c r="U30" s="338">
        <f t="shared" si="6"/>
        <v>41766.511481075569</v>
      </c>
      <c r="V30" s="338"/>
      <c r="W30" s="338"/>
      <c r="X30" s="338">
        <f t="shared" si="9"/>
        <v>2295.2562291253412</v>
      </c>
      <c r="Y30" s="338"/>
      <c r="Z30" s="338"/>
    </row>
    <row r="31" spans="1:26">
      <c r="A31" s="173">
        <f t="shared" si="7"/>
        <v>6</v>
      </c>
      <c r="B31" s="57">
        <v>5</v>
      </c>
      <c r="C31" s="269">
        <f t="shared" si="8"/>
        <v>46172</v>
      </c>
      <c r="D31" s="337">
        <f>IF(D30="","",U30)</f>
        <v>41766.511481075569</v>
      </c>
      <c r="E31" s="337"/>
      <c r="F31" s="337"/>
      <c r="G31" s="338">
        <f t="shared" si="0"/>
        <v>1252.9953444322671</v>
      </c>
      <c r="H31" s="338"/>
      <c r="I31" s="338">
        <f t="shared" si="1"/>
        <v>150.35944133187203</v>
      </c>
      <c r="J31" s="338"/>
      <c r="K31" s="338">
        <f>IF(G31="","",G31+I31)</f>
        <v>1403.354785764139</v>
      </c>
      <c r="L31" s="338"/>
      <c r="M31" s="338">
        <f t="shared" si="2"/>
        <v>1675.4672291253412</v>
      </c>
      <c r="N31" s="338"/>
      <c r="O31" s="338"/>
      <c r="P31" s="338">
        <f t="shared" si="3"/>
        <v>272.11244336120217</v>
      </c>
      <c r="Q31" s="338"/>
      <c r="R31" s="338"/>
      <c r="S31" s="174">
        <f t="shared" si="4"/>
        <v>471.58900000000006</v>
      </c>
      <c r="T31" s="174">
        <f t="shared" si="5"/>
        <v>148.19999999999999</v>
      </c>
      <c r="U31" s="338">
        <f t="shared" si="6"/>
        <v>41494.399037714364</v>
      </c>
      <c r="V31" s="338"/>
      <c r="W31" s="338"/>
      <c r="X31" s="338">
        <f t="shared" si="9"/>
        <v>2295.2562291253412</v>
      </c>
      <c r="Y31" s="338"/>
      <c r="Z31" s="338"/>
    </row>
    <row r="32" spans="1:26">
      <c r="A32" s="173">
        <f t="shared" si="7"/>
        <v>7</v>
      </c>
      <c r="B32" s="57">
        <v>6</v>
      </c>
      <c r="C32" s="269">
        <f t="shared" si="8"/>
        <v>46203</v>
      </c>
      <c r="D32" s="337">
        <f>IF(U31&lt;=0.1,"",U31)</f>
        <v>41494.399037714364</v>
      </c>
      <c r="E32" s="337"/>
      <c r="F32" s="337"/>
      <c r="G32" s="338">
        <f t="shared" ref="G32:G49" si="10">IF(D32="","",(D32*$K$15))</f>
        <v>1244.8319711314309</v>
      </c>
      <c r="H32" s="338"/>
      <c r="I32" s="338">
        <f t="shared" ref="I32:I50" si="11">IF(G32="","",(G32*0.12))</f>
        <v>149.37983653577172</v>
      </c>
      <c r="J32" s="338"/>
      <c r="K32" s="338">
        <f t="shared" ref="K32:K51" si="12">IF(G32="","",G32+I32)</f>
        <v>1394.2118076672027</v>
      </c>
      <c r="L32" s="338"/>
      <c r="M32" s="338">
        <f>IF(D32="","",$K$19)</f>
        <v>1675.4672291253412</v>
      </c>
      <c r="N32" s="338"/>
      <c r="O32" s="338"/>
      <c r="P32" s="338">
        <f>IF(D32="","",M32-K32)</f>
        <v>281.25542145813847</v>
      </c>
      <c r="Q32" s="338"/>
      <c r="R32" s="338"/>
      <c r="S32" s="174">
        <f t="shared" si="4"/>
        <v>471.58900000000006</v>
      </c>
      <c r="T32" s="174">
        <f t="shared" si="5"/>
        <v>148.19999999999999</v>
      </c>
      <c r="U32" s="338">
        <f t="shared" ref="U32:U73" si="13">IF(D32="","",D32-P32)</f>
        <v>41213.143616256224</v>
      </c>
      <c r="V32" s="338"/>
      <c r="W32" s="338"/>
      <c r="X32" s="338">
        <f t="shared" si="9"/>
        <v>2295.2562291253412</v>
      </c>
      <c r="Y32" s="338"/>
      <c r="Z32" s="338"/>
    </row>
    <row r="33" spans="1:26">
      <c r="A33" s="173">
        <f t="shared" si="7"/>
        <v>8</v>
      </c>
      <c r="B33" s="57">
        <v>7</v>
      </c>
      <c r="C33" s="269">
        <f t="shared" si="8"/>
        <v>46233</v>
      </c>
      <c r="D33" s="337">
        <f t="shared" ref="D33:D60" si="14">IF(U32&lt;=0.1,"",U32)</f>
        <v>41213.143616256224</v>
      </c>
      <c r="E33" s="337"/>
      <c r="F33" s="337"/>
      <c r="G33" s="338">
        <f t="shared" si="10"/>
        <v>1236.3943084876867</v>
      </c>
      <c r="H33" s="338"/>
      <c r="I33" s="338">
        <f t="shared" si="11"/>
        <v>148.36731701852239</v>
      </c>
      <c r="J33" s="338"/>
      <c r="K33" s="338">
        <f t="shared" si="12"/>
        <v>1384.7616255062089</v>
      </c>
      <c r="L33" s="338"/>
      <c r="M33" s="338">
        <f t="shared" ref="M33:M73" si="15">IF(I33="","",$K$19)</f>
        <v>1675.4672291253412</v>
      </c>
      <c r="N33" s="338"/>
      <c r="O33" s="338"/>
      <c r="P33" s="338">
        <f t="shared" ref="P33:P58" si="16">IF(D33="","",M33-K33)</f>
        <v>290.70560361913226</v>
      </c>
      <c r="Q33" s="338"/>
      <c r="R33" s="338"/>
      <c r="S33" s="174">
        <f t="shared" si="4"/>
        <v>471.58900000000006</v>
      </c>
      <c r="T33" s="174">
        <f t="shared" si="5"/>
        <v>148.19999999999999</v>
      </c>
      <c r="U33" s="338">
        <f t="shared" si="13"/>
        <v>40922.438012637089</v>
      </c>
      <c r="V33" s="338"/>
      <c r="W33" s="338"/>
      <c r="X33" s="338">
        <f t="shared" si="9"/>
        <v>2295.2562291253412</v>
      </c>
      <c r="Y33" s="338"/>
      <c r="Z33" s="338"/>
    </row>
    <row r="34" spans="1:26">
      <c r="A34" s="173">
        <f t="shared" si="7"/>
        <v>9</v>
      </c>
      <c r="B34" s="57">
        <v>8</v>
      </c>
      <c r="C34" s="269">
        <f t="shared" si="8"/>
        <v>46264</v>
      </c>
      <c r="D34" s="337">
        <f t="shared" si="14"/>
        <v>40922.438012637089</v>
      </c>
      <c r="E34" s="337"/>
      <c r="F34" s="337"/>
      <c r="G34" s="338">
        <f t="shared" si="10"/>
        <v>1227.6731403791125</v>
      </c>
      <c r="H34" s="338"/>
      <c r="I34" s="338">
        <f t="shared" si="11"/>
        <v>147.3207768454935</v>
      </c>
      <c r="J34" s="338"/>
      <c r="K34" s="338">
        <f t="shared" si="12"/>
        <v>1374.9939172246061</v>
      </c>
      <c r="L34" s="338"/>
      <c r="M34" s="338">
        <f t="shared" si="15"/>
        <v>1675.4672291253412</v>
      </c>
      <c r="N34" s="338"/>
      <c r="O34" s="338"/>
      <c r="P34" s="338">
        <f t="shared" si="16"/>
        <v>300.4733119007351</v>
      </c>
      <c r="Q34" s="338"/>
      <c r="R34" s="338"/>
      <c r="S34" s="174">
        <f t="shared" si="4"/>
        <v>471.58900000000006</v>
      </c>
      <c r="T34" s="174">
        <f t="shared" si="5"/>
        <v>148.19999999999999</v>
      </c>
      <c r="U34" s="338">
        <f t="shared" si="13"/>
        <v>40621.964700736353</v>
      </c>
      <c r="V34" s="338"/>
      <c r="W34" s="338"/>
      <c r="X34" s="338">
        <f t="shared" si="9"/>
        <v>2295.2562291253412</v>
      </c>
      <c r="Y34" s="338"/>
      <c r="Z34" s="338"/>
    </row>
    <row r="35" spans="1:26">
      <c r="A35" s="173">
        <f t="shared" si="7"/>
        <v>10</v>
      </c>
      <c r="B35" s="57">
        <v>9</v>
      </c>
      <c r="C35" s="269">
        <f t="shared" si="8"/>
        <v>46295</v>
      </c>
      <c r="D35" s="337">
        <f t="shared" si="14"/>
        <v>40621.964700736353</v>
      </c>
      <c r="E35" s="337"/>
      <c r="F35" s="337"/>
      <c r="G35" s="338">
        <f t="shared" si="10"/>
        <v>1218.6589410220906</v>
      </c>
      <c r="H35" s="338"/>
      <c r="I35" s="338">
        <f t="shared" si="11"/>
        <v>146.23907292265088</v>
      </c>
      <c r="J35" s="338"/>
      <c r="K35" s="338">
        <f t="shared" si="12"/>
        <v>1364.8980139447415</v>
      </c>
      <c r="L35" s="338"/>
      <c r="M35" s="338">
        <f t="shared" si="15"/>
        <v>1675.4672291253412</v>
      </c>
      <c r="N35" s="338"/>
      <c r="O35" s="338"/>
      <c r="P35" s="338">
        <f t="shared" si="16"/>
        <v>310.56921518059971</v>
      </c>
      <c r="Q35" s="338"/>
      <c r="R35" s="338"/>
      <c r="S35" s="174">
        <f t="shared" si="4"/>
        <v>471.58900000000006</v>
      </c>
      <c r="T35" s="174">
        <f t="shared" si="5"/>
        <v>148.19999999999999</v>
      </c>
      <c r="U35" s="338">
        <f t="shared" si="13"/>
        <v>40311.395485555753</v>
      </c>
      <c r="V35" s="338"/>
      <c r="W35" s="338"/>
      <c r="X35" s="338">
        <f t="shared" si="9"/>
        <v>2295.2562291253412</v>
      </c>
      <c r="Y35" s="338"/>
      <c r="Z35" s="338"/>
    </row>
    <row r="36" spans="1:26">
      <c r="A36" s="173">
        <f t="shared" si="7"/>
        <v>11</v>
      </c>
      <c r="B36" s="57">
        <v>10</v>
      </c>
      <c r="C36" s="269">
        <f t="shared" si="8"/>
        <v>46325</v>
      </c>
      <c r="D36" s="337">
        <f t="shared" si="14"/>
        <v>40311.395485555753</v>
      </c>
      <c r="E36" s="337"/>
      <c r="F36" s="337"/>
      <c r="G36" s="338">
        <f t="shared" si="10"/>
        <v>1209.3418645666725</v>
      </c>
      <c r="H36" s="338"/>
      <c r="I36" s="338">
        <f t="shared" si="11"/>
        <v>145.12102374800068</v>
      </c>
      <c r="J36" s="338"/>
      <c r="K36" s="338">
        <f t="shared" si="12"/>
        <v>1354.4628883146731</v>
      </c>
      <c r="L36" s="338"/>
      <c r="M36" s="338">
        <f t="shared" si="15"/>
        <v>1675.4672291253412</v>
      </c>
      <c r="N36" s="338"/>
      <c r="O36" s="338"/>
      <c r="P36" s="339">
        <f>IF(D36="","",M36-K36)</f>
        <v>321.00434081066805</v>
      </c>
      <c r="Q36" s="339"/>
      <c r="R36" s="339"/>
      <c r="S36" s="174">
        <f t="shared" si="4"/>
        <v>471.58900000000006</v>
      </c>
      <c r="T36" s="174">
        <f t="shared" si="5"/>
        <v>148.19999999999999</v>
      </c>
      <c r="U36" s="338">
        <f t="shared" si="13"/>
        <v>39990.391144745088</v>
      </c>
      <c r="V36" s="338"/>
      <c r="W36" s="338"/>
      <c r="X36" s="338">
        <f t="shared" si="9"/>
        <v>2295.2562291253412</v>
      </c>
      <c r="Y36" s="338"/>
      <c r="Z36" s="338"/>
    </row>
    <row r="37" spans="1:26">
      <c r="A37" s="173">
        <f t="shared" si="7"/>
        <v>12</v>
      </c>
      <c r="B37" s="57">
        <v>11</v>
      </c>
      <c r="C37" s="269">
        <f t="shared" si="8"/>
        <v>46356</v>
      </c>
      <c r="D37" s="337">
        <f t="shared" si="14"/>
        <v>39990.391144745088</v>
      </c>
      <c r="E37" s="337"/>
      <c r="F37" s="337"/>
      <c r="G37" s="338">
        <f t="shared" si="10"/>
        <v>1199.7117343423527</v>
      </c>
      <c r="H37" s="338"/>
      <c r="I37" s="338">
        <f t="shared" si="11"/>
        <v>143.96540812108231</v>
      </c>
      <c r="J37" s="338"/>
      <c r="K37" s="338">
        <f t="shared" si="12"/>
        <v>1343.6771424634348</v>
      </c>
      <c r="L37" s="338"/>
      <c r="M37" s="338">
        <f t="shared" si="15"/>
        <v>1675.4672291253412</v>
      </c>
      <c r="N37" s="338"/>
      <c r="O37" s="338"/>
      <c r="P37" s="339">
        <f>IF(D37="","",M37-K37)</f>
        <v>331.79008666190634</v>
      </c>
      <c r="Q37" s="339"/>
      <c r="R37" s="339"/>
      <c r="S37" s="174">
        <f t="shared" si="4"/>
        <v>471.58900000000006</v>
      </c>
      <c r="T37" s="174">
        <f t="shared" si="5"/>
        <v>148.19999999999999</v>
      </c>
      <c r="U37" s="338">
        <f t="shared" si="13"/>
        <v>39658.601058083179</v>
      </c>
      <c r="V37" s="338"/>
      <c r="W37" s="338"/>
      <c r="X37" s="338">
        <f t="shared" si="9"/>
        <v>2295.2562291253412</v>
      </c>
      <c r="Y37" s="338"/>
      <c r="Z37" s="338"/>
    </row>
    <row r="38" spans="1:26">
      <c r="A38" s="173">
        <f t="shared" si="7"/>
        <v>13</v>
      </c>
      <c r="B38" s="57">
        <v>12</v>
      </c>
      <c r="C38" s="269">
        <f t="shared" si="8"/>
        <v>46386</v>
      </c>
      <c r="D38" s="337">
        <f t="shared" si="14"/>
        <v>39658.601058083179</v>
      </c>
      <c r="E38" s="337"/>
      <c r="F38" s="337"/>
      <c r="G38" s="338">
        <f t="shared" si="10"/>
        <v>1189.7580317424954</v>
      </c>
      <c r="H38" s="338"/>
      <c r="I38" s="338">
        <f t="shared" si="11"/>
        <v>142.77096380909944</v>
      </c>
      <c r="J38" s="338"/>
      <c r="K38" s="338">
        <f t="shared" si="12"/>
        <v>1332.5289955515948</v>
      </c>
      <c r="L38" s="338"/>
      <c r="M38" s="338">
        <f t="shared" si="15"/>
        <v>1675.4672291253412</v>
      </c>
      <c r="N38" s="338"/>
      <c r="O38" s="338"/>
      <c r="P38" s="338">
        <f t="shared" si="16"/>
        <v>342.9382335737464</v>
      </c>
      <c r="Q38" s="338"/>
      <c r="R38" s="338"/>
      <c r="S38" s="174">
        <f t="shared" si="4"/>
        <v>471.58900000000006</v>
      </c>
      <c r="T38" s="174">
        <f t="shared" si="5"/>
        <v>148.19999999999999</v>
      </c>
      <c r="U38" s="338">
        <f t="shared" si="13"/>
        <v>39315.662824509433</v>
      </c>
      <c r="V38" s="338"/>
      <c r="W38" s="338"/>
      <c r="X38" s="338">
        <f t="shared" si="9"/>
        <v>2295.2562291253412</v>
      </c>
      <c r="Y38" s="338"/>
      <c r="Z38" s="338"/>
    </row>
    <row r="39" spans="1:26">
      <c r="A39" s="173">
        <f t="shared" si="7"/>
        <v>14</v>
      </c>
      <c r="B39" s="57">
        <v>13</v>
      </c>
      <c r="C39" s="269">
        <f t="shared" si="8"/>
        <v>46417</v>
      </c>
      <c r="D39" s="337">
        <f t="shared" si="14"/>
        <v>39315.662824509433</v>
      </c>
      <c r="E39" s="337"/>
      <c r="F39" s="337"/>
      <c r="G39" s="338">
        <f t="shared" si="10"/>
        <v>1179.4698847352829</v>
      </c>
      <c r="H39" s="338"/>
      <c r="I39" s="338">
        <f t="shared" si="11"/>
        <v>141.53638616823395</v>
      </c>
      <c r="J39" s="338"/>
      <c r="K39" s="338">
        <f t="shared" si="12"/>
        <v>1321.0062709035169</v>
      </c>
      <c r="L39" s="338"/>
      <c r="M39" s="338">
        <f t="shared" si="15"/>
        <v>1675.4672291253412</v>
      </c>
      <c r="N39" s="338"/>
      <c r="O39" s="338"/>
      <c r="P39" s="338">
        <f t="shared" si="16"/>
        <v>354.46095822182428</v>
      </c>
      <c r="Q39" s="338"/>
      <c r="R39" s="338"/>
      <c r="S39" s="174">
        <f t="shared" si="4"/>
        <v>471.58900000000006</v>
      </c>
      <c r="T39" s="174">
        <f t="shared" si="5"/>
        <v>148.19999999999999</v>
      </c>
      <c r="U39" s="338">
        <f t="shared" si="13"/>
        <v>38961.201866287607</v>
      </c>
      <c r="V39" s="338"/>
      <c r="W39" s="338"/>
      <c r="X39" s="338">
        <f t="shared" si="9"/>
        <v>2295.2562291253412</v>
      </c>
      <c r="Y39" s="338"/>
      <c r="Z39" s="338"/>
    </row>
    <row r="40" spans="1:26">
      <c r="A40" s="173">
        <f t="shared" si="7"/>
        <v>15</v>
      </c>
      <c r="B40" s="57">
        <v>14</v>
      </c>
      <c r="C40" s="269">
        <f t="shared" si="8"/>
        <v>46446</v>
      </c>
      <c r="D40" s="337">
        <f t="shared" si="14"/>
        <v>38961.201866287607</v>
      </c>
      <c r="E40" s="337"/>
      <c r="F40" s="337"/>
      <c r="G40" s="338">
        <f t="shared" si="10"/>
        <v>1168.8360559886282</v>
      </c>
      <c r="H40" s="338"/>
      <c r="I40" s="338">
        <f t="shared" si="11"/>
        <v>140.26032671863538</v>
      </c>
      <c r="J40" s="338"/>
      <c r="K40" s="338">
        <f t="shared" si="12"/>
        <v>1309.0963827072637</v>
      </c>
      <c r="L40" s="338"/>
      <c r="M40" s="338">
        <f t="shared" si="15"/>
        <v>1675.4672291253412</v>
      </c>
      <c r="N40" s="338"/>
      <c r="O40" s="338"/>
      <c r="P40" s="338">
        <f t="shared" si="16"/>
        <v>366.37084641807746</v>
      </c>
      <c r="Q40" s="338"/>
      <c r="R40" s="338"/>
      <c r="S40" s="174">
        <f t="shared" si="4"/>
        <v>471.58900000000006</v>
      </c>
      <c r="T40" s="174">
        <f t="shared" si="5"/>
        <v>148.19999999999999</v>
      </c>
      <c r="U40" s="338">
        <f t="shared" si="13"/>
        <v>38594.831019869533</v>
      </c>
      <c r="V40" s="338"/>
      <c r="W40" s="338"/>
      <c r="X40" s="338">
        <f t="shared" si="9"/>
        <v>2295.2562291253412</v>
      </c>
      <c r="Y40" s="338"/>
      <c r="Z40" s="338"/>
    </row>
    <row r="41" spans="1:26">
      <c r="A41" s="173">
        <f t="shared" si="7"/>
        <v>16</v>
      </c>
      <c r="B41" s="57">
        <v>15</v>
      </c>
      <c r="C41" s="269">
        <f t="shared" si="8"/>
        <v>46476</v>
      </c>
      <c r="D41" s="337">
        <f t="shared" si="14"/>
        <v>38594.831019869533</v>
      </c>
      <c r="E41" s="337"/>
      <c r="F41" s="337"/>
      <c r="G41" s="338">
        <f t="shared" si="10"/>
        <v>1157.844930596086</v>
      </c>
      <c r="H41" s="338"/>
      <c r="I41" s="338">
        <f t="shared" si="11"/>
        <v>138.94139167153031</v>
      </c>
      <c r="J41" s="338"/>
      <c r="K41" s="338">
        <f t="shared" si="12"/>
        <v>1296.7863222676162</v>
      </c>
      <c r="L41" s="338"/>
      <c r="M41" s="338">
        <f t="shared" si="15"/>
        <v>1675.4672291253412</v>
      </c>
      <c r="N41" s="338"/>
      <c r="O41" s="338"/>
      <c r="P41" s="338">
        <f t="shared" si="16"/>
        <v>378.68090685772495</v>
      </c>
      <c r="Q41" s="338"/>
      <c r="R41" s="338"/>
      <c r="S41" s="174">
        <f t="shared" si="4"/>
        <v>471.58900000000006</v>
      </c>
      <c r="T41" s="174">
        <f t="shared" si="5"/>
        <v>148.19999999999999</v>
      </c>
      <c r="U41" s="338">
        <f t="shared" si="13"/>
        <v>38216.150113011805</v>
      </c>
      <c r="V41" s="338"/>
      <c r="W41" s="338"/>
      <c r="X41" s="338">
        <f t="shared" si="9"/>
        <v>2295.2562291253412</v>
      </c>
      <c r="Y41" s="338"/>
      <c r="Z41" s="338"/>
    </row>
    <row r="42" spans="1:26">
      <c r="A42" s="173">
        <f t="shared" si="7"/>
        <v>17</v>
      </c>
      <c r="B42" s="57">
        <v>16</v>
      </c>
      <c r="C42" s="269">
        <f t="shared" si="8"/>
        <v>46507</v>
      </c>
      <c r="D42" s="337">
        <f t="shared" si="14"/>
        <v>38216.150113011805</v>
      </c>
      <c r="E42" s="337"/>
      <c r="F42" s="337"/>
      <c r="G42" s="338">
        <f t="shared" si="10"/>
        <v>1146.4845033903541</v>
      </c>
      <c r="H42" s="338"/>
      <c r="I42" s="338">
        <f t="shared" si="11"/>
        <v>137.57814040684249</v>
      </c>
      <c r="J42" s="338"/>
      <c r="K42" s="338">
        <f t="shared" si="12"/>
        <v>1284.0626437971966</v>
      </c>
      <c r="L42" s="338"/>
      <c r="M42" s="338">
        <f t="shared" si="15"/>
        <v>1675.4672291253412</v>
      </c>
      <c r="N42" s="338"/>
      <c r="O42" s="338"/>
      <c r="P42" s="338">
        <f t="shared" si="16"/>
        <v>391.40458532814455</v>
      </c>
      <c r="Q42" s="338"/>
      <c r="R42" s="338"/>
      <c r="S42" s="174">
        <f t="shared" si="4"/>
        <v>471.58900000000006</v>
      </c>
      <c r="T42" s="174">
        <f t="shared" si="5"/>
        <v>148.19999999999999</v>
      </c>
      <c r="U42" s="338">
        <f t="shared" si="13"/>
        <v>37824.745527683663</v>
      </c>
      <c r="V42" s="338"/>
      <c r="W42" s="338"/>
      <c r="X42" s="338">
        <f t="shared" si="9"/>
        <v>2295.2562291253412</v>
      </c>
      <c r="Y42" s="338"/>
      <c r="Z42" s="338"/>
    </row>
    <row r="43" spans="1:26">
      <c r="A43" s="173">
        <f t="shared" si="7"/>
        <v>18</v>
      </c>
      <c r="B43" s="57">
        <v>17</v>
      </c>
      <c r="C43" s="269">
        <f t="shared" si="8"/>
        <v>46537</v>
      </c>
      <c r="D43" s="337">
        <f t="shared" si="14"/>
        <v>37824.745527683663</v>
      </c>
      <c r="E43" s="337"/>
      <c r="F43" s="337"/>
      <c r="G43" s="338">
        <f t="shared" si="10"/>
        <v>1134.7423658305099</v>
      </c>
      <c r="H43" s="338"/>
      <c r="I43" s="338">
        <f t="shared" si="11"/>
        <v>136.16908389966119</v>
      </c>
      <c r="J43" s="338"/>
      <c r="K43" s="338">
        <f t="shared" si="12"/>
        <v>1270.9114497301712</v>
      </c>
      <c r="L43" s="338"/>
      <c r="M43" s="338">
        <f t="shared" si="15"/>
        <v>1675.4672291253412</v>
      </c>
      <c r="N43" s="338"/>
      <c r="O43" s="338"/>
      <c r="P43" s="338">
        <f t="shared" si="16"/>
        <v>404.55577939517002</v>
      </c>
      <c r="Q43" s="338"/>
      <c r="R43" s="338"/>
      <c r="S43" s="174">
        <f t="shared" si="4"/>
        <v>471.58900000000006</v>
      </c>
      <c r="T43" s="174">
        <f t="shared" si="5"/>
        <v>148.19999999999999</v>
      </c>
      <c r="U43" s="338">
        <f t="shared" si="13"/>
        <v>37420.189748288496</v>
      </c>
      <c r="V43" s="338"/>
      <c r="W43" s="338"/>
      <c r="X43" s="338">
        <f t="shared" si="9"/>
        <v>2295.2562291253412</v>
      </c>
      <c r="Y43" s="338"/>
      <c r="Z43" s="338"/>
    </row>
    <row r="44" spans="1:26">
      <c r="A44" s="173">
        <f t="shared" si="7"/>
        <v>19</v>
      </c>
      <c r="B44" s="57">
        <v>18</v>
      </c>
      <c r="C44" s="269">
        <f t="shared" si="8"/>
        <v>46568</v>
      </c>
      <c r="D44" s="337">
        <f t="shared" si="14"/>
        <v>37420.189748288496</v>
      </c>
      <c r="E44" s="337"/>
      <c r="F44" s="337"/>
      <c r="G44" s="338">
        <f t="shared" si="10"/>
        <v>1122.6056924486547</v>
      </c>
      <c r="H44" s="338"/>
      <c r="I44" s="338">
        <f t="shared" si="11"/>
        <v>134.71268309383856</v>
      </c>
      <c r="J44" s="338"/>
      <c r="K44" s="338">
        <f t="shared" si="12"/>
        <v>1257.3183755424934</v>
      </c>
      <c r="L44" s="338"/>
      <c r="M44" s="338">
        <f t="shared" si="15"/>
        <v>1675.4672291253412</v>
      </c>
      <c r="N44" s="338"/>
      <c r="O44" s="338"/>
      <c r="P44" s="338">
        <f t="shared" si="16"/>
        <v>418.14885358284778</v>
      </c>
      <c r="Q44" s="338"/>
      <c r="R44" s="338"/>
      <c r="S44" s="174">
        <f t="shared" si="4"/>
        <v>471.58900000000006</v>
      </c>
      <c r="T44" s="174">
        <f t="shared" si="5"/>
        <v>148.19999999999999</v>
      </c>
      <c r="U44" s="338">
        <f t="shared" si="13"/>
        <v>37002.040894705649</v>
      </c>
      <c r="V44" s="338"/>
      <c r="W44" s="338"/>
      <c r="X44" s="338">
        <f>IF(D44="","",$X$26)</f>
        <v>2295.2562291253412</v>
      </c>
      <c r="Y44" s="338"/>
      <c r="Z44" s="338"/>
    </row>
    <row r="45" spans="1:26">
      <c r="A45" s="173">
        <f t="shared" si="7"/>
        <v>20</v>
      </c>
      <c r="B45" s="57">
        <v>19</v>
      </c>
      <c r="C45" s="269">
        <f t="shared" si="8"/>
        <v>46598</v>
      </c>
      <c r="D45" s="337">
        <f t="shared" si="14"/>
        <v>37002.040894705649</v>
      </c>
      <c r="E45" s="337"/>
      <c r="F45" s="337"/>
      <c r="G45" s="338">
        <f t="shared" si="10"/>
        <v>1110.0612268411694</v>
      </c>
      <c r="H45" s="338"/>
      <c r="I45" s="338">
        <f t="shared" si="11"/>
        <v>133.20734722094033</v>
      </c>
      <c r="J45" s="338"/>
      <c r="K45" s="338">
        <f t="shared" si="12"/>
        <v>1243.2685740621098</v>
      </c>
      <c r="L45" s="338"/>
      <c r="M45" s="338">
        <f t="shared" si="15"/>
        <v>1675.4672291253412</v>
      </c>
      <c r="N45" s="338"/>
      <c r="O45" s="338"/>
      <c r="P45" s="338">
        <f t="shared" si="16"/>
        <v>432.1986550632314</v>
      </c>
      <c r="Q45" s="338"/>
      <c r="R45" s="338"/>
      <c r="S45" s="174">
        <f t="shared" si="4"/>
        <v>471.58900000000006</v>
      </c>
      <c r="T45" s="174">
        <f t="shared" si="5"/>
        <v>148.19999999999999</v>
      </c>
      <c r="U45" s="338">
        <f t="shared" si="13"/>
        <v>36569.842239642421</v>
      </c>
      <c r="V45" s="338"/>
      <c r="W45" s="338"/>
      <c r="X45" s="338">
        <f t="shared" ref="X45:X52" si="17">IF(D45="","",$X$26)</f>
        <v>2295.2562291253412</v>
      </c>
      <c r="Y45" s="338"/>
      <c r="Z45" s="338"/>
    </row>
    <row r="46" spans="1:26">
      <c r="A46" s="173">
        <f t="shared" si="7"/>
        <v>21</v>
      </c>
      <c r="B46" s="57">
        <v>20</v>
      </c>
      <c r="C46" s="269">
        <f t="shared" si="8"/>
        <v>46629</v>
      </c>
      <c r="D46" s="337">
        <f t="shared" si="14"/>
        <v>36569.842239642421</v>
      </c>
      <c r="E46" s="337"/>
      <c r="F46" s="337"/>
      <c r="G46" s="338">
        <f t="shared" si="10"/>
        <v>1097.0952671892726</v>
      </c>
      <c r="H46" s="338"/>
      <c r="I46" s="338">
        <f t="shared" si="11"/>
        <v>131.6514320627127</v>
      </c>
      <c r="J46" s="338"/>
      <c r="K46" s="338">
        <f t="shared" si="12"/>
        <v>1228.7466992519853</v>
      </c>
      <c r="L46" s="338"/>
      <c r="M46" s="338">
        <f t="shared" si="15"/>
        <v>1675.4672291253412</v>
      </c>
      <c r="N46" s="338"/>
      <c r="O46" s="338"/>
      <c r="P46" s="338">
        <f t="shared" si="16"/>
        <v>446.72052987335587</v>
      </c>
      <c r="Q46" s="338"/>
      <c r="R46" s="338"/>
      <c r="S46" s="174">
        <f t="shared" si="4"/>
        <v>471.58900000000006</v>
      </c>
      <c r="T46" s="174">
        <f t="shared" si="5"/>
        <v>148.19999999999999</v>
      </c>
      <c r="U46" s="338">
        <f t="shared" si="13"/>
        <v>36123.121709769068</v>
      </c>
      <c r="V46" s="338"/>
      <c r="W46" s="338"/>
      <c r="X46" s="338">
        <f t="shared" si="17"/>
        <v>2295.2562291253412</v>
      </c>
      <c r="Y46" s="338"/>
      <c r="Z46" s="338"/>
    </row>
    <row r="47" spans="1:26">
      <c r="A47" s="173">
        <f t="shared" si="7"/>
        <v>22</v>
      </c>
      <c r="B47" s="57">
        <v>21</v>
      </c>
      <c r="C47" s="269">
        <f t="shared" si="8"/>
        <v>46660</v>
      </c>
      <c r="D47" s="337">
        <f t="shared" si="14"/>
        <v>36123.121709769068</v>
      </c>
      <c r="E47" s="337"/>
      <c r="F47" s="337"/>
      <c r="G47" s="338">
        <f t="shared" si="10"/>
        <v>1083.693651293072</v>
      </c>
      <c r="H47" s="338"/>
      <c r="I47" s="338">
        <f t="shared" si="11"/>
        <v>130.04323815516864</v>
      </c>
      <c r="J47" s="338"/>
      <c r="K47" s="338">
        <f t="shared" si="12"/>
        <v>1213.7368894482406</v>
      </c>
      <c r="L47" s="338"/>
      <c r="M47" s="338">
        <f t="shared" si="15"/>
        <v>1675.4672291253412</v>
      </c>
      <c r="N47" s="338"/>
      <c r="O47" s="338"/>
      <c r="P47" s="338">
        <f t="shared" si="16"/>
        <v>461.73033967710057</v>
      </c>
      <c r="Q47" s="338"/>
      <c r="R47" s="338"/>
      <c r="S47" s="174">
        <f t="shared" si="4"/>
        <v>471.58900000000006</v>
      </c>
      <c r="T47" s="174">
        <f t="shared" si="5"/>
        <v>148.19999999999999</v>
      </c>
      <c r="U47" s="338">
        <f t="shared" si="13"/>
        <v>35661.391370091966</v>
      </c>
      <c r="V47" s="338"/>
      <c r="W47" s="338"/>
      <c r="X47" s="338">
        <f t="shared" si="17"/>
        <v>2295.2562291253412</v>
      </c>
      <c r="Y47" s="338"/>
      <c r="Z47" s="338"/>
    </row>
    <row r="48" spans="1:26">
      <c r="A48" s="173">
        <f t="shared" si="7"/>
        <v>23</v>
      </c>
      <c r="B48" s="57">
        <v>22</v>
      </c>
      <c r="C48" s="269">
        <f t="shared" si="8"/>
        <v>46690</v>
      </c>
      <c r="D48" s="337">
        <f t="shared" si="14"/>
        <v>35661.391370091966</v>
      </c>
      <c r="E48" s="337"/>
      <c r="F48" s="337"/>
      <c r="G48" s="338">
        <f t="shared" si="10"/>
        <v>1069.841741102759</v>
      </c>
      <c r="H48" s="338"/>
      <c r="I48" s="338">
        <f t="shared" si="11"/>
        <v>128.38100893233107</v>
      </c>
      <c r="J48" s="338"/>
      <c r="K48" s="338">
        <f t="shared" si="12"/>
        <v>1198.22275003509</v>
      </c>
      <c r="L48" s="338"/>
      <c r="M48" s="338">
        <f t="shared" si="15"/>
        <v>1675.4672291253412</v>
      </c>
      <c r="N48" s="338"/>
      <c r="O48" s="338"/>
      <c r="P48" s="339">
        <f>IF(D48="","",M48-K48)</f>
        <v>477.24447909025116</v>
      </c>
      <c r="Q48" s="339"/>
      <c r="R48" s="339"/>
      <c r="S48" s="174">
        <f t="shared" si="4"/>
        <v>471.58900000000006</v>
      </c>
      <c r="T48" s="174">
        <f t="shared" si="5"/>
        <v>148.19999999999999</v>
      </c>
      <c r="U48" s="338">
        <f t="shared" si="13"/>
        <v>35184.146891001714</v>
      </c>
      <c r="V48" s="338"/>
      <c r="W48" s="338"/>
      <c r="X48" s="338">
        <f t="shared" si="17"/>
        <v>2295.2562291253412</v>
      </c>
      <c r="Y48" s="338"/>
      <c r="Z48" s="338"/>
    </row>
    <row r="49" spans="1:26">
      <c r="A49" s="173">
        <f t="shared" si="7"/>
        <v>24</v>
      </c>
      <c r="B49" s="57">
        <v>23</v>
      </c>
      <c r="C49" s="269">
        <f t="shared" si="8"/>
        <v>46721</v>
      </c>
      <c r="D49" s="337">
        <f t="shared" si="14"/>
        <v>35184.146891001714</v>
      </c>
      <c r="E49" s="337"/>
      <c r="F49" s="337"/>
      <c r="G49" s="338">
        <f t="shared" si="10"/>
        <v>1055.5244067300514</v>
      </c>
      <c r="H49" s="338"/>
      <c r="I49" s="338">
        <f t="shared" si="11"/>
        <v>126.66292880760616</v>
      </c>
      <c r="J49" s="338"/>
      <c r="K49" s="338">
        <f t="shared" si="12"/>
        <v>1182.1873355376576</v>
      </c>
      <c r="L49" s="338"/>
      <c r="M49" s="338">
        <f t="shared" si="15"/>
        <v>1675.4672291253412</v>
      </c>
      <c r="N49" s="338"/>
      <c r="O49" s="338"/>
      <c r="P49" s="339">
        <f>IF(D49="","",M49-K49)</f>
        <v>493.27989358768355</v>
      </c>
      <c r="Q49" s="339"/>
      <c r="R49" s="339"/>
      <c r="S49" s="174">
        <f t="shared" si="4"/>
        <v>471.58900000000006</v>
      </c>
      <c r="T49" s="174">
        <f t="shared" si="5"/>
        <v>148.19999999999999</v>
      </c>
      <c r="U49" s="338">
        <f t="shared" si="13"/>
        <v>34690.866997414028</v>
      </c>
      <c r="V49" s="338"/>
      <c r="W49" s="338"/>
      <c r="X49" s="338">
        <f t="shared" si="17"/>
        <v>2295.2562291253412</v>
      </c>
      <c r="Y49" s="338"/>
      <c r="Z49" s="338"/>
    </row>
    <row r="50" spans="1:26">
      <c r="A50" s="173">
        <f t="shared" si="7"/>
        <v>25</v>
      </c>
      <c r="B50" s="57">
        <v>24</v>
      </c>
      <c r="C50" s="269">
        <f t="shared" si="8"/>
        <v>46751</v>
      </c>
      <c r="D50" s="337">
        <f t="shared" si="14"/>
        <v>34690.866997414028</v>
      </c>
      <c r="E50" s="337"/>
      <c r="F50" s="337"/>
      <c r="G50" s="338">
        <f>IF(D50="","",(D50*$K$15))</f>
        <v>1040.7260099224209</v>
      </c>
      <c r="H50" s="338"/>
      <c r="I50" s="338">
        <f t="shared" si="11"/>
        <v>124.88712119069049</v>
      </c>
      <c r="J50" s="338"/>
      <c r="K50" s="338">
        <f t="shared" si="12"/>
        <v>1165.6131311131114</v>
      </c>
      <c r="L50" s="338"/>
      <c r="M50" s="338">
        <f t="shared" si="15"/>
        <v>1675.4672291253412</v>
      </c>
      <c r="N50" s="338"/>
      <c r="O50" s="338"/>
      <c r="P50" s="338">
        <f t="shared" si="16"/>
        <v>509.85409801222977</v>
      </c>
      <c r="Q50" s="338"/>
      <c r="R50" s="338"/>
      <c r="S50" s="174">
        <f t="shared" si="4"/>
        <v>471.58900000000006</v>
      </c>
      <c r="T50" s="174">
        <f t="shared" si="5"/>
        <v>148.19999999999999</v>
      </c>
      <c r="U50" s="338">
        <f t="shared" si="13"/>
        <v>34181.012899401801</v>
      </c>
      <c r="V50" s="338"/>
      <c r="W50" s="338"/>
      <c r="X50" s="338">
        <f t="shared" si="17"/>
        <v>2295.2562291253412</v>
      </c>
      <c r="Y50" s="338"/>
      <c r="Z50" s="338"/>
    </row>
    <row r="51" spans="1:26">
      <c r="A51" s="173">
        <f t="shared" si="7"/>
        <v>26</v>
      </c>
      <c r="B51" s="57">
        <v>25</v>
      </c>
      <c r="C51" s="269">
        <f t="shared" si="8"/>
        <v>46782</v>
      </c>
      <c r="D51" s="337">
        <f t="shared" si="14"/>
        <v>34181.012899401801</v>
      </c>
      <c r="E51" s="337"/>
      <c r="F51" s="337"/>
      <c r="G51" s="338">
        <f>IF(D51="","",(D51*$K$15))</f>
        <v>1025.430386982054</v>
      </c>
      <c r="H51" s="338"/>
      <c r="I51" s="338">
        <f>IF(G51="","",(G51*0.12))</f>
        <v>123.05164643784647</v>
      </c>
      <c r="J51" s="338"/>
      <c r="K51" s="338">
        <f t="shared" si="12"/>
        <v>1148.4820334199005</v>
      </c>
      <c r="L51" s="338"/>
      <c r="M51" s="338">
        <f t="shared" si="15"/>
        <v>1675.4672291253412</v>
      </c>
      <c r="N51" s="338"/>
      <c r="O51" s="338"/>
      <c r="P51" s="338">
        <f t="shared" si="16"/>
        <v>526.98519570544067</v>
      </c>
      <c r="Q51" s="338"/>
      <c r="R51" s="338"/>
      <c r="S51" s="174">
        <f t="shared" si="4"/>
        <v>471.58900000000006</v>
      </c>
      <c r="T51" s="174">
        <f t="shared" si="5"/>
        <v>148.19999999999999</v>
      </c>
      <c r="U51" s="338">
        <f t="shared" si="13"/>
        <v>33654.02770369636</v>
      </c>
      <c r="V51" s="338"/>
      <c r="W51" s="338"/>
      <c r="X51" s="338">
        <f t="shared" si="17"/>
        <v>2295.2562291253412</v>
      </c>
      <c r="Y51" s="338"/>
      <c r="Z51" s="338"/>
    </row>
    <row r="52" spans="1:26">
      <c r="A52" s="173">
        <f t="shared" si="7"/>
        <v>27</v>
      </c>
      <c r="B52" s="57">
        <v>26</v>
      </c>
      <c r="C52" s="269">
        <f t="shared" si="8"/>
        <v>46812</v>
      </c>
      <c r="D52" s="337">
        <f t="shared" si="14"/>
        <v>33654.02770369636</v>
      </c>
      <c r="E52" s="337"/>
      <c r="F52" s="337"/>
      <c r="G52" s="338">
        <f>IF(D52="","",(D52*$K$15))</f>
        <v>1009.6208311108908</v>
      </c>
      <c r="H52" s="338"/>
      <c r="I52" s="338">
        <f>IF(G52="","",(G52*0.12))</f>
        <v>121.15449973330689</v>
      </c>
      <c r="J52" s="338"/>
      <c r="K52" s="338">
        <f>IF(G52="","",G52+I52)</f>
        <v>1130.7753308441977</v>
      </c>
      <c r="L52" s="338"/>
      <c r="M52" s="338">
        <f t="shared" si="15"/>
        <v>1675.4672291253412</v>
      </c>
      <c r="N52" s="338"/>
      <c r="O52" s="338"/>
      <c r="P52" s="338">
        <f t="shared" si="16"/>
        <v>544.69189828114349</v>
      </c>
      <c r="Q52" s="338"/>
      <c r="R52" s="338"/>
      <c r="S52" s="174">
        <f t="shared" si="4"/>
        <v>471.58900000000006</v>
      </c>
      <c r="T52" s="174">
        <f t="shared" si="5"/>
        <v>148.19999999999999</v>
      </c>
      <c r="U52" s="338">
        <f t="shared" si="13"/>
        <v>33109.33580541522</v>
      </c>
      <c r="V52" s="338"/>
      <c r="W52" s="338"/>
      <c r="X52" s="338">
        <f t="shared" si="17"/>
        <v>2295.2562291253412</v>
      </c>
      <c r="Y52" s="338"/>
      <c r="Z52" s="338"/>
    </row>
    <row r="53" spans="1:26">
      <c r="A53" s="173">
        <f t="shared" si="7"/>
        <v>28</v>
      </c>
      <c r="B53" s="57">
        <v>27</v>
      </c>
      <c r="C53" s="269">
        <f t="shared" si="8"/>
        <v>46842</v>
      </c>
      <c r="D53" s="337">
        <f t="shared" si="14"/>
        <v>33109.33580541522</v>
      </c>
      <c r="E53" s="337"/>
      <c r="F53" s="337"/>
      <c r="G53" s="338">
        <f>IF(D53="","",(D53*$K$15))</f>
        <v>993.28007416245657</v>
      </c>
      <c r="H53" s="338"/>
      <c r="I53" s="338">
        <f>IF(G53="","",(G53*0.12))</f>
        <v>119.19360889949479</v>
      </c>
      <c r="J53" s="338"/>
      <c r="K53" s="338">
        <f>IF(G53="","",G53+I53)</f>
        <v>1112.4736830619513</v>
      </c>
      <c r="L53" s="338"/>
      <c r="M53" s="338">
        <f t="shared" si="15"/>
        <v>1675.4672291253412</v>
      </c>
      <c r="N53" s="338"/>
      <c r="O53" s="338"/>
      <c r="P53" s="338">
        <f t="shared" si="16"/>
        <v>562.99354606338989</v>
      </c>
      <c r="Q53" s="338"/>
      <c r="R53" s="338"/>
      <c r="S53" s="174">
        <f t="shared" si="4"/>
        <v>471.58900000000006</v>
      </c>
      <c r="T53" s="174">
        <f t="shared" si="5"/>
        <v>148.19999999999999</v>
      </c>
      <c r="U53" s="338">
        <f t="shared" si="13"/>
        <v>32546.34225935183</v>
      </c>
      <c r="V53" s="338"/>
      <c r="W53" s="338"/>
      <c r="X53" s="338">
        <f>IF(D53="","",$X$26)</f>
        <v>2295.2562291253412</v>
      </c>
      <c r="Y53" s="338"/>
      <c r="Z53" s="338"/>
    </row>
    <row r="54" spans="1:26">
      <c r="A54" s="173">
        <f t="shared" si="7"/>
        <v>29</v>
      </c>
      <c r="B54" s="57">
        <v>28</v>
      </c>
      <c r="C54" s="269">
        <f t="shared" si="8"/>
        <v>46873</v>
      </c>
      <c r="D54" s="337">
        <f t="shared" si="14"/>
        <v>32546.34225935183</v>
      </c>
      <c r="E54" s="337"/>
      <c r="F54" s="337"/>
      <c r="G54" s="338">
        <f t="shared" ref="G54:G59" si="18">IF(D54="","",(D54*$K$15))</f>
        <v>976.39026778055484</v>
      </c>
      <c r="H54" s="338"/>
      <c r="I54" s="338">
        <f t="shared" ref="I54:I59" si="19">IF(G54="","",(G54*0.12))</f>
        <v>117.16683213366657</v>
      </c>
      <c r="J54" s="338"/>
      <c r="K54" s="338">
        <f>IF(G54="","",G54+I54)</f>
        <v>1093.5570999142215</v>
      </c>
      <c r="L54" s="338"/>
      <c r="M54" s="338">
        <f t="shared" si="15"/>
        <v>1675.4672291253412</v>
      </c>
      <c r="N54" s="338"/>
      <c r="O54" s="338"/>
      <c r="P54" s="338">
        <f t="shared" si="16"/>
        <v>581.91012921111974</v>
      </c>
      <c r="Q54" s="338"/>
      <c r="R54" s="338"/>
      <c r="S54" s="174">
        <f t="shared" si="4"/>
        <v>471.58900000000006</v>
      </c>
      <c r="T54" s="174">
        <f t="shared" si="5"/>
        <v>148.19999999999999</v>
      </c>
      <c r="U54" s="338">
        <f t="shared" si="13"/>
        <v>31964.432130140711</v>
      </c>
      <c r="V54" s="338"/>
      <c r="W54" s="338"/>
      <c r="X54" s="338">
        <f t="shared" ref="X54:X73" si="20">IF(D54="","",$X$26)</f>
        <v>2295.2562291253412</v>
      </c>
      <c r="Y54" s="338"/>
      <c r="Z54" s="338"/>
    </row>
    <row r="55" spans="1:26">
      <c r="A55" s="173">
        <f t="shared" si="7"/>
        <v>30</v>
      </c>
      <c r="B55" s="57">
        <v>29</v>
      </c>
      <c r="C55" s="269">
        <f t="shared" si="8"/>
        <v>46903</v>
      </c>
      <c r="D55" s="337">
        <f t="shared" si="14"/>
        <v>31964.432130140711</v>
      </c>
      <c r="E55" s="337"/>
      <c r="F55" s="337"/>
      <c r="G55" s="338">
        <f t="shared" si="18"/>
        <v>958.93296390422131</v>
      </c>
      <c r="H55" s="338"/>
      <c r="I55" s="338">
        <f t="shared" si="19"/>
        <v>115.07195566850655</v>
      </c>
      <c r="J55" s="338"/>
      <c r="K55" s="338">
        <f>IF(G55="","",G55+I55)</f>
        <v>1074.0049195727279</v>
      </c>
      <c r="L55" s="338"/>
      <c r="M55" s="338">
        <f t="shared" si="15"/>
        <v>1675.4672291253412</v>
      </c>
      <c r="N55" s="338"/>
      <c r="O55" s="338"/>
      <c r="P55" s="338">
        <f t="shared" si="16"/>
        <v>601.46230955261331</v>
      </c>
      <c r="Q55" s="338"/>
      <c r="R55" s="338"/>
      <c r="S55" s="174">
        <f t="shared" si="4"/>
        <v>471.58900000000006</v>
      </c>
      <c r="T55" s="174">
        <f t="shared" si="5"/>
        <v>148.19999999999999</v>
      </c>
      <c r="U55" s="338">
        <f t="shared" si="13"/>
        <v>31362.969820588096</v>
      </c>
      <c r="V55" s="338"/>
      <c r="W55" s="338"/>
      <c r="X55" s="338">
        <f t="shared" si="20"/>
        <v>2295.2562291253412</v>
      </c>
      <c r="Y55" s="338"/>
      <c r="Z55" s="338"/>
    </row>
    <row r="56" spans="1:26">
      <c r="A56" s="173">
        <f t="shared" si="7"/>
        <v>31</v>
      </c>
      <c r="B56" s="57">
        <v>30</v>
      </c>
      <c r="C56" s="269">
        <f t="shared" si="8"/>
        <v>46934</v>
      </c>
      <c r="D56" s="337">
        <f t="shared" si="14"/>
        <v>31362.969820588096</v>
      </c>
      <c r="E56" s="337"/>
      <c r="F56" s="337"/>
      <c r="G56" s="338">
        <f t="shared" si="18"/>
        <v>940.88909461764285</v>
      </c>
      <c r="H56" s="338"/>
      <c r="I56" s="338">
        <f t="shared" si="19"/>
        <v>112.90669135411714</v>
      </c>
      <c r="J56" s="338"/>
      <c r="K56" s="338">
        <f t="shared" ref="K56:K70" si="21">IF(G56="","",G56+I56)</f>
        <v>1053.7957859717601</v>
      </c>
      <c r="L56" s="338"/>
      <c r="M56" s="338">
        <f t="shared" si="15"/>
        <v>1675.4672291253412</v>
      </c>
      <c r="N56" s="338"/>
      <c r="O56" s="338"/>
      <c r="P56" s="338">
        <f t="shared" si="16"/>
        <v>621.67144315358109</v>
      </c>
      <c r="Q56" s="338"/>
      <c r="R56" s="338"/>
      <c r="S56" s="174">
        <f t="shared" si="4"/>
        <v>471.58900000000006</v>
      </c>
      <c r="T56" s="174">
        <f t="shared" si="5"/>
        <v>148.19999999999999</v>
      </c>
      <c r="U56" s="338">
        <f t="shared" si="13"/>
        <v>30741.298377434516</v>
      </c>
      <c r="V56" s="338"/>
      <c r="W56" s="338"/>
      <c r="X56" s="338">
        <f t="shared" si="20"/>
        <v>2295.2562291253412</v>
      </c>
      <c r="Y56" s="338"/>
      <c r="Z56" s="338"/>
    </row>
    <row r="57" spans="1:26">
      <c r="A57" s="173">
        <f t="shared" si="7"/>
        <v>32</v>
      </c>
      <c r="B57" s="57">
        <v>31</v>
      </c>
      <c r="C57" s="269">
        <f t="shared" si="8"/>
        <v>46964</v>
      </c>
      <c r="D57" s="337">
        <f t="shared" si="14"/>
        <v>30741.298377434516</v>
      </c>
      <c r="E57" s="337"/>
      <c r="F57" s="337"/>
      <c r="G57" s="338">
        <f t="shared" si="18"/>
        <v>922.23895132303539</v>
      </c>
      <c r="H57" s="338"/>
      <c r="I57" s="338">
        <f t="shared" si="19"/>
        <v>110.66867415876425</v>
      </c>
      <c r="J57" s="338"/>
      <c r="K57" s="338">
        <f t="shared" si="21"/>
        <v>1032.9076254817996</v>
      </c>
      <c r="L57" s="338"/>
      <c r="M57" s="338">
        <f t="shared" si="15"/>
        <v>1675.4672291253412</v>
      </c>
      <c r="N57" s="338"/>
      <c r="O57" s="338"/>
      <c r="P57" s="338">
        <f t="shared" si="16"/>
        <v>642.55960364354155</v>
      </c>
      <c r="Q57" s="338"/>
      <c r="R57" s="338"/>
      <c r="S57" s="174">
        <f t="shared" si="4"/>
        <v>471.58900000000006</v>
      </c>
      <c r="T57" s="174">
        <f t="shared" si="5"/>
        <v>148.19999999999999</v>
      </c>
      <c r="U57" s="338">
        <f t="shared" si="13"/>
        <v>30098.738773790974</v>
      </c>
      <c r="V57" s="338"/>
      <c r="W57" s="338"/>
      <c r="X57" s="338">
        <f t="shared" si="20"/>
        <v>2295.2562291253412</v>
      </c>
      <c r="Y57" s="338"/>
      <c r="Z57" s="338"/>
    </row>
    <row r="58" spans="1:26">
      <c r="A58" s="173">
        <f t="shared" si="7"/>
        <v>33</v>
      </c>
      <c r="B58" s="57">
        <v>32</v>
      </c>
      <c r="C58" s="269">
        <f t="shared" si="8"/>
        <v>46995</v>
      </c>
      <c r="D58" s="337">
        <f t="shared" si="14"/>
        <v>30098.738773790974</v>
      </c>
      <c r="E58" s="337"/>
      <c r="F58" s="337"/>
      <c r="G58" s="338">
        <f t="shared" si="18"/>
        <v>902.96216321372924</v>
      </c>
      <c r="H58" s="338"/>
      <c r="I58" s="338">
        <f t="shared" si="19"/>
        <v>108.35545958564751</v>
      </c>
      <c r="J58" s="338"/>
      <c r="K58" s="338">
        <f t="shared" si="21"/>
        <v>1011.3176227993767</v>
      </c>
      <c r="L58" s="338"/>
      <c r="M58" s="338">
        <f t="shared" si="15"/>
        <v>1675.4672291253412</v>
      </c>
      <c r="N58" s="338"/>
      <c r="O58" s="338"/>
      <c r="P58" s="338">
        <f t="shared" si="16"/>
        <v>664.14960632596444</v>
      </c>
      <c r="Q58" s="338"/>
      <c r="R58" s="338"/>
      <c r="S58" s="174">
        <f t="shared" ref="S58:S73" si="22">IF(D58="","",$K$17)</f>
        <v>471.58900000000006</v>
      </c>
      <c r="T58" s="174">
        <f t="shared" ref="T58:T73" si="23">IF(D58="","",$K$18)</f>
        <v>148.19999999999999</v>
      </c>
      <c r="U58" s="338">
        <f t="shared" si="13"/>
        <v>29434.589167465008</v>
      </c>
      <c r="V58" s="338"/>
      <c r="W58" s="338"/>
      <c r="X58" s="338">
        <f t="shared" si="20"/>
        <v>2295.2562291253412</v>
      </c>
      <c r="Y58" s="338"/>
      <c r="Z58" s="338"/>
    </row>
    <row r="59" spans="1:26">
      <c r="A59" s="173">
        <f t="shared" si="7"/>
        <v>34</v>
      </c>
      <c r="B59" s="57">
        <v>33</v>
      </c>
      <c r="C59" s="269">
        <f t="shared" si="8"/>
        <v>47026</v>
      </c>
      <c r="D59" s="337">
        <f t="shared" si="14"/>
        <v>29434.589167465008</v>
      </c>
      <c r="E59" s="337"/>
      <c r="F59" s="337"/>
      <c r="G59" s="338">
        <f t="shared" si="18"/>
        <v>883.03767502395021</v>
      </c>
      <c r="H59" s="338"/>
      <c r="I59" s="338">
        <f t="shared" si="19"/>
        <v>105.96452100287402</v>
      </c>
      <c r="J59" s="338"/>
      <c r="K59" s="338">
        <f t="shared" si="21"/>
        <v>989.00219602682421</v>
      </c>
      <c r="L59" s="338"/>
      <c r="M59" s="338">
        <f t="shared" si="15"/>
        <v>1675.4672291253412</v>
      </c>
      <c r="N59" s="338"/>
      <c r="O59" s="338"/>
      <c r="P59" s="338">
        <f>IF(D59="","",M59-K59)</f>
        <v>686.46503309851698</v>
      </c>
      <c r="Q59" s="338"/>
      <c r="R59" s="338"/>
      <c r="S59" s="174">
        <f t="shared" si="22"/>
        <v>471.58900000000006</v>
      </c>
      <c r="T59" s="174">
        <f t="shared" si="23"/>
        <v>148.19999999999999</v>
      </c>
      <c r="U59" s="338">
        <f t="shared" si="13"/>
        <v>28748.124134366491</v>
      </c>
      <c r="V59" s="338"/>
      <c r="W59" s="338"/>
      <c r="X59" s="338">
        <f t="shared" si="20"/>
        <v>2295.2562291253412</v>
      </c>
      <c r="Y59" s="338"/>
      <c r="Z59" s="338"/>
    </row>
    <row r="60" spans="1:26">
      <c r="A60" s="173">
        <f t="shared" si="7"/>
        <v>35</v>
      </c>
      <c r="B60" s="57">
        <v>34</v>
      </c>
      <c r="C60" s="269">
        <f t="shared" si="8"/>
        <v>47056</v>
      </c>
      <c r="D60" s="337">
        <f t="shared" si="14"/>
        <v>28748.124134366491</v>
      </c>
      <c r="E60" s="337"/>
      <c r="F60" s="337"/>
      <c r="G60" s="338">
        <f>IF(D60="","",(D60*$K$15))</f>
        <v>862.44372403099476</v>
      </c>
      <c r="H60" s="338"/>
      <c r="I60" s="338">
        <f>IF(G60="","",(G60*0.12))</f>
        <v>103.49324688371937</v>
      </c>
      <c r="J60" s="338"/>
      <c r="K60" s="338">
        <f t="shared" si="21"/>
        <v>965.93697091471415</v>
      </c>
      <c r="L60" s="338"/>
      <c r="M60" s="338">
        <f t="shared" si="15"/>
        <v>1675.4672291253412</v>
      </c>
      <c r="N60" s="338"/>
      <c r="O60" s="338"/>
      <c r="P60" s="339">
        <f>IF(D60="","",M60-K60)</f>
        <v>709.53025821062704</v>
      </c>
      <c r="Q60" s="339"/>
      <c r="R60" s="339"/>
      <c r="S60" s="174">
        <f t="shared" si="22"/>
        <v>471.58900000000006</v>
      </c>
      <c r="T60" s="174">
        <f t="shared" si="23"/>
        <v>148.19999999999999</v>
      </c>
      <c r="U60" s="338">
        <f t="shared" si="13"/>
        <v>28038.593876155865</v>
      </c>
      <c r="V60" s="338"/>
      <c r="W60" s="338"/>
      <c r="X60" s="338">
        <f t="shared" si="20"/>
        <v>2295.2562291253412</v>
      </c>
      <c r="Y60" s="338"/>
      <c r="Z60" s="338"/>
    </row>
    <row r="61" spans="1:26">
      <c r="A61" s="173">
        <f t="shared" si="7"/>
        <v>36</v>
      </c>
      <c r="B61" s="57">
        <v>35</v>
      </c>
      <c r="C61" s="269">
        <f t="shared" si="8"/>
        <v>47087</v>
      </c>
      <c r="D61" s="337">
        <f>IF(U60&lt;=0.1,"",U60)</f>
        <v>28038.593876155865</v>
      </c>
      <c r="E61" s="337"/>
      <c r="F61" s="337"/>
      <c r="G61" s="338">
        <f>IF(D61="","",(D61*$K$15))</f>
        <v>841.15781628467596</v>
      </c>
      <c r="H61" s="338"/>
      <c r="I61" s="338">
        <f>IF(G61="","",(G61*0.12))</f>
        <v>100.9389379541611</v>
      </c>
      <c r="J61" s="338"/>
      <c r="K61" s="338">
        <f t="shared" si="21"/>
        <v>942.09675423883709</v>
      </c>
      <c r="L61" s="338"/>
      <c r="M61" s="338">
        <f t="shared" si="15"/>
        <v>1675.4672291253412</v>
      </c>
      <c r="N61" s="338"/>
      <c r="O61" s="338"/>
      <c r="P61" s="339">
        <f>IF(D61="","",M61-K61)</f>
        <v>733.3704748865041</v>
      </c>
      <c r="Q61" s="339"/>
      <c r="R61" s="339"/>
      <c r="S61" s="174">
        <f t="shared" si="22"/>
        <v>471.58900000000006</v>
      </c>
      <c r="T61" s="174">
        <f t="shared" si="23"/>
        <v>148.19999999999999</v>
      </c>
      <c r="U61" s="338">
        <f t="shared" si="13"/>
        <v>27305.223401269359</v>
      </c>
      <c r="V61" s="338"/>
      <c r="W61" s="338"/>
      <c r="X61" s="338">
        <f t="shared" si="20"/>
        <v>2295.2562291253412</v>
      </c>
      <c r="Y61" s="338"/>
      <c r="Z61" s="338"/>
    </row>
    <row r="62" spans="1:26">
      <c r="A62" s="173">
        <f t="shared" si="7"/>
        <v>37</v>
      </c>
      <c r="B62" s="57">
        <v>36</v>
      </c>
      <c r="C62" s="269">
        <f t="shared" si="8"/>
        <v>47117</v>
      </c>
      <c r="D62" s="337">
        <f t="shared" ref="D62:D70" si="24">IF(U61&lt;=0.1,"",U61)</f>
        <v>27305.223401269359</v>
      </c>
      <c r="E62" s="337"/>
      <c r="F62" s="337"/>
      <c r="G62" s="338">
        <f t="shared" ref="G62:G73" si="25">IF(D62="","",(D62*$K$15))</f>
        <v>819.15670203808077</v>
      </c>
      <c r="H62" s="338"/>
      <c r="I62" s="338">
        <f t="shared" ref="I62:I73" si="26">IF(G62="","",(G62*0.12))</f>
        <v>98.298804244569695</v>
      </c>
      <c r="J62" s="338"/>
      <c r="K62" s="338">
        <f t="shared" si="21"/>
        <v>917.4555062826505</v>
      </c>
      <c r="L62" s="338"/>
      <c r="M62" s="338">
        <f t="shared" si="15"/>
        <v>1675.4672291253412</v>
      </c>
      <c r="N62" s="338"/>
      <c r="O62" s="338"/>
      <c r="P62" s="339">
        <f t="shared" ref="P62:P72" si="27">IF(D62="","",M62-K62)</f>
        <v>758.01172284269069</v>
      </c>
      <c r="Q62" s="339"/>
      <c r="R62" s="339"/>
      <c r="S62" s="174">
        <f t="shared" si="22"/>
        <v>471.58900000000006</v>
      </c>
      <c r="T62" s="174">
        <f t="shared" si="23"/>
        <v>148.19999999999999</v>
      </c>
      <c r="U62" s="338">
        <f t="shared" si="13"/>
        <v>26547.211678426669</v>
      </c>
      <c r="V62" s="338"/>
      <c r="W62" s="338"/>
      <c r="X62" s="338">
        <f t="shared" si="20"/>
        <v>2295.2562291253412</v>
      </c>
      <c r="Y62" s="338"/>
      <c r="Z62" s="338"/>
    </row>
    <row r="63" spans="1:26">
      <c r="A63" s="173">
        <f t="shared" si="7"/>
        <v>38</v>
      </c>
      <c r="B63" s="57">
        <v>37</v>
      </c>
      <c r="C63" s="269">
        <f t="shared" si="8"/>
        <v>47148</v>
      </c>
      <c r="D63" s="337">
        <f t="shared" si="24"/>
        <v>26547.211678426669</v>
      </c>
      <c r="E63" s="337"/>
      <c r="F63" s="337"/>
      <c r="G63" s="338">
        <f t="shared" si="25"/>
        <v>796.41635035280001</v>
      </c>
      <c r="H63" s="338"/>
      <c r="I63" s="338">
        <f t="shared" si="26"/>
        <v>95.569962042336002</v>
      </c>
      <c r="J63" s="338"/>
      <c r="K63" s="338">
        <f t="shared" si="21"/>
        <v>891.986312395136</v>
      </c>
      <c r="L63" s="338"/>
      <c r="M63" s="338">
        <f t="shared" si="15"/>
        <v>1675.4672291253412</v>
      </c>
      <c r="N63" s="338"/>
      <c r="O63" s="338"/>
      <c r="P63" s="339">
        <f t="shared" si="27"/>
        <v>783.48091673020519</v>
      </c>
      <c r="Q63" s="339"/>
      <c r="R63" s="339"/>
      <c r="S63" s="174">
        <f t="shared" si="22"/>
        <v>471.58900000000006</v>
      </c>
      <c r="T63" s="174">
        <f t="shared" si="23"/>
        <v>148.19999999999999</v>
      </c>
      <c r="U63" s="338">
        <f t="shared" si="13"/>
        <v>25763.730761696464</v>
      </c>
      <c r="V63" s="338"/>
      <c r="W63" s="338"/>
      <c r="X63" s="338">
        <f t="shared" si="20"/>
        <v>2295.2562291253412</v>
      </c>
      <c r="Y63" s="338"/>
      <c r="Z63" s="338"/>
    </row>
    <row r="64" spans="1:26">
      <c r="A64" s="173">
        <f t="shared" si="7"/>
        <v>39</v>
      </c>
      <c r="B64" s="57">
        <v>38</v>
      </c>
      <c r="C64" s="269">
        <f t="shared" si="8"/>
        <v>47177</v>
      </c>
      <c r="D64" s="337">
        <f t="shared" si="24"/>
        <v>25763.730761696464</v>
      </c>
      <c r="E64" s="337"/>
      <c r="F64" s="337"/>
      <c r="G64" s="338">
        <f t="shared" si="25"/>
        <v>772.91192285089392</v>
      </c>
      <c r="H64" s="338"/>
      <c r="I64" s="338">
        <f t="shared" si="26"/>
        <v>92.749430742107265</v>
      </c>
      <c r="J64" s="338"/>
      <c r="K64" s="338">
        <f t="shared" si="21"/>
        <v>865.66135359300119</v>
      </c>
      <c r="L64" s="338"/>
      <c r="M64" s="338">
        <f t="shared" si="15"/>
        <v>1675.4672291253412</v>
      </c>
      <c r="N64" s="338"/>
      <c r="O64" s="338"/>
      <c r="P64" s="339">
        <f t="shared" si="27"/>
        <v>809.80587553234</v>
      </c>
      <c r="Q64" s="339"/>
      <c r="R64" s="339"/>
      <c r="S64" s="174">
        <f t="shared" si="22"/>
        <v>471.58900000000006</v>
      </c>
      <c r="T64" s="174">
        <f t="shared" si="23"/>
        <v>148.19999999999999</v>
      </c>
      <c r="U64" s="338">
        <f t="shared" si="13"/>
        <v>24953.924886164124</v>
      </c>
      <c r="V64" s="338"/>
      <c r="W64" s="338"/>
      <c r="X64" s="338">
        <f t="shared" si="20"/>
        <v>2295.2562291253412</v>
      </c>
      <c r="Y64" s="338"/>
      <c r="Z64" s="338"/>
    </row>
    <row r="65" spans="1:26">
      <c r="A65" s="173">
        <f t="shared" si="7"/>
        <v>40</v>
      </c>
      <c r="B65" s="57">
        <v>39</v>
      </c>
      <c r="C65" s="269">
        <f t="shared" si="8"/>
        <v>47207</v>
      </c>
      <c r="D65" s="337">
        <f t="shared" si="24"/>
        <v>24953.924886164124</v>
      </c>
      <c r="E65" s="337"/>
      <c r="F65" s="337"/>
      <c r="G65" s="338">
        <f t="shared" si="25"/>
        <v>748.61774658492368</v>
      </c>
      <c r="H65" s="338"/>
      <c r="I65" s="338">
        <f t="shared" si="26"/>
        <v>89.834129590190841</v>
      </c>
      <c r="J65" s="338"/>
      <c r="K65" s="338">
        <f t="shared" si="21"/>
        <v>838.45187617511453</v>
      </c>
      <c r="L65" s="338"/>
      <c r="M65" s="338">
        <f t="shared" si="15"/>
        <v>1675.4672291253412</v>
      </c>
      <c r="N65" s="338"/>
      <c r="O65" s="338"/>
      <c r="P65" s="339">
        <f t="shared" si="27"/>
        <v>837.01535295022666</v>
      </c>
      <c r="Q65" s="339"/>
      <c r="R65" s="339"/>
      <c r="S65" s="174">
        <f t="shared" si="22"/>
        <v>471.58900000000006</v>
      </c>
      <c r="T65" s="174">
        <f t="shared" si="23"/>
        <v>148.19999999999999</v>
      </c>
      <c r="U65" s="338">
        <f t="shared" si="13"/>
        <v>24116.909533213897</v>
      </c>
      <c r="V65" s="338"/>
      <c r="W65" s="338"/>
      <c r="X65" s="338">
        <f t="shared" si="20"/>
        <v>2295.2562291253412</v>
      </c>
      <c r="Y65" s="338"/>
      <c r="Z65" s="338"/>
    </row>
    <row r="66" spans="1:26">
      <c r="A66" s="173">
        <f t="shared" si="7"/>
        <v>41</v>
      </c>
      <c r="B66" s="57">
        <v>40</v>
      </c>
      <c r="C66" s="269">
        <f t="shared" si="8"/>
        <v>47238</v>
      </c>
      <c r="D66" s="337">
        <f t="shared" si="24"/>
        <v>24116.909533213897</v>
      </c>
      <c r="E66" s="337"/>
      <c r="F66" s="337"/>
      <c r="G66" s="338">
        <f t="shared" si="25"/>
        <v>723.50728599641684</v>
      </c>
      <c r="H66" s="338"/>
      <c r="I66" s="338">
        <f t="shared" si="26"/>
        <v>86.820874319570024</v>
      </c>
      <c r="J66" s="338"/>
      <c r="K66" s="338">
        <f t="shared" si="21"/>
        <v>810.32816031598691</v>
      </c>
      <c r="L66" s="338"/>
      <c r="M66" s="338">
        <f t="shared" si="15"/>
        <v>1675.4672291253412</v>
      </c>
      <c r="N66" s="338"/>
      <c r="O66" s="338"/>
      <c r="P66" s="339">
        <f t="shared" si="27"/>
        <v>865.13906880935428</v>
      </c>
      <c r="Q66" s="339"/>
      <c r="R66" s="339"/>
      <c r="S66" s="174">
        <f t="shared" si="22"/>
        <v>471.58900000000006</v>
      </c>
      <c r="T66" s="174">
        <f t="shared" si="23"/>
        <v>148.19999999999999</v>
      </c>
      <c r="U66" s="338">
        <f t="shared" si="13"/>
        <v>23251.770464404544</v>
      </c>
      <c r="V66" s="338"/>
      <c r="W66" s="338"/>
      <c r="X66" s="338">
        <f t="shared" si="20"/>
        <v>2295.2562291253412</v>
      </c>
      <c r="Y66" s="338"/>
      <c r="Z66" s="338"/>
    </row>
    <row r="67" spans="1:26">
      <c r="A67" s="173">
        <f t="shared" si="7"/>
        <v>42</v>
      </c>
      <c r="B67" s="57">
        <v>41</v>
      </c>
      <c r="C67" s="269">
        <f t="shared" si="8"/>
        <v>47268</v>
      </c>
      <c r="D67" s="337">
        <f t="shared" si="24"/>
        <v>23251.770464404544</v>
      </c>
      <c r="E67" s="337"/>
      <c r="F67" s="337"/>
      <c r="G67" s="338">
        <f t="shared" si="25"/>
        <v>697.55311393213628</v>
      </c>
      <c r="H67" s="338"/>
      <c r="I67" s="338">
        <f t="shared" si="26"/>
        <v>83.706373671856355</v>
      </c>
      <c r="J67" s="338"/>
      <c r="K67" s="338">
        <f t="shared" si="21"/>
        <v>781.25948760399262</v>
      </c>
      <c r="L67" s="338"/>
      <c r="M67" s="338">
        <f t="shared" si="15"/>
        <v>1675.4672291253412</v>
      </c>
      <c r="N67" s="338"/>
      <c r="O67" s="338"/>
      <c r="P67" s="339">
        <f t="shared" si="27"/>
        <v>894.20774152134857</v>
      </c>
      <c r="Q67" s="339"/>
      <c r="R67" s="339"/>
      <c r="S67" s="174">
        <f t="shared" si="22"/>
        <v>471.58900000000006</v>
      </c>
      <c r="T67" s="174">
        <f t="shared" si="23"/>
        <v>148.19999999999999</v>
      </c>
      <c r="U67" s="338">
        <f t="shared" si="13"/>
        <v>22357.562722883195</v>
      </c>
      <c r="V67" s="338"/>
      <c r="W67" s="338"/>
      <c r="X67" s="338">
        <f t="shared" si="20"/>
        <v>2295.2562291253412</v>
      </c>
      <c r="Y67" s="338"/>
      <c r="Z67" s="338"/>
    </row>
    <row r="68" spans="1:26">
      <c r="A68" s="173">
        <f t="shared" si="7"/>
        <v>43</v>
      </c>
      <c r="B68" s="57">
        <v>42</v>
      </c>
      <c r="C68" s="269">
        <f t="shared" si="8"/>
        <v>47299</v>
      </c>
      <c r="D68" s="337">
        <f t="shared" si="24"/>
        <v>22357.562722883195</v>
      </c>
      <c r="E68" s="337"/>
      <c r="F68" s="337"/>
      <c r="G68" s="338">
        <f t="shared" si="25"/>
        <v>670.72688168649586</v>
      </c>
      <c r="H68" s="338"/>
      <c r="I68" s="338">
        <f t="shared" si="26"/>
        <v>80.487225802379498</v>
      </c>
      <c r="J68" s="338"/>
      <c r="K68" s="338">
        <f t="shared" si="21"/>
        <v>751.21410748887536</v>
      </c>
      <c r="L68" s="338"/>
      <c r="M68" s="338">
        <f t="shared" si="15"/>
        <v>1675.4672291253412</v>
      </c>
      <c r="N68" s="338"/>
      <c r="O68" s="338"/>
      <c r="P68" s="339">
        <f t="shared" si="27"/>
        <v>924.25312163646583</v>
      </c>
      <c r="Q68" s="339"/>
      <c r="R68" s="339"/>
      <c r="S68" s="174">
        <f t="shared" si="22"/>
        <v>471.58900000000006</v>
      </c>
      <c r="T68" s="174">
        <f t="shared" si="23"/>
        <v>148.19999999999999</v>
      </c>
      <c r="U68" s="338">
        <f t="shared" si="13"/>
        <v>21433.309601246729</v>
      </c>
      <c r="V68" s="338"/>
      <c r="W68" s="338"/>
      <c r="X68" s="338">
        <f t="shared" si="20"/>
        <v>2295.2562291253412</v>
      </c>
      <c r="Y68" s="338"/>
      <c r="Z68" s="338"/>
    </row>
    <row r="69" spans="1:26">
      <c r="A69" s="173">
        <f t="shared" si="7"/>
        <v>44</v>
      </c>
      <c r="B69" s="57">
        <v>43</v>
      </c>
      <c r="C69" s="269">
        <f t="shared" si="8"/>
        <v>47329</v>
      </c>
      <c r="D69" s="337">
        <f t="shared" si="24"/>
        <v>21433.309601246729</v>
      </c>
      <c r="E69" s="337"/>
      <c r="F69" s="337"/>
      <c r="G69" s="338">
        <f t="shared" si="25"/>
        <v>642.99928803740181</v>
      </c>
      <c r="H69" s="338"/>
      <c r="I69" s="338">
        <f t="shared" si="26"/>
        <v>77.159914564488219</v>
      </c>
      <c r="J69" s="338"/>
      <c r="K69" s="338">
        <f t="shared" si="21"/>
        <v>720.15920260189</v>
      </c>
      <c r="L69" s="338"/>
      <c r="M69" s="338">
        <f t="shared" si="15"/>
        <v>1675.4672291253412</v>
      </c>
      <c r="N69" s="338"/>
      <c r="O69" s="338"/>
      <c r="P69" s="339">
        <f t="shared" si="27"/>
        <v>955.30802652345119</v>
      </c>
      <c r="Q69" s="339"/>
      <c r="R69" s="339"/>
      <c r="S69" s="174">
        <f t="shared" si="22"/>
        <v>471.58900000000006</v>
      </c>
      <c r="T69" s="174">
        <f t="shared" si="23"/>
        <v>148.19999999999999</v>
      </c>
      <c r="U69" s="338">
        <f t="shared" si="13"/>
        <v>20478.001574723276</v>
      </c>
      <c r="V69" s="338"/>
      <c r="W69" s="338"/>
      <c r="X69" s="338">
        <f t="shared" si="20"/>
        <v>2295.2562291253412</v>
      </c>
      <c r="Y69" s="338"/>
      <c r="Z69" s="338"/>
    </row>
    <row r="70" spans="1:26">
      <c r="A70" s="173">
        <f t="shared" si="7"/>
        <v>45</v>
      </c>
      <c r="B70" s="57">
        <v>44</v>
      </c>
      <c r="C70" s="269">
        <f t="shared" si="8"/>
        <v>47360</v>
      </c>
      <c r="D70" s="337">
        <f t="shared" si="24"/>
        <v>20478.001574723276</v>
      </c>
      <c r="E70" s="337"/>
      <c r="F70" s="337"/>
      <c r="G70" s="338">
        <f t="shared" si="25"/>
        <v>614.34004724169824</v>
      </c>
      <c r="H70" s="338"/>
      <c r="I70" s="338">
        <f t="shared" si="26"/>
        <v>73.720805669003781</v>
      </c>
      <c r="J70" s="338"/>
      <c r="K70" s="338">
        <f t="shared" si="21"/>
        <v>688.06085291070201</v>
      </c>
      <c r="L70" s="338"/>
      <c r="M70" s="338">
        <f t="shared" si="15"/>
        <v>1675.4672291253412</v>
      </c>
      <c r="N70" s="338"/>
      <c r="O70" s="338"/>
      <c r="P70" s="339">
        <f t="shared" si="27"/>
        <v>987.40637621463918</v>
      </c>
      <c r="Q70" s="339"/>
      <c r="R70" s="339"/>
      <c r="S70" s="174">
        <f t="shared" si="22"/>
        <v>471.58900000000006</v>
      </c>
      <c r="T70" s="174">
        <f t="shared" si="23"/>
        <v>148.19999999999999</v>
      </c>
      <c r="U70" s="338">
        <f t="shared" si="13"/>
        <v>19490.595198508636</v>
      </c>
      <c r="V70" s="338"/>
      <c r="W70" s="338"/>
      <c r="X70" s="338">
        <f t="shared" si="20"/>
        <v>2295.2562291253412</v>
      </c>
      <c r="Y70" s="338"/>
      <c r="Z70" s="338"/>
    </row>
    <row r="71" spans="1:26">
      <c r="A71" s="173">
        <f t="shared" si="7"/>
        <v>46</v>
      </c>
      <c r="B71" s="57">
        <v>45</v>
      </c>
      <c r="C71" s="269">
        <f t="shared" si="8"/>
        <v>47391</v>
      </c>
      <c r="D71" s="337">
        <f>IF(U70&lt;=0.1,"",U70)</f>
        <v>19490.595198508636</v>
      </c>
      <c r="E71" s="337"/>
      <c r="F71" s="337"/>
      <c r="G71" s="338">
        <f t="shared" si="25"/>
        <v>584.7178559552591</v>
      </c>
      <c r="H71" s="338"/>
      <c r="I71" s="338">
        <f t="shared" si="26"/>
        <v>70.166142714631093</v>
      </c>
      <c r="J71" s="338"/>
      <c r="K71" s="338">
        <f>IF(G71="","",G71+I71)</f>
        <v>654.88399866989016</v>
      </c>
      <c r="L71" s="338"/>
      <c r="M71" s="338">
        <f t="shared" si="15"/>
        <v>1675.4672291253412</v>
      </c>
      <c r="N71" s="338"/>
      <c r="O71" s="338"/>
      <c r="P71" s="339">
        <f t="shared" si="27"/>
        <v>1020.583230455451</v>
      </c>
      <c r="Q71" s="339"/>
      <c r="R71" s="339"/>
      <c r="S71" s="174">
        <f t="shared" si="22"/>
        <v>471.58900000000006</v>
      </c>
      <c r="T71" s="174">
        <f t="shared" si="23"/>
        <v>148.19999999999999</v>
      </c>
      <c r="U71" s="338">
        <f t="shared" si="13"/>
        <v>18470.011968053186</v>
      </c>
      <c r="V71" s="338"/>
      <c r="W71" s="338"/>
      <c r="X71" s="338">
        <f t="shared" si="20"/>
        <v>2295.2562291253412</v>
      </c>
      <c r="Y71" s="338"/>
      <c r="Z71" s="338"/>
    </row>
    <row r="72" spans="1:26">
      <c r="A72" s="173">
        <f t="shared" si="7"/>
        <v>47</v>
      </c>
      <c r="B72" s="57">
        <v>46</v>
      </c>
      <c r="C72" s="269">
        <f t="shared" si="8"/>
        <v>47421</v>
      </c>
      <c r="D72" s="337">
        <f>IF(U71&lt;=0.1,"",U71)</f>
        <v>18470.011968053186</v>
      </c>
      <c r="E72" s="337"/>
      <c r="F72" s="337"/>
      <c r="G72" s="338">
        <f t="shared" si="25"/>
        <v>554.10035904159554</v>
      </c>
      <c r="H72" s="338"/>
      <c r="I72" s="338">
        <f t="shared" si="26"/>
        <v>66.492043084991465</v>
      </c>
      <c r="J72" s="338"/>
      <c r="K72" s="338">
        <f>IF(G72="","",G72+I72)</f>
        <v>620.59240212658699</v>
      </c>
      <c r="L72" s="338"/>
      <c r="M72" s="338">
        <f t="shared" si="15"/>
        <v>1675.4672291253412</v>
      </c>
      <c r="N72" s="338"/>
      <c r="O72" s="338"/>
      <c r="P72" s="339">
        <f t="shared" si="27"/>
        <v>1054.8748269987541</v>
      </c>
      <c r="Q72" s="339"/>
      <c r="R72" s="339"/>
      <c r="S72" s="174">
        <f t="shared" si="22"/>
        <v>471.58900000000006</v>
      </c>
      <c r="T72" s="174">
        <f t="shared" si="23"/>
        <v>148.19999999999999</v>
      </c>
      <c r="U72" s="338">
        <f t="shared" si="13"/>
        <v>17415.137141054431</v>
      </c>
      <c r="V72" s="338"/>
      <c r="W72" s="338"/>
      <c r="X72" s="338">
        <f t="shared" si="20"/>
        <v>2295.2562291253412</v>
      </c>
      <c r="Y72" s="338"/>
      <c r="Z72" s="338"/>
    </row>
    <row r="73" spans="1:26">
      <c r="A73" s="173">
        <f t="shared" si="7"/>
        <v>48</v>
      </c>
      <c r="B73" s="57">
        <v>47</v>
      </c>
      <c r="C73" s="269">
        <f t="shared" si="8"/>
        <v>47452</v>
      </c>
      <c r="D73" s="337">
        <f>IF(U72&lt;=0.1,"",U72)</f>
        <v>17415.137141054431</v>
      </c>
      <c r="E73" s="337"/>
      <c r="F73" s="337"/>
      <c r="G73" s="338">
        <f t="shared" si="25"/>
        <v>522.45411423163296</v>
      </c>
      <c r="H73" s="338"/>
      <c r="I73" s="338">
        <f t="shared" si="26"/>
        <v>62.694493707795949</v>
      </c>
      <c r="J73" s="338"/>
      <c r="K73" s="338">
        <f>IF(G73="","",G73+I73)</f>
        <v>585.14860793942887</v>
      </c>
      <c r="L73" s="338"/>
      <c r="M73" s="338">
        <f t="shared" si="15"/>
        <v>1675.4672291253412</v>
      </c>
      <c r="N73" s="338"/>
      <c r="O73" s="338"/>
      <c r="P73" s="339">
        <f>IF(D73="","",M73-K73)</f>
        <v>1090.3186211859124</v>
      </c>
      <c r="Q73" s="339"/>
      <c r="R73" s="339"/>
      <c r="S73" s="174">
        <f t="shared" si="22"/>
        <v>471.58900000000006</v>
      </c>
      <c r="T73" s="174">
        <f t="shared" si="23"/>
        <v>148.19999999999999</v>
      </c>
      <c r="U73" s="338">
        <f t="shared" si="13"/>
        <v>16324.818519868519</v>
      </c>
      <c r="V73" s="338"/>
      <c r="W73" s="338"/>
      <c r="X73" s="338">
        <f t="shared" si="20"/>
        <v>2295.2562291253412</v>
      </c>
      <c r="Y73" s="338"/>
      <c r="Z73" s="338"/>
    </row>
    <row r="74" spans="1:26">
      <c r="A74" s="173">
        <f t="shared" si="7"/>
        <v>49</v>
      </c>
      <c r="B74" s="57">
        <v>48</v>
      </c>
      <c r="C74" s="269">
        <f t="shared" ref="C74:C89" si="28">IF(D74="","",EDATE($C$26,B74))</f>
        <v>47482</v>
      </c>
      <c r="D74" s="337">
        <f t="shared" ref="D74:D89" si="29">IF(U73&lt;=0.1,"",U73)</f>
        <v>16324.818519868519</v>
      </c>
      <c r="E74" s="337"/>
      <c r="F74" s="337"/>
      <c r="G74" s="338">
        <f t="shared" ref="G74:G89" si="30">IF(D74="","",(D74*$K$15))</f>
        <v>489.74455559605553</v>
      </c>
      <c r="H74" s="338"/>
      <c r="I74" s="338">
        <f t="shared" ref="I74:I89" si="31">IF(G74="","",(G74*0.12))</f>
        <v>58.769346671526662</v>
      </c>
      <c r="J74" s="338"/>
      <c r="K74" s="338">
        <f t="shared" ref="K74:K89" si="32">IF(G74="","",G74+I74)</f>
        <v>548.51390226758224</v>
      </c>
      <c r="L74" s="338"/>
      <c r="M74" s="338">
        <f t="shared" ref="M74:M89" si="33">IF(I74="","",$K$19)</f>
        <v>1675.4672291253412</v>
      </c>
      <c r="N74" s="338"/>
      <c r="O74" s="338"/>
      <c r="P74" s="339">
        <f t="shared" ref="P74:P89" si="34">IF(D74="","",M74-K74)</f>
        <v>1126.9533268577588</v>
      </c>
      <c r="Q74" s="339"/>
      <c r="R74" s="339"/>
      <c r="S74" s="174">
        <f t="shared" ref="S74:S89" si="35">IF(D74="","",$K$17)</f>
        <v>471.58900000000006</v>
      </c>
      <c r="T74" s="174">
        <f t="shared" ref="T74:T89" si="36">IF(D74="","",$K$18)</f>
        <v>148.19999999999999</v>
      </c>
      <c r="U74" s="338">
        <f t="shared" ref="U74:U89" si="37">IF(D74="","",D74-P74)</f>
        <v>15197.865193010759</v>
      </c>
      <c r="V74" s="338"/>
      <c r="W74" s="338"/>
      <c r="X74" s="338">
        <f t="shared" ref="X74:X89" si="38">IF(D74="","",$X$26)</f>
        <v>2295.2562291253412</v>
      </c>
      <c r="Y74" s="338"/>
      <c r="Z74" s="338"/>
    </row>
    <row r="75" spans="1:26">
      <c r="A75" s="173">
        <f t="shared" si="7"/>
        <v>50</v>
      </c>
      <c r="B75" s="57">
        <v>49</v>
      </c>
      <c r="C75" s="269">
        <f t="shared" si="28"/>
        <v>47513</v>
      </c>
      <c r="D75" s="337">
        <f t="shared" si="29"/>
        <v>15197.865193010759</v>
      </c>
      <c r="E75" s="337"/>
      <c r="F75" s="337"/>
      <c r="G75" s="338">
        <f t="shared" si="30"/>
        <v>455.93595579032274</v>
      </c>
      <c r="H75" s="338"/>
      <c r="I75" s="338">
        <f t="shared" si="31"/>
        <v>54.712314694838724</v>
      </c>
      <c r="J75" s="338"/>
      <c r="K75" s="338">
        <f t="shared" si="32"/>
        <v>510.64827048516145</v>
      </c>
      <c r="L75" s="338"/>
      <c r="M75" s="338">
        <f t="shared" si="33"/>
        <v>1675.4672291253412</v>
      </c>
      <c r="N75" s="338"/>
      <c r="O75" s="338"/>
      <c r="P75" s="339">
        <f t="shared" si="34"/>
        <v>1164.8189586401797</v>
      </c>
      <c r="Q75" s="339"/>
      <c r="R75" s="339"/>
      <c r="S75" s="174">
        <f t="shared" si="35"/>
        <v>471.58900000000006</v>
      </c>
      <c r="T75" s="174">
        <f t="shared" si="36"/>
        <v>148.19999999999999</v>
      </c>
      <c r="U75" s="338">
        <f t="shared" si="37"/>
        <v>14033.046234370579</v>
      </c>
      <c r="V75" s="338"/>
      <c r="W75" s="338"/>
      <c r="X75" s="338">
        <f t="shared" si="38"/>
        <v>2295.2562291253412</v>
      </c>
      <c r="Y75" s="338"/>
      <c r="Z75" s="338"/>
    </row>
    <row r="76" spans="1:26">
      <c r="A76" s="173">
        <f t="shared" si="7"/>
        <v>51</v>
      </c>
      <c r="B76" s="57">
        <v>50</v>
      </c>
      <c r="C76" s="269">
        <f t="shared" si="28"/>
        <v>47542</v>
      </c>
      <c r="D76" s="337">
        <f t="shared" si="29"/>
        <v>14033.046234370579</v>
      </c>
      <c r="E76" s="337"/>
      <c r="F76" s="337"/>
      <c r="G76" s="338">
        <f t="shared" si="30"/>
        <v>420.99138703111731</v>
      </c>
      <c r="H76" s="338"/>
      <c r="I76" s="338">
        <f t="shared" si="31"/>
        <v>50.518966443734072</v>
      </c>
      <c r="J76" s="338"/>
      <c r="K76" s="338">
        <f t="shared" si="32"/>
        <v>471.5103534748514</v>
      </c>
      <c r="L76" s="338"/>
      <c r="M76" s="338">
        <f t="shared" si="33"/>
        <v>1675.4672291253412</v>
      </c>
      <c r="N76" s="338"/>
      <c r="O76" s="338"/>
      <c r="P76" s="339">
        <f t="shared" si="34"/>
        <v>1203.9568756504898</v>
      </c>
      <c r="Q76" s="339"/>
      <c r="R76" s="339"/>
      <c r="S76" s="174">
        <f t="shared" si="35"/>
        <v>471.58900000000006</v>
      </c>
      <c r="T76" s="174">
        <f t="shared" si="36"/>
        <v>148.19999999999999</v>
      </c>
      <c r="U76" s="338">
        <f t="shared" si="37"/>
        <v>12829.089358720088</v>
      </c>
      <c r="V76" s="338"/>
      <c r="W76" s="338"/>
      <c r="X76" s="338">
        <f t="shared" si="38"/>
        <v>2295.2562291253412</v>
      </c>
      <c r="Y76" s="338"/>
      <c r="Z76" s="338"/>
    </row>
    <row r="77" spans="1:26">
      <c r="A77" s="173">
        <f t="shared" si="7"/>
        <v>52</v>
      </c>
      <c r="B77" s="57">
        <v>51</v>
      </c>
      <c r="C77" s="269">
        <f t="shared" si="28"/>
        <v>47572</v>
      </c>
      <c r="D77" s="337">
        <f t="shared" si="29"/>
        <v>12829.089358720088</v>
      </c>
      <c r="E77" s="337"/>
      <c r="F77" s="337"/>
      <c r="G77" s="338">
        <f t="shared" si="30"/>
        <v>384.87268076160262</v>
      </c>
      <c r="H77" s="338"/>
      <c r="I77" s="338">
        <f t="shared" si="31"/>
        <v>46.184721691392312</v>
      </c>
      <c r="J77" s="338"/>
      <c r="K77" s="338">
        <f t="shared" si="32"/>
        <v>431.05740245299495</v>
      </c>
      <c r="L77" s="338"/>
      <c r="M77" s="338">
        <f t="shared" si="33"/>
        <v>1675.4672291253412</v>
      </c>
      <c r="N77" s="338"/>
      <c r="O77" s="338"/>
      <c r="P77" s="339">
        <f t="shared" si="34"/>
        <v>1244.4098266723463</v>
      </c>
      <c r="Q77" s="339"/>
      <c r="R77" s="339"/>
      <c r="S77" s="174">
        <f t="shared" si="35"/>
        <v>471.58900000000006</v>
      </c>
      <c r="T77" s="174">
        <f t="shared" si="36"/>
        <v>148.19999999999999</v>
      </c>
      <c r="U77" s="338">
        <f t="shared" si="37"/>
        <v>11584.679532047741</v>
      </c>
      <c r="V77" s="338"/>
      <c r="W77" s="338"/>
      <c r="X77" s="338">
        <f t="shared" si="38"/>
        <v>2295.2562291253412</v>
      </c>
      <c r="Y77" s="338"/>
      <c r="Z77" s="338"/>
    </row>
    <row r="78" spans="1:26">
      <c r="A78" s="173">
        <f t="shared" si="7"/>
        <v>53</v>
      </c>
      <c r="B78" s="57">
        <v>52</v>
      </c>
      <c r="C78" s="269">
        <f t="shared" si="28"/>
        <v>47603</v>
      </c>
      <c r="D78" s="337">
        <f t="shared" si="29"/>
        <v>11584.679532047741</v>
      </c>
      <c r="E78" s="337"/>
      <c r="F78" s="337"/>
      <c r="G78" s="338">
        <f t="shared" si="30"/>
        <v>347.54038596143221</v>
      </c>
      <c r="H78" s="338"/>
      <c r="I78" s="338">
        <f t="shared" si="31"/>
        <v>41.70484631537186</v>
      </c>
      <c r="J78" s="338"/>
      <c r="K78" s="338">
        <f t="shared" si="32"/>
        <v>389.24523227680407</v>
      </c>
      <c r="L78" s="338"/>
      <c r="M78" s="338">
        <f t="shared" si="33"/>
        <v>1675.4672291253412</v>
      </c>
      <c r="N78" s="338"/>
      <c r="O78" s="338"/>
      <c r="P78" s="339">
        <f t="shared" si="34"/>
        <v>1286.2219968485372</v>
      </c>
      <c r="Q78" s="339"/>
      <c r="R78" s="339"/>
      <c r="S78" s="174">
        <f t="shared" si="35"/>
        <v>471.58900000000006</v>
      </c>
      <c r="T78" s="174">
        <f t="shared" si="36"/>
        <v>148.19999999999999</v>
      </c>
      <c r="U78" s="338">
        <f t="shared" si="37"/>
        <v>10298.457535199204</v>
      </c>
      <c r="V78" s="338"/>
      <c r="W78" s="338"/>
      <c r="X78" s="338">
        <f t="shared" si="38"/>
        <v>2295.2562291253412</v>
      </c>
      <c r="Y78" s="338"/>
      <c r="Z78" s="338"/>
    </row>
    <row r="79" spans="1:26">
      <c r="A79" s="173">
        <f t="shared" si="7"/>
        <v>54</v>
      </c>
      <c r="B79" s="57">
        <v>53</v>
      </c>
      <c r="C79" s="269">
        <f t="shared" si="28"/>
        <v>47633</v>
      </c>
      <c r="D79" s="337">
        <f t="shared" si="29"/>
        <v>10298.457535199204</v>
      </c>
      <c r="E79" s="337"/>
      <c r="F79" s="337"/>
      <c r="G79" s="338">
        <f t="shared" si="30"/>
        <v>308.95372605597612</v>
      </c>
      <c r="H79" s="338"/>
      <c r="I79" s="338">
        <f t="shared" si="31"/>
        <v>37.074447126717132</v>
      </c>
      <c r="J79" s="338"/>
      <c r="K79" s="338">
        <f t="shared" si="32"/>
        <v>346.02817318269325</v>
      </c>
      <c r="L79" s="338"/>
      <c r="M79" s="338">
        <f t="shared" si="33"/>
        <v>1675.4672291253412</v>
      </c>
      <c r="N79" s="338"/>
      <c r="O79" s="338"/>
      <c r="P79" s="339">
        <f t="shared" si="34"/>
        <v>1329.4390559426479</v>
      </c>
      <c r="Q79" s="339"/>
      <c r="R79" s="339"/>
      <c r="S79" s="174">
        <f t="shared" si="35"/>
        <v>471.58900000000006</v>
      </c>
      <c r="T79" s="174">
        <f t="shared" si="36"/>
        <v>148.19999999999999</v>
      </c>
      <c r="U79" s="338">
        <f t="shared" si="37"/>
        <v>8969.018479256556</v>
      </c>
      <c r="V79" s="338"/>
      <c r="W79" s="338"/>
      <c r="X79" s="338">
        <f t="shared" si="38"/>
        <v>2295.2562291253412</v>
      </c>
      <c r="Y79" s="338"/>
      <c r="Z79" s="338"/>
    </row>
    <row r="80" spans="1:26">
      <c r="A80" s="173">
        <f t="shared" si="7"/>
        <v>55</v>
      </c>
      <c r="B80" s="57">
        <v>54</v>
      </c>
      <c r="C80" s="269">
        <f t="shared" si="28"/>
        <v>47664</v>
      </c>
      <c r="D80" s="337">
        <f t="shared" si="29"/>
        <v>8969.018479256556</v>
      </c>
      <c r="E80" s="337"/>
      <c r="F80" s="337"/>
      <c r="G80" s="338">
        <f t="shared" si="30"/>
        <v>269.07055437769668</v>
      </c>
      <c r="H80" s="338"/>
      <c r="I80" s="338">
        <f t="shared" si="31"/>
        <v>32.288466525323599</v>
      </c>
      <c r="J80" s="338"/>
      <c r="K80" s="338">
        <f t="shared" si="32"/>
        <v>301.35902090302028</v>
      </c>
      <c r="L80" s="338"/>
      <c r="M80" s="338">
        <f t="shared" si="33"/>
        <v>1675.4672291253412</v>
      </c>
      <c r="N80" s="338"/>
      <c r="O80" s="338"/>
      <c r="P80" s="339">
        <f t="shared" si="34"/>
        <v>1374.1082082223209</v>
      </c>
      <c r="Q80" s="339"/>
      <c r="R80" s="339"/>
      <c r="S80" s="174">
        <f t="shared" si="35"/>
        <v>471.58900000000006</v>
      </c>
      <c r="T80" s="174">
        <f t="shared" si="36"/>
        <v>148.19999999999999</v>
      </c>
      <c r="U80" s="338">
        <f t="shared" si="37"/>
        <v>7594.9102710342349</v>
      </c>
      <c r="V80" s="338"/>
      <c r="W80" s="338"/>
      <c r="X80" s="338">
        <f t="shared" si="38"/>
        <v>2295.2562291253412</v>
      </c>
      <c r="Y80" s="338"/>
      <c r="Z80" s="338"/>
    </row>
    <row r="81" spans="1:26">
      <c r="A81" s="173">
        <f t="shared" si="7"/>
        <v>56</v>
      </c>
      <c r="B81" s="57">
        <v>55</v>
      </c>
      <c r="C81" s="269">
        <f t="shared" si="28"/>
        <v>47694</v>
      </c>
      <c r="D81" s="337">
        <f t="shared" si="29"/>
        <v>7594.9102710342349</v>
      </c>
      <c r="E81" s="337"/>
      <c r="F81" s="337"/>
      <c r="G81" s="338">
        <f t="shared" si="30"/>
        <v>227.84730813102703</v>
      </c>
      <c r="H81" s="338"/>
      <c r="I81" s="338">
        <f t="shared" si="31"/>
        <v>27.341676975723242</v>
      </c>
      <c r="J81" s="338"/>
      <c r="K81" s="338">
        <f t="shared" si="32"/>
        <v>255.18898510675027</v>
      </c>
      <c r="L81" s="338"/>
      <c r="M81" s="338">
        <f t="shared" si="33"/>
        <v>1675.4672291253412</v>
      </c>
      <c r="N81" s="338"/>
      <c r="O81" s="338"/>
      <c r="P81" s="339">
        <f t="shared" si="34"/>
        <v>1420.2782440185908</v>
      </c>
      <c r="Q81" s="339"/>
      <c r="R81" s="339"/>
      <c r="S81" s="174">
        <f t="shared" si="35"/>
        <v>471.58900000000006</v>
      </c>
      <c r="T81" s="174">
        <f t="shared" si="36"/>
        <v>148.19999999999999</v>
      </c>
      <c r="U81" s="338">
        <f t="shared" si="37"/>
        <v>6174.6320270156439</v>
      </c>
      <c r="V81" s="338"/>
      <c r="W81" s="338"/>
      <c r="X81" s="338">
        <f t="shared" si="38"/>
        <v>2295.2562291253412</v>
      </c>
      <c r="Y81" s="338"/>
      <c r="Z81" s="338"/>
    </row>
    <row r="82" spans="1:26">
      <c r="A82" s="173">
        <f t="shared" si="7"/>
        <v>57</v>
      </c>
      <c r="B82" s="57">
        <v>56</v>
      </c>
      <c r="C82" s="269">
        <f t="shared" si="28"/>
        <v>47725</v>
      </c>
      <c r="D82" s="337">
        <f t="shared" si="29"/>
        <v>6174.6320270156439</v>
      </c>
      <c r="E82" s="337"/>
      <c r="F82" s="337"/>
      <c r="G82" s="338">
        <f t="shared" si="30"/>
        <v>185.23896081046931</v>
      </c>
      <c r="H82" s="338"/>
      <c r="I82" s="338">
        <f t="shared" si="31"/>
        <v>22.228675297256316</v>
      </c>
      <c r="J82" s="338"/>
      <c r="K82" s="338">
        <f t="shared" si="32"/>
        <v>207.46763610772564</v>
      </c>
      <c r="L82" s="338"/>
      <c r="M82" s="338">
        <f t="shared" si="33"/>
        <v>1675.4672291253412</v>
      </c>
      <c r="N82" s="338"/>
      <c r="O82" s="338"/>
      <c r="P82" s="339">
        <f t="shared" si="34"/>
        <v>1467.9995930176156</v>
      </c>
      <c r="Q82" s="339"/>
      <c r="R82" s="339"/>
      <c r="S82" s="174">
        <f t="shared" si="35"/>
        <v>471.58900000000006</v>
      </c>
      <c r="T82" s="174">
        <f t="shared" si="36"/>
        <v>148.19999999999999</v>
      </c>
      <c r="U82" s="338">
        <f t="shared" si="37"/>
        <v>4706.6324339980283</v>
      </c>
      <c r="V82" s="338"/>
      <c r="W82" s="338"/>
      <c r="X82" s="338">
        <f t="shared" si="38"/>
        <v>2295.2562291253412</v>
      </c>
      <c r="Y82" s="338"/>
      <c r="Z82" s="338"/>
    </row>
    <row r="83" spans="1:26">
      <c r="A83" s="173">
        <f t="shared" si="7"/>
        <v>58</v>
      </c>
      <c r="B83" s="57">
        <v>57</v>
      </c>
      <c r="C83" s="269">
        <f t="shared" si="28"/>
        <v>47756</v>
      </c>
      <c r="D83" s="337">
        <f t="shared" si="29"/>
        <v>4706.6324339980283</v>
      </c>
      <c r="E83" s="337"/>
      <c r="F83" s="337"/>
      <c r="G83" s="338">
        <f t="shared" si="30"/>
        <v>141.19897301994084</v>
      </c>
      <c r="H83" s="338"/>
      <c r="I83" s="338">
        <f t="shared" si="31"/>
        <v>16.9438767623929</v>
      </c>
      <c r="J83" s="338"/>
      <c r="K83" s="338">
        <f t="shared" si="32"/>
        <v>158.14284978233374</v>
      </c>
      <c r="L83" s="338"/>
      <c r="M83" s="338">
        <f t="shared" si="33"/>
        <v>1675.4672291253412</v>
      </c>
      <c r="N83" s="338"/>
      <c r="O83" s="338"/>
      <c r="P83" s="339">
        <f t="shared" si="34"/>
        <v>1517.3243793430074</v>
      </c>
      <c r="Q83" s="339"/>
      <c r="R83" s="339"/>
      <c r="S83" s="174">
        <f t="shared" si="35"/>
        <v>471.58900000000006</v>
      </c>
      <c r="T83" s="174">
        <f t="shared" si="36"/>
        <v>148.19999999999999</v>
      </c>
      <c r="U83" s="338">
        <f t="shared" si="37"/>
        <v>3189.3080546550209</v>
      </c>
      <c r="V83" s="338"/>
      <c r="W83" s="338"/>
      <c r="X83" s="338">
        <f t="shared" si="38"/>
        <v>2295.2562291253412</v>
      </c>
      <c r="Y83" s="338"/>
      <c r="Z83" s="338"/>
    </row>
    <row r="84" spans="1:26">
      <c r="A84" s="173">
        <f t="shared" si="7"/>
        <v>59</v>
      </c>
      <c r="B84" s="57">
        <v>58</v>
      </c>
      <c r="C84" s="269">
        <f t="shared" si="28"/>
        <v>47786</v>
      </c>
      <c r="D84" s="337">
        <f t="shared" si="29"/>
        <v>3189.3080546550209</v>
      </c>
      <c r="E84" s="337"/>
      <c r="F84" s="337"/>
      <c r="G84" s="338">
        <f t="shared" si="30"/>
        <v>95.679241639650627</v>
      </c>
      <c r="H84" s="338"/>
      <c r="I84" s="338">
        <f t="shared" si="31"/>
        <v>11.481508996758075</v>
      </c>
      <c r="J84" s="338"/>
      <c r="K84" s="338">
        <f t="shared" si="32"/>
        <v>107.16075063640871</v>
      </c>
      <c r="L84" s="338"/>
      <c r="M84" s="338">
        <f t="shared" si="33"/>
        <v>1675.4672291253412</v>
      </c>
      <c r="N84" s="338"/>
      <c r="O84" s="338"/>
      <c r="P84" s="339">
        <f t="shared" si="34"/>
        <v>1568.3064784889325</v>
      </c>
      <c r="Q84" s="339"/>
      <c r="R84" s="339"/>
      <c r="S84" s="174">
        <f t="shared" si="35"/>
        <v>471.58900000000006</v>
      </c>
      <c r="T84" s="174">
        <f t="shared" si="36"/>
        <v>148.19999999999999</v>
      </c>
      <c r="U84" s="338">
        <f t="shared" si="37"/>
        <v>1621.0015761660884</v>
      </c>
      <c r="V84" s="338"/>
      <c r="W84" s="338"/>
      <c r="X84" s="338">
        <f t="shared" si="38"/>
        <v>2295.2562291253412</v>
      </c>
      <c r="Y84" s="338"/>
      <c r="Z84" s="338"/>
    </row>
    <row r="85" spans="1:26">
      <c r="A85" s="173">
        <f t="shared" si="7"/>
        <v>60</v>
      </c>
      <c r="B85" s="57">
        <v>59</v>
      </c>
      <c r="C85" s="269">
        <f t="shared" si="28"/>
        <v>47817</v>
      </c>
      <c r="D85" s="337">
        <f t="shared" si="29"/>
        <v>1621.0015761660884</v>
      </c>
      <c r="E85" s="337"/>
      <c r="F85" s="337"/>
      <c r="G85" s="338">
        <f t="shared" si="30"/>
        <v>48.630047284982652</v>
      </c>
      <c r="H85" s="338"/>
      <c r="I85" s="338">
        <f t="shared" si="31"/>
        <v>5.8356056741979181</v>
      </c>
      <c r="J85" s="338"/>
      <c r="K85" s="338">
        <f t="shared" si="32"/>
        <v>54.465652959180574</v>
      </c>
      <c r="L85" s="338"/>
      <c r="M85" s="338">
        <f t="shared" si="33"/>
        <v>1675.4672291253412</v>
      </c>
      <c r="N85" s="338"/>
      <c r="O85" s="338"/>
      <c r="P85" s="339">
        <f t="shared" si="34"/>
        <v>1621.0015761661607</v>
      </c>
      <c r="Q85" s="339"/>
      <c r="R85" s="339"/>
      <c r="S85" s="174">
        <f t="shared" si="35"/>
        <v>471.58900000000006</v>
      </c>
      <c r="T85" s="174">
        <f t="shared" si="36"/>
        <v>148.19999999999999</v>
      </c>
      <c r="U85" s="338">
        <f t="shared" si="37"/>
        <v>-7.2304828790947795E-11</v>
      </c>
      <c r="V85" s="338"/>
      <c r="W85" s="338"/>
      <c r="X85" s="338">
        <f t="shared" si="38"/>
        <v>2295.2562291253412</v>
      </c>
      <c r="Y85" s="338"/>
      <c r="Z85" s="338"/>
    </row>
    <row r="86" spans="1:26">
      <c r="A86" s="173" t="str">
        <f t="shared" si="7"/>
        <v/>
      </c>
      <c r="B86" s="57">
        <v>60</v>
      </c>
      <c r="C86" s="269" t="str">
        <f t="shared" si="28"/>
        <v/>
      </c>
      <c r="D86" s="337" t="str">
        <f t="shared" si="29"/>
        <v/>
      </c>
      <c r="E86" s="337"/>
      <c r="F86" s="337"/>
      <c r="G86" s="338" t="str">
        <f t="shared" si="30"/>
        <v/>
      </c>
      <c r="H86" s="338"/>
      <c r="I86" s="338" t="str">
        <f t="shared" si="31"/>
        <v/>
      </c>
      <c r="J86" s="338"/>
      <c r="K86" s="338" t="str">
        <f t="shared" si="32"/>
        <v/>
      </c>
      <c r="L86" s="338"/>
      <c r="M86" s="338" t="str">
        <f t="shared" si="33"/>
        <v/>
      </c>
      <c r="N86" s="338"/>
      <c r="O86" s="338"/>
      <c r="P86" s="339" t="str">
        <f t="shared" si="34"/>
        <v/>
      </c>
      <c r="Q86" s="339"/>
      <c r="R86" s="339"/>
      <c r="S86" s="174" t="str">
        <f t="shared" si="35"/>
        <v/>
      </c>
      <c r="T86" s="174" t="str">
        <f t="shared" si="36"/>
        <v/>
      </c>
      <c r="U86" s="338" t="str">
        <f t="shared" si="37"/>
        <v/>
      </c>
      <c r="V86" s="338"/>
      <c r="W86" s="338"/>
      <c r="X86" s="338" t="str">
        <f t="shared" si="38"/>
        <v/>
      </c>
      <c r="Y86" s="338"/>
      <c r="Z86" s="338"/>
    </row>
    <row r="87" spans="1:26">
      <c r="A87" s="173" t="str">
        <f t="shared" si="7"/>
        <v/>
      </c>
      <c r="B87" s="57">
        <v>61</v>
      </c>
      <c r="C87" s="269" t="str">
        <f t="shared" si="28"/>
        <v/>
      </c>
      <c r="D87" s="337" t="str">
        <f t="shared" si="29"/>
        <v/>
      </c>
      <c r="E87" s="337"/>
      <c r="F87" s="337"/>
      <c r="G87" s="338" t="str">
        <f t="shared" si="30"/>
        <v/>
      </c>
      <c r="H87" s="338"/>
      <c r="I87" s="338" t="str">
        <f t="shared" si="31"/>
        <v/>
      </c>
      <c r="J87" s="338"/>
      <c r="K87" s="338" t="str">
        <f t="shared" si="32"/>
        <v/>
      </c>
      <c r="L87" s="338"/>
      <c r="M87" s="338" t="str">
        <f t="shared" si="33"/>
        <v/>
      </c>
      <c r="N87" s="338"/>
      <c r="O87" s="338"/>
      <c r="P87" s="339" t="str">
        <f t="shared" si="34"/>
        <v/>
      </c>
      <c r="Q87" s="339"/>
      <c r="R87" s="339"/>
      <c r="S87" s="174" t="str">
        <f t="shared" si="35"/>
        <v/>
      </c>
      <c r="T87" s="174" t="str">
        <f t="shared" si="36"/>
        <v/>
      </c>
      <c r="U87" s="338" t="str">
        <f t="shared" si="37"/>
        <v/>
      </c>
      <c r="V87" s="338"/>
      <c r="W87" s="338"/>
      <c r="X87" s="338" t="str">
        <f t="shared" si="38"/>
        <v/>
      </c>
      <c r="Y87" s="338"/>
      <c r="Z87" s="338"/>
    </row>
    <row r="88" spans="1:26">
      <c r="A88" s="173" t="str">
        <f t="shared" si="7"/>
        <v/>
      </c>
      <c r="B88" s="57">
        <v>62</v>
      </c>
      <c r="C88" s="269" t="str">
        <f t="shared" si="28"/>
        <v/>
      </c>
      <c r="D88" s="337" t="str">
        <f t="shared" si="29"/>
        <v/>
      </c>
      <c r="E88" s="337"/>
      <c r="F88" s="337"/>
      <c r="G88" s="338" t="str">
        <f t="shared" si="30"/>
        <v/>
      </c>
      <c r="H88" s="338"/>
      <c r="I88" s="338" t="str">
        <f t="shared" si="31"/>
        <v/>
      </c>
      <c r="J88" s="338"/>
      <c r="K88" s="338" t="str">
        <f t="shared" si="32"/>
        <v/>
      </c>
      <c r="L88" s="338"/>
      <c r="M88" s="338" t="str">
        <f t="shared" si="33"/>
        <v/>
      </c>
      <c r="N88" s="338"/>
      <c r="O88" s="338"/>
      <c r="P88" s="339" t="str">
        <f t="shared" si="34"/>
        <v/>
      </c>
      <c r="Q88" s="339"/>
      <c r="R88" s="339"/>
      <c r="S88" s="174" t="str">
        <f t="shared" si="35"/>
        <v/>
      </c>
      <c r="T88" s="174" t="str">
        <f t="shared" si="36"/>
        <v/>
      </c>
      <c r="U88" s="338" t="str">
        <f t="shared" si="37"/>
        <v/>
      </c>
      <c r="V88" s="338"/>
      <c r="W88" s="338"/>
      <c r="X88" s="338" t="str">
        <f t="shared" si="38"/>
        <v/>
      </c>
      <c r="Y88" s="338"/>
      <c r="Z88" s="338"/>
    </row>
    <row r="89" spans="1:26">
      <c r="A89" s="173" t="str">
        <f t="shared" si="7"/>
        <v/>
      </c>
      <c r="B89" s="57">
        <v>63</v>
      </c>
      <c r="C89" s="269" t="str">
        <f t="shared" si="28"/>
        <v/>
      </c>
      <c r="D89" s="337" t="str">
        <f t="shared" si="29"/>
        <v/>
      </c>
      <c r="E89" s="337"/>
      <c r="F89" s="337"/>
      <c r="G89" s="338" t="str">
        <f t="shared" si="30"/>
        <v/>
      </c>
      <c r="H89" s="338"/>
      <c r="I89" s="338" t="str">
        <f t="shared" si="31"/>
        <v/>
      </c>
      <c r="J89" s="338"/>
      <c r="K89" s="338" t="str">
        <f t="shared" si="32"/>
        <v/>
      </c>
      <c r="L89" s="338"/>
      <c r="M89" s="338" t="str">
        <f t="shared" si="33"/>
        <v/>
      </c>
      <c r="N89" s="338"/>
      <c r="O89" s="338"/>
      <c r="P89" s="339" t="str">
        <f t="shared" si="34"/>
        <v/>
      </c>
      <c r="Q89" s="339"/>
      <c r="R89" s="339"/>
      <c r="S89" s="174" t="str">
        <f t="shared" si="35"/>
        <v/>
      </c>
      <c r="T89" s="174" t="str">
        <f t="shared" si="36"/>
        <v/>
      </c>
      <c r="U89" s="338" t="str">
        <f t="shared" si="37"/>
        <v/>
      </c>
      <c r="V89" s="338"/>
      <c r="W89" s="338"/>
      <c r="X89" s="338" t="str">
        <f t="shared" si="38"/>
        <v/>
      </c>
      <c r="Y89" s="338"/>
      <c r="Z89" s="338"/>
    </row>
  </sheetData>
  <sheetProtection algorithmName="SHA-512" hashValue="cqY+pJLEfgUTuzzg++QM6EDBXBMxF4h9j+kYZYh+PVbyCFIbQuBIELYaUzJSYN8q+gPHCxBc6AvQIzgQaoxXPw==" saltValue="JVMR/VyZGCCV2G05CCanKw==" spinCount="100000" sheet="1" selectLockedCells="1"/>
  <mergeCells count="550">
    <mergeCell ref="C10:D10"/>
    <mergeCell ref="E10:P10"/>
    <mergeCell ref="K18:M18"/>
    <mergeCell ref="D22:F22"/>
    <mergeCell ref="G22:H22"/>
    <mergeCell ref="I22:J22"/>
    <mergeCell ref="K22:L22"/>
    <mergeCell ref="M22:O22"/>
    <mergeCell ref="K14:M14"/>
    <mergeCell ref="K15:M15"/>
    <mergeCell ref="N15:O15"/>
    <mergeCell ref="K16:M16"/>
    <mergeCell ref="K19:M19"/>
    <mergeCell ref="P22:R22"/>
    <mergeCell ref="K17:L17"/>
    <mergeCell ref="U22:W22"/>
    <mergeCell ref="X22:Z22"/>
    <mergeCell ref="D26:F26"/>
    <mergeCell ref="G26:H26"/>
    <mergeCell ref="I26:J26"/>
    <mergeCell ref="K26:L26"/>
    <mergeCell ref="M26:O26"/>
    <mergeCell ref="P26:R26"/>
    <mergeCell ref="U26:W26"/>
    <mergeCell ref="X26:Z26"/>
    <mergeCell ref="D23:F23"/>
    <mergeCell ref="D24:F24"/>
    <mergeCell ref="D25:F25"/>
    <mergeCell ref="K23:L23"/>
    <mergeCell ref="K24:L24"/>
    <mergeCell ref="K25:L25"/>
    <mergeCell ref="I23:J23"/>
    <mergeCell ref="I24:J24"/>
    <mergeCell ref="I25:J25"/>
    <mergeCell ref="G25:H25"/>
    <mergeCell ref="G24:H24"/>
    <mergeCell ref="G23:H23"/>
    <mergeCell ref="P23:R23"/>
    <mergeCell ref="P24:R24"/>
    <mergeCell ref="D27:F27"/>
    <mergeCell ref="G27:H27"/>
    <mergeCell ref="I27:J27"/>
    <mergeCell ref="K27:L27"/>
    <mergeCell ref="M27:O27"/>
    <mergeCell ref="P27:R27"/>
    <mergeCell ref="U27:W27"/>
    <mergeCell ref="X27:Z27"/>
    <mergeCell ref="U28:W28"/>
    <mergeCell ref="X28:Z28"/>
    <mergeCell ref="D29:F29"/>
    <mergeCell ref="G29:H29"/>
    <mergeCell ref="I29:J29"/>
    <mergeCell ref="K29:L29"/>
    <mergeCell ref="M29:O29"/>
    <mergeCell ref="P29:R29"/>
    <mergeCell ref="U29:W29"/>
    <mergeCell ref="X29:Z29"/>
    <mergeCell ref="D28:F28"/>
    <mergeCell ref="G28:H28"/>
    <mergeCell ref="I28:J28"/>
    <mergeCell ref="K28:L28"/>
    <mergeCell ref="M28:O28"/>
    <mergeCell ref="P28:R28"/>
    <mergeCell ref="U30:W30"/>
    <mergeCell ref="X30:Z30"/>
    <mergeCell ref="D31:F31"/>
    <mergeCell ref="G31:H31"/>
    <mergeCell ref="I31:J31"/>
    <mergeCell ref="K31:L31"/>
    <mergeCell ref="M31:O31"/>
    <mergeCell ref="P31:R31"/>
    <mergeCell ref="U31:W31"/>
    <mergeCell ref="X31:Z31"/>
    <mergeCell ref="D30:F30"/>
    <mergeCell ref="G30:H30"/>
    <mergeCell ref="I30:J30"/>
    <mergeCell ref="K30:L30"/>
    <mergeCell ref="M30:O30"/>
    <mergeCell ref="P30:R30"/>
    <mergeCell ref="U32:W32"/>
    <mergeCell ref="X32:Z32"/>
    <mergeCell ref="D33:F33"/>
    <mergeCell ref="G33:H33"/>
    <mergeCell ref="I33:J33"/>
    <mergeCell ref="K33:L33"/>
    <mergeCell ref="M33:O33"/>
    <mergeCell ref="P33:R33"/>
    <mergeCell ref="U33:W33"/>
    <mergeCell ref="X33:Z33"/>
    <mergeCell ref="D32:F32"/>
    <mergeCell ref="G32:H32"/>
    <mergeCell ref="I32:J32"/>
    <mergeCell ref="K32:L32"/>
    <mergeCell ref="M32:O32"/>
    <mergeCell ref="P32:R32"/>
    <mergeCell ref="U34:W34"/>
    <mergeCell ref="X34:Z34"/>
    <mergeCell ref="D35:F35"/>
    <mergeCell ref="G35:H35"/>
    <mergeCell ref="I35:J35"/>
    <mergeCell ref="K35:L35"/>
    <mergeCell ref="M35:O35"/>
    <mergeCell ref="P35:R35"/>
    <mergeCell ref="U35:W35"/>
    <mergeCell ref="X35:Z35"/>
    <mergeCell ref="D34:F34"/>
    <mergeCell ref="G34:H34"/>
    <mergeCell ref="I34:J34"/>
    <mergeCell ref="K34:L34"/>
    <mergeCell ref="M34:O34"/>
    <mergeCell ref="P34:R34"/>
    <mergeCell ref="U36:W36"/>
    <mergeCell ref="X36:Z36"/>
    <mergeCell ref="D37:F37"/>
    <mergeCell ref="G37:H37"/>
    <mergeCell ref="I37:J37"/>
    <mergeCell ref="K37:L37"/>
    <mergeCell ref="M37:O37"/>
    <mergeCell ref="P37:R37"/>
    <mergeCell ref="U37:W37"/>
    <mergeCell ref="X37:Z37"/>
    <mergeCell ref="D36:F36"/>
    <mergeCell ref="G36:H36"/>
    <mergeCell ref="I36:J36"/>
    <mergeCell ref="K36:L36"/>
    <mergeCell ref="M36:O36"/>
    <mergeCell ref="P36:R36"/>
    <mergeCell ref="U38:W38"/>
    <mergeCell ref="X38:Z38"/>
    <mergeCell ref="D39:F39"/>
    <mergeCell ref="G39:H39"/>
    <mergeCell ref="I39:J39"/>
    <mergeCell ref="K39:L39"/>
    <mergeCell ref="M39:O39"/>
    <mergeCell ref="P39:R39"/>
    <mergeCell ref="U39:W39"/>
    <mergeCell ref="X39:Z39"/>
    <mergeCell ref="D38:F38"/>
    <mergeCell ref="G38:H38"/>
    <mergeCell ref="I38:J38"/>
    <mergeCell ref="K38:L38"/>
    <mergeCell ref="M38:O38"/>
    <mergeCell ref="P38:R38"/>
    <mergeCell ref="U40:W40"/>
    <mergeCell ref="X40:Z40"/>
    <mergeCell ref="D41:F41"/>
    <mergeCell ref="G41:H41"/>
    <mergeCell ref="I41:J41"/>
    <mergeCell ref="K41:L41"/>
    <mergeCell ref="M41:O41"/>
    <mergeCell ref="P41:R41"/>
    <mergeCell ref="U41:W41"/>
    <mergeCell ref="X41:Z41"/>
    <mergeCell ref="D40:F40"/>
    <mergeCell ref="G40:H40"/>
    <mergeCell ref="I40:J40"/>
    <mergeCell ref="K40:L40"/>
    <mergeCell ref="M40:O40"/>
    <mergeCell ref="P40:R40"/>
    <mergeCell ref="U42:W42"/>
    <mergeCell ref="X42:Z42"/>
    <mergeCell ref="D43:F43"/>
    <mergeCell ref="G43:H43"/>
    <mergeCell ref="I43:J43"/>
    <mergeCell ref="K43:L43"/>
    <mergeCell ref="M43:O43"/>
    <mergeCell ref="P43:R43"/>
    <mergeCell ref="U43:W43"/>
    <mergeCell ref="X43:Z43"/>
    <mergeCell ref="D42:F42"/>
    <mergeCell ref="G42:H42"/>
    <mergeCell ref="I42:J42"/>
    <mergeCell ref="K42:L42"/>
    <mergeCell ref="M42:O42"/>
    <mergeCell ref="P42:R42"/>
    <mergeCell ref="U44:W44"/>
    <mergeCell ref="X44:Z44"/>
    <mergeCell ref="D45:F45"/>
    <mergeCell ref="G45:H45"/>
    <mergeCell ref="I45:J45"/>
    <mergeCell ref="K45:L45"/>
    <mergeCell ref="M45:O45"/>
    <mergeCell ref="P45:R45"/>
    <mergeCell ref="U45:W45"/>
    <mergeCell ref="X45:Z45"/>
    <mergeCell ref="D44:F44"/>
    <mergeCell ref="G44:H44"/>
    <mergeCell ref="I44:J44"/>
    <mergeCell ref="K44:L44"/>
    <mergeCell ref="M44:O44"/>
    <mergeCell ref="P44:R44"/>
    <mergeCell ref="U46:W46"/>
    <mergeCell ref="X46:Z46"/>
    <mergeCell ref="D47:F47"/>
    <mergeCell ref="G47:H47"/>
    <mergeCell ref="I47:J47"/>
    <mergeCell ref="K47:L47"/>
    <mergeCell ref="M47:O47"/>
    <mergeCell ref="P47:R47"/>
    <mergeCell ref="U47:W47"/>
    <mergeCell ref="X47:Z47"/>
    <mergeCell ref="D46:F46"/>
    <mergeCell ref="G46:H46"/>
    <mergeCell ref="I46:J46"/>
    <mergeCell ref="K46:L46"/>
    <mergeCell ref="M46:O46"/>
    <mergeCell ref="P46:R46"/>
    <mergeCell ref="U48:W48"/>
    <mergeCell ref="X48:Z48"/>
    <mergeCell ref="D49:F49"/>
    <mergeCell ref="G49:H49"/>
    <mergeCell ref="I49:J49"/>
    <mergeCell ref="K49:L49"/>
    <mergeCell ref="M49:O49"/>
    <mergeCell ref="P49:R49"/>
    <mergeCell ref="U49:W49"/>
    <mergeCell ref="X49:Z49"/>
    <mergeCell ref="D48:F48"/>
    <mergeCell ref="G48:H48"/>
    <mergeCell ref="I48:J48"/>
    <mergeCell ref="K48:L48"/>
    <mergeCell ref="M48:O48"/>
    <mergeCell ref="P48:R48"/>
    <mergeCell ref="U50:W50"/>
    <mergeCell ref="X50:Z50"/>
    <mergeCell ref="D51:F51"/>
    <mergeCell ref="G51:H51"/>
    <mergeCell ref="I51:J51"/>
    <mergeCell ref="K51:L51"/>
    <mergeCell ref="M51:O51"/>
    <mergeCell ref="P51:R51"/>
    <mergeCell ref="U51:W51"/>
    <mergeCell ref="X51:Z51"/>
    <mergeCell ref="D50:F50"/>
    <mergeCell ref="G50:H50"/>
    <mergeCell ref="I50:J50"/>
    <mergeCell ref="K50:L50"/>
    <mergeCell ref="M50:O50"/>
    <mergeCell ref="P50:R50"/>
    <mergeCell ref="U52:W52"/>
    <mergeCell ref="X52:Z52"/>
    <mergeCell ref="D53:F53"/>
    <mergeCell ref="G53:H53"/>
    <mergeCell ref="I53:J53"/>
    <mergeCell ref="K53:L53"/>
    <mergeCell ref="M53:O53"/>
    <mergeCell ref="P53:R53"/>
    <mergeCell ref="U53:W53"/>
    <mergeCell ref="X53:Z53"/>
    <mergeCell ref="D52:F52"/>
    <mergeCell ref="G52:H52"/>
    <mergeCell ref="I52:J52"/>
    <mergeCell ref="K52:L52"/>
    <mergeCell ref="M52:O52"/>
    <mergeCell ref="P52:R52"/>
    <mergeCell ref="U54:W54"/>
    <mergeCell ref="X54:Z54"/>
    <mergeCell ref="D55:F55"/>
    <mergeCell ref="G55:H55"/>
    <mergeCell ref="I55:J55"/>
    <mergeCell ref="K55:L55"/>
    <mergeCell ref="M55:O55"/>
    <mergeCell ref="P55:R55"/>
    <mergeCell ref="U55:W55"/>
    <mergeCell ref="X55:Z55"/>
    <mergeCell ref="D54:F54"/>
    <mergeCell ref="G54:H54"/>
    <mergeCell ref="I54:J54"/>
    <mergeCell ref="K54:L54"/>
    <mergeCell ref="M54:O54"/>
    <mergeCell ref="P54:R54"/>
    <mergeCell ref="X56:Z56"/>
    <mergeCell ref="D57:F57"/>
    <mergeCell ref="G57:H57"/>
    <mergeCell ref="I57:J57"/>
    <mergeCell ref="K57:L57"/>
    <mergeCell ref="M57:O57"/>
    <mergeCell ref="P57:R57"/>
    <mergeCell ref="U57:W57"/>
    <mergeCell ref="X57:Z57"/>
    <mergeCell ref="D56:F56"/>
    <mergeCell ref="G56:H56"/>
    <mergeCell ref="I56:J56"/>
    <mergeCell ref="K56:L56"/>
    <mergeCell ref="M56:O56"/>
    <mergeCell ref="P56:R56"/>
    <mergeCell ref="D59:F59"/>
    <mergeCell ref="G59:H59"/>
    <mergeCell ref="I59:J59"/>
    <mergeCell ref="K59:L59"/>
    <mergeCell ref="M59:O59"/>
    <mergeCell ref="P59:R59"/>
    <mergeCell ref="U59:W59"/>
    <mergeCell ref="X59:Z59"/>
    <mergeCell ref="D58:F58"/>
    <mergeCell ref="G58:H58"/>
    <mergeCell ref="I58:J58"/>
    <mergeCell ref="K58:L58"/>
    <mergeCell ref="M58:O58"/>
    <mergeCell ref="P58:R58"/>
    <mergeCell ref="D61:F61"/>
    <mergeCell ref="G61:H61"/>
    <mergeCell ref="I61:J61"/>
    <mergeCell ref="K61:L61"/>
    <mergeCell ref="M61:O61"/>
    <mergeCell ref="P61:R61"/>
    <mergeCell ref="U61:W61"/>
    <mergeCell ref="X61:Z61"/>
    <mergeCell ref="D60:F60"/>
    <mergeCell ref="G60:H60"/>
    <mergeCell ref="I60:J60"/>
    <mergeCell ref="K60:L60"/>
    <mergeCell ref="M60:O60"/>
    <mergeCell ref="P60:R60"/>
    <mergeCell ref="D63:F63"/>
    <mergeCell ref="G63:H63"/>
    <mergeCell ref="I63:J63"/>
    <mergeCell ref="K63:L63"/>
    <mergeCell ref="M63:O63"/>
    <mergeCell ref="P63:R63"/>
    <mergeCell ref="U63:W63"/>
    <mergeCell ref="X63:Z63"/>
    <mergeCell ref="D62:F62"/>
    <mergeCell ref="G62:H62"/>
    <mergeCell ref="I62:J62"/>
    <mergeCell ref="K62:L62"/>
    <mergeCell ref="M62:O62"/>
    <mergeCell ref="P62:R62"/>
    <mergeCell ref="D65:F65"/>
    <mergeCell ref="G65:H65"/>
    <mergeCell ref="I65:J65"/>
    <mergeCell ref="K65:L65"/>
    <mergeCell ref="M65:O65"/>
    <mergeCell ref="P65:R65"/>
    <mergeCell ref="U65:W65"/>
    <mergeCell ref="X65:Z65"/>
    <mergeCell ref="D64:F64"/>
    <mergeCell ref="G64:H64"/>
    <mergeCell ref="I64:J64"/>
    <mergeCell ref="K64:L64"/>
    <mergeCell ref="M64:O64"/>
    <mergeCell ref="P64:R64"/>
    <mergeCell ref="D67:F67"/>
    <mergeCell ref="G67:H67"/>
    <mergeCell ref="I67:J67"/>
    <mergeCell ref="K67:L67"/>
    <mergeCell ref="M67:O67"/>
    <mergeCell ref="P67:R67"/>
    <mergeCell ref="U67:W67"/>
    <mergeCell ref="X67:Z67"/>
    <mergeCell ref="D66:F66"/>
    <mergeCell ref="G66:H66"/>
    <mergeCell ref="I66:J66"/>
    <mergeCell ref="K66:L66"/>
    <mergeCell ref="M66:O66"/>
    <mergeCell ref="P66:R66"/>
    <mergeCell ref="D69:F69"/>
    <mergeCell ref="G69:H69"/>
    <mergeCell ref="I69:J69"/>
    <mergeCell ref="K69:L69"/>
    <mergeCell ref="M69:O69"/>
    <mergeCell ref="P69:R69"/>
    <mergeCell ref="U69:W69"/>
    <mergeCell ref="X69:Z69"/>
    <mergeCell ref="D68:F68"/>
    <mergeCell ref="G68:H68"/>
    <mergeCell ref="I68:J68"/>
    <mergeCell ref="K68:L68"/>
    <mergeCell ref="M68:O68"/>
    <mergeCell ref="P68:R68"/>
    <mergeCell ref="D71:F71"/>
    <mergeCell ref="G71:H71"/>
    <mergeCell ref="I71:J71"/>
    <mergeCell ref="K71:L71"/>
    <mergeCell ref="M71:O71"/>
    <mergeCell ref="P71:R71"/>
    <mergeCell ref="U71:W71"/>
    <mergeCell ref="X71:Z71"/>
    <mergeCell ref="D70:F70"/>
    <mergeCell ref="G70:H70"/>
    <mergeCell ref="I70:J70"/>
    <mergeCell ref="K70:L70"/>
    <mergeCell ref="M70:O70"/>
    <mergeCell ref="P70:R70"/>
    <mergeCell ref="U77:W77"/>
    <mergeCell ref="X77:Z77"/>
    <mergeCell ref="U72:W72"/>
    <mergeCell ref="X72:Z72"/>
    <mergeCell ref="D73:F73"/>
    <mergeCell ref="G73:H73"/>
    <mergeCell ref="I73:J73"/>
    <mergeCell ref="K73:L73"/>
    <mergeCell ref="M73:O73"/>
    <mergeCell ref="P73:R73"/>
    <mergeCell ref="U73:W73"/>
    <mergeCell ref="X73:Z73"/>
    <mergeCell ref="D72:F72"/>
    <mergeCell ref="G72:H72"/>
    <mergeCell ref="I72:J72"/>
    <mergeCell ref="K72:L72"/>
    <mergeCell ref="M72:O72"/>
    <mergeCell ref="P72:R72"/>
    <mergeCell ref="D74:F74"/>
    <mergeCell ref="G74:H74"/>
    <mergeCell ref="I74:J74"/>
    <mergeCell ref="K74:L74"/>
    <mergeCell ref="P74:R74"/>
    <mergeCell ref="X74:Z74"/>
    <mergeCell ref="P25:R25"/>
    <mergeCell ref="U23:W23"/>
    <mergeCell ref="U24:W24"/>
    <mergeCell ref="U25:W25"/>
    <mergeCell ref="X23:Z23"/>
    <mergeCell ref="X24:Z24"/>
    <mergeCell ref="X25:Z25"/>
    <mergeCell ref="M74:O74"/>
    <mergeCell ref="U74:W74"/>
    <mergeCell ref="U70:W70"/>
    <mergeCell ref="X70:Z70"/>
    <mergeCell ref="U68:W68"/>
    <mergeCell ref="X68:Z68"/>
    <mergeCell ref="U66:W66"/>
    <mergeCell ref="X66:Z66"/>
    <mergeCell ref="U64:W64"/>
    <mergeCell ref="X64:Z64"/>
    <mergeCell ref="U62:W62"/>
    <mergeCell ref="X62:Z62"/>
    <mergeCell ref="U60:W60"/>
    <mergeCell ref="X60:Z60"/>
    <mergeCell ref="U58:W58"/>
    <mergeCell ref="X58:Z58"/>
    <mergeCell ref="U56:W56"/>
    <mergeCell ref="D75:F75"/>
    <mergeCell ref="G75:H75"/>
    <mergeCell ref="I75:J75"/>
    <mergeCell ref="K75:L75"/>
    <mergeCell ref="M75:O75"/>
    <mergeCell ref="X75:Z75"/>
    <mergeCell ref="D76:F76"/>
    <mergeCell ref="G76:H76"/>
    <mergeCell ref="I76:J76"/>
    <mergeCell ref="K76:L76"/>
    <mergeCell ref="M76:O76"/>
    <mergeCell ref="P76:R76"/>
    <mergeCell ref="U76:W76"/>
    <mergeCell ref="X76:Z76"/>
    <mergeCell ref="P75:R75"/>
    <mergeCell ref="U75:W75"/>
    <mergeCell ref="D77:F77"/>
    <mergeCell ref="G77:H77"/>
    <mergeCell ref="I77:J77"/>
    <mergeCell ref="K77:L77"/>
    <mergeCell ref="M77:O77"/>
    <mergeCell ref="P77:R77"/>
    <mergeCell ref="D78:F78"/>
    <mergeCell ref="G78:H78"/>
    <mergeCell ref="I78:J78"/>
    <mergeCell ref="K78:L78"/>
    <mergeCell ref="M78:O78"/>
    <mergeCell ref="P78:R78"/>
    <mergeCell ref="U78:W78"/>
    <mergeCell ref="X78:Z78"/>
    <mergeCell ref="D79:F79"/>
    <mergeCell ref="G79:H79"/>
    <mergeCell ref="I79:J79"/>
    <mergeCell ref="K79:L79"/>
    <mergeCell ref="M79:O79"/>
    <mergeCell ref="P79:R79"/>
    <mergeCell ref="U79:W79"/>
    <mergeCell ref="X79:Z79"/>
    <mergeCell ref="D80:F80"/>
    <mergeCell ref="G80:H80"/>
    <mergeCell ref="I80:J80"/>
    <mergeCell ref="K80:L80"/>
    <mergeCell ref="M80:O80"/>
    <mergeCell ref="P80:R80"/>
    <mergeCell ref="U80:W80"/>
    <mergeCell ref="X80:Z80"/>
    <mergeCell ref="D81:F81"/>
    <mergeCell ref="G81:H81"/>
    <mergeCell ref="I81:J81"/>
    <mergeCell ref="K81:L81"/>
    <mergeCell ref="M81:O81"/>
    <mergeCell ref="P81:R81"/>
    <mergeCell ref="U81:W81"/>
    <mergeCell ref="X81:Z81"/>
    <mergeCell ref="D82:F82"/>
    <mergeCell ref="G82:H82"/>
    <mergeCell ref="I82:J82"/>
    <mergeCell ref="K82:L82"/>
    <mergeCell ref="M82:O82"/>
    <mergeCell ref="P82:R82"/>
    <mergeCell ref="U82:W82"/>
    <mergeCell ref="X82:Z82"/>
    <mergeCell ref="D83:F83"/>
    <mergeCell ref="G83:H83"/>
    <mergeCell ref="I83:J83"/>
    <mergeCell ref="K83:L83"/>
    <mergeCell ref="M83:O83"/>
    <mergeCell ref="P83:R83"/>
    <mergeCell ref="U83:W83"/>
    <mergeCell ref="X83:Z83"/>
    <mergeCell ref="D84:F84"/>
    <mergeCell ref="G84:H84"/>
    <mergeCell ref="I84:J84"/>
    <mergeCell ref="K84:L84"/>
    <mergeCell ref="M84:O84"/>
    <mergeCell ref="P84:R84"/>
    <mergeCell ref="U84:W84"/>
    <mergeCell ref="X84:Z84"/>
    <mergeCell ref="D85:F85"/>
    <mergeCell ref="G85:H85"/>
    <mergeCell ref="I85:J85"/>
    <mergeCell ref="K85:L85"/>
    <mergeCell ref="M85:O85"/>
    <mergeCell ref="P85:R85"/>
    <mergeCell ref="U85:W85"/>
    <mergeCell ref="X85:Z85"/>
    <mergeCell ref="D86:F86"/>
    <mergeCell ref="G86:H86"/>
    <mergeCell ref="I86:J86"/>
    <mergeCell ref="K86:L86"/>
    <mergeCell ref="M86:O86"/>
    <mergeCell ref="P86:R86"/>
    <mergeCell ref="U86:W86"/>
    <mergeCell ref="X86:Z86"/>
    <mergeCell ref="D87:F87"/>
    <mergeCell ref="G87:H87"/>
    <mergeCell ref="I87:J87"/>
    <mergeCell ref="K87:L87"/>
    <mergeCell ref="M87:O87"/>
    <mergeCell ref="P87:R87"/>
    <mergeCell ref="U87:W87"/>
    <mergeCell ref="X87:Z87"/>
    <mergeCell ref="D88:F88"/>
    <mergeCell ref="G88:H88"/>
    <mergeCell ref="I88:J88"/>
    <mergeCell ref="K88:L88"/>
    <mergeCell ref="M88:O88"/>
    <mergeCell ref="P88:R88"/>
    <mergeCell ref="U88:W88"/>
    <mergeCell ref="X88:Z88"/>
    <mergeCell ref="D89:F89"/>
    <mergeCell ref="G89:H89"/>
    <mergeCell ref="I89:J89"/>
    <mergeCell ref="K89:L89"/>
    <mergeCell ref="M89:O89"/>
    <mergeCell ref="P89:R89"/>
    <mergeCell ref="U89:W89"/>
    <mergeCell ref="X89:Z89"/>
  </mergeCells>
  <dataValidations count="1">
    <dataValidation type="list" allowBlank="1" showInputMessage="1" showErrorMessage="1" sqref="K13">
      <formula1>"Particular,UBER,Pick Up,Nuevo,Panel,Camion,Microbus"</formula1>
    </dataValidation>
  </dataValidations>
  <pageMargins left="0.83" right="0.8" top="1.06" bottom="0.95" header="0.49" footer="0.3"/>
  <pageSetup scale="70" fitToWidth="0" fitToHeight="0" orientation="portrait" horizontalDpi="4294967294" verticalDpi="4294967294" r:id="rId1"/>
  <headerFooter>
    <oddHeader>&amp;L&amp;G</oddHeader>
    <oddFooter>&amp;L&amp;G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9:Y88"/>
  <sheetViews>
    <sheetView showGridLines="0" view="pageLayout" topLeftCell="C16" zoomScaleNormal="100" zoomScaleSheetLayoutView="100" workbookViewId="0">
      <selection activeCell="K13" sqref="K13"/>
    </sheetView>
  </sheetViews>
  <sheetFormatPr baseColWidth="10" defaultColWidth="11.33203125" defaultRowHeight="13.2"/>
  <cols>
    <col min="1" max="1" width="5.88671875" style="173" bestFit="1" customWidth="1"/>
    <col min="2" max="2" width="4.33203125" style="57" hidden="1" customWidth="1"/>
    <col min="3" max="3" width="13.6640625" style="57" customWidth="1"/>
    <col min="4" max="4" width="3.5546875" style="57" customWidth="1"/>
    <col min="5" max="5" width="5.109375" style="57" customWidth="1"/>
    <col min="6" max="6" width="7" style="57" customWidth="1"/>
    <col min="7" max="7" width="2.6640625" style="57" hidden="1" customWidth="1"/>
    <col min="8" max="8" width="10.6640625" style="57" hidden="1" customWidth="1"/>
    <col min="9" max="9" width="5.109375" style="57" hidden="1" customWidth="1"/>
    <col min="10" max="10" width="9.88671875" style="57" hidden="1" customWidth="1"/>
    <col min="11" max="11" width="15.109375" style="57" customWidth="1"/>
    <col min="12" max="12" width="6" style="57" hidden="1" customWidth="1"/>
    <col min="13" max="13" width="9" style="57" hidden="1" customWidth="1"/>
    <col min="14" max="14" width="7.5546875" style="57" hidden="1" customWidth="1"/>
    <col min="15" max="15" width="12.109375" style="57" hidden="1" customWidth="1"/>
    <col min="16" max="16" width="4.33203125" style="57" hidden="1" customWidth="1"/>
    <col min="17" max="17" width="4.33203125" style="57" customWidth="1"/>
    <col min="18" max="18" width="10.6640625" style="57" customWidth="1"/>
    <col min="19" max="19" width="12.6640625" style="57" customWidth="1"/>
    <col min="20" max="21" width="4.33203125" style="57" customWidth="1"/>
    <col min="22" max="22" width="7" style="57" customWidth="1"/>
    <col min="23" max="25" width="4.33203125" style="57" customWidth="1"/>
    <col min="26" max="224" width="11.33203125" style="57"/>
    <col min="225" max="225" width="4.33203125" style="57" customWidth="1"/>
    <col min="226" max="226" width="3.5546875" style="57" customWidth="1"/>
    <col min="227" max="227" width="5.109375" style="57" customWidth="1"/>
    <col min="228" max="228" width="4.33203125" style="57" customWidth="1"/>
    <col min="229" max="232" width="0" style="57" hidden="1" customWidth="1"/>
    <col min="233" max="233" width="6.6640625" style="57" customWidth="1"/>
    <col min="234" max="234" width="6" style="57" customWidth="1"/>
    <col min="235" max="237" width="0" style="57" hidden="1" customWidth="1"/>
    <col min="238" max="240" width="4.33203125" style="57" customWidth="1"/>
    <col min="241" max="241" width="12.6640625" style="57" bestFit="1" customWidth="1"/>
    <col min="242" max="242" width="10.6640625" style="57" bestFit="1" customWidth="1"/>
    <col min="243" max="249" width="4.33203125" style="57" customWidth="1"/>
    <col min="250" max="252" width="11.6640625" style="57" bestFit="1" customWidth="1"/>
    <col min="253" max="480" width="11.33203125" style="57"/>
    <col min="481" max="481" width="4.33203125" style="57" customWidth="1"/>
    <col min="482" max="482" width="3.5546875" style="57" customWidth="1"/>
    <col min="483" max="483" width="5.109375" style="57" customWidth="1"/>
    <col min="484" max="484" width="4.33203125" style="57" customWidth="1"/>
    <col min="485" max="488" width="0" style="57" hidden="1" customWidth="1"/>
    <col min="489" max="489" width="6.6640625" style="57" customWidth="1"/>
    <col min="490" max="490" width="6" style="57" customWidth="1"/>
    <col min="491" max="493" width="0" style="57" hidden="1" customWidth="1"/>
    <col min="494" max="496" width="4.33203125" style="57" customWidth="1"/>
    <col min="497" max="497" width="12.6640625" style="57" bestFit="1" customWidth="1"/>
    <col min="498" max="498" width="10.6640625" style="57" bestFit="1" customWidth="1"/>
    <col min="499" max="505" width="4.33203125" style="57" customWidth="1"/>
    <col min="506" max="508" width="11.6640625" style="57" bestFit="1" customWidth="1"/>
    <col min="509" max="736" width="11.33203125" style="57"/>
    <col min="737" max="737" width="4.33203125" style="57" customWidth="1"/>
    <col min="738" max="738" width="3.5546875" style="57" customWidth="1"/>
    <col min="739" max="739" width="5.109375" style="57" customWidth="1"/>
    <col min="740" max="740" width="4.33203125" style="57" customWidth="1"/>
    <col min="741" max="744" width="0" style="57" hidden="1" customWidth="1"/>
    <col min="745" max="745" width="6.6640625" style="57" customWidth="1"/>
    <col min="746" max="746" width="6" style="57" customWidth="1"/>
    <col min="747" max="749" width="0" style="57" hidden="1" customWidth="1"/>
    <col min="750" max="752" width="4.33203125" style="57" customWidth="1"/>
    <col min="753" max="753" width="12.6640625" style="57" bestFit="1" customWidth="1"/>
    <col min="754" max="754" width="10.6640625" style="57" bestFit="1" customWidth="1"/>
    <col min="755" max="761" width="4.33203125" style="57" customWidth="1"/>
    <col min="762" max="764" width="11.6640625" style="57" bestFit="1" customWidth="1"/>
    <col min="765" max="992" width="11.33203125" style="57"/>
    <col min="993" max="993" width="4.33203125" style="57" customWidth="1"/>
    <col min="994" max="994" width="3.5546875" style="57" customWidth="1"/>
    <col min="995" max="995" width="5.109375" style="57" customWidth="1"/>
    <col min="996" max="996" width="4.33203125" style="57" customWidth="1"/>
    <col min="997" max="1000" width="0" style="57" hidden="1" customWidth="1"/>
    <col min="1001" max="1001" width="6.6640625" style="57" customWidth="1"/>
    <col min="1002" max="1002" width="6" style="57" customWidth="1"/>
    <col min="1003" max="1005" width="0" style="57" hidden="1" customWidth="1"/>
    <col min="1006" max="1008" width="4.33203125" style="57" customWidth="1"/>
    <col min="1009" max="1009" width="12.6640625" style="57" bestFit="1" customWidth="1"/>
    <col min="1010" max="1010" width="10.6640625" style="57" bestFit="1" customWidth="1"/>
    <col min="1011" max="1017" width="4.33203125" style="57" customWidth="1"/>
    <col min="1018" max="1020" width="11.6640625" style="57" bestFit="1" customWidth="1"/>
    <col min="1021" max="1248" width="11.33203125" style="57"/>
    <col min="1249" max="1249" width="4.33203125" style="57" customWidth="1"/>
    <col min="1250" max="1250" width="3.5546875" style="57" customWidth="1"/>
    <col min="1251" max="1251" width="5.109375" style="57" customWidth="1"/>
    <col min="1252" max="1252" width="4.33203125" style="57" customWidth="1"/>
    <col min="1253" max="1256" width="0" style="57" hidden="1" customWidth="1"/>
    <col min="1257" max="1257" width="6.6640625" style="57" customWidth="1"/>
    <col min="1258" max="1258" width="6" style="57" customWidth="1"/>
    <col min="1259" max="1261" width="0" style="57" hidden="1" customWidth="1"/>
    <col min="1262" max="1264" width="4.33203125" style="57" customWidth="1"/>
    <col min="1265" max="1265" width="12.6640625" style="57" bestFit="1" customWidth="1"/>
    <col min="1266" max="1266" width="10.6640625" style="57" bestFit="1" customWidth="1"/>
    <col min="1267" max="1273" width="4.33203125" style="57" customWidth="1"/>
    <col min="1274" max="1276" width="11.6640625" style="57" bestFit="1" customWidth="1"/>
    <col min="1277" max="1504" width="11.33203125" style="57"/>
    <col min="1505" max="1505" width="4.33203125" style="57" customWidth="1"/>
    <col min="1506" max="1506" width="3.5546875" style="57" customWidth="1"/>
    <col min="1507" max="1507" width="5.109375" style="57" customWidth="1"/>
    <col min="1508" max="1508" width="4.33203125" style="57" customWidth="1"/>
    <col min="1509" max="1512" width="0" style="57" hidden="1" customWidth="1"/>
    <col min="1513" max="1513" width="6.6640625" style="57" customWidth="1"/>
    <col min="1514" max="1514" width="6" style="57" customWidth="1"/>
    <col min="1515" max="1517" width="0" style="57" hidden="1" customWidth="1"/>
    <col min="1518" max="1520" width="4.33203125" style="57" customWidth="1"/>
    <col min="1521" max="1521" width="12.6640625" style="57" bestFit="1" customWidth="1"/>
    <col min="1522" max="1522" width="10.6640625" style="57" bestFit="1" customWidth="1"/>
    <col min="1523" max="1529" width="4.33203125" style="57" customWidth="1"/>
    <col min="1530" max="1532" width="11.6640625" style="57" bestFit="1" customWidth="1"/>
    <col min="1533" max="1760" width="11.33203125" style="57"/>
    <col min="1761" max="1761" width="4.33203125" style="57" customWidth="1"/>
    <col min="1762" max="1762" width="3.5546875" style="57" customWidth="1"/>
    <col min="1763" max="1763" width="5.109375" style="57" customWidth="1"/>
    <col min="1764" max="1764" width="4.33203125" style="57" customWidth="1"/>
    <col min="1765" max="1768" width="0" style="57" hidden="1" customWidth="1"/>
    <col min="1769" max="1769" width="6.6640625" style="57" customWidth="1"/>
    <col min="1770" max="1770" width="6" style="57" customWidth="1"/>
    <col min="1771" max="1773" width="0" style="57" hidden="1" customWidth="1"/>
    <col min="1774" max="1776" width="4.33203125" style="57" customWidth="1"/>
    <col min="1777" max="1777" width="12.6640625" style="57" bestFit="1" customWidth="1"/>
    <col min="1778" max="1778" width="10.6640625" style="57" bestFit="1" customWidth="1"/>
    <col min="1779" max="1785" width="4.33203125" style="57" customWidth="1"/>
    <col min="1786" max="1788" width="11.6640625" style="57" bestFit="1" customWidth="1"/>
    <col min="1789" max="2016" width="11.33203125" style="57"/>
    <col min="2017" max="2017" width="4.33203125" style="57" customWidth="1"/>
    <col min="2018" max="2018" width="3.5546875" style="57" customWidth="1"/>
    <col min="2019" max="2019" width="5.109375" style="57" customWidth="1"/>
    <col min="2020" max="2020" width="4.33203125" style="57" customWidth="1"/>
    <col min="2021" max="2024" width="0" style="57" hidden="1" customWidth="1"/>
    <col min="2025" max="2025" width="6.6640625" style="57" customWidth="1"/>
    <col min="2026" max="2026" width="6" style="57" customWidth="1"/>
    <col min="2027" max="2029" width="0" style="57" hidden="1" customWidth="1"/>
    <col min="2030" max="2032" width="4.33203125" style="57" customWidth="1"/>
    <col min="2033" max="2033" width="12.6640625" style="57" bestFit="1" customWidth="1"/>
    <col min="2034" max="2034" width="10.6640625" style="57" bestFit="1" customWidth="1"/>
    <col min="2035" max="2041" width="4.33203125" style="57" customWidth="1"/>
    <col min="2042" max="2044" width="11.6640625" style="57" bestFit="1" customWidth="1"/>
    <col min="2045" max="2272" width="11.33203125" style="57"/>
    <col min="2273" max="2273" width="4.33203125" style="57" customWidth="1"/>
    <col min="2274" max="2274" width="3.5546875" style="57" customWidth="1"/>
    <col min="2275" max="2275" width="5.109375" style="57" customWidth="1"/>
    <col min="2276" max="2276" width="4.33203125" style="57" customWidth="1"/>
    <col min="2277" max="2280" width="0" style="57" hidden="1" customWidth="1"/>
    <col min="2281" max="2281" width="6.6640625" style="57" customWidth="1"/>
    <col min="2282" max="2282" width="6" style="57" customWidth="1"/>
    <col min="2283" max="2285" width="0" style="57" hidden="1" customWidth="1"/>
    <col min="2286" max="2288" width="4.33203125" style="57" customWidth="1"/>
    <col min="2289" max="2289" width="12.6640625" style="57" bestFit="1" customWidth="1"/>
    <col min="2290" max="2290" width="10.6640625" style="57" bestFit="1" customWidth="1"/>
    <col min="2291" max="2297" width="4.33203125" style="57" customWidth="1"/>
    <col min="2298" max="2300" width="11.6640625" style="57" bestFit="1" customWidth="1"/>
    <col min="2301" max="2528" width="11.33203125" style="57"/>
    <col min="2529" max="2529" width="4.33203125" style="57" customWidth="1"/>
    <col min="2530" max="2530" width="3.5546875" style="57" customWidth="1"/>
    <col min="2531" max="2531" width="5.109375" style="57" customWidth="1"/>
    <col min="2532" max="2532" width="4.33203125" style="57" customWidth="1"/>
    <col min="2533" max="2536" width="0" style="57" hidden="1" customWidth="1"/>
    <col min="2537" max="2537" width="6.6640625" style="57" customWidth="1"/>
    <col min="2538" max="2538" width="6" style="57" customWidth="1"/>
    <col min="2539" max="2541" width="0" style="57" hidden="1" customWidth="1"/>
    <col min="2542" max="2544" width="4.33203125" style="57" customWidth="1"/>
    <col min="2545" max="2545" width="12.6640625" style="57" bestFit="1" customWidth="1"/>
    <col min="2546" max="2546" width="10.6640625" style="57" bestFit="1" customWidth="1"/>
    <col min="2547" max="2553" width="4.33203125" style="57" customWidth="1"/>
    <col min="2554" max="2556" width="11.6640625" style="57" bestFit="1" customWidth="1"/>
    <col min="2557" max="2784" width="11.33203125" style="57"/>
    <col min="2785" max="2785" width="4.33203125" style="57" customWidth="1"/>
    <col min="2786" max="2786" width="3.5546875" style="57" customWidth="1"/>
    <col min="2787" max="2787" width="5.109375" style="57" customWidth="1"/>
    <col min="2788" max="2788" width="4.33203125" style="57" customWidth="1"/>
    <col min="2789" max="2792" width="0" style="57" hidden="1" customWidth="1"/>
    <col min="2793" max="2793" width="6.6640625" style="57" customWidth="1"/>
    <col min="2794" max="2794" width="6" style="57" customWidth="1"/>
    <col min="2795" max="2797" width="0" style="57" hidden="1" customWidth="1"/>
    <col min="2798" max="2800" width="4.33203125" style="57" customWidth="1"/>
    <col min="2801" max="2801" width="12.6640625" style="57" bestFit="1" customWidth="1"/>
    <col min="2802" max="2802" width="10.6640625" style="57" bestFit="1" customWidth="1"/>
    <col min="2803" max="2809" width="4.33203125" style="57" customWidth="1"/>
    <col min="2810" max="2812" width="11.6640625" style="57" bestFit="1" customWidth="1"/>
    <col min="2813" max="3040" width="11.33203125" style="57"/>
    <col min="3041" max="3041" width="4.33203125" style="57" customWidth="1"/>
    <col min="3042" max="3042" width="3.5546875" style="57" customWidth="1"/>
    <col min="3043" max="3043" width="5.109375" style="57" customWidth="1"/>
    <col min="3044" max="3044" width="4.33203125" style="57" customWidth="1"/>
    <col min="3045" max="3048" width="0" style="57" hidden="1" customWidth="1"/>
    <col min="3049" max="3049" width="6.6640625" style="57" customWidth="1"/>
    <col min="3050" max="3050" width="6" style="57" customWidth="1"/>
    <col min="3051" max="3053" width="0" style="57" hidden="1" customWidth="1"/>
    <col min="3054" max="3056" width="4.33203125" style="57" customWidth="1"/>
    <col min="3057" max="3057" width="12.6640625" style="57" bestFit="1" customWidth="1"/>
    <col min="3058" max="3058" width="10.6640625" style="57" bestFit="1" customWidth="1"/>
    <col min="3059" max="3065" width="4.33203125" style="57" customWidth="1"/>
    <col min="3066" max="3068" width="11.6640625" style="57" bestFit="1" customWidth="1"/>
    <col min="3069" max="3296" width="11.33203125" style="57"/>
    <col min="3297" max="3297" width="4.33203125" style="57" customWidth="1"/>
    <col min="3298" max="3298" width="3.5546875" style="57" customWidth="1"/>
    <col min="3299" max="3299" width="5.109375" style="57" customWidth="1"/>
    <col min="3300" max="3300" width="4.33203125" style="57" customWidth="1"/>
    <col min="3301" max="3304" width="0" style="57" hidden="1" customWidth="1"/>
    <col min="3305" max="3305" width="6.6640625" style="57" customWidth="1"/>
    <col min="3306" max="3306" width="6" style="57" customWidth="1"/>
    <col min="3307" max="3309" width="0" style="57" hidden="1" customWidth="1"/>
    <col min="3310" max="3312" width="4.33203125" style="57" customWidth="1"/>
    <col min="3313" max="3313" width="12.6640625" style="57" bestFit="1" customWidth="1"/>
    <col min="3314" max="3314" width="10.6640625" style="57" bestFit="1" customWidth="1"/>
    <col min="3315" max="3321" width="4.33203125" style="57" customWidth="1"/>
    <col min="3322" max="3324" width="11.6640625" style="57" bestFit="1" customWidth="1"/>
    <col min="3325" max="3552" width="11.33203125" style="57"/>
    <col min="3553" max="3553" width="4.33203125" style="57" customWidth="1"/>
    <col min="3554" max="3554" width="3.5546875" style="57" customWidth="1"/>
    <col min="3555" max="3555" width="5.109375" style="57" customWidth="1"/>
    <col min="3556" max="3556" width="4.33203125" style="57" customWidth="1"/>
    <col min="3557" max="3560" width="0" style="57" hidden="1" customWidth="1"/>
    <col min="3561" max="3561" width="6.6640625" style="57" customWidth="1"/>
    <col min="3562" max="3562" width="6" style="57" customWidth="1"/>
    <col min="3563" max="3565" width="0" style="57" hidden="1" customWidth="1"/>
    <col min="3566" max="3568" width="4.33203125" style="57" customWidth="1"/>
    <col min="3569" max="3569" width="12.6640625" style="57" bestFit="1" customWidth="1"/>
    <col min="3570" max="3570" width="10.6640625" style="57" bestFit="1" customWidth="1"/>
    <col min="3571" max="3577" width="4.33203125" style="57" customWidth="1"/>
    <col min="3578" max="3580" width="11.6640625" style="57" bestFit="1" customWidth="1"/>
    <col min="3581" max="3808" width="11.33203125" style="57"/>
    <col min="3809" max="3809" width="4.33203125" style="57" customWidth="1"/>
    <col min="3810" max="3810" width="3.5546875" style="57" customWidth="1"/>
    <col min="3811" max="3811" width="5.109375" style="57" customWidth="1"/>
    <col min="3812" max="3812" width="4.33203125" style="57" customWidth="1"/>
    <col min="3813" max="3816" width="0" style="57" hidden="1" customWidth="1"/>
    <col min="3817" max="3817" width="6.6640625" style="57" customWidth="1"/>
    <col min="3818" max="3818" width="6" style="57" customWidth="1"/>
    <col min="3819" max="3821" width="0" style="57" hidden="1" customWidth="1"/>
    <col min="3822" max="3824" width="4.33203125" style="57" customWidth="1"/>
    <col min="3825" max="3825" width="12.6640625" style="57" bestFit="1" customWidth="1"/>
    <col min="3826" max="3826" width="10.6640625" style="57" bestFit="1" customWidth="1"/>
    <col min="3827" max="3833" width="4.33203125" style="57" customWidth="1"/>
    <col min="3834" max="3836" width="11.6640625" style="57" bestFit="1" customWidth="1"/>
    <col min="3837" max="4064" width="11.33203125" style="57"/>
    <col min="4065" max="4065" width="4.33203125" style="57" customWidth="1"/>
    <col min="4066" max="4066" width="3.5546875" style="57" customWidth="1"/>
    <col min="4067" max="4067" width="5.109375" style="57" customWidth="1"/>
    <col min="4068" max="4068" width="4.33203125" style="57" customWidth="1"/>
    <col min="4069" max="4072" width="0" style="57" hidden="1" customWidth="1"/>
    <col min="4073" max="4073" width="6.6640625" style="57" customWidth="1"/>
    <col min="4074" max="4074" width="6" style="57" customWidth="1"/>
    <col min="4075" max="4077" width="0" style="57" hidden="1" customWidth="1"/>
    <col min="4078" max="4080" width="4.33203125" style="57" customWidth="1"/>
    <col min="4081" max="4081" width="12.6640625" style="57" bestFit="1" customWidth="1"/>
    <col min="4082" max="4082" width="10.6640625" style="57" bestFit="1" customWidth="1"/>
    <col min="4083" max="4089" width="4.33203125" style="57" customWidth="1"/>
    <col min="4090" max="4092" width="11.6640625" style="57" bestFit="1" customWidth="1"/>
    <col min="4093" max="4320" width="11.33203125" style="57"/>
    <col min="4321" max="4321" width="4.33203125" style="57" customWidth="1"/>
    <col min="4322" max="4322" width="3.5546875" style="57" customWidth="1"/>
    <col min="4323" max="4323" width="5.109375" style="57" customWidth="1"/>
    <col min="4324" max="4324" width="4.33203125" style="57" customWidth="1"/>
    <col min="4325" max="4328" width="0" style="57" hidden="1" customWidth="1"/>
    <col min="4329" max="4329" width="6.6640625" style="57" customWidth="1"/>
    <col min="4330" max="4330" width="6" style="57" customWidth="1"/>
    <col min="4331" max="4333" width="0" style="57" hidden="1" customWidth="1"/>
    <col min="4334" max="4336" width="4.33203125" style="57" customWidth="1"/>
    <col min="4337" max="4337" width="12.6640625" style="57" bestFit="1" customWidth="1"/>
    <col min="4338" max="4338" width="10.6640625" style="57" bestFit="1" customWidth="1"/>
    <col min="4339" max="4345" width="4.33203125" style="57" customWidth="1"/>
    <col min="4346" max="4348" width="11.6640625" style="57" bestFit="1" customWidth="1"/>
    <col min="4349" max="4576" width="11.33203125" style="57"/>
    <col min="4577" max="4577" width="4.33203125" style="57" customWidth="1"/>
    <col min="4578" max="4578" width="3.5546875" style="57" customWidth="1"/>
    <col min="4579" max="4579" width="5.109375" style="57" customWidth="1"/>
    <col min="4580" max="4580" width="4.33203125" style="57" customWidth="1"/>
    <col min="4581" max="4584" width="0" style="57" hidden="1" customWidth="1"/>
    <col min="4585" max="4585" width="6.6640625" style="57" customWidth="1"/>
    <col min="4586" max="4586" width="6" style="57" customWidth="1"/>
    <col min="4587" max="4589" width="0" style="57" hidden="1" customWidth="1"/>
    <col min="4590" max="4592" width="4.33203125" style="57" customWidth="1"/>
    <col min="4593" max="4593" width="12.6640625" style="57" bestFit="1" customWidth="1"/>
    <col min="4594" max="4594" width="10.6640625" style="57" bestFit="1" customWidth="1"/>
    <col min="4595" max="4601" width="4.33203125" style="57" customWidth="1"/>
    <col min="4602" max="4604" width="11.6640625" style="57" bestFit="1" customWidth="1"/>
    <col min="4605" max="4832" width="11.33203125" style="57"/>
    <col min="4833" max="4833" width="4.33203125" style="57" customWidth="1"/>
    <col min="4834" max="4834" width="3.5546875" style="57" customWidth="1"/>
    <col min="4835" max="4835" width="5.109375" style="57" customWidth="1"/>
    <col min="4836" max="4836" width="4.33203125" style="57" customWidth="1"/>
    <col min="4837" max="4840" width="0" style="57" hidden="1" customWidth="1"/>
    <col min="4841" max="4841" width="6.6640625" style="57" customWidth="1"/>
    <col min="4842" max="4842" width="6" style="57" customWidth="1"/>
    <col min="4843" max="4845" width="0" style="57" hidden="1" customWidth="1"/>
    <col min="4846" max="4848" width="4.33203125" style="57" customWidth="1"/>
    <col min="4849" max="4849" width="12.6640625" style="57" bestFit="1" customWidth="1"/>
    <col min="4850" max="4850" width="10.6640625" style="57" bestFit="1" customWidth="1"/>
    <col min="4851" max="4857" width="4.33203125" style="57" customWidth="1"/>
    <col min="4858" max="4860" width="11.6640625" style="57" bestFit="1" customWidth="1"/>
    <col min="4861" max="5088" width="11.33203125" style="57"/>
    <col min="5089" max="5089" width="4.33203125" style="57" customWidth="1"/>
    <col min="5090" max="5090" width="3.5546875" style="57" customWidth="1"/>
    <col min="5091" max="5091" width="5.109375" style="57" customWidth="1"/>
    <col min="5092" max="5092" width="4.33203125" style="57" customWidth="1"/>
    <col min="5093" max="5096" width="0" style="57" hidden="1" customWidth="1"/>
    <col min="5097" max="5097" width="6.6640625" style="57" customWidth="1"/>
    <col min="5098" max="5098" width="6" style="57" customWidth="1"/>
    <col min="5099" max="5101" width="0" style="57" hidden="1" customWidth="1"/>
    <col min="5102" max="5104" width="4.33203125" style="57" customWidth="1"/>
    <col min="5105" max="5105" width="12.6640625" style="57" bestFit="1" customWidth="1"/>
    <col min="5106" max="5106" width="10.6640625" style="57" bestFit="1" customWidth="1"/>
    <col min="5107" max="5113" width="4.33203125" style="57" customWidth="1"/>
    <col min="5114" max="5116" width="11.6640625" style="57" bestFit="1" customWidth="1"/>
    <col min="5117" max="5344" width="11.33203125" style="57"/>
    <col min="5345" max="5345" width="4.33203125" style="57" customWidth="1"/>
    <col min="5346" max="5346" width="3.5546875" style="57" customWidth="1"/>
    <col min="5347" max="5347" width="5.109375" style="57" customWidth="1"/>
    <col min="5348" max="5348" width="4.33203125" style="57" customWidth="1"/>
    <col min="5349" max="5352" width="0" style="57" hidden="1" customWidth="1"/>
    <col min="5353" max="5353" width="6.6640625" style="57" customWidth="1"/>
    <col min="5354" max="5354" width="6" style="57" customWidth="1"/>
    <col min="5355" max="5357" width="0" style="57" hidden="1" customWidth="1"/>
    <col min="5358" max="5360" width="4.33203125" style="57" customWidth="1"/>
    <col min="5361" max="5361" width="12.6640625" style="57" bestFit="1" customWidth="1"/>
    <col min="5362" max="5362" width="10.6640625" style="57" bestFit="1" customWidth="1"/>
    <col min="5363" max="5369" width="4.33203125" style="57" customWidth="1"/>
    <col min="5370" max="5372" width="11.6640625" style="57" bestFit="1" customWidth="1"/>
    <col min="5373" max="5600" width="11.33203125" style="57"/>
    <col min="5601" max="5601" width="4.33203125" style="57" customWidth="1"/>
    <col min="5602" max="5602" width="3.5546875" style="57" customWidth="1"/>
    <col min="5603" max="5603" width="5.109375" style="57" customWidth="1"/>
    <col min="5604" max="5604" width="4.33203125" style="57" customWidth="1"/>
    <col min="5605" max="5608" width="0" style="57" hidden="1" customWidth="1"/>
    <col min="5609" max="5609" width="6.6640625" style="57" customWidth="1"/>
    <col min="5610" max="5610" width="6" style="57" customWidth="1"/>
    <col min="5611" max="5613" width="0" style="57" hidden="1" customWidth="1"/>
    <col min="5614" max="5616" width="4.33203125" style="57" customWidth="1"/>
    <col min="5617" max="5617" width="12.6640625" style="57" bestFit="1" customWidth="1"/>
    <col min="5618" max="5618" width="10.6640625" style="57" bestFit="1" customWidth="1"/>
    <col min="5619" max="5625" width="4.33203125" style="57" customWidth="1"/>
    <col min="5626" max="5628" width="11.6640625" style="57" bestFit="1" customWidth="1"/>
    <col min="5629" max="5856" width="11.33203125" style="57"/>
    <col min="5857" max="5857" width="4.33203125" style="57" customWidth="1"/>
    <col min="5858" max="5858" width="3.5546875" style="57" customWidth="1"/>
    <col min="5859" max="5859" width="5.109375" style="57" customWidth="1"/>
    <col min="5860" max="5860" width="4.33203125" style="57" customWidth="1"/>
    <col min="5861" max="5864" width="0" style="57" hidden="1" customWidth="1"/>
    <col min="5865" max="5865" width="6.6640625" style="57" customWidth="1"/>
    <col min="5866" max="5866" width="6" style="57" customWidth="1"/>
    <col min="5867" max="5869" width="0" style="57" hidden="1" customWidth="1"/>
    <col min="5870" max="5872" width="4.33203125" style="57" customWidth="1"/>
    <col min="5873" max="5873" width="12.6640625" style="57" bestFit="1" customWidth="1"/>
    <col min="5874" max="5874" width="10.6640625" style="57" bestFit="1" customWidth="1"/>
    <col min="5875" max="5881" width="4.33203125" style="57" customWidth="1"/>
    <col min="5882" max="5884" width="11.6640625" style="57" bestFit="1" customWidth="1"/>
    <col min="5885" max="6112" width="11.33203125" style="57"/>
    <col min="6113" max="6113" width="4.33203125" style="57" customWidth="1"/>
    <col min="6114" max="6114" width="3.5546875" style="57" customWidth="1"/>
    <col min="6115" max="6115" width="5.109375" style="57" customWidth="1"/>
    <col min="6116" max="6116" width="4.33203125" style="57" customWidth="1"/>
    <col min="6117" max="6120" width="0" style="57" hidden="1" customWidth="1"/>
    <col min="6121" max="6121" width="6.6640625" style="57" customWidth="1"/>
    <col min="6122" max="6122" width="6" style="57" customWidth="1"/>
    <col min="6123" max="6125" width="0" style="57" hidden="1" customWidth="1"/>
    <col min="6126" max="6128" width="4.33203125" style="57" customWidth="1"/>
    <col min="6129" max="6129" width="12.6640625" style="57" bestFit="1" customWidth="1"/>
    <col min="6130" max="6130" width="10.6640625" style="57" bestFit="1" customWidth="1"/>
    <col min="6131" max="6137" width="4.33203125" style="57" customWidth="1"/>
    <col min="6138" max="6140" width="11.6640625" style="57" bestFit="1" customWidth="1"/>
    <col min="6141" max="6368" width="11.33203125" style="57"/>
    <col min="6369" max="6369" width="4.33203125" style="57" customWidth="1"/>
    <col min="6370" max="6370" width="3.5546875" style="57" customWidth="1"/>
    <col min="6371" max="6371" width="5.109375" style="57" customWidth="1"/>
    <col min="6372" max="6372" width="4.33203125" style="57" customWidth="1"/>
    <col min="6373" max="6376" width="0" style="57" hidden="1" customWidth="1"/>
    <col min="6377" max="6377" width="6.6640625" style="57" customWidth="1"/>
    <col min="6378" max="6378" width="6" style="57" customWidth="1"/>
    <col min="6379" max="6381" width="0" style="57" hidden="1" customWidth="1"/>
    <col min="6382" max="6384" width="4.33203125" style="57" customWidth="1"/>
    <col min="6385" max="6385" width="12.6640625" style="57" bestFit="1" customWidth="1"/>
    <col min="6386" max="6386" width="10.6640625" style="57" bestFit="1" customWidth="1"/>
    <col min="6387" max="6393" width="4.33203125" style="57" customWidth="1"/>
    <col min="6394" max="6396" width="11.6640625" style="57" bestFit="1" customWidth="1"/>
    <col min="6397" max="6624" width="11.33203125" style="57"/>
    <col min="6625" max="6625" width="4.33203125" style="57" customWidth="1"/>
    <col min="6626" max="6626" width="3.5546875" style="57" customWidth="1"/>
    <col min="6627" max="6627" width="5.109375" style="57" customWidth="1"/>
    <col min="6628" max="6628" width="4.33203125" style="57" customWidth="1"/>
    <col min="6629" max="6632" width="0" style="57" hidden="1" customWidth="1"/>
    <col min="6633" max="6633" width="6.6640625" style="57" customWidth="1"/>
    <col min="6634" max="6634" width="6" style="57" customWidth="1"/>
    <col min="6635" max="6637" width="0" style="57" hidden="1" customWidth="1"/>
    <col min="6638" max="6640" width="4.33203125" style="57" customWidth="1"/>
    <col min="6641" max="6641" width="12.6640625" style="57" bestFit="1" customWidth="1"/>
    <col min="6642" max="6642" width="10.6640625" style="57" bestFit="1" customWidth="1"/>
    <col min="6643" max="6649" width="4.33203125" style="57" customWidth="1"/>
    <col min="6650" max="6652" width="11.6640625" style="57" bestFit="1" customWidth="1"/>
    <col min="6653" max="6880" width="11.33203125" style="57"/>
    <col min="6881" max="6881" width="4.33203125" style="57" customWidth="1"/>
    <col min="6882" max="6882" width="3.5546875" style="57" customWidth="1"/>
    <col min="6883" max="6883" width="5.109375" style="57" customWidth="1"/>
    <col min="6884" max="6884" width="4.33203125" style="57" customWidth="1"/>
    <col min="6885" max="6888" width="0" style="57" hidden="1" customWidth="1"/>
    <col min="6889" max="6889" width="6.6640625" style="57" customWidth="1"/>
    <col min="6890" max="6890" width="6" style="57" customWidth="1"/>
    <col min="6891" max="6893" width="0" style="57" hidden="1" customWidth="1"/>
    <col min="6894" max="6896" width="4.33203125" style="57" customWidth="1"/>
    <col min="6897" max="6897" width="12.6640625" style="57" bestFit="1" customWidth="1"/>
    <col min="6898" max="6898" width="10.6640625" style="57" bestFit="1" customWidth="1"/>
    <col min="6899" max="6905" width="4.33203125" style="57" customWidth="1"/>
    <col min="6906" max="6908" width="11.6640625" style="57" bestFit="1" customWidth="1"/>
    <col min="6909" max="7136" width="11.33203125" style="57"/>
    <col min="7137" max="7137" width="4.33203125" style="57" customWidth="1"/>
    <col min="7138" max="7138" width="3.5546875" style="57" customWidth="1"/>
    <col min="7139" max="7139" width="5.109375" style="57" customWidth="1"/>
    <col min="7140" max="7140" width="4.33203125" style="57" customWidth="1"/>
    <col min="7141" max="7144" width="0" style="57" hidden="1" customWidth="1"/>
    <col min="7145" max="7145" width="6.6640625" style="57" customWidth="1"/>
    <col min="7146" max="7146" width="6" style="57" customWidth="1"/>
    <col min="7147" max="7149" width="0" style="57" hidden="1" customWidth="1"/>
    <col min="7150" max="7152" width="4.33203125" style="57" customWidth="1"/>
    <col min="7153" max="7153" width="12.6640625" style="57" bestFit="1" customWidth="1"/>
    <col min="7154" max="7154" width="10.6640625" style="57" bestFit="1" customWidth="1"/>
    <col min="7155" max="7161" width="4.33203125" style="57" customWidth="1"/>
    <col min="7162" max="7164" width="11.6640625" style="57" bestFit="1" customWidth="1"/>
    <col min="7165" max="7392" width="11.33203125" style="57"/>
    <col min="7393" max="7393" width="4.33203125" style="57" customWidth="1"/>
    <col min="7394" max="7394" width="3.5546875" style="57" customWidth="1"/>
    <col min="7395" max="7395" width="5.109375" style="57" customWidth="1"/>
    <col min="7396" max="7396" width="4.33203125" style="57" customWidth="1"/>
    <col min="7397" max="7400" width="0" style="57" hidden="1" customWidth="1"/>
    <col min="7401" max="7401" width="6.6640625" style="57" customWidth="1"/>
    <col min="7402" max="7402" width="6" style="57" customWidth="1"/>
    <col min="7403" max="7405" width="0" style="57" hidden="1" customWidth="1"/>
    <col min="7406" max="7408" width="4.33203125" style="57" customWidth="1"/>
    <col min="7409" max="7409" width="12.6640625" style="57" bestFit="1" customWidth="1"/>
    <col min="7410" max="7410" width="10.6640625" style="57" bestFit="1" customWidth="1"/>
    <col min="7411" max="7417" width="4.33203125" style="57" customWidth="1"/>
    <col min="7418" max="7420" width="11.6640625" style="57" bestFit="1" customWidth="1"/>
    <col min="7421" max="7648" width="11.33203125" style="57"/>
    <col min="7649" max="7649" width="4.33203125" style="57" customWidth="1"/>
    <col min="7650" max="7650" width="3.5546875" style="57" customWidth="1"/>
    <col min="7651" max="7651" width="5.109375" style="57" customWidth="1"/>
    <col min="7652" max="7652" width="4.33203125" style="57" customWidth="1"/>
    <col min="7653" max="7656" width="0" style="57" hidden="1" customWidth="1"/>
    <col min="7657" max="7657" width="6.6640625" style="57" customWidth="1"/>
    <col min="7658" max="7658" width="6" style="57" customWidth="1"/>
    <col min="7659" max="7661" width="0" style="57" hidden="1" customWidth="1"/>
    <col min="7662" max="7664" width="4.33203125" style="57" customWidth="1"/>
    <col min="7665" max="7665" width="12.6640625" style="57" bestFit="1" customWidth="1"/>
    <col min="7666" max="7666" width="10.6640625" style="57" bestFit="1" customWidth="1"/>
    <col min="7667" max="7673" width="4.33203125" style="57" customWidth="1"/>
    <col min="7674" max="7676" width="11.6640625" style="57" bestFit="1" customWidth="1"/>
    <col min="7677" max="7904" width="11.33203125" style="57"/>
    <col min="7905" max="7905" width="4.33203125" style="57" customWidth="1"/>
    <col min="7906" max="7906" width="3.5546875" style="57" customWidth="1"/>
    <col min="7907" max="7907" width="5.109375" style="57" customWidth="1"/>
    <col min="7908" max="7908" width="4.33203125" style="57" customWidth="1"/>
    <col min="7909" max="7912" width="0" style="57" hidden="1" customWidth="1"/>
    <col min="7913" max="7913" width="6.6640625" style="57" customWidth="1"/>
    <col min="7914" max="7914" width="6" style="57" customWidth="1"/>
    <col min="7915" max="7917" width="0" style="57" hidden="1" customWidth="1"/>
    <col min="7918" max="7920" width="4.33203125" style="57" customWidth="1"/>
    <col min="7921" max="7921" width="12.6640625" style="57" bestFit="1" customWidth="1"/>
    <col min="7922" max="7922" width="10.6640625" style="57" bestFit="1" customWidth="1"/>
    <col min="7923" max="7929" width="4.33203125" style="57" customWidth="1"/>
    <col min="7930" max="7932" width="11.6640625" style="57" bestFit="1" customWidth="1"/>
    <col min="7933" max="8160" width="11.33203125" style="57"/>
    <col min="8161" max="8161" width="4.33203125" style="57" customWidth="1"/>
    <col min="8162" max="8162" width="3.5546875" style="57" customWidth="1"/>
    <col min="8163" max="8163" width="5.109375" style="57" customWidth="1"/>
    <col min="8164" max="8164" width="4.33203125" style="57" customWidth="1"/>
    <col min="8165" max="8168" width="0" style="57" hidden="1" customWidth="1"/>
    <col min="8169" max="8169" width="6.6640625" style="57" customWidth="1"/>
    <col min="8170" max="8170" width="6" style="57" customWidth="1"/>
    <col min="8171" max="8173" width="0" style="57" hidden="1" customWidth="1"/>
    <col min="8174" max="8176" width="4.33203125" style="57" customWidth="1"/>
    <col min="8177" max="8177" width="12.6640625" style="57" bestFit="1" customWidth="1"/>
    <col min="8178" max="8178" width="10.6640625" style="57" bestFit="1" customWidth="1"/>
    <col min="8179" max="8185" width="4.33203125" style="57" customWidth="1"/>
    <col min="8186" max="8188" width="11.6640625" style="57" bestFit="1" customWidth="1"/>
    <col min="8189" max="8416" width="11.33203125" style="57"/>
    <col min="8417" max="8417" width="4.33203125" style="57" customWidth="1"/>
    <col min="8418" max="8418" width="3.5546875" style="57" customWidth="1"/>
    <col min="8419" max="8419" width="5.109375" style="57" customWidth="1"/>
    <col min="8420" max="8420" width="4.33203125" style="57" customWidth="1"/>
    <col min="8421" max="8424" width="0" style="57" hidden="1" customWidth="1"/>
    <col min="8425" max="8425" width="6.6640625" style="57" customWidth="1"/>
    <col min="8426" max="8426" width="6" style="57" customWidth="1"/>
    <col min="8427" max="8429" width="0" style="57" hidden="1" customWidth="1"/>
    <col min="8430" max="8432" width="4.33203125" style="57" customWidth="1"/>
    <col min="8433" max="8433" width="12.6640625" style="57" bestFit="1" customWidth="1"/>
    <col min="8434" max="8434" width="10.6640625" style="57" bestFit="1" customWidth="1"/>
    <col min="8435" max="8441" width="4.33203125" style="57" customWidth="1"/>
    <col min="8442" max="8444" width="11.6640625" style="57" bestFit="1" customWidth="1"/>
    <col min="8445" max="8672" width="11.33203125" style="57"/>
    <col min="8673" max="8673" width="4.33203125" style="57" customWidth="1"/>
    <col min="8674" max="8674" width="3.5546875" style="57" customWidth="1"/>
    <col min="8675" max="8675" width="5.109375" style="57" customWidth="1"/>
    <col min="8676" max="8676" width="4.33203125" style="57" customWidth="1"/>
    <col min="8677" max="8680" width="0" style="57" hidden="1" customWidth="1"/>
    <col min="8681" max="8681" width="6.6640625" style="57" customWidth="1"/>
    <col min="8682" max="8682" width="6" style="57" customWidth="1"/>
    <col min="8683" max="8685" width="0" style="57" hidden="1" customWidth="1"/>
    <col min="8686" max="8688" width="4.33203125" style="57" customWidth="1"/>
    <col min="8689" max="8689" width="12.6640625" style="57" bestFit="1" customWidth="1"/>
    <col min="8690" max="8690" width="10.6640625" style="57" bestFit="1" customWidth="1"/>
    <col min="8691" max="8697" width="4.33203125" style="57" customWidth="1"/>
    <col min="8698" max="8700" width="11.6640625" style="57" bestFit="1" customWidth="1"/>
    <col min="8701" max="8928" width="11.33203125" style="57"/>
    <col min="8929" max="8929" width="4.33203125" style="57" customWidth="1"/>
    <col min="8930" max="8930" width="3.5546875" style="57" customWidth="1"/>
    <col min="8931" max="8931" width="5.109375" style="57" customWidth="1"/>
    <col min="8932" max="8932" width="4.33203125" style="57" customWidth="1"/>
    <col min="8933" max="8936" width="0" style="57" hidden="1" customWidth="1"/>
    <col min="8937" max="8937" width="6.6640625" style="57" customWidth="1"/>
    <col min="8938" max="8938" width="6" style="57" customWidth="1"/>
    <col min="8939" max="8941" width="0" style="57" hidden="1" customWidth="1"/>
    <col min="8942" max="8944" width="4.33203125" style="57" customWidth="1"/>
    <col min="8945" max="8945" width="12.6640625" style="57" bestFit="1" customWidth="1"/>
    <col min="8946" max="8946" width="10.6640625" style="57" bestFit="1" customWidth="1"/>
    <col min="8947" max="8953" width="4.33203125" style="57" customWidth="1"/>
    <col min="8954" max="8956" width="11.6640625" style="57" bestFit="1" customWidth="1"/>
    <col min="8957" max="9184" width="11.33203125" style="57"/>
    <col min="9185" max="9185" width="4.33203125" style="57" customWidth="1"/>
    <col min="9186" max="9186" width="3.5546875" style="57" customWidth="1"/>
    <col min="9187" max="9187" width="5.109375" style="57" customWidth="1"/>
    <col min="9188" max="9188" width="4.33203125" style="57" customWidth="1"/>
    <col min="9189" max="9192" width="0" style="57" hidden="1" customWidth="1"/>
    <col min="9193" max="9193" width="6.6640625" style="57" customWidth="1"/>
    <col min="9194" max="9194" width="6" style="57" customWidth="1"/>
    <col min="9195" max="9197" width="0" style="57" hidden="1" customWidth="1"/>
    <col min="9198" max="9200" width="4.33203125" style="57" customWidth="1"/>
    <col min="9201" max="9201" width="12.6640625" style="57" bestFit="1" customWidth="1"/>
    <col min="9202" max="9202" width="10.6640625" style="57" bestFit="1" customWidth="1"/>
    <col min="9203" max="9209" width="4.33203125" style="57" customWidth="1"/>
    <col min="9210" max="9212" width="11.6640625" style="57" bestFit="1" customWidth="1"/>
    <col min="9213" max="9440" width="11.33203125" style="57"/>
    <col min="9441" max="9441" width="4.33203125" style="57" customWidth="1"/>
    <col min="9442" max="9442" width="3.5546875" style="57" customWidth="1"/>
    <col min="9443" max="9443" width="5.109375" style="57" customWidth="1"/>
    <col min="9444" max="9444" width="4.33203125" style="57" customWidth="1"/>
    <col min="9445" max="9448" width="0" style="57" hidden="1" customWidth="1"/>
    <col min="9449" max="9449" width="6.6640625" style="57" customWidth="1"/>
    <col min="9450" max="9450" width="6" style="57" customWidth="1"/>
    <col min="9451" max="9453" width="0" style="57" hidden="1" customWidth="1"/>
    <col min="9454" max="9456" width="4.33203125" style="57" customWidth="1"/>
    <col min="9457" max="9457" width="12.6640625" style="57" bestFit="1" customWidth="1"/>
    <col min="9458" max="9458" width="10.6640625" style="57" bestFit="1" customWidth="1"/>
    <col min="9459" max="9465" width="4.33203125" style="57" customWidth="1"/>
    <col min="9466" max="9468" width="11.6640625" style="57" bestFit="1" customWidth="1"/>
    <col min="9469" max="9696" width="11.33203125" style="57"/>
    <col min="9697" max="9697" width="4.33203125" style="57" customWidth="1"/>
    <col min="9698" max="9698" width="3.5546875" style="57" customWidth="1"/>
    <col min="9699" max="9699" width="5.109375" style="57" customWidth="1"/>
    <col min="9700" max="9700" width="4.33203125" style="57" customWidth="1"/>
    <col min="9701" max="9704" width="0" style="57" hidden="1" customWidth="1"/>
    <col min="9705" max="9705" width="6.6640625" style="57" customWidth="1"/>
    <col min="9706" max="9706" width="6" style="57" customWidth="1"/>
    <col min="9707" max="9709" width="0" style="57" hidden="1" customWidth="1"/>
    <col min="9710" max="9712" width="4.33203125" style="57" customWidth="1"/>
    <col min="9713" max="9713" width="12.6640625" style="57" bestFit="1" customWidth="1"/>
    <col min="9714" max="9714" width="10.6640625" style="57" bestFit="1" customWidth="1"/>
    <col min="9715" max="9721" width="4.33203125" style="57" customWidth="1"/>
    <col min="9722" max="9724" width="11.6640625" style="57" bestFit="1" customWidth="1"/>
    <col min="9725" max="9952" width="11.33203125" style="57"/>
    <col min="9953" max="9953" width="4.33203125" style="57" customWidth="1"/>
    <col min="9954" max="9954" width="3.5546875" style="57" customWidth="1"/>
    <col min="9955" max="9955" width="5.109375" style="57" customWidth="1"/>
    <col min="9956" max="9956" width="4.33203125" style="57" customWidth="1"/>
    <col min="9957" max="9960" width="0" style="57" hidden="1" customWidth="1"/>
    <col min="9961" max="9961" width="6.6640625" style="57" customWidth="1"/>
    <col min="9962" max="9962" width="6" style="57" customWidth="1"/>
    <col min="9963" max="9965" width="0" style="57" hidden="1" customWidth="1"/>
    <col min="9966" max="9968" width="4.33203125" style="57" customWidth="1"/>
    <col min="9969" max="9969" width="12.6640625" style="57" bestFit="1" customWidth="1"/>
    <col min="9970" max="9970" width="10.6640625" style="57" bestFit="1" customWidth="1"/>
    <col min="9971" max="9977" width="4.33203125" style="57" customWidth="1"/>
    <col min="9978" max="9980" width="11.6640625" style="57" bestFit="1" customWidth="1"/>
    <col min="9981" max="10208" width="11.33203125" style="57"/>
    <col min="10209" max="10209" width="4.33203125" style="57" customWidth="1"/>
    <col min="10210" max="10210" width="3.5546875" style="57" customWidth="1"/>
    <col min="10211" max="10211" width="5.109375" style="57" customWidth="1"/>
    <col min="10212" max="10212" width="4.33203125" style="57" customWidth="1"/>
    <col min="10213" max="10216" width="0" style="57" hidden="1" customWidth="1"/>
    <col min="10217" max="10217" width="6.6640625" style="57" customWidth="1"/>
    <col min="10218" max="10218" width="6" style="57" customWidth="1"/>
    <col min="10219" max="10221" width="0" style="57" hidden="1" customWidth="1"/>
    <col min="10222" max="10224" width="4.33203125" style="57" customWidth="1"/>
    <col min="10225" max="10225" width="12.6640625" style="57" bestFit="1" customWidth="1"/>
    <col min="10226" max="10226" width="10.6640625" style="57" bestFit="1" customWidth="1"/>
    <col min="10227" max="10233" width="4.33203125" style="57" customWidth="1"/>
    <col min="10234" max="10236" width="11.6640625" style="57" bestFit="1" customWidth="1"/>
    <col min="10237" max="10464" width="11.33203125" style="57"/>
    <col min="10465" max="10465" width="4.33203125" style="57" customWidth="1"/>
    <col min="10466" max="10466" width="3.5546875" style="57" customWidth="1"/>
    <col min="10467" max="10467" width="5.109375" style="57" customWidth="1"/>
    <col min="10468" max="10468" width="4.33203125" style="57" customWidth="1"/>
    <col min="10469" max="10472" width="0" style="57" hidden="1" customWidth="1"/>
    <col min="10473" max="10473" width="6.6640625" style="57" customWidth="1"/>
    <col min="10474" max="10474" width="6" style="57" customWidth="1"/>
    <col min="10475" max="10477" width="0" style="57" hidden="1" customWidth="1"/>
    <col min="10478" max="10480" width="4.33203125" style="57" customWidth="1"/>
    <col min="10481" max="10481" width="12.6640625" style="57" bestFit="1" customWidth="1"/>
    <col min="10482" max="10482" width="10.6640625" style="57" bestFit="1" customWidth="1"/>
    <col min="10483" max="10489" width="4.33203125" style="57" customWidth="1"/>
    <col min="10490" max="10492" width="11.6640625" style="57" bestFit="1" customWidth="1"/>
    <col min="10493" max="10720" width="11.33203125" style="57"/>
    <col min="10721" max="10721" width="4.33203125" style="57" customWidth="1"/>
    <col min="10722" max="10722" width="3.5546875" style="57" customWidth="1"/>
    <col min="10723" max="10723" width="5.109375" style="57" customWidth="1"/>
    <col min="10724" max="10724" width="4.33203125" style="57" customWidth="1"/>
    <col min="10725" max="10728" width="0" style="57" hidden="1" customWidth="1"/>
    <col min="10729" max="10729" width="6.6640625" style="57" customWidth="1"/>
    <col min="10730" max="10730" width="6" style="57" customWidth="1"/>
    <col min="10731" max="10733" width="0" style="57" hidden="1" customWidth="1"/>
    <col min="10734" max="10736" width="4.33203125" style="57" customWidth="1"/>
    <col min="10737" max="10737" width="12.6640625" style="57" bestFit="1" customWidth="1"/>
    <col min="10738" max="10738" width="10.6640625" style="57" bestFit="1" customWidth="1"/>
    <col min="10739" max="10745" width="4.33203125" style="57" customWidth="1"/>
    <col min="10746" max="10748" width="11.6640625" style="57" bestFit="1" customWidth="1"/>
    <col min="10749" max="10976" width="11.33203125" style="57"/>
    <col min="10977" max="10977" width="4.33203125" style="57" customWidth="1"/>
    <col min="10978" max="10978" width="3.5546875" style="57" customWidth="1"/>
    <col min="10979" max="10979" width="5.109375" style="57" customWidth="1"/>
    <col min="10980" max="10980" width="4.33203125" style="57" customWidth="1"/>
    <col min="10981" max="10984" width="0" style="57" hidden="1" customWidth="1"/>
    <col min="10985" max="10985" width="6.6640625" style="57" customWidth="1"/>
    <col min="10986" max="10986" width="6" style="57" customWidth="1"/>
    <col min="10987" max="10989" width="0" style="57" hidden="1" customWidth="1"/>
    <col min="10990" max="10992" width="4.33203125" style="57" customWidth="1"/>
    <col min="10993" max="10993" width="12.6640625" style="57" bestFit="1" customWidth="1"/>
    <col min="10994" max="10994" width="10.6640625" style="57" bestFit="1" customWidth="1"/>
    <col min="10995" max="11001" width="4.33203125" style="57" customWidth="1"/>
    <col min="11002" max="11004" width="11.6640625" style="57" bestFit="1" customWidth="1"/>
    <col min="11005" max="11232" width="11.33203125" style="57"/>
    <col min="11233" max="11233" width="4.33203125" style="57" customWidth="1"/>
    <col min="11234" max="11234" width="3.5546875" style="57" customWidth="1"/>
    <col min="11235" max="11235" width="5.109375" style="57" customWidth="1"/>
    <col min="11236" max="11236" width="4.33203125" style="57" customWidth="1"/>
    <col min="11237" max="11240" width="0" style="57" hidden="1" customWidth="1"/>
    <col min="11241" max="11241" width="6.6640625" style="57" customWidth="1"/>
    <col min="11242" max="11242" width="6" style="57" customWidth="1"/>
    <col min="11243" max="11245" width="0" style="57" hidden="1" customWidth="1"/>
    <col min="11246" max="11248" width="4.33203125" style="57" customWidth="1"/>
    <col min="11249" max="11249" width="12.6640625" style="57" bestFit="1" customWidth="1"/>
    <col min="11250" max="11250" width="10.6640625" style="57" bestFit="1" customWidth="1"/>
    <col min="11251" max="11257" width="4.33203125" style="57" customWidth="1"/>
    <col min="11258" max="11260" width="11.6640625" style="57" bestFit="1" customWidth="1"/>
    <col min="11261" max="11488" width="11.33203125" style="57"/>
    <col min="11489" max="11489" width="4.33203125" style="57" customWidth="1"/>
    <col min="11490" max="11490" width="3.5546875" style="57" customWidth="1"/>
    <col min="11491" max="11491" width="5.109375" style="57" customWidth="1"/>
    <col min="11492" max="11492" width="4.33203125" style="57" customWidth="1"/>
    <col min="11493" max="11496" width="0" style="57" hidden="1" customWidth="1"/>
    <col min="11497" max="11497" width="6.6640625" style="57" customWidth="1"/>
    <col min="11498" max="11498" width="6" style="57" customWidth="1"/>
    <col min="11499" max="11501" width="0" style="57" hidden="1" customWidth="1"/>
    <col min="11502" max="11504" width="4.33203125" style="57" customWidth="1"/>
    <col min="11505" max="11505" width="12.6640625" style="57" bestFit="1" customWidth="1"/>
    <col min="11506" max="11506" width="10.6640625" style="57" bestFit="1" customWidth="1"/>
    <col min="11507" max="11513" width="4.33203125" style="57" customWidth="1"/>
    <col min="11514" max="11516" width="11.6640625" style="57" bestFit="1" customWidth="1"/>
    <col min="11517" max="11744" width="11.33203125" style="57"/>
    <col min="11745" max="11745" width="4.33203125" style="57" customWidth="1"/>
    <col min="11746" max="11746" width="3.5546875" style="57" customWidth="1"/>
    <col min="11747" max="11747" width="5.109375" style="57" customWidth="1"/>
    <col min="11748" max="11748" width="4.33203125" style="57" customWidth="1"/>
    <col min="11749" max="11752" width="0" style="57" hidden="1" customWidth="1"/>
    <col min="11753" max="11753" width="6.6640625" style="57" customWidth="1"/>
    <col min="11754" max="11754" width="6" style="57" customWidth="1"/>
    <col min="11755" max="11757" width="0" style="57" hidden="1" customWidth="1"/>
    <col min="11758" max="11760" width="4.33203125" style="57" customWidth="1"/>
    <col min="11761" max="11761" width="12.6640625" style="57" bestFit="1" customWidth="1"/>
    <col min="11762" max="11762" width="10.6640625" style="57" bestFit="1" customWidth="1"/>
    <col min="11763" max="11769" width="4.33203125" style="57" customWidth="1"/>
    <col min="11770" max="11772" width="11.6640625" style="57" bestFit="1" customWidth="1"/>
    <col min="11773" max="12000" width="11.33203125" style="57"/>
    <col min="12001" max="12001" width="4.33203125" style="57" customWidth="1"/>
    <col min="12002" max="12002" width="3.5546875" style="57" customWidth="1"/>
    <col min="12003" max="12003" width="5.109375" style="57" customWidth="1"/>
    <col min="12004" max="12004" width="4.33203125" style="57" customWidth="1"/>
    <col min="12005" max="12008" width="0" style="57" hidden="1" customWidth="1"/>
    <col min="12009" max="12009" width="6.6640625" style="57" customWidth="1"/>
    <col min="12010" max="12010" width="6" style="57" customWidth="1"/>
    <col min="12011" max="12013" width="0" style="57" hidden="1" customWidth="1"/>
    <col min="12014" max="12016" width="4.33203125" style="57" customWidth="1"/>
    <col min="12017" max="12017" width="12.6640625" style="57" bestFit="1" customWidth="1"/>
    <col min="12018" max="12018" width="10.6640625" style="57" bestFit="1" customWidth="1"/>
    <col min="12019" max="12025" width="4.33203125" style="57" customWidth="1"/>
    <col min="12026" max="12028" width="11.6640625" style="57" bestFit="1" customWidth="1"/>
    <col min="12029" max="12256" width="11.33203125" style="57"/>
    <col min="12257" max="12257" width="4.33203125" style="57" customWidth="1"/>
    <col min="12258" max="12258" width="3.5546875" style="57" customWidth="1"/>
    <col min="12259" max="12259" width="5.109375" style="57" customWidth="1"/>
    <col min="12260" max="12260" width="4.33203125" style="57" customWidth="1"/>
    <col min="12261" max="12264" width="0" style="57" hidden="1" customWidth="1"/>
    <col min="12265" max="12265" width="6.6640625" style="57" customWidth="1"/>
    <col min="12266" max="12266" width="6" style="57" customWidth="1"/>
    <col min="12267" max="12269" width="0" style="57" hidden="1" customWidth="1"/>
    <col min="12270" max="12272" width="4.33203125" style="57" customWidth="1"/>
    <col min="12273" max="12273" width="12.6640625" style="57" bestFit="1" customWidth="1"/>
    <col min="12274" max="12274" width="10.6640625" style="57" bestFit="1" customWidth="1"/>
    <col min="12275" max="12281" width="4.33203125" style="57" customWidth="1"/>
    <col min="12282" max="12284" width="11.6640625" style="57" bestFit="1" customWidth="1"/>
    <col min="12285" max="12512" width="11.33203125" style="57"/>
    <col min="12513" max="12513" width="4.33203125" style="57" customWidth="1"/>
    <col min="12514" max="12514" width="3.5546875" style="57" customWidth="1"/>
    <col min="12515" max="12515" width="5.109375" style="57" customWidth="1"/>
    <col min="12516" max="12516" width="4.33203125" style="57" customWidth="1"/>
    <col min="12517" max="12520" width="0" style="57" hidden="1" customWidth="1"/>
    <col min="12521" max="12521" width="6.6640625" style="57" customWidth="1"/>
    <col min="12522" max="12522" width="6" style="57" customWidth="1"/>
    <col min="12523" max="12525" width="0" style="57" hidden="1" customWidth="1"/>
    <col min="12526" max="12528" width="4.33203125" style="57" customWidth="1"/>
    <col min="12529" max="12529" width="12.6640625" style="57" bestFit="1" customWidth="1"/>
    <col min="12530" max="12530" width="10.6640625" style="57" bestFit="1" customWidth="1"/>
    <col min="12531" max="12537" width="4.33203125" style="57" customWidth="1"/>
    <col min="12538" max="12540" width="11.6640625" style="57" bestFit="1" customWidth="1"/>
    <col min="12541" max="12768" width="11.33203125" style="57"/>
    <col min="12769" max="12769" width="4.33203125" style="57" customWidth="1"/>
    <col min="12770" max="12770" width="3.5546875" style="57" customWidth="1"/>
    <col min="12771" max="12771" width="5.109375" style="57" customWidth="1"/>
    <col min="12772" max="12772" width="4.33203125" style="57" customWidth="1"/>
    <col min="12773" max="12776" width="0" style="57" hidden="1" customWidth="1"/>
    <col min="12777" max="12777" width="6.6640625" style="57" customWidth="1"/>
    <col min="12778" max="12778" width="6" style="57" customWidth="1"/>
    <col min="12779" max="12781" width="0" style="57" hidden="1" customWidth="1"/>
    <col min="12782" max="12784" width="4.33203125" style="57" customWidth="1"/>
    <col min="12785" max="12785" width="12.6640625" style="57" bestFit="1" customWidth="1"/>
    <col min="12786" max="12786" width="10.6640625" style="57" bestFit="1" customWidth="1"/>
    <col min="12787" max="12793" width="4.33203125" style="57" customWidth="1"/>
    <col min="12794" max="12796" width="11.6640625" style="57" bestFit="1" customWidth="1"/>
    <col min="12797" max="13024" width="11.33203125" style="57"/>
    <col min="13025" max="13025" width="4.33203125" style="57" customWidth="1"/>
    <col min="13026" max="13026" width="3.5546875" style="57" customWidth="1"/>
    <col min="13027" max="13027" width="5.109375" style="57" customWidth="1"/>
    <col min="13028" max="13028" width="4.33203125" style="57" customWidth="1"/>
    <col min="13029" max="13032" width="0" style="57" hidden="1" customWidth="1"/>
    <col min="13033" max="13033" width="6.6640625" style="57" customWidth="1"/>
    <col min="13034" max="13034" width="6" style="57" customWidth="1"/>
    <col min="13035" max="13037" width="0" style="57" hidden="1" customWidth="1"/>
    <col min="13038" max="13040" width="4.33203125" style="57" customWidth="1"/>
    <col min="13041" max="13041" width="12.6640625" style="57" bestFit="1" customWidth="1"/>
    <col min="13042" max="13042" width="10.6640625" style="57" bestFit="1" customWidth="1"/>
    <col min="13043" max="13049" width="4.33203125" style="57" customWidth="1"/>
    <col min="13050" max="13052" width="11.6640625" style="57" bestFit="1" customWidth="1"/>
    <col min="13053" max="13280" width="11.33203125" style="57"/>
    <col min="13281" max="13281" width="4.33203125" style="57" customWidth="1"/>
    <col min="13282" max="13282" width="3.5546875" style="57" customWidth="1"/>
    <col min="13283" max="13283" width="5.109375" style="57" customWidth="1"/>
    <col min="13284" max="13284" width="4.33203125" style="57" customWidth="1"/>
    <col min="13285" max="13288" width="0" style="57" hidden="1" customWidth="1"/>
    <col min="13289" max="13289" width="6.6640625" style="57" customWidth="1"/>
    <col min="13290" max="13290" width="6" style="57" customWidth="1"/>
    <col min="13291" max="13293" width="0" style="57" hidden="1" customWidth="1"/>
    <col min="13294" max="13296" width="4.33203125" style="57" customWidth="1"/>
    <col min="13297" max="13297" width="12.6640625" style="57" bestFit="1" customWidth="1"/>
    <col min="13298" max="13298" width="10.6640625" style="57" bestFit="1" customWidth="1"/>
    <col min="13299" max="13305" width="4.33203125" style="57" customWidth="1"/>
    <col min="13306" max="13308" width="11.6640625" style="57" bestFit="1" customWidth="1"/>
    <col min="13309" max="13536" width="11.33203125" style="57"/>
    <col min="13537" max="13537" width="4.33203125" style="57" customWidth="1"/>
    <col min="13538" max="13538" width="3.5546875" style="57" customWidth="1"/>
    <col min="13539" max="13539" width="5.109375" style="57" customWidth="1"/>
    <col min="13540" max="13540" width="4.33203125" style="57" customWidth="1"/>
    <col min="13541" max="13544" width="0" style="57" hidden="1" customWidth="1"/>
    <col min="13545" max="13545" width="6.6640625" style="57" customWidth="1"/>
    <col min="13546" max="13546" width="6" style="57" customWidth="1"/>
    <col min="13547" max="13549" width="0" style="57" hidden="1" customWidth="1"/>
    <col min="13550" max="13552" width="4.33203125" style="57" customWidth="1"/>
    <col min="13553" max="13553" width="12.6640625" style="57" bestFit="1" customWidth="1"/>
    <col min="13554" max="13554" width="10.6640625" style="57" bestFit="1" customWidth="1"/>
    <col min="13555" max="13561" width="4.33203125" style="57" customWidth="1"/>
    <col min="13562" max="13564" width="11.6640625" style="57" bestFit="1" customWidth="1"/>
    <col min="13565" max="13792" width="11.33203125" style="57"/>
    <col min="13793" max="13793" width="4.33203125" style="57" customWidth="1"/>
    <col min="13794" max="13794" width="3.5546875" style="57" customWidth="1"/>
    <col min="13795" max="13795" width="5.109375" style="57" customWidth="1"/>
    <col min="13796" max="13796" width="4.33203125" style="57" customWidth="1"/>
    <col min="13797" max="13800" width="0" style="57" hidden="1" customWidth="1"/>
    <col min="13801" max="13801" width="6.6640625" style="57" customWidth="1"/>
    <col min="13802" max="13802" width="6" style="57" customWidth="1"/>
    <col min="13803" max="13805" width="0" style="57" hidden="1" customWidth="1"/>
    <col min="13806" max="13808" width="4.33203125" style="57" customWidth="1"/>
    <col min="13809" max="13809" width="12.6640625" style="57" bestFit="1" customWidth="1"/>
    <col min="13810" max="13810" width="10.6640625" style="57" bestFit="1" customWidth="1"/>
    <col min="13811" max="13817" width="4.33203125" style="57" customWidth="1"/>
    <col min="13818" max="13820" width="11.6640625" style="57" bestFit="1" customWidth="1"/>
    <col min="13821" max="14048" width="11.33203125" style="57"/>
    <col min="14049" max="14049" width="4.33203125" style="57" customWidth="1"/>
    <col min="14050" max="14050" width="3.5546875" style="57" customWidth="1"/>
    <col min="14051" max="14051" width="5.109375" style="57" customWidth="1"/>
    <col min="14052" max="14052" width="4.33203125" style="57" customWidth="1"/>
    <col min="14053" max="14056" width="0" style="57" hidden="1" customWidth="1"/>
    <col min="14057" max="14057" width="6.6640625" style="57" customWidth="1"/>
    <col min="14058" max="14058" width="6" style="57" customWidth="1"/>
    <col min="14059" max="14061" width="0" style="57" hidden="1" customWidth="1"/>
    <col min="14062" max="14064" width="4.33203125" style="57" customWidth="1"/>
    <col min="14065" max="14065" width="12.6640625" style="57" bestFit="1" customWidth="1"/>
    <col min="14066" max="14066" width="10.6640625" style="57" bestFit="1" customWidth="1"/>
    <col min="14067" max="14073" width="4.33203125" style="57" customWidth="1"/>
    <col min="14074" max="14076" width="11.6640625" style="57" bestFit="1" customWidth="1"/>
    <col min="14077" max="14304" width="11.33203125" style="57"/>
    <col min="14305" max="14305" width="4.33203125" style="57" customWidth="1"/>
    <col min="14306" max="14306" width="3.5546875" style="57" customWidth="1"/>
    <col min="14307" max="14307" width="5.109375" style="57" customWidth="1"/>
    <col min="14308" max="14308" width="4.33203125" style="57" customWidth="1"/>
    <col min="14309" max="14312" width="0" style="57" hidden="1" customWidth="1"/>
    <col min="14313" max="14313" width="6.6640625" style="57" customWidth="1"/>
    <col min="14314" max="14314" width="6" style="57" customWidth="1"/>
    <col min="14315" max="14317" width="0" style="57" hidden="1" customWidth="1"/>
    <col min="14318" max="14320" width="4.33203125" style="57" customWidth="1"/>
    <col min="14321" max="14321" width="12.6640625" style="57" bestFit="1" customWidth="1"/>
    <col min="14322" max="14322" width="10.6640625" style="57" bestFit="1" customWidth="1"/>
    <col min="14323" max="14329" width="4.33203125" style="57" customWidth="1"/>
    <col min="14330" max="14332" width="11.6640625" style="57" bestFit="1" customWidth="1"/>
    <col min="14333" max="14560" width="11.33203125" style="57"/>
    <col min="14561" max="14561" width="4.33203125" style="57" customWidth="1"/>
    <col min="14562" max="14562" width="3.5546875" style="57" customWidth="1"/>
    <col min="14563" max="14563" width="5.109375" style="57" customWidth="1"/>
    <col min="14564" max="14564" width="4.33203125" style="57" customWidth="1"/>
    <col min="14565" max="14568" width="0" style="57" hidden="1" customWidth="1"/>
    <col min="14569" max="14569" width="6.6640625" style="57" customWidth="1"/>
    <col min="14570" max="14570" width="6" style="57" customWidth="1"/>
    <col min="14571" max="14573" width="0" style="57" hidden="1" customWidth="1"/>
    <col min="14574" max="14576" width="4.33203125" style="57" customWidth="1"/>
    <col min="14577" max="14577" width="12.6640625" style="57" bestFit="1" customWidth="1"/>
    <col min="14578" max="14578" width="10.6640625" style="57" bestFit="1" customWidth="1"/>
    <col min="14579" max="14585" width="4.33203125" style="57" customWidth="1"/>
    <col min="14586" max="14588" width="11.6640625" style="57" bestFit="1" customWidth="1"/>
    <col min="14589" max="14816" width="11.33203125" style="57"/>
    <col min="14817" max="14817" width="4.33203125" style="57" customWidth="1"/>
    <col min="14818" max="14818" width="3.5546875" style="57" customWidth="1"/>
    <col min="14819" max="14819" width="5.109375" style="57" customWidth="1"/>
    <col min="14820" max="14820" width="4.33203125" style="57" customWidth="1"/>
    <col min="14821" max="14824" width="0" style="57" hidden="1" customWidth="1"/>
    <col min="14825" max="14825" width="6.6640625" style="57" customWidth="1"/>
    <col min="14826" max="14826" width="6" style="57" customWidth="1"/>
    <col min="14827" max="14829" width="0" style="57" hidden="1" customWidth="1"/>
    <col min="14830" max="14832" width="4.33203125" style="57" customWidth="1"/>
    <col min="14833" max="14833" width="12.6640625" style="57" bestFit="1" customWidth="1"/>
    <col min="14834" max="14834" width="10.6640625" style="57" bestFit="1" customWidth="1"/>
    <col min="14835" max="14841" width="4.33203125" style="57" customWidth="1"/>
    <col min="14842" max="14844" width="11.6640625" style="57" bestFit="1" customWidth="1"/>
    <col min="14845" max="15072" width="11.33203125" style="57"/>
    <col min="15073" max="15073" width="4.33203125" style="57" customWidth="1"/>
    <col min="15074" max="15074" width="3.5546875" style="57" customWidth="1"/>
    <col min="15075" max="15075" width="5.109375" style="57" customWidth="1"/>
    <col min="15076" max="15076" width="4.33203125" style="57" customWidth="1"/>
    <col min="15077" max="15080" width="0" style="57" hidden="1" customWidth="1"/>
    <col min="15081" max="15081" width="6.6640625" style="57" customWidth="1"/>
    <col min="15082" max="15082" width="6" style="57" customWidth="1"/>
    <col min="15083" max="15085" width="0" style="57" hidden="1" customWidth="1"/>
    <col min="15086" max="15088" width="4.33203125" style="57" customWidth="1"/>
    <col min="15089" max="15089" width="12.6640625" style="57" bestFit="1" customWidth="1"/>
    <col min="15090" max="15090" width="10.6640625" style="57" bestFit="1" customWidth="1"/>
    <col min="15091" max="15097" width="4.33203125" style="57" customWidth="1"/>
    <col min="15098" max="15100" width="11.6640625" style="57" bestFit="1" customWidth="1"/>
    <col min="15101" max="15328" width="11.33203125" style="57"/>
    <col min="15329" max="15329" width="4.33203125" style="57" customWidth="1"/>
    <col min="15330" max="15330" width="3.5546875" style="57" customWidth="1"/>
    <col min="15331" max="15331" width="5.109375" style="57" customWidth="1"/>
    <col min="15332" max="15332" width="4.33203125" style="57" customWidth="1"/>
    <col min="15333" max="15336" width="0" style="57" hidden="1" customWidth="1"/>
    <col min="15337" max="15337" width="6.6640625" style="57" customWidth="1"/>
    <col min="15338" max="15338" width="6" style="57" customWidth="1"/>
    <col min="15339" max="15341" width="0" style="57" hidden="1" customWidth="1"/>
    <col min="15342" max="15344" width="4.33203125" style="57" customWidth="1"/>
    <col min="15345" max="15345" width="12.6640625" style="57" bestFit="1" customWidth="1"/>
    <col min="15346" max="15346" width="10.6640625" style="57" bestFit="1" customWidth="1"/>
    <col min="15347" max="15353" width="4.33203125" style="57" customWidth="1"/>
    <col min="15354" max="15356" width="11.6640625" style="57" bestFit="1" customWidth="1"/>
    <col min="15357" max="15584" width="11.33203125" style="57"/>
    <col min="15585" max="15585" width="4.33203125" style="57" customWidth="1"/>
    <col min="15586" max="15586" width="3.5546875" style="57" customWidth="1"/>
    <col min="15587" max="15587" width="5.109375" style="57" customWidth="1"/>
    <col min="15588" max="15588" width="4.33203125" style="57" customWidth="1"/>
    <col min="15589" max="15592" width="0" style="57" hidden="1" customWidth="1"/>
    <col min="15593" max="15593" width="6.6640625" style="57" customWidth="1"/>
    <col min="15594" max="15594" width="6" style="57" customWidth="1"/>
    <col min="15595" max="15597" width="0" style="57" hidden="1" customWidth="1"/>
    <col min="15598" max="15600" width="4.33203125" style="57" customWidth="1"/>
    <col min="15601" max="15601" width="12.6640625" style="57" bestFit="1" customWidth="1"/>
    <col min="15602" max="15602" width="10.6640625" style="57" bestFit="1" customWidth="1"/>
    <col min="15603" max="15609" width="4.33203125" style="57" customWidth="1"/>
    <col min="15610" max="15612" width="11.6640625" style="57" bestFit="1" customWidth="1"/>
    <col min="15613" max="15840" width="11.33203125" style="57"/>
    <col min="15841" max="15841" width="4.33203125" style="57" customWidth="1"/>
    <col min="15842" max="15842" width="3.5546875" style="57" customWidth="1"/>
    <col min="15843" max="15843" width="5.109375" style="57" customWidth="1"/>
    <col min="15844" max="15844" width="4.33203125" style="57" customWidth="1"/>
    <col min="15845" max="15848" width="0" style="57" hidden="1" customWidth="1"/>
    <col min="15849" max="15849" width="6.6640625" style="57" customWidth="1"/>
    <col min="15850" max="15850" width="6" style="57" customWidth="1"/>
    <col min="15851" max="15853" width="0" style="57" hidden="1" customWidth="1"/>
    <col min="15854" max="15856" width="4.33203125" style="57" customWidth="1"/>
    <col min="15857" max="15857" width="12.6640625" style="57" bestFit="1" customWidth="1"/>
    <col min="15858" max="15858" width="10.6640625" style="57" bestFit="1" customWidth="1"/>
    <col min="15859" max="15865" width="4.33203125" style="57" customWidth="1"/>
    <col min="15866" max="15868" width="11.6640625" style="57" bestFit="1" customWidth="1"/>
    <col min="15869" max="16096" width="11.33203125" style="57"/>
    <col min="16097" max="16097" width="4.33203125" style="57" customWidth="1"/>
    <col min="16098" max="16098" width="3.5546875" style="57" customWidth="1"/>
    <col min="16099" max="16099" width="5.109375" style="57" customWidth="1"/>
    <col min="16100" max="16100" width="4.33203125" style="57" customWidth="1"/>
    <col min="16101" max="16104" width="0" style="57" hidden="1" customWidth="1"/>
    <col min="16105" max="16105" width="6.6640625" style="57" customWidth="1"/>
    <col min="16106" max="16106" width="6" style="57" customWidth="1"/>
    <col min="16107" max="16109" width="0" style="57" hidden="1" customWidth="1"/>
    <col min="16110" max="16112" width="4.33203125" style="57" customWidth="1"/>
    <col min="16113" max="16113" width="12.6640625" style="57" bestFit="1" customWidth="1"/>
    <col min="16114" max="16114" width="10.6640625" style="57" bestFit="1" customWidth="1"/>
    <col min="16115" max="16121" width="4.33203125" style="57" customWidth="1"/>
    <col min="16122" max="16124" width="11.6640625" style="57" bestFit="1" customWidth="1"/>
    <col min="16125" max="16384" width="11.33203125" style="57"/>
  </cols>
  <sheetData>
    <row r="9" spans="1:16" ht="18" customHeight="1"/>
    <row r="10" spans="1:16" ht="18" customHeight="1">
      <c r="C10" s="348" t="s">
        <v>100</v>
      </c>
      <c r="D10" s="348"/>
      <c r="E10" s="358">
        <f>'Cotizador cliente'!E10:P10</f>
        <v>0</v>
      </c>
      <c r="F10" s="358"/>
      <c r="G10" s="358"/>
      <c r="H10" s="358"/>
      <c r="I10" s="358"/>
      <c r="J10" s="358"/>
      <c r="K10" s="358"/>
      <c r="L10" s="358"/>
      <c r="M10" s="358"/>
      <c r="N10" s="358"/>
      <c r="O10" s="358"/>
      <c r="P10" s="358"/>
    </row>
    <row r="11" spans="1:16" ht="18" customHeight="1">
      <c r="A11" s="295"/>
      <c r="C11" s="57" t="s">
        <v>397</v>
      </c>
      <c r="D11" s="294"/>
      <c r="E11" s="302"/>
      <c r="F11" s="302"/>
      <c r="G11" s="302"/>
      <c r="H11" s="302"/>
      <c r="I11" s="302"/>
      <c r="J11" s="302"/>
      <c r="K11" s="276">
        <f>'Cotizador cliente'!K11</f>
        <v>89000</v>
      </c>
      <c r="L11" s="302"/>
      <c r="M11" s="302"/>
      <c r="N11" s="302"/>
      <c r="O11" s="302"/>
      <c r="P11" s="302"/>
    </row>
    <row r="12" spans="1:16" ht="18" customHeight="1">
      <c r="C12" s="57" t="s">
        <v>406</v>
      </c>
      <c r="D12" s="263"/>
      <c r="E12" s="271"/>
      <c r="F12" s="271"/>
      <c r="G12" s="264"/>
      <c r="H12" s="264"/>
      <c r="I12" s="264"/>
      <c r="J12" s="264"/>
      <c r="K12" s="276">
        <f>'Cotizador cliente'!K12</f>
        <v>45000</v>
      </c>
      <c r="L12" s="264"/>
      <c r="M12" s="264"/>
      <c r="N12" s="264"/>
      <c r="O12" s="264"/>
      <c r="P12" s="264"/>
    </row>
    <row r="13" spans="1:16" ht="14.4">
      <c r="C13" s="57" t="s">
        <v>396</v>
      </c>
      <c r="D13" s="263"/>
      <c r="E13" s="271"/>
      <c r="F13" s="271"/>
      <c r="G13" s="264"/>
      <c r="H13" s="264"/>
      <c r="I13" s="264"/>
      <c r="J13" s="264"/>
      <c r="K13" s="275" t="str">
        <f>'Cotizador cliente'!K13</f>
        <v>Particular</v>
      </c>
      <c r="L13" s="264"/>
      <c r="M13" s="264"/>
      <c r="N13" s="264"/>
      <c r="O13" s="264"/>
      <c r="P13" s="264"/>
    </row>
    <row r="14" spans="1:16">
      <c r="C14" s="57" t="s">
        <v>324</v>
      </c>
      <c r="G14" s="218"/>
      <c r="H14" s="218"/>
      <c r="I14" s="218"/>
      <c r="J14" s="218"/>
      <c r="K14" s="359">
        <f>'Cotizador cliente'!K14:M14</f>
        <v>43000</v>
      </c>
      <c r="L14" s="359"/>
      <c r="M14" s="359"/>
      <c r="N14" s="219"/>
      <c r="O14" s="218"/>
    </row>
    <row r="15" spans="1:16">
      <c r="C15" s="57" t="s">
        <v>193</v>
      </c>
      <c r="G15" s="218"/>
      <c r="H15" s="218"/>
      <c r="I15" s="218"/>
      <c r="J15" s="218"/>
      <c r="K15" s="360">
        <f>'Cotizador cliente'!K15:M15</f>
        <v>0.03</v>
      </c>
      <c r="L15" s="360"/>
      <c r="M15" s="360"/>
      <c r="N15" s="353">
        <f>(K15*1.12)</f>
        <v>3.3600000000000005E-2</v>
      </c>
      <c r="O15" s="353"/>
    </row>
    <row r="16" spans="1:16">
      <c r="C16" s="57" t="s">
        <v>325</v>
      </c>
      <c r="G16" s="218"/>
      <c r="H16" s="218"/>
      <c r="I16" s="218"/>
      <c r="J16" s="218"/>
      <c r="K16" s="361">
        <f>'Cotizador cliente'!K16:M16</f>
        <v>60</v>
      </c>
      <c r="L16" s="361"/>
      <c r="M16" s="361"/>
      <c r="N16" s="219"/>
      <c r="O16" s="218"/>
    </row>
    <row r="17" spans="1:25" ht="14.4">
      <c r="C17" s="57" t="s">
        <v>124</v>
      </c>
      <c r="K17" s="356">
        <f>(IF(K13="UBER",VLOOKUP(K12,'Costo de seguro'!B2:L782,2,TRUE),IF(K13="Particular",VLOOKUP(K12,'Costo de seguro'!B2:L782,2,TRUE),IF(K13="Pick Up",VLOOKUP(K12,'Costo de seguro'!B2:L782,3,TRUE),IF(K13="Nuevo",VLOOKUP(K12,'Costo de seguro'!B2:L782,2,TRUE),IF(K13="Panel",VLOOKUP(K12,'Costo de seguro'!B2:L782,4,TRUE),IF(K13="Camion",VLOOKUP(K12,'Costo de seguro'!B2:L782,4,TRUE),IF(K13="Microbus",VLOOKUP(K12,'Costo de seguro'!B2:L782,4,TRUE),""))))))))</f>
        <v>245.00000000000003</v>
      </c>
      <c r="L17" s="356"/>
      <c r="M17" s="177"/>
      <c r="N17" s="219"/>
      <c r="O17" s="218"/>
      <c r="T17" s="139"/>
    </row>
    <row r="18" spans="1:25" ht="14.4" hidden="1">
      <c r="C18" s="57" t="s">
        <v>398</v>
      </c>
      <c r="G18" s="218"/>
      <c r="H18" s="218"/>
      <c r="I18" s="218"/>
      <c r="J18" s="218"/>
      <c r="K18" s="357">
        <f>IFERROR(PMT(N15,K16,-K14),0)</f>
        <v>1675.4672291253412</v>
      </c>
      <c r="L18" s="357"/>
      <c r="M18" s="357"/>
      <c r="N18" s="165"/>
      <c r="T18" s="139"/>
    </row>
    <row r="19" spans="1:25">
      <c r="C19" s="57" t="s">
        <v>400</v>
      </c>
      <c r="K19" s="274">
        <f>VLOOKUP(K12,'Costo de seguro'!B2:P782,5,TRUE)</f>
        <v>374.78899999999999</v>
      </c>
      <c r="S19" s="171"/>
    </row>
    <row r="20" spans="1:25">
      <c r="C20" s="57" t="s">
        <v>333</v>
      </c>
      <c r="K20" s="267">
        <f>K18+K17+K19</f>
        <v>2295.2562291253412</v>
      </c>
    </row>
    <row r="21" spans="1:25" ht="33.75" customHeight="1">
      <c r="A21" s="172" t="s">
        <v>326</v>
      </c>
      <c r="B21" s="160" t="s">
        <v>327</v>
      </c>
      <c r="C21" s="172" t="s">
        <v>379</v>
      </c>
      <c r="D21" s="341" t="s">
        <v>328</v>
      </c>
      <c r="E21" s="341"/>
      <c r="F21" s="341"/>
      <c r="G21" s="341" t="s">
        <v>329</v>
      </c>
      <c r="H21" s="341"/>
      <c r="I21" s="341" t="s">
        <v>274</v>
      </c>
      <c r="J21" s="341"/>
      <c r="K21" s="341" t="s">
        <v>330</v>
      </c>
      <c r="L21" s="341"/>
      <c r="M21" s="341" t="s">
        <v>326</v>
      </c>
      <c r="N21" s="341"/>
      <c r="O21" s="341"/>
      <c r="P21" s="341" t="s">
        <v>331</v>
      </c>
      <c r="Q21" s="341"/>
      <c r="R21" s="341"/>
      <c r="S21" s="172" t="s">
        <v>124</v>
      </c>
      <c r="T21" s="341" t="s">
        <v>332</v>
      </c>
      <c r="U21" s="341"/>
      <c r="V21" s="341"/>
      <c r="W21" s="342" t="s">
        <v>333</v>
      </c>
      <c r="X21" s="342"/>
      <c r="Y21" s="342"/>
    </row>
    <row r="22" spans="1:25" ht="15" hidden="1" customHeight="1">
      <c r="B22" s="160"/>
      <c r="C22" s="225"/>
      <c r="D22" s="344"/>
      <c r="E22" s="345"/>
      <c r="F22" s="345"/>
      <c r="G22" s="346"/>
      <c r="H22" s="346"/>
      <c r="I22" s="340"/>
      <c r="J22" s="340"/>
      <c r="K22" s="340"/>
      <c r="L22" s="340"/>
      <c r="M22" s="226"/>
      <c r="N22" s="226"/>
      <c r="O22" s="226"/>
      <c r="P22" s="340"/>
      <c r="Q22" s="340"/>
      <c r="R22" s="340"/>
      <c r="S22" s="222"/>
      <c r="T22" s="340"/>
      <c r="U22" s="340"/>
      <c r="V22" s="340"/>
      <c r="W22" s="340"/>
      <c r="X22" s="340"/>
      <c r="Y22" s="340"/>
    </row>
    <row r="23" spans="1:25" ht="15" hidden="1" customHeight="1">
      <c r="B23" s="160"/>
      <c r="C23" s="225"/>
      <c r="D23" s="344"/>
      <c r="E23" s="345"/>
      <c r="F23" s="345"/>
      <c r="G23" s="347"/>
      <c r="H23" s="347"/>
      <c r="I23" s="340"/>
      <c r="J23" s="340"/>
      <c r="K23" s="340"/>
      <c r="L23" s="340"/>
      <c r="M23" s="226"/>
      <c r="N23" s="226"/>
      <c r="O23" s="226"/>
      <c r="P23" s="340"/>
      <c r="Q23" s="340"/>
      <c r="R23" s="340"/>
      <c r="S23" s="222"/>
      <c r="T23" s="340"/>
      <c r="U23" s="340"/>
      <c r="V23" s="340"/>
      <c r="W23" s="340"/>
      <c r="X23" s="340"/>
      <c r="Y23" s="340"/>
    </row>
    <row r="24" spans="1:25" ht="15" hidden="1" customHeight="1">
      <c r="B24" s="160"/>
      <c r="C24" s="225"/>
      <c r="D24" s="344"/>
      <c r="E24" s="345"/>
      <c r="F24" s="345"/>
      <c r="G24" s="346"/>
      <c r="H24" s="346"/>
      <c r="I24" s="340"/>
      <c r="J24" s="340"/>
      <c r="K24" s="340"/>
      <c r="L24" s="340"/>
      <c r="M24" s="226"/>
      <c r="N24" s="226"/>
      <c r="O24" s="226"/>
      <c r="P24" s="340"/>
      <c r="Q24" s="340"/>
      <c r="R24" s="340"/>
      <c r="S24" s="222"/>
      <c r="T24" s="340"/>
      <c r="U24" s="340"/>
      <c r="V24" s="340"/>
      <c r="W24" s="340"/>
      <c r="X24" s="340"/>
      <c r="Y24" s="340"/>
    </row>
    <row r="25" spans="1:25">
      <c r="A25" s="173">
        <v>1</v>
      </c>
      <c r="C25" s="269">
        <f>'Cotizador cliente'!C26</f>
        <v>46021</v>
      </c>
      <c r="D25" s="343">
        <f>K14</f>
        <v>43000</v>
      </c>
      <c r="E25" s="343"/>
      <c r="F25" s="343"/>
      <c r="G25" s="338">
        <f t="shared" ref="G25:G30" si="0">D25*$K$15</f>
        <v>1290</v>
      </c>
      <c r="H25" s="338"/>
      <c r="I25" s="338">
        <f t="shared" ref="I25:I30" si="1">G25*0.12</f>
        <v>154.79999999999998</v>
      </c>
      <c r="J25" s="338"/>
      <c r="K25" s="338">
        <f>G25+I25</f>
        <v>1444.8</v>
      </c>
      <c r="L25" s="338"/>
      <c r="M25" s="338">
        <f t="shared" ref="M25:M30" si="2">$K$18</f>
        <v>1675.4672291253412</v>
      </c>
      <c r="N25" s="338"/>
      <c r="O25" s="338"/>
      <c r="P25" s="338">
        <f t="shared" ref="P25:P30" si="3">M25-K25</f>
        <v>230.66722912534124</v>
      </c>
      <c r="Q25" s="338"/>
      <c r="R25" s="338"/>
      <c r="S25" s="174">
        <f t="shared" ref="S25:S88" si="4">IF(D25="","",$K$17)</f>
        <v>245.00000000000003</v>
      </c>
      <c r="T25" s="338">
        <f t="shared" ref="T25:T30" si="5">D25-P25</f>
        <v>42769.332770874658</v>
      </c>
      <c r="U25" s="338"/>
      <c r="V25" s="338"/>
      <c r="W25" s="338">
        <f>IFERROR(M25+S25+$K$19,"")</f>
        <v>2295.2562291253412</v>
      </c>
      <c r="X25" s="338"/>
      <c r="Y25" s="338"/>
    </row>
    <row r="26" spans="1:25">
      <c r="A26" s="173">
        <f>IF(C26="","",A25+1)</f>
        <v>2</v>
      </c>
      <c r="B26" s="57">
        <v>1</v>
      </c>
      <c r="C26" s="269">
        <f>IF(D26="","",EDATE($C$25,B26))</f>
        <v>46052</v>
      </c>
      <c r="D26" s="337">
        <f>IF(D25="","",T25)</f>
        <v>42769.332770874658</v>
      </c>
      <c r="E26" s="337"/>
      <c r="F26" s="337"/>
      <c r="G26" s="338">
        <f t="shared" si="0"/>
        <v>1283.0799831262398</v>
      </c>
      <c r="H26" s="338"/>
      <c r="I26" s="338">
        <f t="shared" si="1"/>
        <v>153.96959797514876</v>
      </c>
      <c r="J26" s="338"/>
      <c r="K26" s="338">
        <f>G26+I26</f>
        <v>1437.0495811013884</v>
      </c>
      <c r="L26" s="338"/>
      <c r="M26" s="338">
        <f t="shared" si="2"/>
        <v>1675.4672291253412</v>
      </c>
      <c r="N26" s="338"/>
      <c r="O26" s="338"/>
      <c r="P26" s="338">
        <f t="shared" si="3"/>
        <v>238.41764802395278</v>
      </c>
      <c r="Q26" s="338"/>
      <c r="R26" s="338"/>
      <c r="S26" s="174">
        <f t="shared" si="4"/>
        <v>245.00000000000003</v>
      </c>
      <c r="T26" s="338">
        <f t="shared" si="5"/>
        <v>42530.915122850703</v>
      </c>
      <c r="U26" s="338"/>
      <c r="V26" s="338"/>
      <c r="W26" s="338">
        <f t="shared" ref="W26:W57" si="6">IF(D26="","",$W$25)</f>
        <v>2295.2562291253412</v>
      </c>
      <c r="X26" s="338"/>
      <c r="Y26" s="338"/>
    </row>
    <row r="27" spans="1:25">
      <c r="A27" s="173">
        <f t="shared" ref="A27:A88" si="7">IF(C27="","",A26+1)</f>
        <v>3</v>
      </c>
      <c r="B27" s="57">
        <v>2</v>
      </c>
      <c r="C27" s="269">
        <f t="shared" ref="C27:C88" si="8">IF(D27="","",EDATE($C$25,B27))</f>
        <v>46081</v>
      </c>
      <c r="D27" s="337">
        <f>IF(D26="","",T26)</f>
        <v>42530.915122850703</v>
      </c>
      <c r="E27" s="337"/>
      <c r="F27" s="337"/>
      <c r="G27" s="338">
        <f t="shared" si="0"/>
        <v>1275.927453685521</v>
      </c>
      <c r="H27" s="338"/>
      <c r="I27" s="338">
        <f t="shared" si="1"/>
        <v>153.1112944422625</v>
      </c>
      <c r="J27" s="338"/>
      <c r="K27" s="338">
        <f>G27+I27</f>
        <v>1429.0387481277835</v>
      </c>
      <c r="L27" s="338"/>
      <c r="M27" s="338">
        <f t="shared" si="2"/>
        <v>1675.4672291253412</v>
      </c>
      <c r="N27" s="338"/>
      <c r="O27" s="338"/>
      <c r="P27" s="338">
        <f t="shared" si="3"/>
        <v>246.4284809975577</v>
      </c>
      <c r="Q27" s="338"/>
      <c r="R27" s="338"/>
      <c r="S27" s="174">
        <f t="shared" si="4"/>
        <v>245.00000000000003</v>
      </c>
      <c r="T27" s="338">
        <f t="shared" si="5"/>
        <v>42284.486641853146</v>
      </c>
      <c r="U27" s="338"/>
      <c r="V27" s="338"/>
      <c r="W27" s="338">
        <f t="shared" si="6"/>
        <v>2295.2562291253412</v>
      </c>
      <c r="X27" s="338"/>
      <c r="Y27" s="338"/>
    </row>
    <row r="28" spans="1:25">
      <c r="A28" s="173">
        <f t="shared" si="7"/>
        <v>4</v>
      </c>
      <c r="B28" s="57">
        <v>3</v>
      </c>
      <c r="C28" s="269">
        <f t="shared" si="8"/>
        <v>46111</v>
      </c>
      <c r="D28" s="337">
        <f>IF(D27="","",T27)</f>
        <v>42284.486641853146</v>
      </c>
      <c r="E28" s="337"/>
      <c r="F28" s="337"/>
      <c r="G28" s="338">
        <f t="shared" si="0"/>
        <v>1268.5345992555942</v>
      </c>
      <c r="H28" s="338"/>
      <c r="I28" s="338">
        <f t="shared" si="1"/>
        <v>152.22415191067131</v>
      </c>
      <c r="J28" s="338"/>
      <c r="K28" s="338">
        <f>G28+I28</f>
        <v>1420.7587511662655</v>
      </c>
      <c r="L28" s="338"/>
      <c r="M28" s="338">
        <f t="shared" si="2"/>
        <v>1675.4672291253412</v>
      </c>
      <c r="N28" s="338"/>
      <c r="O28" s="338"/>
      <c r="P28" s="338">
        <f t="shared" si="3"/>
        <v>254.70847795907571</v>
      </c>
      <c r="Q28" s="338"/>
      <c r="R28" s="338"/>
      <c r="S28" s="174">
        <f t="shared" si="4"/>
        <v>245.00000000000003</v>
      </c>
      <c r="T28" s="338">
        <f t="shared" si="5"/>
        <v>42029.778163894072</v>
      </c>
      <c r="U28" s="338"/>
      <c r="V28" s="338"/>
      <c r="W28" s="338">
        <f t="shared" si="6"/>
        <v>2295.2562291253412</v>
      </c>
      <c r="X28" s="338"/>
      <c r="Y28" s="338"/>
    </row>
    <row r="29" spans="1:25">
      <c r="A29" s="173">
        <f t="shared" si="7"/>
        <v>5</v>
      </c>
      <c r="B29" s="57">
        <v>4</v>
      </c>
      <c r="C29" s="269">
        <f t="shared" si="8"/>
        <v>46142</v>
      </c>
      <c r="D29" s="337">
        <f>IF(D28="","",T28)</f>
        <v>42029.778163894072</v>
      </c>
      <c r="E29" s="337"/>
      <c r="F29" s="337"/>
      <c r="G29" s="338">
        <f t="shared" si="0"/>
        <v>1260.8933449168221</v>
      </c>
      <c r="H29" s="338"/>
      <c r="I29" s="338">
        <f t="shared" si="1"/>
        <v>151.30720139001866</v>
      </c>
      <c r="J29" s="338"/>
      <c r="K29" s="338">
        <f>G29+I29</f>
        <v>1412.2005463068408</v>
      </c>
      <c r="L29" s="338"/>
      <c r="M29" s="338">
        <f t="shared" si="2"/>
        <v>1675.4672291253412</v>
      </c>
      <c r="N29" s="338"/>
      <c r="O29" s="338"/>
      <c r="P29" s="338">
        <f t="shared" si="3"/>
        <v>263.26668281850039</v>
      </c>
      <c r="Q29" s="338"/>
      <c r="R29" s="338"/>
      <c r="S29" s="174">
        <f t="shared" si="4"/>
        <v>245.00000000000003</v>
      </c>
      <c r="T29" s="338">
        <f t="shared" si="5"/>
        <v>41766.511481075569</v>
      </c>
      <c r="U29" s="338"/>
      <c r="V29" s="338"/>
      <c r="W29" s="338">
        <f t="shared" si="6"/>
        <v>2295.2562291253412</v>
      </c>
      <c r="X29" s="338"/>
      <c r="Y29" s="338"/>
    </row>
    <row r="30" spans="1:25">
      <c r="A30" s="173">
        <f t="shared" si="7"/>
        <v>6</v>
      </c>
      <c r="B30" s="57">
        <v>5</v>
      </c>
      <c r="C30" s="269">
        <f t="shared" si="8"/>
        <v>46172</v>
      </c>
      <c r="D30" s="337">
        <f>IF(D29="","",T29)</f>
        <v>41766.511481075569</v>
      </c>
      <c r="E30" s="337"/>
      <c r="F30" s="337"/>
      <c r="G30" s="338">
        <f t="shared" si="0"/>
        <v>1252.9953444322671</v>
      </c>
      <c r="H30" s="338"/>
      <c r="I30" s="338">
        <f t="shared" si="1"/>
        <v>150.35944133187203</v>
      </c>
      <c r="J30" s="338"/>
      <c r="K30" s="338">
        <f>IF(G30="","",G30+I30)</f>
        <v>1403.354785764139</v>
      </c>
      <c r="L30" s="338"/>
      <c r="M30" s="338">
        <f t="shared" si="2"/>
        <v>1675.4672291253412</v>
      </c>
      <c r="N30" s="338"/>
      <c r="O30" s="338"/>
      <c r="P30" s="338">
        <f t="shared" si="3"/>
        <v>272.11244336120217</v>
      </c>
      <c r="Q30" s="338"/>
      <c r="R30" s="338"/>
      <c r="S30" s="174">
        <f t="shared" si="4"/>
        <v>245.00000000000003</v>
      </c>
      <c r="T30" s="338">
        <f t="shared" si="5"/>
        <v>41494.399037714364</v>
      </c>
      <c r="U30" s="338"/>
      <c r="V30" s="338"/>
      <c r="W30" s="338">
        <f t="shared" si="6"/>
        <v>2295.2562291253412</v>
      </c>
      <c r="X30" s="338"/>
      <c r="Y30" s="338"/>
    </row>
    <row r="31" spans="1:25">
      <c r="A31" s="173">
        <f t="shared" si="7"/>
        <v>7</v>
      </c>
      <c r="B31" s="57">
        <v>6</v>
      </c>
      <c r="C31" s="269">
        <f t="shared" si="8"/>
        <v>46203</v>
      </c>
      <c r="D31" s="337">
        <f>IF(T30&lt;=0.1,"",T30)</f>
        <v>41494.399037714364</v>
      </c>
      <c r="E31" s="337"/>
      <c r="F31" s="337"/>
      <c r="G31" s="338">
        <f t="shared" ref="G31:G48" si="9">IF(D31="","",(D31*$K$15))</f>
        <v>1244.8319711314309</v>
      </c>
      <c r="H31" s="338"/>
      <c r="I31" s="338">
        <f t="shared" ref="I31:I49" si="10">IF(G31="","",(G31*0.12))</f>
        <v>149.37983653577172</v>
      </c>
      <c r="J31" s="338"/>
      <c r="K31" s="338">
        <f t="shared" ref="K31:K50" si="11">IF(G31="","",G31+I31)</f>
        <v>1394.2118076672027</v>
      </c>
      <c r="L31" s="338"/>
      <c r="M31" s="338">
        <f>IF(D31="","",$K$18)</f>
        <v>1675.4672291253412</v>
      </c>
      <c r="N31" s="338"/>
      <c r="O31" s="338"/>
      <c r="P31" s="338">
        <f>IF(D31="","",M31-K31)</f>
        <v>281.25542145813847</v>
      </c>
      <c r="Q31" s="338"/>
      <c r="R31" s="338"/>
      <c r="S31" s="174">
        <f t="shared" si="4"/>
        <v>245.00000000000003</v>
      </c>
      <c r="T31" s="338">
        <f t="shared" ref="T31:T62" si="12">IF(D31="","",D31-P31)</f>
        <v>41213.143616256224</v>
      </c>
      <c r="U31" s="338"/>
      <c r="V31" s="338"/>
      <c r="W31" s="338">
        <f t="shared" si="6"/>
        <v>2295.2562291253412</v>
      </c>
      <c r="X31" s="338"/>
      <c r="Y31" s="338"/>
    </row>
    <row r="32" spans="1:25">
      <c r="A32" s="173">
        <f t="shared" si="7"/>
        <v>8</v>
      </c>
      <c r="B32" s="57">
        <v>7</v>
      </c>
      <c r="C32" s="269">
        <f t="shared" si="8"/>
        <v>46233</v>
      </c>
      <c r="D32" s="337">
        <f t="shared" ref="D32:D59" si="13">IF(T31&lt;=0.1,"",T31)</f>
        <v>41213.143616256224</v>
      </c>
      <c r="E32" s="337"/>
      <c r="F32" s="337"/>
      <c r="G32" s="338">
        <f t="shared" si="9"/>
        <v>1236.3943084876867</v>
      </c>
      <c r="H32" s="338"/>
      <c r="I32" s="338">
        <f t="shared" si="10"/>
        <v>148.36731701852239</v>
      </c>
      <c r="J32" s="338"/>
      <c r="K32" s="338">
        <f t="shared" si="11"/>
        <v>1384.7616255062089</v>
      </c>
      <c r="L32" s="338"/>
      <c r="M32" s="338">
        <f t="shared" ref="M32:M88" si="14">IF(I32="","",$K$18)</f>
        <v>1675.4672291253412</v>
      </c>
      <c r="N32" s="338"/>
      <c r="O32" s="338"/>
      <c r="P32" s="338">
        <f t="shared" ref="P32:P57" si="15">IF(D32="","",M32-K32)</f>
        <v>290.70560361913226</v>
      </c>
      <c r="Q32" s="338"/>
      <c r="R32" s="338"/>
      <c r="S32" s="174">
        <f t="shared" si="4"/>
        <v>245.00000000000003</v>
      </c>
      <c r="T32" s="338">
        <f t="shared" si="12"/>
        <v>40922.438012637089</v>
      </c>
      <c r="U32" s="338"/>
      <c r="V32" s="338"/>
      <c r="W32" s="338">
        <f t="shared" si="6"/>
        <v>2295.2562291253412</v>
      </c>
      <c r="X32" s="338"/>
      <c r="Y32" s="338"/>
    </row>
    <row r="33" spans="1:25">
      <c r="A33" s="173">
        <f t="shared" si="7"/>
        <v>9</v>
      </c>
      <c r="B33" s="57">
        <v>8</v>
      </c>
      <c r="C33" s="269">
        <f t="shared" si="8"/>
        <v>46264</v>
      </c>
      <c r="D33" s="337">
        <f t="shared" si="13"/>
        <v>40922.438012637089</v>
      </c>
      <c r="E33" s="337"/>
      <c r="F33" s="337"/>
      <c r="G33" s="338">
        <f t="shared" si="9"/>
        <v>1227.6731403791125</v>
      </c>
      <c r="H33" s="338"/>
      <c r="I33" s="338">
        <f t="shared" si="10"/>
        <v>147.3207768454935</v>
      </c>
      <c r="J33" s="338"/>
      <c r="K33" s="338">
        <f t="shared" si="11"/>
        <v>1374.9939172246061</v>
      </c>
      <c r="L33" s="338"/>
      <c r="M33" s="338">
        <f t="shared" si="14"/>
        <v>1675.4672291253412</v>
      </c>
      <c r="N33" s="338"/>
      <c r="O33" s="338"/>
      <c r="P33" s="338">
        <f t="shared" si="15"/>
        <v>300.4733119007351</v>
      </c>
      <c r="Q33" s="338"/>
      <c r="R33" s="338"/>
      <c r="S33" s="174">
        <f t="shared" si="4"/>
        <v>245.00000000000003</v>
      </c>
      <c r="T33" s="338">
        <f t="shared" si="12"/>
        <v>40621.964700736353</v>
      </c>
      <c r="U33" s="338"/>
      <c r="V33" s="338"/>
      <c r="W33" s="338">
        <f t="shared" si="6"/>
        <v>2295.2562291253412</v>
      </c>
      <c r="X33" s="338"/>
      <c r="Y33" s="338"/>
    </row>
    <row r="34" spans="1:25">
      <c r="A34" s="173">
        <f t="shared" si="7"/>
        <v>10</v>
      </c>
      <c r="B34" s="57">
        <v>9</v>
      </c>
      <c r="C34" s="269">
        <f t="shared" si="8"/>
        <v>46295</v>
      </c>
      <c r="D34" s="337">
        <f t="shared" si="13"/>
        <v>40621.964700736353</v>
      </c>
      <c r="E34" s="337"/>
      <c r="F34" s="337"/>
      <c r="G34" s="338">
        <f t="shared" si="9"/>
        <v>1218.6589410220906</v>
      </c>
      <c r="H34" s="338"/>
      <c r="I34" s="338">
        <f t="shared" si="10"/>
        <v>146.23907292265088</v>
      </c>
      <c r="J34" s="338"/>
      <c r="K34" s="338">
        <f t="shared" si="11"/>
        <v>1364.8980139447415</v>
      </c>
      <c r="L34" s="338"/>
      <c r="M34" s="338">
        <f t="shared" si="14"/>
        <v>1675.4672291253412</v>
      </c>
      <c r="N34" s="338"/>
      <c r="O34" s="338"/>
      <c r="P34" s="338">
        <f t="shared" si="15"/>
        <v>310.56921518059971</v>
      </c>
      <c r="Q34" s="338"/>
      <c r="R34" s="338"/>
      <c r="S34" s="174">
        <f t="shared" si="4"/>
        <v>245.00000000000003</v>
      </c>
      <c r="T34" s="338">
        <f t="shared" si="12"/>
        <v>40311.395485555753</v>
      </c>
      <c r="U34" s="338"/>
      <c r="V34" s="338"/>
      <c r="W34" s="338">
        <f t="shared" si="6"/>
        <v>2295.2562291253412</v>
      </c>
      <c r="X34" s="338"/>
      <c r="Y34" s="338"/>
    </row>
    <row r="35" spans="1:25">
      <c r="A35" s="173">
        <f t="shared" si="7"/>
        <v>11</v>
      </c>
      <c r="B35" s="57">
        <v>10</v>
      </c>
      <c r="C35" s="269">
        <f t="shared" si="8"/>
        <v>46325</v>
      </c>
      <c r="D35" s="337">
        <f t="shared" si="13"/>
        <v>40311.395485555753</v>
      </c>
      <c r="E35" s="337"/>
      <c r="F35" s="337"/>
      <c r="G35" s="338">
        <f t="shared" si="9"/>
        <v>1209.3418645666725</v>
      </c>
      <c r="H35" s="338"/>
      <c r="I35" s="338">
        <f t="shared" si="10"/>
        <v>145.12102374800068</v>
      </c>
      <c r="J35" s="338"/>
      <c r="K35" s="338">
        <f t="shared" si="11"/>
        <v>1354.4628883146731</v>
      </c>
      <c r="L35" s="338"/>
      <c r="M35" s="338">
        <f t="shared" si="14"/>
        <v>1675.4672291253412</v>
      </c>
      <c r="N35" s="338"/>
      <c r="O35" s="338"/>
      <c r="P35" s="339">
        <f>IF(D35="","",M35-K35)</f>
        <v>321.00434081066805</v>
      </c>
      <c r="Q35" s="339"/>
      <c r="R35" s="339"/>
      <c r="S35" s="174">
        <f t="shared" si="4"/>
        <v>245.00000000000003</v>
      </c>
      <c r="T35" s="338">
        <f t="shared" si="12"/>
        <v>39990.391144745088</v>
      </c>
      <c r="U35" s="338"/>
      <c r="V35" s="338"/>
      <c r="W35" s="338">
        <f t="shared" si="6"/>
        <v>2295.2562291253412</v>
      </c>
      <c r="X35" s="338"/>
      <c r="Y35" s="338"/>
    </row>
    <row r="36" spans="1:25">
      <c r="A36" s="173">
        <f t="shared" si="7"/>
        <v>12</v>
      </c>
      <c r="B36" s="57">
        <v>11</v>
      </c>
      <c r="C36" s="269">
        <f t="shared" si="8"/>
        <v>46356</v>
      </c>
      <c r="D36" s="337">
        <f t="shared" si="13"/>
        <v>39990.391144745088</v>
      </c>
      <c r="E36" s="337"/>
      <c r="F36" s="337"/>
      <c r="G36" s="338">
        <f t="shared" si="9"/>
        <v>1199.7117343423527</v>
      </c>
      <c r="H36" s="338"/>
      <c r="I36" s="338">
        <f t="shared" si="10"/>
        <v>143.96540812108231</v>
      </c>
      <c r="J36" s="338"/>
      <c r="K36" s="338">
        <f t="shared" si="11"/>
        <v>1343.6771424634348</v>
      </c>
      <c r="L36" s="338"/>
      <c r="M36" s="338">
        <f t="shared" si="14"/>
        <v>1675.4672291253412</v>
      </c>
      <c r="N36" s="338"/>
      <c r="O36" s="338"/>
      <c r="P36" s="339">
        <f>IF(D36="","",M36-K36)</f>
        <v>331.79008666190634</v>
      </c>
      <c r="Q36" s="339"/>
      <c r="R36" s="339"/>
      <c r="S36" s="174">
        <f t="shared" si="4"/>
        <v>245.00000000000003</v>
      </c>
      <c r="T36" s="338">
        <f t="shared" si="12"/>
        <v>39658.601058083179</v>
      </c>
      <c r="U36" s="338"/>
      <c r="V36" s="338"/>
      <c r="W36" s="338">
        <f t="shared" si="6"/>
        <v>2295.2562291253412</v>
      </c>
      <c r="X36" s="338"/>
      <c r="Y36" s="338"/>
    </row>
    <row r="37" spans="1:25">
      <c r="A37" s="173">
        <f t="shared" si="7"/>
        <v>13</v>
      </c>
      <c r="B37" s="57">
        <v>12</v>
      </c>
      <c r="C37" s="269">
        <f t="shared" si="8"/>
        <v>46386</v>
      </c>
      <c r="D37" s="337">
        <f t="shared" si="13"/>
        <v>39658.601058083179</v>
      </c>
      <c r="E37" s="337"/>
      <c r="F37" s="337"/>
      <c r="G37" s="338">
        <f t="shared" si="9"/>
        <v>1189.7580317424954</v>
      </c>
      <c r="H37" s="338"/>
      <c r="I37" s="338">
        <f t="shared" si="10"/>
        <v>142.77096380909944</v>
      </c>
      <c r="J37" s="338"/>
      <c r="K37" s="338">
        <f t="shared" si="11"/>
        <v>1332.5289955515948</v>
      </c>
      <c r="L37" s="338"/>
      <c r="M37" s="338">
        <f t="shared" si="14"/>
        <v>1675.4672291253412</v>
      </c>
      <c r="N37" s="338"/>
      <c r="O37" s="338"/>
      <c r="P37" s="338">
        <f t="shared" si="15"/>
        <v>342.9382335737464</v>
      </c>
      <c r="Q37" s="338"/>
      <c r="R37" s="338"/>
      <c r="S37" s="174">
        <f t="shared" si="4"/>
        <v>245.00000000000003</v>
      </c>
      <c r="T37" s="338">
        <f t="shared" si="12"/>
        <v>39315.662824509433</v>
      </c>
      <c r="U37" s="338"/>
      <c r="V37" s="338"/>
      <c r="W37" s="338">
        <f t="shared" si="6"/>
        <v>2295.2562291253412</v>
      </c>
      <c r="X37" s="338"/>
      <c r="Y37" s="338"/>
    </row>
    <row r="38" spans="1:25">
      <c r="A38" s="173">
        <f t="shared" si="7"/>
        <v>14</v>
      </c>
      <c r="B38" s="57">
        <v>13</v>
      </c>
      <c r="C38" s="269">
        <f t="shared" si="8"/>
        <v>46417</v>
      </c>
      <c r="D38" s="337">
        <f t="shared" si="13"/>
        <v>39315.662824509433</v>
      </c>
      <c r="E38" s="337"/>
      <c r="F38" s="337"/>
      <c r="G38" s="338">
        <f t="shared" si="9"/>
        <v>1179.4698847352829</v>
      </c>
      <c r="H38" s="338"/>
      <c r="I38" s="338">
        <f t="shared" si="10"/>
        <v>141.53638616823395</v>
      </c>
      <c r="J38" s="338"/>
      <c r="K38" s="338">
        <f t="shared" si="11"/>
        <v>1321.0062709035169</v>
      </c>
      <c r="L38" s="338"/>
      <c r="M38" s="338">
        <f t="shared" si="14"/>
        <v>1675.4672291253412</v>
      </c>
      <c r="N38" s="338"/>
      <c r="O38" s="338"/>
      <c r="P38" s="338">
        <f t="shared" si="15"/>
        <v>354.46095822182428</v>
      </c>
      <c r="Q38" s="338"/>
      <c r="R38" s="338"/>
      <c r="S38" s="174">
        <f t="shared" si="4"/>
        <v>245.00000000000003</v>
      </c>
      <c r="T38" s="338">
        <f t="shared" si="12"/>
        <v>38961.201866287607</v>
      </c>
      <c r="U38" s="338"/>
      <c r="V38" s="338"/>
      <c r="W38" s="338">
        <f t="shared" si="6"/>
        <v>2295.2562291253412</v>
      </c>
      <c r="X38" s="338"/>
      <c r="Y38" s="338"/>
    </row>
    <row r="39" spans="1:25">
      <c r="A39" s="173">
        <f t="shared" si="7"/>
        <v>15</v>
      </c>
      <c r="B39" s="57">
        <v>14</v>
      </c>
      <c r="C39" s="269">
        <f t="shared" si="8"/>
        <v>46446</v>
      </c>
      <c r="D39" s="337">
        <f t="shared" si="13"/>
        <v>38961.201866287607</v>
      </c>
      <c r="E39" s="337"/>
      <c r="F39" s="337"/>
      <c r="G39" s="338">
        <f t="shared" si="9"/>
        <v>1168.8360559886282</v>
      </c>
      <c r="H39" s="338"/>
      <c r="I39" s="338">
        <f t="shared" si="10"/>
        <v>140.26032671863538</v>
      </c>
      <c r="J39" s="338"/>
      <c r="K39" s="338">
        <f t="shared" si="11"/>
        <v>1309.0963827072637</v>
      </c>
      <c r="L39" s="338"/>
      <c r="M39" s="338">
        <f t="shared" si="14"/>
        <v>1675.4672291253412</v>
      </c>
      <c r="N39" s="338"/>
      <c r="O39" s="338"/>
      <c r="P39" s="338">
        <f t="shared" si="15"/>
        <v>366.37084641807746</v>
      </c>
      <c r="Q39" s="338"/>
      <c r="R39" s="338"/>
      <c r="S39" s="174">
        <f t="shared" si="4"/>
        <v>245.00000000000003</v>
      </c>
      <c r="T39" s="338">
        <f t="shared" si="12"/>
        <v>38594.831019869533</v>
      </c>
      <c r="U39" s="338"/>
      <c r="V39" s="338"/>
      <c r="W39" s="338">
        <f t="shared" si="6"/>
        <v>2295.2562291253412</v>
      </c>
      <c r="X39" s="338"/>
      <c r="Y39" s="338"/>
    </row>
    <row r="40" spans="1:25">
      <c r="A40" s="173">
        <f t="shared" si="7"/>
        <v>16</v>
      </c>
      <c r="B40" s="57">
        <v>15</v>
      </c>
      <c r="C40" s="269">
        <f t="shared" si="8"/>
        <v>46476</v>
      </c>
      <c r="D40" s="337">
        <f t="shared" si="13"/>
        <v>38594.831019869533</v>
      </c>
      <c r="E40" s="337"/>
      <c r="F40" s="337"/>
      <c r="G40" s="338">
        <f t="shared" si="9"/>
        <v>1157.844930596086</v>
      </c>
      <c r="H40" s="338"/>
      <c r="I40" s="338">
        <f t="shared" si="10"/>
        <v>138.94139167153031</v>
      </c>
      <c r="J40" s="338"/>
      <c r="K40" s="338">
        <f t="shared" si="11"/>
        <v>1296.7863222676162</v>
      </c>
      <c r="L40" s="338"/>
      <c r="M40" s="338">
        <f t="shared" si="14"/>
        <v>1675.4672291253412</v>
      </c>
      <c r="N40" s="338"/>
      <c r="O40" s="338"/>
      <c r="P40" s="338">
        <f t="shared" si="15"/>
        <v>378.68090685772495</v>
      </c>
      <c r="Q40" s="338"/>
      <c r="R40" s="338"/>
      <c r="S40" s="174">
        <f t="shared" si="4"/>
        <v>245.00000000000003</v>
      </c>
      <c r="T40" s="338">
        <f t="shared" si="12"/>
        <v>38216.150113011805</v>
      </c>
      <c r="U40" s="338"/>
      <c r="V40" s="338"/>
      <c r="W40" s="338">
        <f t="shared" si="6"/>
        <v>2295.2562291253412</v>
      </c>
      <c r="X40" s="338"/>
      <c r="Y40" s="338"/>
    </row>
    <row r="41" spans="1:25">
      <c r="A41" s="173">
        <f t="shared" si="7"/>
        <v>17</v>
      </c>
      <c r="B41" s="57">
        <v>16</v>
      </c>
      <c r="C41" s="269">
        <f t="shared" si="8"/>
        <v>46507</v>
      </c>
      <c r="D41" s="337">
        <f t="shared" si="13"/>
        <v>38216.150113011805</v>
      </c>
      <c r="E41" s="337"/>
      <c r="F41" s="337"/>
      <c r="G41" s="338">
        <f t="shared" si="9"/>
        <v>1146.4845033903541</v>
      </c>
      <c r="H41" s="338"/>
      <c r="I41" s="338">
        <f t="shared" si="10"/>
        <v>137.57814040684249</v>
      </c>
      <c r="J41" s="338"/>
      <c r="K41" s="338">
        <f t="shared" si="11"/>
        <v>1284.0626437971966</v>
      </c>
      <c r="L41" s="338"/>
      <c r="M41" s="338">
        <f t="shared" si="14"/>
        <v>1675.4672291253412</v>
      </c>
      <c r="N41" s="338"/>
      <c r="O41" s="338"/>
      <c r="P41" s="338">
        <f t="shared" si="15"/>
        <v>391.40458532814455</v>
      </c>
      <c r="Q41" s="338"/>
      <c r="R41" s="338"/>
      <c r="S41" s="174">
        <f t="shared" si="4"/>
        <v>245.00000000000003</v>
      </c>
      <c r="T41" s="338">
        <f t="shared" si="12"/>
        <v>37824.745527683663</v>
      </c>
      <c r="U41" s="338"/>
      <c r="V41" s="338"/>
      <c r="W41" s="338">
        <f t="shared" si="6"/>
        <v>2295.2562291253412</v>
      </c>
      <c r="X41" s="338"/>
      <c r="Y41" s="338"/>
    </row>
    <row r="42" spans="1:25">
      <c r="A42" s="173">
        <f t="shared" si="7"/>
        <v>18</v>
      </c>
      <c r="B42" s="57">
        <v>17</v>
      </c>
      <c r="C42" s="269">
        <f t="shared" si="8"/>
        <v>46537</v>
      </c>
      <c r="D42" s="337">
        <f t="shared" si="13"/>
        <v>37824.745527683663</v>
      </c>
      <c r="E42" s="337"/>
      <c r="F42" s="337"/>
      <c r="G42" s="338">
        <f t="shared" si="9"/>
        <v>1134.7423658305099</v>
      </c>
      <c r="H42" s="338"/>
      <c r="I42" s="338">
        <f t="shared" si="10"/>
        <v>136.16908389966119</v>
      </c>
      <c r="J42" s="338"/>
      <c r="K42" s="338">
        <f t="shared" si="11"/>
        <v>1270.9114497301712</v>
      </c>
      <c r="L42" s="338"/>
      <c r="M42" s="338">
        <f t="shared" si="14"/>
        <v>1675.4672291253412</v>
      </c>
      <c r="N42" s="338"/>
      <c r="O42" s="338"/>
      <c r="P42" s="338">
        <f t="shared" si="15"/>
        <v>404.55577939517002</v>
      </c>
      <c r="Q42" s="338"/>
      <c r="R42" s="338"/>
      <c r="S42" s="174">
        <f t="shared" si="4"/>
        <v>245.00000000000003</v>
      </c>
      <c r="T42" s="338">
        <f t="shared" si="12"/>
        <v>37420.189748288496</v>
      </c>
      <c r="U42" s="338"/>
      <c r="V42" s="338"/>
      <c r="W42" s="338">
        <f t="shared" si="6"/>
        <v>2295.2562291253412</v>
      </c>
      <c r="X42" s="338"/>
      <c r="Y42" s="338"/>
    </row>
    <row r="43" spans="1:25">
      <c r="A43" s="173">
        <f t="shared" si="7"/>
        <v>19</v>
      </c>
      <c r="B43" s="57">
        <v>18</v>
      </c>
      <c r="C43" s="269">
        <f t="shared" si="8"/>
        <v>46568</v>
      </c>
      <c r="D43" s="337">
        <f t="shared" si="13"/>
        <v>37420.189748288496</v>
      </c>
      <c r="E43" s="337"/>
      <c r="F43" s="337"/>
      <c r="G43" s="338">
        <f t="shared" si="9"/>
        <v>1122.6056924486547</v>
      </c>
      <c r="H43" s="338"/>
      <c r="I43" s="338">
        <f t="shared" si="10"/>
        <v>134.71268309383856</v>
      </c>
      <c r="J43" s="338"/>
      <c r="K43" s="338">
        <f t="shared" si="11"/>
        <v>1257.3183755424934</v>
      </c>
      <c r="L43" s="338"/>
      <c r="M43" s="338">
        <f t="shared" si="14"/>
        <v>1675.4672291253412</v>
      </c>
      <c r="N43" s="338"/>
      <c r="O43" s="338"/>
      <c r="P43" s="338">
        <f t="shared" si="15"/>
        <v>418.14885358284778</v>
      </c>
      <c r="Q43" s="338"/>
      <c r="R43" s="338"/>
      <c r="S43" s="174">
        <f t="shared" si="4"/>
        <v>245.00000000000003</v>
      </c>
      <c r="T43" s="338">
        <f t="shared" si="12"/>
        <v>37002.040894705649</v>
      </c>
      <c r="U43" s="338"/>
      <c r="V43" s="338"/>
      <c r="W43" s="338">
        <f t="shared" si="6"/>
        <v>2295.2562291253412</v>
      </c>
      <c r="X43" s="338"/>
      <c r="Y43" s="338"/>
    </row>
    <row r="44" spans="1:25">
      <c r="A44" s="173">
        <f t="shared" si="7"/>
        <v>20</v>
      </c>
      <c r="B44" s="57">
        <v>19</v>
      </c>
      <c r="C44" s="269">
        <f t="shared" si="8"/>
        <v>46598</v>
      </c>
      <c r="D44" s="337">
        <f t="shared" si="13"/>
        <v>37002.040894705649</v>
      </c>
      <c r="E44" s="337"/>
      <c r="F44" s="337"/>
      <c r="G44" s="338">
        <f t="shared" si="9"/>
        <v>1110.0612268411694</v>
      </c>
      <c r="H44" s="338"/>
      <c r="I44" s="338">
        <f t="shared" si="10"/>
        <v>133.20734722094033</v>
      </c>
      <c r="J44" s="338"/>
      <c r="K44" s="338">
        <f t="shared" si="11"/>
        <v>1243.2685740621098</v>
      </c>
      <c r="L44" s="338"/>
      <c r="M44" s="338">
        <f t="shared" si="14"/>
        <v>1675.4672291253412</v>
      </c>
      <c r="N44" s="338"/>
      <c r="O44" s="338"/>
      <c r="P44" s="338">
        <f t="shared" si="15"/>
        <v>432.1986550632314</v>
      </c>
      <c r="Q44" s="338"/>
      <c r="R44" s="338"/>
      <c r="S44" s="174">
        <f t="shared" si="4"/>
        <v>245.00000000000003</v>
      </c>
      <c r="T44" s="338">
        <f t="shared" si="12"/>
        <v>36569.842239642421</v>
      </c>
      <c r="U44" s="338"/>
      <c r="V44" s="338"/>
      <c r="W44" s="338">
        <f t="shared" si="6"/>
        <v>2295.2562291253412</v>
      </c>
      <c r="X44" s="338"/>
      <c r="Y44" s="338"/>
    </row>
    <row r="45" spans="1:25">
      <c r="A45" s="173">
        <f t="shared" si="7"/>
        <v>21</v>
      </c>
      <c r="B45" s="57">
        <v>20</v>
      </c>
      <c r="C45" s="269">
        <f t="shared" si="8"/>
        <v>46629</v>
      </c>
      <c r="D45" s="337">
        <f t="shared" si="13"/>
        <v>36569.842239642421</v>
      </c>
      <c r="E45" s="337"/>
      <c r="F45" s="337"/>
      <c r="G45" s="338">
        <f t="shared" si="9"/>
        <v>1097.0952671892726</v>
      </c>
      <c r="H45" s="338"/>
      <c r="I45" s="338">
        <f t="shared" si="10"/>
        <v>131.6514320627127</v>
      </c>
      <c r="J45" s="338"/>
      <c r="K45" s="338">
        <f t="shared" si="11"/>
        <v>1228.7466992519853</v>
      </c>
      <c r="L45" s="338"/>
      <c r="M45" s="338">
        <f t="shared" si="14"/>
        <v>1675.4672291253412</v>
      </c>
      <c r="N45" s="338"/>
      <c r="O45" s="338"/>
      <c r="P45" s="338">
        <f t="shared" si="15"/>
        <v>446.72052987335587</v>
      </c>
      <c r="Q45" s="338"/>
      <c r="R45" s="338"/>
      <c r="S45" s="174">
        <f t="shared" si="4"/>
        <v>245.00000000000003</v>
      </c>
      <c r="T45" s="338">
        <f t="shared" si="12"/>
        <v>36123.121709769068</v>
      </c>
      <c r="U45" s="338"/>
      <c r="V45" s="338"/>
      <c r="W45" s="338">
        <f t="shared" si="6"/>
        <v>2295.2562291253412</v>
      </c>
      <c r="X45" s="338"/>
      <c r="Y45" s="338"/>
    </row>
    <row r="46" spans="1:25">
      <c r="A46" s="173">
        <f t="shared" si="7"/>
        <v>22</v>
      </c>
      <c r="B46" s="57">
        <v>21</v>
      </c>
      <c r="C46" s="269">
        <f t="shared" si="8"/>
        <v>46660</v>
      </c>
      <c r="D46" s="337">
        <f t="shared" si="13"/>
        <v>36123.121709769068</v>
      </c>
      <c r="E46" s="337"/>
      <c r="F46" s="337"/>
      <c r="G46" s="338">
        <f t="shared" si="9"/>
        <v>1083.693651293072</v>
      </c>
      <c r="H46" s="338"/>
      <c r="I46" s="338">
        <f t="shared" si="10"/>
        <v>130.04323815516864</v>
      </c>
      <c r="J46" s="338"/>
      <c r="K46" s="338">
        <f t="shared" si="11"/>
        <v>1213.7368894482406</v>
      </c>
      <c r="L46" s="338"/>
      <c r="M46" s="338">
        <f t="shared" si="14"/>
        <v>1675.4672291253412</v>
      </c>
      <c r="N46" s="338"/>
      <c r="O46" s="338"/>
      <c r="P46" s="338">
        <f t="shared" si="15"/>
        <v>461.73033967710057</v>
      </c>
      <c r="Q46" s="338"/>
      <c r="R46" s="338"/>
      <c r="S46" s="174">
        <f t="shared" si="4"/>
        <v>245.00000000000003</v>
      </c>
      <c r="T46" s="338">
        <f t="shared" si="12"/>
        <v>35661.391370091966</v>
      </c>
      <c r="U46" s="338"/>
      <c r="V46" s="338"/>
      <c r="W46" s="338">
        <f t="shared" si="6"/>
        <v>2295.2562291253412</v>
      </c>
      <c r="X46" s="338"/>
      <c r="Y46" s="338"/>
    </row>
    <row r="47" spans="1:25">
      <c r="A47" s="173">
        <f t="shared" si="7"/>
        <v>23</v>
      </c>
      <c r="B47" s="57">
        <v>22</v>
      </c>
      <c r="C47" s="269">
        <f t="shared" si="8"/>
        <v>46690</v>
      </c>
      <c r="D47" s="337">
        <f t="shared" si="13"/>
        <v>35661.391370091966</v>
      </c>
      <c r="E47" s="337"/>
      <c r="F47" s="337"/>
      <c r="G47" s="338">
        <f t="shared" si="9"/>
        <v>1069.841741102759</v>
      </c>
      <c r="H47" s="338"/>
      <c r="I47" s="338">
        <f t="shared" si="10"/>
        <v>128.38100893233107</v>
      </c>
      <c r="J47" s="338"/>
      <c r="K47" s="338">
        <f t="shared" si="11"/>
        <v>1198.22275003509</v>
      </c>
      <c r="L47" s="338"/>
      <c r="M47" s="338">
        <f t="shared" si="14"/>
        <v>1675.4672291253412</v>
      </c>
      <c r="N47" s="338"/>
      <c r="O47" s="338"/>
      <c r="P47" s="339">
        <f>IF(D47="","",M47-K47)</f>
        <v>477.24447909025116</v>
      </c>
      <c r="Q47" s="339"/>
      <c r="R47" s="339"/>
      <c r="S47" s="174">
        <f t="shared" si="4"/>
        <v>245.00000000000003</v>
      </c>
      <c r="T47" s="338">
        <f t="shared" si="12"/>
        <v>35184.146891001714</v>
      </c>
      <c r="U47" s="338"/>
      <c r="V47" s="338"/>
      <c r="W47" s="338">
        <f t="shared" si="6"/>
        <v>2295.2562291253412</v>
      </c>
      <c r="X47" s="338"/>
      <c r="Y47" s="338"/>
    </row>
    <row r="48" spans="1:25">
      <c r="A48" s="173">
        <f t="shared" si="7"/>
        <v>24</v>
      </c>
      <c r="B48" s="57">
        <v>23</v>
      </c>
      <c r="C48" s="269">
        <f t="shared" si="8"/>
        <v>46721</v>
      </c>
      <c r="D48" s="337">
        <f t="shared" si="13"/>
        <v>35184.146891001714</v>
      </c>
      <c r="E48" s="337"/>
      <c r="F48" s="337"/>
      <c r="G48" s="338">
        <f t="shared" si="9"/>
        <v>1055.5244067300514</v>
      </c>
      <c r="H48" s="338"/>
      <c r="I48" s="338">
        <f t="shared" si="10"/>
        <v>126.66292880760616</v>
      </c>
      <c r="J48" s="338"/>
      <c r="K48" s="338">
        <f t="shared" si="11"/>
        <v>1182.1873355376576</v>
      </c>
      <c r="L48" s="338"/>
      <c r="M48" s="338">
        <f t="shared" si="14"/>
        <v>1675.4672291253412</v>
      </c>
      <c r="N48" s="338"/>
      <c r="O48" s="338"/>
      <c r="P48" s="339">
        <f>IF(D48="","",M48-K48)</f>
        <v>493.27989358768355</v>
      </c>
      <c r="Q48" s="339"/>
      <c r="R48" s="339"/>
      <c r="S48" s="174">
        <f t="shared" si="4"/>
        <v>245.00000000000003</v>
      </c>
      <c r="T48" s="338">
        <f t="shared" si="12"/>
        <v>34690.866997414028</v>
      </c>
      <c r="U48" s="338"/>
      <c r="V48" s="338"/>
      <c r="W48" s="338">
        <f t="shared" si="6"/>
        <v>2295.2562291253412</v>
      </c>
      <c r="X48" s="338"/>
      <c r="Y48" s="338"/>
    </row>
    <row r="49" spans="1:25">
      <c r="A49" s="173">
        <f t="shared" si="7"/>
        <v>25</v>
      </c>
      <c r="B49" s="57">
        <v>24</v>
      </c>
      <c r="C49" s="269">
        <f t="shared" si="8"/>
        <v>46751</v>
      </c>
      <c r="D49" s="337">
        <f t="shared" si="13"/>
        <v>34690.866997414028</v>
      </c>
      <c r="E49" s="337"/>
      <c r="F49" s="337"/>
      <c r="G49" s="338">
        <f>IF(D49="","",(D49*$K$15))</f>
        <v>1040.7260099224209</v>
      </c>
      <c r="H49" s="338"/>
      <c r="I49" s="338">
        <f t="shared" si="10"/>
        <v>124.88712119069049</v>
      </c>
      <c r="J49" s="338"/>
      <c r="K49" s="338">
        <f t="shared" si="11"/>
        <v>1165.6131311131114</v>
      </c>
      <c r="L49" s="338"/>
      <c r="M49" s="338">
        <f t="shared" si="14"/>
        <v>1675.4672291253412</v>
      </c>
      <c r="N49" s="338"/>
      <c r="O49" s="338"/>
      <c r="P49" s="338">
        <f t="shared" si="15"/>
        <v>509.85409801222977</v>
      </c>
      <c r="Q49" s="338"/>
      <c r="R49" s="338"/>
      <c r="S49" s="174">
        <f t="shared" si="4"/>
        <v>245.00000000000003</v>
      </c>
      <c r="T49" s="338">
        <f t="shared" si="12"/>
        <v>34181.012899401801</v>
      </c>
      <c r="U49" s="338"/>
      <c r="V49" s="338"/>
      <c r="W49" s="338">
        <f t="shared" si="6"/>
        <v>2295.2562291253412</v>
      </c>
      <c r="X49" s="338"/>
      <c r="Y49" s="338"/>
    </row>
    <row r="50" spans="1:25">
      <c r="A50" s="173">
        <f t="shared" si="7"/>
        <v>26</v>
      </c>
      <c r="B50" s="57">
        <v>25</v>
      </c>
      <c r="C50" s="269">
        <f t="shared" si="8"/>
        <v>46782</v>
      </c>
      <c r="D50" s="337">
        <f t="shared" si="13"/>
        <v>34181.012899401801</v>
      </c>
      <c r="E50" s="337"/>
      <c r="F50" s="337"/>
      <c r="G50" s="338">
        <f>IF(D50="","",(D50*$K$15))</f>
        <v>1025.430386982054</v>
      </c>
      <c r="H50" s="338"/>
      <c r="I50" s="338">
        <f>IF(G50="","",(G50*0.12))</f>
        <v>123.05164643784647</v>
      </c>
      <c r="J50" s="338"/>
      <c r="K50" s="338">
        <f t="shared" si="11"/>
        <v>1148.4820334199005</v>
      </c>
      <c r="L50" s="338"/>
      <c r="M50" s="338">
        <f t="shared" si="14"/>
        <v>1675.4672291253412</v>
      </c>
      <c r="N50" s="338"/>
      <c r="O50" s="338"/>
      <c r="P50" s="338">
        <f t="shared" si="15"/>
        <v>526.98519570544067</v>
      </c>
      <c r="Q50" s="338"/>
      <c r="R50" s="338"/>
      <c r="S50" s="174">
        <f t="shared" si="4"/>
        <v>245.00000000000003</v>
      </c>
      <c r="T50" s="338">
        <f t="shared" si="12"/>
        <v>33654.02770369636</v>
      </c>
      <c r="U50" s="338"/>
      <c r="V50" s="338"/>
      <c r="W50" s="338">
        <f t="shared" si="6"/>
        <v>2295.2562291253412</v>
      </c>
      <c r="X50" s="338"/>
      <c r="Y50" s="338"/>
    </row>
    <row r="51" spans="1:25">
      <c r="A51" s="173">
        <f t="shared" si="7"/>
        <v>27</v>
      </c>
      <c r="B51" s="57">
        <v>26</v>
      </c>
      <c r="C51" s="269">
        <f t="shared" si="8"/>
        <v>46812</v>
      </c>
      <c r="D51" s="337">
        <f t="shared" si="13"/>
        <v>33654.02770369636</v>
      </c>
      <c r="E51" s="337"/>
      <c r="F51" s="337"/>
      <c r="G51" s="338">
        <f>IF(D51="","",(D51*$K$15))</f>
        <v>1009.6208311108908</v>
      </c>
      <c r="H51" s="338"/>
      <c r="I51" s="338">
        <f>IF(G51="","",(G51*0.12))</f>
        <v>121.15449973330689</v>
      </c>
      <c r="J51" s="338"/>
      <c r="K51" s="338">
        <f>IF(G51="","",G51+I51)</f>
        <v>1130.7753308441977</v>
      </c>
      <c r="L51" s="338"/>
      <c r="M51" s="338">
        <f t="shared" si="14"/>
        <v>1675.4672291253412</v>
      </c>
      <c r="N51" s="338"/>
      <c r="O51" s="338"/>
      <c r="P51" s="338">
        <f t="shared" si="15"/>
        <v>544.69189828114349</v>
      </c>
      <c r="Q51" s="338"/>
      <c r="R51" s="338"/>
      <c r="S51" s="174">
        <f t="shared" si="4"/>
        <v>245.00000000000003</v>
      </c>
      <c r="T51" s="338">
        <f t="shared" si="12"/>
        <v>33109.33580541522</v>
      </c>
      <c r="U51" s="338"/>
      <c r="V51" s="338"/>
      <c r="W51" s="338">
        <f t="shared" si="6"/>
        <v>2295.2562291253412</v>
      </c>
      <c r="X51" s="338"/>
      <c r="Y51" s="338"/>
    </row>
    <row r="52" spans="1:25">
      <c r="A52" s="173">
        <f t="shared" si="7"/>
        <v>28</v>
      </c>
      <c r="B52" s="57">
        <v>27</v>
      </c>
      <c r="C52" s="269">
        <f t="shared" si="8"/>
        <v>46842</v>
      </c>
      <c r="D52" s="337">
        <f t="shared" si="13"/>
        <v>33109.33580541522</v>
      </c>
      <c r="E52" s="337"/>
      <c r="F52" s="337"/>
      <c r="G52" s="338">
        <f>IF(D52="","",(D52*$K$15))</f>
        <v>993.28007416245657</v>
      </c>
      <c r="H52" s="338"/>
      <c r="I52" s="338">
        <f>IF(G52="","",(G52*0.12))</f>
        <v>119.19360889949479</v>
      </c>
      <c r="J52" s="338"/>
      <c r="K52" s="338">
        <f>IF(G52="","",G52+I52)</f>
        <v>1112.4736830619513</v>
      </c>
      <c r="L52" s="338"/>
      <c r="M52" s="338">
        <f t="shared" si="14"/>
        <v>1675.4672291253412</v>
      </c>
      <c r="N52" s="338"/>
      <c r="O52" s="338"/>
      <c r="P52" s="338">
        <f t="shared" si="15"/>
        <v>562.99354606338989</v>
      </c>
      <c r="Q52" s="338"/>
      <c r="R52" s="338"/>
      <c r="S52" s="174">
        <f t="shared" si="4"/>
        <v>245.00000000000003</v>
      </c>
      <c r="T52" s="338">
        <f t="shared" si="12"/>
        <v>32546.34225935183</v>
      </c>
      <c r="U52" s="338"/>
      <c r="V52" s="338"/>
      <c r="W52" s="338">
        <f t="shared" si="6"/>
        <v>2295.2562291253412</v>
      </c>
      <c r="X52" s="338"/>
      <c r="Y52" s="338"/>
    </row>
    <row r="53" spans="1:25">
      <c r="A53" s="173">
        <f t="shared" si="7"/>
        <v>29</v>
      </c>
      <c r="B53" s="57">
        <v>28</v>
      </c>
      <c r="C53" s="269">
        <f t="shared" si="8"/>
        <v>46873</v>
      </c>
      <c r="D53" s="337">
        <f t="shared" si="13"/>
        <v>32546.34225935183</v>
      </c>
      <c r="E53" s="337"/>
      <c r="F53" s="337"/>
      <c r="G53" s="338">
        <f t="shared" ref="G53:G58" si="16">IF(D53="","",(D53*$K$15))</f>
        <v>976.39026778055484</v>
      </c>
      <c r="H53" s="338"/>
      <c r="I53" s="338">
        <f t="shared" ref="I53:I58" si="17">IF(G53="","",(G53*0.12))</f>
        <v>117.16683213366657</v>
      </c>
      <c r="J53" s="338"/>
      <c r="K53" s="338">
        <f>IF(G53="","",G53+I53)</f>
        <v>1093.5570999142215</v>
      </c>
      <c r="L53" s="338"/>
      <c r="M53" s="338">
        <f t="shared" si="14"/>
        <v>1675.4672291253412</v>
      </c>
      <c r="N53" s="338"/>
      <c r="O53" s="338"/>
      <c r="P53" s="338">
        <f t="shared" si="15"/>
        <v>581.91012921111974</v>
      </c>
      <c r="Q53" s="338"/>
      <c r="R53" s="338"/>
      <c r="S53" s="174">
        <f t="shared" si="4"/>
        <v>245.00000000000003</v>
      </c>
      <c r="T53" s="338">
        <f t="shared" si="12"/>
        <v>31964.432130140711</v>
      </c>
      <c r="U53" s="338"/>
      <c r="V53" s="338"/>
      <c r="W53" s="338">
        <f t="shared" si="6"/>
        <v>2295.2562291253412</v>
      </c>
      <c r="X53" s="338"/>
      <c r="Y53" s="338"/>
    </row>
    <row r="54" spans="1:25">
      <c r="A54" s="173">
        <f t="shared" si="7"/>
        <v>30</v>
      </c>
      <c r="B54" s="57">
        <v>29</v>
      </c>
      <c r="C54" s="269">
        <f t="shared" si="8"/>
        <v>46903</v>
      </c>
      <c r="D54" s="337">
        <f t="shared" si="13"/>
        <v>31964.432130140711</v>
      </c>
      <c r="E54" s="337"/>
      <c r="F54" s="337"/>
      <c r="G54" s="338">
        <f t="shared" si="16"/>
        <v>958.93296390422131</v>
      </c>
      <c r="H54" s="338"/>
      <c r="I54" s="338">
        <f t="shared" si="17"/>
        <v>115.07195566850655</v>
      </c>
      <c r="J54" s="338"/>
      <c r="K54" s="338">
        <f>IF(G54="","",G54+I54)</f>
        <v>1074.0049195727279</v>
      </c>
      <c r="L54" s="338"/>
      <c r="M54" s="338">
        <f t="shared" si="14"/>
        <v>1675.4672291253412</v>
      </c>
      <c r="N54" s="338"/>
      <c r="O54" s="338"/>
      <c r="P54" s="338">
        <f t="shared" si="15"/>
        <v>601.46230955261331</v>
      </c>
      <c r="Q54" s="338"/>
      <c r="R54" s="338"/>
      <c r="S54" s="174">
        <f t="shared" si="4"/>
        <v>245.00000000000003</v>
      </c>
      <c r="T54" s="338">
        <f t="shared" si="12"/>
        <v>31362.969820588096</v>
      </c>
      <c r="U54" s="338"/>
      <c r="V54" s="338"/>
      <c r="W54" s="338">
        <f t="shared" si="6"/>
        <v>2295.2562291253412</v>
      </c>
      <c r="X54" s="338"/>
      <c r="Y54" s="338"/>
    </row>
    <row r="55" spans="1:25">
      <c r="A55" s="173">
        <f t="shared" si="7"/>
        <v>31</v>
      </c>
      <c r="B55" s="57">
        <v>30</v>
      </c>
      <c r="C55" s="269">
        <f t="shared" si="8"/>
        <v>46934</v>
      </c>
      <c r="D55" s="337">
        <f t="shared" si="13"/>
        <v>31362.969820588096</v>
      </c>
      <c r="E55" s="337"/>
      <c r="F55" s="337"/>
      <c r="G55" s="338">
        <f t="shared" si="16"/>
        <v>940.88909461764285</v>
      </c>
      <c r="H55" s="338"/>
      <c r="I55" s="338">
        <f t="shared" si="17"/>
        <v>112.90669135411714</v>
      </c>
      <c r="J55" s="338"/>
      <c r="K55" s="338">
        <f t="shared" ref="K55:K69" si="18">IF(G55="","",G55+I55)</f>
        <v>1053.7957859717601</v>
      </c>
      <c r="L55" s="338"/>
      <c r="M55" s="338">
        <f t="shared" si="14"/>
        <v>1675.4672291253412</v>
      </c>
      <c r="N55" s="338"/>
      <c r="O55" s="338"/>
      <c r="P55" s="338">
        <f t="shared" si="15"/>
        <v>621.67144315358109</v>
      </c>
      <c r="Q55" s="338"/>
      <c r="R55" s="338"/>
      <c r="S55" s="174">
        <f t="shared" si="4"/>
        <v>245.00000000000003</v>
      </c>
      <c r="T55" s="338">
        <f t="shared" si="12"/>
        <v>30741.298377434516</v>
      </c>
      <c r="U55" s="338"/>
      <c r="V55" s="338"/>
      <c r="W55" s="338">
        <f t="shared" si="6"/>
        <v>2295.2562291253412</v>
      </c>
      <c r="X55" s="338"/>
      <c r="Y55" s="338"/>
    </row>
    <row r="56" spans="1:25">
      <c r="A56" s="173">
        <f t="shared" si="7"/>
        <v>32</v>
      </c>
      <c r="B56" s="57">
        <v>31</v>
      </c>
      <c r="C56" s="269">
        <f t="shared" si="8"/>
        <v>46964</v>
      </c>
      <c r="D56" s="337">
        <f t="shared" si="13"/>
        <v>30741.298377434516</v>
      </c>
      <c r="E56" s="337"/>
      <c r="F56" s="337"/>
      <c r="G56" s="338">
        <f t="shared" si="16"/>
        <v>922.23895132303539</v>
      </c>
      <c r="H56" s="338"/>
      <c r="I56" s="338">
        <f t="shared" si="17"/>
        <v>110.66867415876425</v>
      </c>
      <c r="J56" s="338"/>
      <c r="K56" s="338">
        <f t="shared" si="18"/>
        <v>1032.9076254817996</v>
      </c>
      <c r="L56" s="338"/>
      <c r="M56" s="338">
        <f t="shared" si="14"/>
        <v>1675.4672291253412</v>
      </c>
      <c r="N56" s="338"/>
      <c r="O56" s="338"/>
      <c r="P56" s="338">
        <f t="shared" si="15"/>
        <v>642.55960364354155</v>
      </c>
      <c r="Q56" s="338"/>
      <c r="R56" s="338"/>
      <c r="S56" s="174">
        <f t="shared" si="4"/>
        <v>245.00000000000003</v>
      </c>
      <c r="T56" s="338">
        <f t="shared" si="12"/>
        <v>30098.738773790974</v>
      </c>
      <c r="U56" s="338"/>
      <c r="V56" s="338"/>
      <c r="W56" s="338">
        <f t="shared" si="6"/>
        <v>2295.2562291253412</v>
      </c>
      <c r="X56" s="338"/>
      <c r="Y56" s="338"/>
    </row>
    <row r="57" spans="1:25">
      <c r="A57" s="173">
        <f t="shared" si="7"/>
        <v>33</v>
      </c>
      <c r="B57" s="57">
        <v>32</v>
      </c>
      <c r="C57" s="269">
        <f t="shared" si="8"/>
        <v>46995</v>
      </c>
      <c r="D57" s="337">
        <f t="shared" si="13"/>
        <v>30098.738773790974</v>
      </c>
      <c r="E57" s="337"/>
      <c r="F57" s="337"/>
      <c r="G57" s="338">
        <f t="shared" si="16"/>
        <v>902.96216321372924</v>
      </c>
      <c r="H57" s="338"/>
      <c r="I57" s="338">
        <f t="shared" si="17"/>
        <v>108.35545958564751</v>
      </c>
      <c r="J57" s="338"/>
      <c r="K57" s="338">
        <f t="shared" si="18"/>
        <v>1011.3176227993767</v>
      </c>
      <c r="L57" s="338"/>
      <c r="M57" s="338">
        <f t="shared" si="14"/>
        <v>1675.4672291253412</v>
      </c>
      <c r="N57" s="338"/>
      <c r="O57" s="338"/>
      <c r="P57" s="338">
        <f t="shared" si="15"/>
        <v>664.14960632596444</v>
      </c>
      <c r="Q57" s="338"/>
      <c r="R57" s="338"/>
      <c r="S57" s="174">
        <f t="shared" si="4"/>
        <v>245.00000000000003</v>
      </c>
      <c r="T57" s="338">
        <f t="shared" si="12"/>
        <v>29434.589167465008</v>
      </c>
      <c r="U57" s="338"/>
      <c r="V57" s="338"/>
      <c r="W57" s="338">
        <f t="shared" si="6"/>
        <v>2295.2562291253412</v>
      </c>
      <c r="X57" s="338"/>
      <c r="Y57" s="338"/>
    </row>
    <row r="58" spans="1:25">
      <c r="A58" s="173">
        <f t="shared" si="7"/>
        <v>34</v>
      </c>
      <c r="B58" s="57">
        <v>33</v>
      </c>
      <c r="C58" s="269">
        <f t="shared" si="8"/>
        <v>47026</v>
      </c>
      <c r="D58" s="337">
        <f t="shared" si="13"/>
        <v>29434.589167465008</v>
      </c>
      <c r="E58" s="337"/>
      <c r="F58" s="337"/>
      <c r="G58" s="338">
        <f t="shared" si="16"/>
        <v>883.03767502395021</v>
      </c>
      <c r="H58" s="338"/>
      <c r="I58" s="338">
        <f t="shared" si="17"/>
        <v>105.96452100287402</v>
      </c>
      <c r="J58" s="338"/>
      <c r="K58" s="338">
        <f t="shared" si="18"/>
        <v>989.00219602682421</v>
      </c>
      <c r="L58" s="338"/>
      <c r="M58" s="338">
        <f t="shared" si="14"/>
        <v>1675.4672291253412</v>
      </c>
      <c r="N58" s="338"/>
      <c r="O58" s="338"/>
      <c r="P58" s="338">
        <f>IF(D58="","",M58-K58)</f>
        <v>686.46503309851698</v>
      </c>
      <c r="Q58" s="338"/>
      <c r="R58" s="338"/>
      <c r="S58" s="174">
        <f t="shared" si="4"/>
        <v>245.00000000000003</v>
      </c>
      <c r="T58" s="338">
        <f t="shared" si="12"/>
        <v>28748.124134366491</v>
      </c>
      <c r="U58" s="338"/>
      <c r="V58" s="338"/>
      <c r="W58" s="338">
        <f t="shared" ref="W58:W88" si="19">IF(D58="","",$W$25)</f>
        <v>2295.2562291253412</v>
      </c>
      <c r="X58" s="338"/>
      <c r="Y58" s="338"/>
    </row>
    <row r="59" spans="1:25">
      <c r="A59" s="173">
        <f t="shared" si="7"/>
        <v>35</v>
      </c>
      <c r="B59" s="57">
        <v>34</v>
      </c>
      <c r="C59" s="269">
        <f t="shared" si="8"/>
        <v>47056</v>
      </c>
      <c r="D59" s="337">
        <f t="shared" si="13"/>
        <v>28748.124134366491</v>
      </c>
      <c r="E59" s="337"/>
      <c r="F59" s="337"/>
      <c r="G59" s="338">
        <f>IF(D59="","",(D59*$K$15))</f>
        <v>862.44372403099476</v>
      </c>
      <c r="H59" s="338"/>
      <c r="I59" s="338">
        <f>IF(G59="","",(G59*0.12))</f>
        <v>103.49324688371937</v>
      </c>
      <c r="J59" s="338"/>
      <c r="K59" s="338">
        <f t="shared" si="18"/>
        <v>965.93697091471415</v>
      </c>
      <c r="L59" s="338"/>
      <c r="M59" s="338">
        <f t="shared" si="14"/>
        <v>1675.4672291253412</v>
      </c>
      <c r="N59" s="338"/>
      <c r="O59" s="338"/>
      <c r="P59" s="339">
        <f>IF(D59="","",M59-K59)</f>
        <v>709.53025821062704</v>
      </c>
      <c r="Q59" s="339"/>
      <c r="R59" s="339"/>
      <c r="S59" s="174">
        <f t="shared" si="4"/>
        <v>245.00000000000003</v>
      </c>
      <c r="T59" s="338">
        <f t="shared" si="12"/>
        <v>28038.593876155865</v>
      </c>
      <c r="U59" s="338"/>
      <c r="V59" s="338"/>
      <c r="W59" s="338">
        <f t="shared" si="19"/>
        <v>2295.2562291253412</v>
      </c>
      <c r="X59" s="338"/>
      <c r="Y59" s="338"/>
    </row>
    <row r="60" spans="1:25">
      <c r="A60" s="173">
        <f t="shared" si="7"/>
        <v>36</v>
      </c>
      <c r="B60" s="57">
        <v>35</v>
      </c>
      <c r="C60" s="269">
        <f t="shared" si="8"/>
        <v>47087</v>
      </c>
      <c r="D60" s="337">
        <f>IF(T59&lt;=0.1,"",T59)</f>
        <v>28038.593876155865</v>
      </c>
      <c r="E60" s="337"/>
      <c r="F60" s="337"/>
      <c r="G60" s="338">
        <f>IF(D60="","",(D60*$K$15))</f>
        <v>841.15781628467596</v>
      </c>
      <c r="H60" s="338"/>
      <c r="I60" s="338">
        <f>IF(G60="","",(G60*0.12))</f>
        <v>100.9389379541611</v>
      </c>
      <c r="J60" s="338"/>
      <c r="K60" s="338">
        <f t="shared" si="18"/>
        <v>942.09675423883709</v>
      </c>
      <c r="L60" s="338"/>
      <c r="M60" s="338">
        <f t="shared" si="14"/>
        <v>1675.4672291253412</v>
      </c>
      <c r="N60" s="338"/>
      <c r="O60" s="338"/>
      <c r="P60" s="339">
        <f>IF(D60="","",M60-K60)</f>
        <v>733.3704748865041</v>
      </c>
      <c r="Q60" s="339"/>
      <c r="R60" s="339"/>
      <c r="S60" s="174">
        <f t="shared" si="4"/>
        <v>245.00000000000003</v>
      </c>
      <c r="T60" s="338">
        <f t="shared" si="12"/>
        <v>27305.223401269359</v>
      </c>
      <c r="U60" s="338"/>
      <c r="V60" s="338"/>
      <c r="W60" s="338">
        <f t="shared" si="19"/>
        <v>2295.2562291253412</v>
      </c>
      <c r="X60" s="338"/>
      <c r="Y60" s="338"/>
    </row>
    <row r="61" spans="1:25">
      <c r="A61" s="173">
        <f t="shared" si="7"/>
        <v>37</v>
      </c>
      <c r="B61" s="57">
        <v>36</v>
      </c>
      <c r="C61" s="269">
        <f t="shared" si="8"/>
        <v>47117</v>
      </c>
      <c r="D61" s="337">
        <f t="shared" ref="D61:D69" si="20">IF(T60&lt;=0.1,"",T60)</f>
        <v>27305.223401269359</v>
      </c>
      <c r="E61" s="337"/>
      <c r="F61" s="337"/>
      <c r="G61" s="338">
        <f t="shared" ref="G61:G88" si="21">IF(D61="","",(D61*$K$15))</f>
        <v>819.15670203808077</v>
      </c>
      <c r="H61" s="338"/>
      <c r="I61" s="338">
        <f t="shared" ref="I61:I88" si="22">IF(G61="","",(G61*0.12))</f>
        <v>98.298804244569695</v>
      </c>
      <c r="J61" s="338"/>
      <c r="K61" s="338">
        <f t="shared" si="18"/>
        <v>917.4555062826505</v>
      </c>
      <c r="L61" s="338"/>
      <c r="M61" s="338">
        <f t="shared" si="14"/>
        <v>1675.4672291253412</v>
      </c>
      <c r="N61" s="338"/>
      <c r="O61" s="338"/>
      <c r="P61" s="339">
        <f t="shared" ref="P61:P71" si="23">IF(D61="","",M61-K61)</f>
        <v>758.01172284269069</v>
      </c>
      <c r="Q61" s="339"/>
      <c r="R61" s="339"/>
      <c r="S61" s="174">
        <f t="shared" si="4"/>
        <v>245.00000000000003</v>
      </c>
      <c r="T61" s="338">
        <f t="shared" si="12"/>
        <v>26547.211678426669</v>
      </c>
      <c r="U61" s="338"/>
      <c r="V61" s="338"/>
      <c r="W61" s="338">
        <f t="shared" si="19"/>
        <v>2295.2562291253412</v>
      </c>
      <c r="X61" s="338"/>
      <c r="Y61" s="338"/>
    </row>
    <row r="62" spans="1:25">
      <c r="A62" s="173">
        <f t="shared" si="7"/>
        <v>38</v>
      </c>
      <c r="B62" s="57">
        <v>37</v>
      </c>
      <c r="C62" s="269">
        <f t="shared" si="8"/>
        <v>47148</v>
      </c>
      <c r="D62" s="337">
        <f t="shared" si="20"/>
        <v>26547.211678426669</v>
      </c>
      <c r="E62" s="337"/>
      <c r="F62" s="337"/>
      <c r="G62" s="338">
        <f t="shared" si="21"/>
        <v>796.41635035280001</v>
      </c>
      <c r="H62" s="338"/>
      <c r="I62" s="338">
        <f t="shared" si="22"/>
        <v>95.569962042336002</v>
      </c>
      <c r="J62" s="338"/>
      <c r="K62" s="338">
        <f t="shared" si="18"/>
        <v>891.986312395136</v>
      </c>
      <c r="L62" s="338"/>
      <c r="M62" s="338">
        <f t="shared" si="14"/>
        <v>1675.4672291253412</v>
      </c>
      <c r="N62" s="338"/>
      <c r="O62" s="338"/>
      <c r="P62" s="339">
        <f t="shared" si="23"/>
        <v>783.48091673020519</v>
      </c>
      <c r="Q62" s="339"/>
      <c r="R62" s="339"/>
      <c r="S62" s="174">
        <f t="shared" si="4"/>
        <v>245.00000000000003</v>
      </c>
      <c r="T62" s="338">
        <f t="shared" si="12"/>
        <v>25763.730761696464</v>
      </c>
      <c r="U62" s="338"/>
      <c r="V62" s="338"/>
      <c r="W62" s="338">
        <f t="shared" si="19"/>
        <v>2295.2562291253412</v>
      </c>
      <c r="X62" s="338"/>
      <c r="Y62" s="338"/>
    </row>
    <row r="63" spans="1:25">
      <c r="A63" s="173">
        <f t="shared" si="7"/>
        <v>39</v>
      </c>
      <c r="B63" s="57">
        <v>38</v>
      </c>
      <c r="C63" s="269">
        <f t="shared" si="8"/>
        <v>47177</v>
      </c>
      <c r="D63" s="337">
        <f t="shared" si="20"/>
        <v>25763.730761696464</v>
      </c>
      <c r="E63" s="337"/>
      <c r="F63" s="337"/>
      <c r="G63" s="338">
        <f t="shared" si="21"/>
        <v>772.91192285089392</v>
      </c>
      <c r="H63" s="338"/>
      <c r="I63" s="338">
        <f t="shared" si="22"/>
        <v>92.749430742107265</v>
      </c>
      <c r="J63" s="338"/>
      <c r="K63" s="338">
        <f t="shared" si="18"/>
        <v>865.66135359300119</v>
      </c>
      <c r="L63" s="338"/>
      <c r="M63" s="338">
        <f t="shared" si="14"/>
        <v>1675.4672291253412</v>
      </c>
      <c r="N63" s="338"/>
      <c r="O63" s="338"/>
      <c r="P63" s="339">
        <f t="shared" si="23"/>
        <v>809.80587553234</v>
      </c>
      <c r="Q63" s="339"/>
      <c r="R63" s="339"/>
      <c r="S63" s="174">
        <f t="shared" si="4"/>
        <v>245.00000000000003</v>
      </c>
      <c r="T63" s="338">
        <f t="shared" ref="T63:T88" si="24">IF(D63="","",D63-P63)</f>
        <v>24953.924886164124</v>
      </c>
      <c r="U63" s="338"/>
      <c r="V63" s="338"/>
      <c r="W63" s="338">
        <f t="shared" si="19"/>
        <v>2295.2562291253412</v>
      </c>
      <c r="X63" s="338"/>
      <c r="Y63" s="338"/>
    </row>
    <row r="64" spans="1:25">
      <c r="A64" s="173">
        <f t="shared" si="7"/>
        <v>40</v>
      </c>
      <c r="B64" s="57">
        <v>39</v>
      </c>
      <c r="C64" s="269">
        <f t="shared" si="8"/>
        <v>47207</v>
      </c>
      <c r="D64" s="337">
        <f t="shared" si="20"/>
        <v>24953.924886164124</v>
      </c>
      <c r="E64" s="337"/>
      <c r="F64" s="337"/>
      <c r="G64" s="338">
        <f t="shared" si="21"/>
        <v>748.61774658492368</v>
      </c>
      <c r="H64" s="338"/>
      <c r="I64" s="338">
        <f t="shared" si="22"/>
        <v>89.834129590190841</v>
      </c>
      <c r="J64" s="338"/>
      <c r="K64" s="338">
        <f t="shared" si="18"/>
        <v>838.45187617511453</v>
      </c>
      <c r="L64" s="338"/>
      <c r="M64" s="338">
        <f t="shared" si="14"/>
        <v>1675.4672291253412</v>
      </c>
      <c r="N64" s="338"/>
      <c r="O64" s="338"/>
      <c r="P64" s="339">
        <f t="shared" si="23"/>
        <v>837.01535295022666</v>
      </c>
      <c r="Q64" s="339"/>
      <c r="R64" s="339"/>
      <c r="S64" s="174">
        <f t="shared" si="4"/>
        <v>245.00000000000003</v>
      </c>
      <c r="T64" s="338">
        <f t="shared" si="24"/>
        <v>24116.909533213897</v>
      </c>
      <c r="U64" s="338"/>
      <c r="V64" s="338"/>
      <c r="W64" s="338">
        <f t="shared" si="19"/>
        <v>2295.2562291253412</v>
      </c>
      <c r="X64" s="338"/>
      <c r="Y64" s="338"/>
    </row>
    <row r="65" spans="1:25">
      <c r="A65" s="173">
        <f t="shared" si="7"/>
        <v>41</v>
      </c>
      <c r="B65" s="57">
        <v>40</v>
      </c>
      <c r="C65" s="269">
        <f t="shared" si="8"/>
        <v>47238</v>
      </c>
      <c r="D65" s="337">
        <f t="shared" si="20"/>
        <v>24116.909533213897</v>
      </c>
      <c r="E65" s="337"/>
      <c r="F65" s="337"/>
      <c r="G65" s="338">
        <f t="shared" si="21"/>
        <v>723.50728599641684</v>
      </c>
      <c r="H65" s="338"/>
      <c r="I65" s="338">
        <f t="shared" si="22"/>
        <v>86.820874319570024</v>
      </c>
      <c r="J65" s="338"/>
      <c r="K65" s="338">
        <f t="shared" si="18"/>
        <v>810.32816031598691</v>
      </c>
      <c r="L65" s="338"/>
      <c r="M65" s="338">
        <f t="shared" si="14"/>
        <v>1675.4672291253412</v>
      </c>
      <c r="N65" s="338"/>
      <c r="O65" s="338"/>
      <c r="P65" s="339">
        <f t="shared" si="23"/>
        <v>865.13906880935428</v>
      </c>
      <c r="Q65" s="339"/>
      <c r="R65" s="339"/>
      <c r="S65" s="174">
        <f t="shared" si="4"/>
        <v>245.00000000000003</v>
      </c>
      <c r="T65" s="338">
        <f t="shared" si="24"/>
        <v>23251.770464404544</v>
      </c>
      <c r="U65" s="338"/>
      <c r="V65" s="338"/>
      <c r="W65" s="338">
        <f t="shared" si="19"/>
        <v>2295.2562291253412</v>
      </c>
      <c r="X65" s="338"/>
      <c r="Y65" s="338"/>
    </row>
    <row r="66" spans="1:25">
      <c r="A66" s="173">
        <f t="shared" si="7"/>
        <v>42</v>
      </c>
      <c r="B66" s="57">
        <v>41</v>
      </c>
      <c r="C66" s="269">
        <f t="shared" si="8"/>
        <v>47268</v>
      </c>
      <c r="D66" s="337">
        <f t="shared" si="20"/>
        <v>23251.770464404544</v>
      </c>
      <c r="E66" s="337"/>
      <c r="F66" s="337"/>
      <c r="G66" s="338">
        <f t="shared" si="21"/>
        <v>697.55311393213628</v>
      </c>
      <c r="H66" s="338"/>
      <c r="I66" s="338">
        <f t="shared" si="22"/>
        <v>83.706373671856355</v>
      </c>
      <c r="J66" s="338"/>
      <c r="K66" s="338">
        <f t="shared" si="18"/>
        <v>781.25948760399262</v>
      </c>
      <c r="L66" s="338"/>
      <c r="M66" s="338">
        <f t="shared" si="14"/>
        <v>1675.4672291253412</v>
      </c>
      <c r="N66" s="338"/>
      <c r="O66" s="338"/>
      <c r="P66" s="339">
        <f t="shared" si="23"/>
        <v>894.20774152134857</v>
      </c>
      <c r="Q66" s="339"/>
      <c r="R66" s="339"/>
      <c r="S66" s="174">
        <f t="shared" si="4"/>
        <v>245.00000000000003</v>
      </c>
      <c r="T66" s="338">
        <f t="shared" si="24"/>
        <v>22357.562722883195</v>
      </c>
      <c r="U66" s="338"/>
      <c r="V66" s="338"/>
      <c r="W66" s="338">
        <f t="shared" si="19"/>
        <v>2295.2562291253412</v>
      </c>
      <c r="X66" s="338"/>
      <c r="Y66" s="338"/>
    </row>
    <row r="67" spans="1:25">
      <c r="A67" s="173">
        <f t="shared" si="7"/>
        <v>43</v>
      </c>
      <c r="B67" s="57">
        <v>42</v>
      </c>
      <c r="C67" s="269">
        <f t="shared" si="8"/>
        <v>47299</v>
      </c>
      <c r="D67" s="337">
        <f t="shared" si="20"/>
        <v>22357.562722883195</v>
      </c>
      <c r="E67" s="337"/>
      <c r="F67" s="337"/>
      <c r="G67" s="338">
        <f t="shared" si="21"/>
        <v>670.72688168649586</v>
      </c>
      <c r="H67" s="338"/>
      <c r="I67" s="338">
        <f t="shared" si="22"/>
        <v>80.487225802379498</v>
      </c>
      <c r="J67" s="338"/>
      <c r="K67" s="338">
        <f t="shared" si="18"/>
        <v>751.21410748887536</v>
      </c>
      <c r="L67" s="338"/>
      <c r="M67" s="338">
        <f t="shared" si="14"/>
        <v>1675.4672291253412</v>
      </c>
      <c r="N67" s="338"/>
      <c r="O67" s="338"/>
      <c r="P67" s="339">
        <f t="shared" si="23"/>
        <v>924.25312163646583</v>
      </c>
      <c r="Q67" s="339"/>
      <c r="R67" s="339"/>
      <c r="S67" s="174">
        <f t="shared" si="4"/>
        <v>245.00000000000003</v>
      </c>
      <c r="T67" s="338">
        <f t="shared" si="24"/>
        <v>21433.309601246729</v>
      </c>
      <c r="U67" s="338"/>
      <c r="V67" s="338"/>
      <c r="W67" s="338">
        <f t="shared" si="19"/>
        <v>2295.2562291253412</v>
      </c>
      <c r="X67" s="338"/>
      <c r="Y67" s="338"/>
    </row>
    <row r="68" spans="1:25">
      <c r="A68" s="173">
        <f t="shared" si="7"/>
        <v>44</v>
      </c>
      <c r="B68" s="57">
        <v>43</v>
      </c>
      <c r="C68" s="269">
        <f t="shared" si="8"/>
        <v>47329</v>
      </c>
      <c r="D68" s="337">
        <f t="shared" si="20"/>
        <v>21433.309601246729</v>
      </c>
      <c r="E68" s="337"/>
      <c r="F68" s="337"/>
      <c r="G68" s="338">
        <f t="shared" si="21"/>
        <v>642.99928803740181</v>
      </c>
      <c r="H68" s="338"/>
      <c r="I68" s="338">
        <f t="shared" si="22"/>
        <v>77.159914564488219</v>
      </c>
      <c r="J68" s="338"/>
      <c r="K68" s="338">
        <f t="shared" si="18"/>
        <v>720.15920260189</v>
      </c>
      <c r="L68" s="338"/>
      <c r="M68" s="338">
        <f t="shared" si="14"/>
        <v>1675.4672291253412</v>
      </c>
      <c r="N68" s="338"/>
      <c r="O68" s="338"/>
      <c r="P68" s="339">
        <f t="shared" si="23"/>
        <v>955.30802652345119</v>
      </c>
      <c r="Q68" s="339"/>
      <c r="R68" s="339"/>
      <c r="S68" s="174">
        <f t="shared" si="4"/>
        <v>245.00000000000003</v>
      </c>
      <c r="T68" s="338">
        <f t="shared" si="24"/>
        <v>20478.001574723276</v>
      </c>
      <c r="U68" s="338"/>
      <c r="V68" s="338"/>
      <c r="W68" s="338">
        <f t="shared" si="19"/>
        <v>2295.2562291253412</v>
      </c>
      <c r="X68" s="338"/>
      <c r="Y68" s="338"/>
    </row>
    <row r="69" spans="1:25">
      <c r="A69" s="173">
        <f t="shared" si="7"/>
        <v>45</v>
      </c>
      <c r="B69" s="57">
        <v>44</v>
      </c>
      <c r="C69" s="269">
        <f t="shared" si="8"/>
        <v>47360</v>
      </c>
      <c r="D69" s="337">
        <f t="shared" si="20"/>
        <v>20478.001574723276</v>
      </c>
      <c r="E69" s="337"/>
      <c r="F69" s="337"/>
      <c r="G69" s="338">
        <f t="shared" si="21"/>
        <v>614.34004724169824</v>
      </c>
      <c r="H69" s="338"/>
      <c r="I69" s="338">
        <f t="shared" si="22"/>
        <v>73.720805669003781</v>
      </c>
      <c r="J69" s="338"/>
      <c r="K69" s="338">
        <f t="shared" si="18"/>
        <v>688.06085291070201</v>
      </c>
      <c r="L69" s="338"/>
      <c r="M69" s="338">
        <f t="shared" si="14"/>
        <v>1675.4672291253412</v>
      </c>
      <c r="N69" s="338"/>
      <c r="O69" s="338"/>
      <c r="P69" s="339">
        <f t="shared" si="23"/>
        <v>987.40637621463918</v>
      </c>
      <c r="Q69" s="339"/>
      <c r="R69" s="339"/>
      <c r="S69" s="174">
        <f t="shared" si="4"/>
        <v>245.00000000000003</v>
      </c>
      <c r="T69" s="338">
        <f t="shared" si="24"/>
        <v>19490.595198508636</v>
      </c>
      <c r="U69" s="338"/>
      <c r="V69" s="338"/>
      <c r="W69" s="338">
        <f t="shared" si="19"/>
        <v>2295.2562291253412</v>
      </c>
      <c r="X69" s="338"/>
      <c r="Y69" s="338"/>
    </row>
    <row r="70" spans="1:25">
      <c r="A70" s="173">
        <f t="shared" si="7"/>
        <v>46</v>
      </c>
      <c r="B70" s="57">
        <v>45</v>
      </c>
      <c r="C70" s="269">
        <f t="shared" si="8"/>
        <v>47391</v>
      </c>
      <c r="D70" s="337">
        <f>IF(T69&lt;=0.1,"",T69)</f>
        <v>19490.595198508636</v>
      </c>
      <c r="E70" s="337"/>
      <c r="F70" s="337"/>
      <c r="G70" s="338">
        <f t="shared" si="21"/>
        <v>584.7178559552591</v>
      </c>
      <c r="H70" s="338"/>
      <c r="I70" s="338">
        <f t="shared" si="22"/>
        <v>70.166142714631093</v>
      </c>
      <c r="J70" s="338"/>
      <c r="K70" s="338">
        <f>IF(G70="","",G70+I70)</f>
        <v>654.88399866989016</v>
      </c>
      <c r="L70" s="338"/>
      <c r="M70" s="338">
        <f t="shared" si="14"/>
        <v>1675.4672291253412</v>
      </c>
      <c r="N70" s="338"/>
      <c r="O70" s="338"/>
      <c r="P70" s="339">
        <f t="shared" si="23"/>
        <v>1020.583230455451</v>
      </c>
      <c r="Q70" s="339"/>
      <c r="R70" s="339"/>
      <c r="S70" s="174">
        <f t="shared" si="4"/>
        <v>245.00000000000003</v>
      </c>
      <c r="T70" s="338">
        <f t="shared" si="24"/>
        <v>18470.011968053186</v>
      </c>
      <c r="U70" s="338"/>
      <c r="V70" s="338"/>
      <c r="W70" s="338">
        <f t="shared" si="19"/>
        <v>2295.2562291253412</v>
      </c>
      <c r="X70" s="338"/>
      <c r="Y70" s="338"/>
    </row>
    <row r="71" spans="1:25">
      <c r="A71" s="173">
        <f t="shared" si="7"/>
        <v>47</v>
      </c>
      <c r="B71" s="57">
        <v>46</v>
      </c>
      <c r="C71" s="269">
        <f t="shared" si="8"/>
        <v>47421</v>
      </c>
      <c r="D71" s="337">
        <f>IF(T70&lt;=0.1,"",T70)</f>
        <v>18470.011968053186</v>
      </c>
      <c r="E71" s="337"/>
      <c r="F71" s="337"/>
      <c r="G71" s="338">
        <f t="shared" si="21"/>
        <v>554.10035904159554</v>
      </c>
      <c r="H71" s="338"/>
      <c r="I71" s="338">
        <f t="shared" si="22"/>
        <v>66.492043084991465</v>
      </c>
      <c r="J71" s="338"/>
      <c r="K71" s="338">
        <f>IF(G71="","",G71+I71)</f>
        <v>620.59240212658699</v>
      </c>
      <c r="L71" s="338"/>
      <c r="M71" s="338">
        <f t="shared" si="14"/>
        <v>1675.4672291253412</v>
      </c>
      <c r="N71" s="338"/>
      <c r="O71" s="338"/>
      <c r="P71" s="339">
        <f t="shared" si="23"/>
        <v>1054.8748269987541</v>
      </c>
      <c r="Q71" s="339"/>
      <c r="R71" s="339"/>
      <c r="S71" s="174">
        <f t="shared" si="4"/>
        <v>245.00000000000003</v>
      </c>
      <c r="T71" s="338">
        <f t="shared" si="24"/>
        <v>17415.137141054431</v>
      </c>
      <c r="U71" s="338"/>
      <c r="V71" s="338"/>
      <c r="W71" s="338">
        <f t="shared" si="19"/>
        <v>2295.2562291253412</v>
      </c>
      <c r="X71" s="338"/>
      <c r="Y71" s="338"/>
    </row>
    <row r="72" spans="1:25">
      <c r="A72" s="173">
        <f t="shared" si="7"/>
        <v>48</v>
      </c>
      <c r="B72" s="57">
        <v>47</v>
      </c>
      <c r="C72" s="269">
        <f t="shared" si="8"/>
        <v>47452</v>
      </c>
      <c r="D72" s="337">
        <f>IF(T71&lt;=0.1,"",T71)</f>
        <v>17415.137141054431</v>
      </c>
      <c r="E72" s="337"/>
      <c r="F72" s="337"/>
      <c r="G72" s="338">
        <f t="shared" si="21"/>
        <v>522.45411423163296</v>
      </c>
      <c r="H72" s="338"/>
      <c r="I72" s="338">
        <f t="shared" si="22"/>
        <v>62.694493707795949</v>
      </c>
      <c r="J72" s="338"/>
      <c r="K72" s="338">
        <f>IF(G72="","",G72+I72)</f>
        <v>585.14860793942887</v>
      </c>
      <c r="L72" s="338"/>
      <c r="M72" s="338">
        <f t="shared" si="14"/>
        <v>1675.4672291253412</v>
      </c>
      <c r="N72" s="338"/>
      <c r="O72" s="338"/>
      <c r="P72" s="339">
        <f>IF(D72="","",M72-K72)</f>
        <v>1090.3186211859124</v>
      </c>
      <c r="Q72" s="339"/>
      <c r="R72" s="339"/>
      <c r="S72" s="174">
        <f t="shared" si="4"/>
        <v>245.00000000000003</v>
      </c>
      <c r="T72" s="338">
        <f t="shared" si="24"/>
        <v>16324.818519868519</v>
      </c>
      <c r="U72" s="338"/>
      <c r="V72" s="338"/>
      <c r="W72" s="338">
        <f t="shared" si="19"/>
        <v>2295.2562291253412</v>
      </c>
      <c r="X72" s="338"/>
      <c r="Y72" s="338"/>
    </row>
    <row r="73" spans="1:25">
      <c r="A73" s="173">
        <f t="shared" si="7"/>
        <v>49</v>
      </c>
      <c r="B73" s="57">
        <v>48</v>
      </c>
      <c r="C73" s="269">
        <f t="shared" si="8"/>
        <v>47482</v>
      </c>
      <c r="D73" s="337">
        <f t="shared" ref="D73:D88" si="25">IF(T72&lt;=0.1,"",T72)</f>
        <v>16324.818519868519</v>
      </c>
      <c r="E73" s="337"/>
      <c r="F73" s="337"/>
      <c r="G73" s="338">
        <f t="shared" si="21"/>
        <v>489.74455559605553</v>
      </c>
      <c r="H73" s="338"/>
      <c r="I73" s="338">
        <f t="shared" si="22"/>
        <v>58.769346671526662</v>
      </c>
      <c r="J73" s="338"/>
      <c r="K73" s="338">
        <f t="shared" ref="K73:K88" si="26">IF(G73="","",G73+I73)</f>
        <v>548.51390226758224</v>
      </c>
      <c r="L73" s="338"/>
      <c r="M73" s="338">
        <f t="shared" si="14"/>
        <v>1675.4672291253412</v>
      </c>
      <c r="N73" s="338"/>
      <c r="O73" s="338"/>
      <c r="P73" s="339">
        <f t="shared" ref="P73:P88" si="27">IF(D73="","",M73-K73)</f>
        <v>1126.9533268577588</v>
      </c>
      <c r="Q73" s="339"/>
      <c r="R73" s="339"/>
      <c r="S73" s="174">
        <f t="shared" si="4"/>
        <v>245.00000000000003</v>
      </c>
      <c r="T73" s="338">
        <f t="shared" si="24"/>
        <v>15197.865193010759</v>
      </c>
      <c r="U73" s="338"/>
      <c r="V73" s="338"/>
      <c r="W73" s="338">
        <f t="shared" si="19"/>
        <v>2295.2562291253412</v>
      </c>
      <c r="X73" s="338"/>
      <c r="Y73" s="338"/>
    </row>
    <row r="74" spans="1:25">
      <c r="A74" s="173">
        <f t="shared" si="7"/>
        <v>50</v>
      </c>
      <c r="B74" s="57">
        <v>49</v>
      </c>
      <c r="C74" s="269">
        <f t="shared" si="8"/>
        <v>47513</v>
      </c>
      <c r="D74" s="337">
        <f t="shared" si="25"/>
        <v>15197.865193010759</v>
      </c>
      <c r="E74" s="337"/>
      <c r="F74" s="337"/>
      <c r="G74" s="338">
        <f t="shared" si="21"/>
        <v>455.93595579032274</v>
      </c>
      <c r="H74" s="338"/>
      <c r="I74" s="338">
        <f t="shared" si="22"/>
        <v>54.712314694838724</v>
      </c>
      <c r="J74" s="338"/>
      <c r="K74" s="338">
        <f t="shared" si="26"/>
        <v>510.64827048516145</v>
      </c>
      <c r="L74" s="338"/>
      <c r="M74" s="338">
        <f t="shared" si="14"/>
        <v>1675.4672291253412</v>
      </c>
      <c r="N74" s="338"/>
      <c r="O74" s="338"/>
      <c r="P74" s="339">
        <f t="shared" si="27"/>
        <v>1164.8189586401797</v>
      </c>
      <c r="Q74" s="339"/>
      <c r="R74" s="339"/>
      <c r="S74" s="174">
        <f t="shared" si="4"/>
        <v>245.00000000000003</v>
      </c>
      <c r="T74" s="338">
        <f t="shared" si="24"/>
        <v>14033.046234370579</v>
      </c>
      <c r="U74" s="338"/>
      <c r="V74" s="338"/>
      <c r="W74" s="338">
        <f t="shared" si="19"/>
        <v>2295.2562291253412</v>
      </c>
      <c r="X74" s="338"/>
      <c r="Y74" s="338"/>
    </row>
    <row r="75" spans="1:25">
      <c r="A75" s="173">
        <f t="shared" si="7"/>
        <v>51</v>
      </c>
      <c r="B75" s="57">
        <v>50</v>
      </c>
      <c r="C75" s="269">
        <f t="shared" si="8"/>
        <v>47542</v>
      </c>
      <c r="D75" s="337">
        <f t="shared" si="25"/>
        <v>14033.046234370579</v>
      </c>
      <c r="E75" s="337"/>
      <c r="F75" s="337"/>
      <c r="G75" s="338">
        <f t="shared" si="21"/>
        <v>420.99138703111731</v>
      </c>
      <c r="H75" s="338"/>
      <c r="I75" s="338">
        <f t="shared" si="22"/>
        <v>50.518966443734072</v>
      </c>
      <c r="J75" s="338"/>
      <c r="K75" s="338">
        <f t="shared" si="26"/>
        <v>471.5103534748514</v>
      </c>
      <c r="L75" s="338"/>
      <c r="M75" s="338">
        <f t="shared" si="14"/>
        <v>1675.4672291253412</v>
      </c>
      <c r="N75" s="338"/>
      <c r="O75" s="338"/>
      <c r="P75" s="339">
        <f t="shared" si="27"/>
        <v>1203.9568756504898</v>
      </c>
      <c r="Q75" s="339"/>
      <c r="R75" s="339"/>
      <c r="S75" s="174">
        <f t="shared" si="4"/>
        <v>245.00000000000003</v>
      </c>
      <c r="T75" s="338">
        <f t="shared" si="24"/>
        <v>12829.089358720088</v>
      </c>
      <c r="U75" s="338"/>
      <c r="V75" s="338"/>
      <c r="W75" s="338">
        <f t="shared" si="19"/>
        <v>2295.2562291253412</v>
      </c>
      <c r="X75" s="338"/>
      <c r="Y75" s="338"/>
    </row>
    <row r="76" spans="1:25">
      <c r="A76" s="173">
        <f t="shared" si="7"/>
        <v>52</v>
      </c>
      <c r="B76" s="57">
        <v>51</v>
      </c>
      <c r="C76" s="269">
        <f t="shared" si="8"/>
        <v>47572</v>
      </c>
      <c r="D76" s="337">
        <f t="shared" si="25"/>
        <v>12829.089358720088</v>
      </c>
      <c r="E76" s="337"/>
      <c r="F76" s="337"/>
      <c r="G76" s="338">
        <f t="shared" si="21"/>
        <v>384.87268076160262</v>
      </c>
      <c r="H76" s="338"/>
      <c r="I76" s="338">
        <f t="shared" si="22"/>
        <v>46.184721691392312</v>
      </c>
      <c r="J76" s="338"/>
      <c r="K76" s="338">
        <f t="shared" si="26"/>
        <v>431.05740245299495</v>
      </c>
      <c r="L76" s="338"/>
      <c r="M76" s="338">
        <f t="shared" si="14"/>
        <v>1675.4672291253412</v>
      </c>
      <c r="N76" s="338"/>
      <c r="O76" s="338"/>
      <c r="P76" s="339">
        <f t="shared" si="27"/>
        <v>1244.4098266723463</v>
      </c>
      <c r="Q76" s="339"/>
      <c r="R76" s="339"/>
      <c r="S76" s="174">
        <f t="shared" si="4"/>
        <v>245.00000000000003</v>
      </c>
      <c r="T76" s="338">
        <f t="shared" si="24"/>
        <v>11584.679532047741</v>
      </c>
      <c r="U76" s="338"/>
      <c r="V76" s="338"/>
      <c r="W76" s="338">
        <f t="shared" si="19"/>
        <v>2295.2562291253412</v>
      </c>
      <c r="X76" s="338"/>
      <c r="Y76" s="338"/>
    </row>
    <row r="77" spans="1:25">
      <c r="A77" s="173">
        <f t="shared" si="7"/>
        <v>53</v>
      </c>
      <c r="B77" s="57">
        <v>52</v>
      </c>
      <c r="C77" s="269">
        <f t="shared" si="8"/>
        <v>47603</v>
      </c>
      <c r="D77" s="337">
        <f t="shared" si="25"/>
        <v>11584.679532047741</v>
      </c>
      <c r="E77" s="337"/>
      <c r="F77" s="337"/>
      <c r="G77" s="338">
        <f t="shared" si="21"/>
        <v>347.54038596143221</v>
      </c>
      <c r="H77" s="338"/>
      <c r="I77" s="338">
        <f t="shared" si="22"/>
        <v>41.70484631537186</v>
      </c>
      <c r="J77" s="338"/>
      <c r="K77" s="338">
        <f t="shared" si="26"/>
        <v>389.24523227680407</v>
      </c>
      <c r="L77" s="338"/>
      <c r="M77" s="338">
        <f t="shared" si="14"/>
        <v>1675.4672291253412</v>
      </c>
      <c r="N77" s="338"/>
      <c r="O77" s="338"/>
      <c r="P77" s="339">
        <f t="shared" si="27"/>
        <v>1286.2219968485372</v>
      </c>
      <c r="Q77" s="339"/>
      <c r="R77" s="339"/>
      <c r="S77" s="174">
        <f t="shared" si="4"/>
        <v>245.00000000000003</v>
      </c>
      <c r="T77" s="338">
        <f t="shared" si="24"/>
        <v>10298.457535199204</v>
      </c>
      <c r="U77" s="338"/>
      <c r="V77" s="338"/>
      <c r="W77" s="338">
        <f t="shared" si="19"/>
        <v>2295.2562291253412</v>
      </c>
      <c r="X77" s="338"/>
      <c r="Y77" s="338"/>
    </row>
    <row r="78" spans="1:25">
      <c r="A78" s="173">
        <f t="shared" si="7"/>
        <v>54</v>
      </c>
      <c r="B78" s="57">
        <v>53</v>
      </c>
      <c r="C78" s="269">
        <f t="shared" si="8"/>
        <v>47633</v>
      </c>
      <c r="D78" s="337">
        <f t="shared" si="25"/>
        <v>10298.457535199204</v>
      </c>
      <c r="E78" s="337"/>
      <c r="F78" s="337"/>
      <c r="G78" s="338">
        <f t="shared" si="21"/>
        <v>308.95372605597612</v>
      </c>
      <c r="H78" s="338"/>
      <c r="I78" s="338">
        <f t="shared" si="22"/>
        <v>37.074447126717132</v>
      </c>
      <c r="J78" s="338"/>
      <c r="K78" s="338">
        <f t="shared" si="26"/>
        <v>346.02817318269325</v>
      </c>
      <c r="L78" s="338"/>
      <c r="M78" s="338">
        <f t="shared" si="14"/>
        <v>1675.4672291253412</v>
      </c>
      <c r="N78" s="338"/>
      <c r="O78" s="338"/>
      <c r="P78" s="339">
        <f t="shared" si="27"/>
        <v>1329.4390559426479</v>
      </c>
      <c r="Q78" s="339"/>
      <c r="R78" s="339"/>
      <c r="S78" s="174">
        <f t="shared" si="4"/>
        <v>245.00000000000003</v>
      </c>
      <c r="T78" s="338">
        <f t="shared" si="24"/>
        <v>8969.018479256556</v>
      </c>
      <c r="U78" s="338"/>
      <c r="V78" s="338"/>
      <c r="W78" s="338">
        <f t="shared" si="19"/>
        <v>2295.2562291253412</v>
      </c>
      <c r="X78" s="338"/>
      <c r="Y78" s="338"/>
    </row>
    <row r="79" spans="1:25">
      <c r="A79" s="173">
        <f t="shared" si="7"/>
        <v>55</v>
      </c>
      <c r="B79" s="57">
        <v>54</v>
      </c>
      <c r="C79" s="269">
        <f t="shared" si="8"/>
        <v>47664</v>
      </c>
      <c r="D79" s="337">
        <f t="shared" si="25"/>
        <v>8969.018479256556</v>
      </c>
      <c r="E79" s="337"/>
      <c r="F79" s="337"/>
      <c r="G79" s="338">
        <f t="shared" si="21"/>
        <v>269.07055437769668</v>
      </c>
      <c r="H79" s="338"/>
      <c r="I79" s="338">
        <f t="shared" si="22"/>
        <v>32.288466525323599</v>
      </c>
      <c r="J79" s="338"/>
      <c r="K79" s="338">
        <f t="shared" si="26"/>
        <v>301.35902090302028</v>
      </c>
      <c r="L79" s="338"/>
      <c r="M79" s="338">
        <f t="shared" si="14"/>
        <v>1675.4672291253412</v>
      </c>
      <c r="N79" s="338"/>
      <c r="O79" s="338"/>
      <c r="P79" s="339">
        <f t="shared" si="27"/>
        <v>1374.1082082223209</v>
      </c>
      <c r="Q79" s="339"/>
      <c r="R79" s="339"/>
      <c r="S79" s="174">
        <f t="shared" si="4"/>
        <v>245.00000000000003</v>
      </c>
      <c r="T79" s="338">
        <f t="shared" si="24"/>
        <v>7594.9102710342349</v>
      </c>
      <c r="U79" s="338"/>
      <c r="V79" s="338"/>
      <c r="W79" s="338">
        <f t="shared" si="19"/>
        <v>2295.2562291253412</v>
      </c>
      <c r="X79" s="338"/>
      <c r="Y79" s="338"/>
    </row>
    <row r="80" spans="1:25">
      <c r="A80" s="173">
        <f t="shared" si="7"/>
        <v>56</v>
      </c>
      <c r="B80" s="57">
        <v>55</v>
      </c>
      <c r="C80" s="269">
        <f t="shared" si="8"/>
        <v>47694</v>
      </c>
      <c r="D80" s="337">
        <f t="shared" si="25"/>
        <v>7594.9102710342349</v>
      </c>
      <c r="E80" s="337"/>
      <c r="F80" s="337"/>
      <c r="G80" s="338">
        <f t="shared" si="21"/>
        <v>227.84730813102703</v>
      </c>
      <c r="H80" s="338"/>
      <c r="I80" s="338">
        <f t="shared" si="22"/>
        <v>27.341676975723242</v>
      </c>
      <c r="J80" s="338"/>
      <c r="K80" s="338">
        <f t="shared" si="26"/>
        <v>255.18898510675027</v>
      </c>
      <c r="L80" s="338"/>
      <c r="M80" s="338">
        <f t="shared" si="14"/>
        <v>1675.4672291253412</v>
      </c>
      <c r="N80" s="338"/>
      <c r="O80" s="338"/>
      <c r="P80" s="339">
        <f t="shared" si="27"/>
        <v>1420.2782440185908</v>
      </c>
      <c r="Q80" s="339"/>
      <c r="R80" s="339"/>
      <c r="S80" s="174">
        <f t="shared" si="4"/>
        <v>245.00000000000003</v>
      </c>
      <c r="T80" s="338">
        <f t="shared" si="24"/>
        <v>6174.6320270156439</v>
      </c>
      <c r="U80" s="338"/>
      <c r="V80" s="338"/>
      <c r="W80" s="338">
        <f t="shared" si="19"/>
        <v>2295.2562291253412</v>
      </c>
      <c r="X80" s="338"/>
      <c r="Y80" s="338"/>
    </row>
    <row r="81" spans="1:25">
      <c r="A81" s="173">
        <f t="shared" si="7"/>
        <v>57</v>
      </c>
      <c r="B81" s="57">
        <v>56</v>
      </c>
      <c r="C81" s="269">
        <f t="shared" si="8"/>
        <v>47725</v>
      </c>
      <c r="D81" s="337">
        <f t="shared" si="25"/>
        <v>6174.6320270156439</v>
      </c>
      <c r="E81" s="337"/>
      <c r="F81" s="337"/>
      <c r="G81" s="338">
        <f t="shared" si="21"/>
        <v>185.23896081046931</v>
      </c>
      <c r="H81" s="338"/>
      <c r="I81" s="338">
        <f t="shared" si="22"/>
        <v>22.228675297256316</v>
      </c>
      <c r="J81" s="338"/>
      <c r="K81" s="338">
        <f t="shared" si="26"/>
        <v>207.46763610772564</v>
      </c>
      <c r="L81" s="338"/>
      <c r="M81" s="338">
        <f t="shared" si="14"/>
        <v>1675.4672291253412</v>
      </c>
      <c r="N81" s="338"/>
      <c r="O81" s="338"/>
      <c r="P81" s="339">
        <f t="shared" si="27"/>
        <v>1467.9995930176156</v>
      </c>
      <c r="Q81" s="339"/>
      <c r="R81" s="339"/>
      <c r="S81" s="174">
        <f t="shared" si="4"/>
        <v>245.00000000000003</v>
      </c>
      <c r="T81" s="338">
        <f t="shared" si="24"/>
        <v>4706.6324339980283</v>
      </c>
      <c r="U81" s="338"/>
      <c r="V81" s="338"/>
      <c r="W81" s="338">
        <f t="shared" si="19"/>
        <v>2295.2562291253412</v>
      </c>
      <c r="X81" s="338"/>
      <c r="Y81" s="338"/>
    </row>
    <row r="82" spans="1:25">
      <c r="A82" s="173">
        <f t="shared" si="7"/>
        <v>58</v>
      </c>
      <c r="B82" s="57">
        <v>57</v>
      </c>
      <c r="C82" s="269">
        <f t="shared" si="8"/>
        <v>47756</v>
      </c>
      <c r="D82" s="337">
        <f t="shared" si="25"/>
        <v>4706.6324339980283</v>
      </c>
      <c r="E82" s="337"/>
      <c r="F82" s="337"/>
      <c r="G82" s="338">
        <f t="shared" si="21"/>
        <v>141.19897301994084</v>
      </c>
      <c r="H82" s="338"/>
      <c r="I82" s="338">
        <f t="shared" si="22"/>
        <v>16.9438767623929</v>
      </c>
      <c r="J82" s="338"/>
      <c r="K82" s="338">
        <f t="shared" si="26"/>
        <v>158.14284978233374</v>
      </c>
      <c r="L82" s="338"/>
      <c r="M82" s="338">
        <f t="shared" si="14"/>
        <v>1675.4672291253412</v>
      </c>
      <c r="N82" s="338"/>
      <c r="O82" s="338"/>
      <c r="P82" s="339">
        <f t="shared" si="27"/>
        <v>1517.3243793430074</v>
      </c>
      <c r="Q82" s="339"/>
      <c r="R82" s="339"/>
      <c r="S82" s="174">
        <f t="shared" si="4"/>
        <v>245.00000000000003</v>
      </c>
      <c r="T82" s="338">
        <f t="shared" si="24"/>
        <v>3189.3080546550209</v>
      </c>
      <c r="U82" s="338"/>
      <c r="V82" s="338"/>
      <c r="W82" s="338">
        <f t="shared" si="19"/>
        <v>2295.2562291253412</v>
      </c>
      <c r="X82" s="338"/>
      <c r="Y82" s="338"/>
    </row>
    <row r="83" spans="1:25">
      <c r="A83" s="173">
        <f t="shared" si="7"/>
        <v>59</v>
      </c>
      <c r="B83" s="57">
        <v>58</v>
      </c>
      <c r="C83" s="269">
        <f t="shared" si="8"/>
        <v>47786</v>
      </c>
      <c r="D83" s="337">
        <f t="shared" si="25"/>
        <v>3189.3080546550209</v>
      </c>
      <c r="E83" s="337"/>
      <c r="F83" s="337"/>
      <c r="G83" s="338">
        <f t="shared" si="21"/>
        <v>95.679241639650627</v>
      </c>
      <c r="H83" s="338"/>
      <c r="I83" s="338">
        <f t="shared" si="22"/>
        <v>11.481508996758075</v>
      </c>
      <c r="J83" s="338"/>
      <c r="K83" s="338">
        <f t="shared" si="26"/>
        <v>107.16075063640871</v>
      </c>
      <c r="L83" s="338"/>
      <c r="M83" s="338">
        <f t="shared" si="14"/>
        <v>1675.4672291253412</v>
      </c>
      <c r="N83" s="338"/>
      <c r="O83" s="338"/>
      <c r="P83" s="339">
        <f t="shared" si="27"/>
        <v>1568.3064784889325</v>
      </c>
      <c r="Q83" s="339"/>
      <c r="R83" s="339"/>
      <c r="S83" s="174">
        <f t="shared" si="4"/>
        <v>245.00000000000003</v>
      </c>
      <c r="T83" s="338">
        <f t="shared" si="24"/>
        <v>1621.0015761660884</v>
      </c>
      <c r="U83" s="338"/>
      <c r="V83" s="338"/>
      <c r="W83" s="338">
        <f t="shared" si="19"/>
        <v>2295.2562291253412</v>
      </c>
      <c r="X83" s="338"/>
      <c r="Y83" s="338"/>
    </row>
    <row r="84" spans="1:25">
      <c r="A84" s="173">
        <f t="shared" si="7"/>
        <v>60</v>
      </c>
      <c r="B84" s="57">
        <v>59</v>
      </c>
      <c r="C84" s="269">
        <f t="shared" si="8"/>
        <v>47817</v>
      </c>
      <c r="D84" s="337">
        <f t="shared" si="25"/>
        <v>1621.0015761660884</v>
      </c>
      <c r="E84" s="337"/>
      <c r="F84" s="337"/>
      <c r="G84" s="338">
        <f t="shared" si="21"/>
        <v>48.630047284982652</v>
      </c>
      <c r="H84" s="338"/>
      <c r="I84" s="338">
        <f t="shared" si="22"/>
        <v>5.8356056741979181</v>
      </c>
      <c r="J84" s="338"/>
      <c r="K84" s="338">
        <f t="shared" si="26"/>
        <v>54.465652959180574</v>
      </c>
      <c r="L84" s="338"/>
      <c r="M84" s="338">
        <f t="shared" si="14"/>
        <v>1675.4672291253412</v>
      </c>
      <c r="N84" s="338"/>
      <c r="O84" s="338"/>
      <c r="P84" s="339">
        <f t="shared" si="27"/>
        <v>1621.0015761661607</v>
      </c>
      <c r="Q84" s="339"/>
      <c r="R84" s="339"/>
      <c r="S84" s="174">
        <f t="shared" si="4"/>
        <v>245.00000000000003</v>
      </c>
      <c r="T84" s="338">
        <f t="shared" si="24"/>
        <v>-7.2304828790947795E-11</v>
      </c>
      <c r="U84" s="338"/>
      <c r="V84" s="338"/>
      <c r="W84" s="338">
        <f t="shared" si="19"/>
        <v>2295.2562291253412</v>
      </c>
      <c r="X84" s="338"/>
      <c r="Y84" s="338"/>
    </row>
    <row r="85" spans="1:25">
      <c r="A85" s="173" t="str">
        <f t="shared" si="7"/>
        <v/>
      </c>
      <c r="B85" s="57">
        <v>60</v>
      </c>
      <c r="C85" s="269" t="str">
        <f t="shared" si="8"/>
        <v/>
      </c>
      <c r="D85" s="337" t="str">
        <f t="shared" si="25"/>
        <v/>
      </c>
      <c r="E85" s="337"/>
      <c r="F85" s="337"/>
      <c r="G85" s="338" t="str">
        <f t="shared" si="21"/>
        <v/>
      </c>
      <c r="H85" s="338"/>
      <c r="I85" s="338" t="str">
        <f t="shared" si="22"/>
        <v/>
      </c>
      <c r="J85" s="338"/>
      <c r="K85" s="338" t="str">
        <f t="shared" si="26"/>
        <v/>
      </c>
      <c r="L85" s="338"/>
      <c r="M85" s="338" t="str">
        <f t="shared" si="14"/>
        <v/>
      </c>
      <c r="N85" s="338"/>
      <c r="O85" s="338"/>
      <c r="P85" s="339" t="str">
        <f t="shared" si="27"/>
        <v/>
      </c>
      <c r="Q85" s="339"/>
      <c r="R85" s="339"/>
      <c r="S85" s="174" t="str">
        <f t="shared" si="4"/>
        <v/>
      </c>
      <c r="T85" s="338" t="str">
        <f t="shared" si="24"/>
        <v/>
      </c>
      <c r="U85" s="338"/>
      <c r="V85" s="338"/>
      <c r="W85" s="338" t="str">
        <f t="shared" si="19"/>
        <v/>
      </c>
      <c r="X85" s="338"/>
      <c r="Y85" s="338"/>
    </row>
    <row r="86" spans="1:25">
      <c r="A86" s="173" t="str">
        <f t="shared" si="7"/>
        <v/>
      </c>
      <c r="B86" s="57">
        <v>61</v>
      </c>
      <c r="C86" s="269" t="str">
        <f t="shared" si="8"/>
        <v/>
      </c>
      <c r="D86" s="337" t="str">
        <f t="shared" si="25"/>
        <v/>
      </c>
      <c r="E86" s="337"/>
      <c r="F86" s="337"/>
      <c r="G86" s="338" t="str">
        <f t="shared" si="21"/>
        <v/>
      </c>
      <c r="H86" s="338"/>
      <c r="I86" s="338" t="str">
        <f t="shared" si="22"/>
        <v/>
      </c>
      <c r="J86" s="338"/>
      <c r="K86" s="338" t="str">
        <f t="shared" si="26"/>
        <v/>
      </c>
      <c r="L86" s="338"/>
      <c r="M86" s="338" t="str">
        <f t="shared" si="14"/>
        <v/>
      </c>
      <c r="N86" s="338"/>
      <c r="O86" s="338"/>
      <c r="P86" s="339" t="str">
        <f t="shared" si="27"/>
        <v/>
      </c>
      <c r="Q86" s="339"/>
      <c r="R86" s="339"/>
      <c r="S86" s="174" t="str">
        <f t="shared" si="4"/>
        <v/>
      </c>
      <c r="T86" s="338" t="str">
        <f t="shared" si="24"/>
        <v/>
      </c>
      <c r="U86" s="338"/>
      <c r="V86" s="338"/>
      <c r="W86" s="338" t="str">
        <f t="shared" si="19"/>
        <v/>
      </c>
      <c r="X86" s="338"/>
      <c r="Y86" s="338"/>
    </row>
    <row r="87" spans="1:25">
      <c r="A87" s="173" t="str">
        <f t="shared" si="7"/>
        <v/>
      </c>
      <c r="B87" s="57">
        <v>62</v>
      </c>
      <c r="C87" s="269" t="str">
        <f t="shared" si="8"/>
        <v/>
      </c>
      <c r="D87" s="337" t="str">
        <f t="shared" si="25"/>
        <v/>
      </c>
      <c r="E87" s="337"/>
      <c r="F87" s="337"/>
      <c r="G87" s="338" t="str">
        <f t="shared" si="21"/>
        <v/>
      </c>
      <c r="H87" s="338"/>
      <c r="I87" s="338" t="str">
        <f t="shared" si="22"/>
        <v/>
      </c>
      <c r="J87" s="338"/>
      <c r="K87" s="338" t="str">
        <f t="shared" si="26"/>
        <v/>
      </c>
      <c r="L87" s="338"/>
      <c r="M87" s="338" t="str">
        <f t="shared" si="14"/>
        <v/>
      </c>
      <c r="N87" s="338"/>
      <c r="O87" s="338"/>
      <c r="P87" s="339" t="str">
        <f t="shared" si="27"/>
        <v/>
      </c>
      <c r="Q87" s="339"/>
      <c r="R87" s="339"/>
      <c r="S87" s="174" t="str">
        <f t="shared" si="4"/>
        <v/>
      </c>
      <c r="T87" s="338" t="str">
        <f t="shared" si="24"/>
        <v/>
      </c>
      <c r="U87" s="338"/>
      <c r="V87" s="338"/>
      <c r="W87" s="338" t="str">
        <f t="shared" si="19"/>
        <v/>
      </c>
      <c r="X87" s="338"/>
      <c r="Y87" s="338"/>
    </row>
    <row r="88" spans="1:25">
      <c r="A88" s="173" t="str">
        <f t="shared" si="7"/>
        <v/>
      </c>
      <c r="B88" s="57">
        <v>63</v>
      </c>
      <c r="C88" s="269" t="str">
        <f t="shared" si="8"/>
        <v/>
      </c>
      <c r="D88" s="337" t="str">
        <f t="shared" si="25"/>
        <v/>
      </c>
      <c r="E88" s="337"/>
      <c r="F88" s="337"/>
      <c r="G88" s="338" t="str">
        <f t="shared" si="21"/>
        <v/>
      </c>
      <c r="H88" s="338"/>
      <c r="I88" s="338" t="str">
        <f t="shared" si="22"/>
        <v/>
      </c>
      <c r="J88" s="338"/>
      <c r="K88" s="338" t="str">
        <f t="shared" si="26"/>
        <v/>
      </c>
      <c r="L88" s="338"/>
      <c r="M88" s="338" t="str">
        <f t="shared" si="14"/>
        <v/>
      </c>
      <c r="N88" s="338"/>
      <c r="O88" s="338"/>
      <c r="P88" s="339" t="str">
        <f t="shared" si="27"/>
        <v/>
      </c>
      <c r="Q88" s="339"/>
      <c r="R88" s="339"/>
      <c r="S88" s="174" t="str">
        <f t="shared" si="4"/>
        <v/>
      </c>
      <c r="T88" s="338" t="str">
        <f t="shared" si="24"/>
        <v/>
      </c>
      <c r="U88" s="338"/>
      <c r="V88" s="338"/>
      <c r="W88" s="338" t="str">
        <f t="shared" si="19"/>
        <v/>
      </c>
      <c r="X88" s="338"/>
      <c r="Y88" s="338"/>
    </row>
  </sheetData>
  <sheetProtection algorithmName="SHA-512" hashValue="YVW7V0S8OQq23zoprhFoHC16M51/Fqk5fpmBAxyXLAHbOJpzF1RbLqa/h19a1sAwVjM1dJfTlj+fXiNo0xLGJg==" saltValue="qt0KfiuKiE6rVZcasHNgvA==" spinCount="100000" sheet="1" selectLockedCells="1"/>
  <mergeCells count="549">
    <mergeCell ref="K17:L17"/>
    <mergeCell ref="K18:M18"/>
    <mergeCell ref="D21:F21"/>
    <mergeCell ref="G21:H21"/>
    <mergeCell ref="I21:J21"/>
    <mergeCell ref="K21:L21"/>
    <mergeCell ref="M21:O21"/>
    <mergeCell ref="C10:D10"/>
    <mergeCell ref="E10:P10"/>
    <mergeCell ref="K14:M14"/>
    <mergeCell ref="K15:M15"/>
    <mergeCell ref="N15:O15"/>
    <mergeCell ref="K16:M16"/>
    <mergeCell ref="P21:R21"/>
    <mergeCell ref="T21:V21"/>
    <mergeCell ref="W21:Y21"/>
    <mergeCell ref="D22:F22"/>
    <mergeCell ref="G22:H22"/>
    <mergeCell ref="I22:J22"/>
    <mergeCell ref="K22:L22"/>
    <mergeCell ref="P22:R22"/>
    <mergeCell ref="T22:V22"/>
    <mergeCell ref="W22:Y22"/>
    <mergeCell ref="W23:Y23"/>
    <mergeCell ref="D24:F24"/>
    <mergeCell ref="G24:H24"/>
    <mergeCell ref="I24:J24"/>
    <mergeCell ref="K24:L24"/>
    <mergeCell ref="P24:R24"/>
    <mergeCell ref="T24:V24"/>
    <mergeCell ref="W24:Y24"/>
    <mergeCell ref="D23:F23"/>
    <mergeCell ref="G23:H23"/>
    <mergeCell ref="I23:J23"/>
    <mergeCell ref="K23:L23"/>
    <mergeCell ref="P23:R23"/>
    <mergeCell ref="T23:V23"/>
    <mergeCell ref="T25:V25"/>
    <mergeCell ref="W25:Y25"/>
    <mergeCell ref="D26:F26"/>
    <mergeCell ref="G26:H26"/>
    <mergeCell ref="I26:J26"/>
    <mergeCell ref="K26:L26"/>
    <mergeCell ref="M26:O26"/>
    <mergeCell ref="P26:R26"/>
    <mergeCell ref="T26:V26"/>
    <mergeCell ref="W26:Y26"/>
    <mergeCell ref="D25:F25"/>
    <mergeCell ref="G25:H25"/>
    <mergeCell ref="I25:J25"/>
    <mergeCell ref="K25:L25"/>
    <mergeCell ref="M25:O25"/>
    <mergeCell ref="P25:R25"/>
    <mergeCell ref="T27:V27"/>
    <mergeCell ref="W27:Y27"/>
    <mergeCell ref="D28:F28"/>
    <mergeCell ref="G28:H28"/>
    <mergeCell ref="I28:J28"/>
    <mergeCell ref="K28:L28"/>
    <mergeCell ref="M28:O28"/>
    <mergeCell ref="P28:R28"/>
    <mergeCell ref="T28:V28"/>
    <mergeCell ref="W28:Y28"/>
    <mergeCell ref="D27:F27"/>
    <mergeCell ref="G27:H27"/>
    <mergeCell ref="I27:J27"/>
    <mergeCell ref="K27:L27"/>
    <mergeCell ref="M27:O27"/>
    <mergeCell ref="P27:R27"/>
    <mergeCell ref="T29:V29"/>
    <mergeCell ref="W29:Y29"/>
    <mergeCell ref="D30:F30"/>
    <mergeCell ref="G30:H30"/>
    <mergeCell ref="I30:J30"/>
    <mergeCell ref="K30:L30"/>
    <mergeCell ref="M30:O30"/>
    <mergeCell ref="P30:R30"/>
    <mergeCell ref="T30:V30"/>
    <mergeCell ref="W30:Y30"/>
    <mergeCell ref="D29:F29"/>
    <mergeCell ref="G29:H29"/>
    <mergeCell ref="I29:J29"/>
    <mergeCell ref="K29:L29"/>
    <mergeCell ref="M29:O29"/>
    <mergeCell ref="P29:R29"/>
    <mergeCell ref="T31:V31"/>
    <mergeCell ref="W31:Y31"/>
    <mergeCell ref="D32:F32"/>
    <mergeCell ref="G32:H32"/>
    <mergeCell ref="I32:J32"/>
    <mergeCell ref="K32:L32"/>
    <mergeCell ref="M32:O32"/>
    <mergeCell ref="P32:R32"/>
    <mergeCell ref="T32:V32"/>
    <mergeCell ref="W32:Y32"/>
    <mergeCell ref="D31:F31"/>
    <mergeCell ref="G31:H31"/>
    <mergeCell ref="I31:J31"/>
    <mergeCell ref="K31:L31"/>
    <mergeCell ref="M31:O31"/>
    <mergeCell ref="P31:R31"/>
    <mergeCell ref="T33:V33"/>
    <mergeCell ref="W33:Y33"/>
    <mergeCell ref="D34:F34"/>
    <mergeCell ref="G34:H34"/>
    <mergeCell ref="I34:J34"/>
    <mergeCell ref="K34:L34"/>
    <mergeCell ref="M34:O34"/>
    <mergeCell ref="P34:R34"/>
    <mergeCell ref="T34:V34"/>
    <mergeCell ref="W34:Y34"/>
    <mergeCell ref="D33:F33"/>
    <mergeCell ref="G33:H33"/>
    <mergeCell ref="I33:J33"/>
    <mergeCell ref="K33:L33"/>
    <mergeCell ref="M33:O33"/>
    <mergeCell ref="P33:R33"/>
    <mergeCell ref="T35:V35"/>
    <mergeCell ref="W35:Y35"/>
    <mergeCell ref="D36:F36"/>
    <mergeCell ref="G36:H36"/>
    <mergeCell ref="I36:J36"/>
    <mergeCell ref="K36:L36"/>
    <mergeCell ref="M36:O36"/>
    <mergeCell ref="P36:R36"/>
    <mergeCell ref="T36:V36"/>
    <mergeCell ref="W36:Y36"/>
    <mergeCell ref="D35:F35"/>
    <mergeCell ref="G35:H35"/>
    <mergeCell ref="I35:J35"/>
    <mergeCell ref="K35:L35"/>
    <mergeCell ref="M35:O35"/>
    <mergeCell ref="P35:R35"/>
    <mergeCell ref="T37:V37"/>
    <mergeCell ref="W37:Y37"/>
    <mergeCell ref="D38:F38"/>
    <mergeCell ref="G38:H38"/>
    <mergeCell ref="I38:J38"/>
    <mergeCell ref="K38:L38"/>
    <mergeCell ref="M38:O38"/>
    <mergeCell ref="P38:R38"/>
    <mergeCell ref="T38:V38"/>
    <mergeCell ref="W38:Y38"/>
    <mergeCell ref="D37:F37"/>
    <mergeCell ref="G37:H37"/>
    <mergeCell ref="I37:J37"/>
    <mergeCell ref="K37:L37"/>
    <mergeCell ref="M37:O37"/>
    <mergeCell ref="P37:R37"/>
    <mergeCell ref="T39:V39"/>
    <mergeCell ref="W39:Y39"/>
    <mergeCell ref="D40:F40"/>
    <mergeCell ref="G40:H40"/>
    <mergeCell ref="I40:J40"/>
    <mergeCell ref="K40:L40"/>
    <mergeCell ref="M40:O40"/>
    <mergeCell ref="P40:R40"/>
    <mergeCell ref="T40:V40"/>
    <mergeCell ref="W40:Y40"/>
    <mergeCell ref="D39:F39"/>
    <mergeCell ref="G39:H39"/>
    <mergeCell ref="I39:J39"/>
    <mergeCell ref="K39:L39"/>
    <mergeCell ref="M39:O39"/>
    <mergeCell ref="P39:R39"/>
    <mergeCell ref="T41:V41"/>
    <mergeCell ref="W41:Y41"/>
    <mergeCell ref="D42:F42"/>
    <mergeCell ref="G42:H42"/>
    <mergeCell ref="I42:J42"/>
    <mergeCell ref="K42:L42"/>
    <mergeCell ref="M42:O42"/>
    <mergeCell ref="P42:R42"/>
    <mergeCell ref="T42:V42"/>
    <mergeCell ref="W42:Y42"/>
    <mergeCell ref="D41:F41"/>
    <mergeCell ref="G41:H41"/>
    <mergeCell ref="I41:J41"/>
    <mergeCell ref="K41:L41"/>
    <mergeCell ref="M41:O41"/>
    <mergeCell ref="P41:R41"/>
    <mergeCell ref="T43:V43"/>
    <mergeCell ref="W43:Y43"/>
    <mergeCell ref="D44:F44"/>
    <mergeCell ref="G44:H44"/>
    <mergeCell ref="I44:J44"/>
    <mergeCell ref="K44:L44"/>
    <mergeCell ref="M44:O44"/>
    <mergeCell ref="P44:R44"/>
    <mergeCell ref="T44:V44"/>
    <mergeCell ref="W44:Y44"/>
    <mergeCell ref="D43:F43"/>
    <mergeCell ref="G43:H43"/>
    <mergeCell ref="I43:J43"/>
    <mergeCell ref="K43:L43"/>
    <mergeCell ref="M43:O43"/>
    <mergeCell ref="P43:R43"/>
    <mergeCell ref="T45:V45"/>
    <mergeCell ref="W45:Y45"/>
    <mergeCell ref="D46:F46"/>
    <mergeCell ref="G46:H46"/>
    <mergeCell ref="I46:J46"/>
    <mergeCell ref="K46:L46"/>
    <mergeCell ref="M46:O46"/>
    <mergeCell ref="P46:R46"/>
    <mergeCell ref="T46:V46"/>
    <mergeCell ref="W46:Y46"/>
    <mergeCell ref="D45:F45"/>
    <mergeCell ref="G45:H45"/>
    <mergeCell ref="I45:J45"/>
    <mergeCell ref="K45:L45"/>
    <mergeCell ref="M45:O45"/>
    <mergeCell ref="P45:R45"/>
    <mergeCell ref="T47:V47"/>
    <mergeCell ref="W47:Y47"/>
    <mergeCell ref="D48:F48"/>
    <mergeCell ref="G48:H48"/>
    <mergeCell ref="I48:J48"/>
    <mergeCell ref="K48:L48"/>
    <mergeCell ref="M48:O48"/>
    <mergeCell ref="P48:R48"/>
    <mergeCell ref="T48:V48"/>
    <mergeCell ref="W48:Y48"/>
    <mergeCell ref="D47:F47"/>
    <mergeCell ref="G47:H47"/>
    <mergeCell ref="I47:J47"/>
    <mergeCell ref="K47:L47"/>
    <mergeCell ref="M47:O47"/>
    <mergeCell ref="P47:R47"/>
    <mergeCell ref="T49:V49"/>
    <mergeCell ref="W49:Y49"/>
    <mergeCell ref="D50:F50"/>
    <mergeCell ref="G50:H50"/>
    <mergeCell ref="I50:J50"/>
    <mergeCell ref="K50:L50"/>
    <mergeCell ref="M50:O50"/>
    <mergeCell ref="P50:R50"/>
    <mergeCell ref="T50:V50"/>
    <mergeCell ref="W50:Y50"/>
    <mergeCell ref="D49:F49"/>
    <mergeCell ref="G49:H49"/>
    <mergeCell ref="I49:J49"/>
    <mergeCell ref="K49:L49"/>
    <mergeCell ref="M49:O49"/>
    <mergeCell ref="P49:R49"/>
    <mergeCell ref="T51:V51"/>
    <mergeCell ref="W51:Y51"/>
    <mergeCell ref="D52:F52"/>
    <mergeCell ref="G52:H52"/>
    <mergeCell ref="I52:J52"/>
    <mergeCell ref="K52:L52"/>
    <mergeCell ref="M52:O52"/>
    <mergeCell ref="P52:R52"/>
    <mergeCell ref="T52:V52"/>
    <mergeCell ref="W52:Y52"/>
    <mergeCell ref="D51:F51"/>
    <mergeCell ref="G51:H51"/>
    <mergeCell ref="I51:J51"/>
    <mergeCell ref="K51:L51"/>
    <mergeCell ref="M51:O51"/>
    <mergeCell ref="P51:R51"/>
    <mergeCell ref="T53:V53"/>
    <mergeCell ref="W53:Y53"/>
    <mergeCell ref="D54:F54"/>
    <mergeCell ref="G54:H54"/>
    <mergeCell ref="I54:J54"/>
    <mergeCell ref="K54:L54"/>
    <mergeCell ref="M54:O54"/>
    <mergeCell ref="P54:R54"/>
    <mergeCell ref="T54:V54"/>
    <mergeCell ref="W54:Y54"/>
    <mergeCell ref="D53:F53"/>
    <mergeCell ref="G53:H53"/>
    <mergeCell ref="I53:J53"/>
    <mergeCell ref="K53:L53"/>
    <mergeCell ref="M53:O53"/>
    <mergeCell ref="P53:R53"/>
    <mergeCell ref="T55:V55"/>
    <mergeCell ref="W55:Y55"/>
    <mergeCell ref="D56:F56"/>
    <mergeCell ref="G56:H56"/>
    <mergeCell ref="I56:J56"/>
    <mergeCell ref="K56:L56"/>
    <mergeCell ref="M56:O56"/>
    <mergeCell ref="P56:R56"/>
    <mergeCell ref="T56:V56"/>
    <mergeCell ref="W56:Y56"/>
    <mergeCell ref="D55:F55"/>
    <mergeCell ref="G55:H55"/>
    <mergeCell ref="I55:J55"/>
    <mergeCell ref="K55:L55"/>
    <mergeCell ref="M55:O55"/>
    <mergeCell ref="P55:R55"/>
    <mergeCell ref="T57:V57"/>
    <mergeCell ref="W57:Y57"/>
    <mergeCell ref="D58:F58"/>
    <mergeCell ref="G58:H58"/>
    <mergeCell ref="I58:J58"/>
    <mergeCell ref="K58:L58"/>
    <mergeCell ref="M58:O58"/>
    <mergeCell ref="P58:R58"/>
    <mergeCell ref="T58:V58"/>
    <mergeCell ref="W58:Y58"/>
    <mergeCell ref="D57:F57"/>
    <mergeCell ref="G57:H57"/>
    <mergeCell ref="I57:J57"/>
    <mergeCell ref="K57:L57"/>
    <mergeCell ref="M57:O57"/>
    <mergeCell ref="P57:R57"/>
    <mergeCell ref="T59:V59"/>
    <mergeCell ref="W59:Y59"/>
    <mergeCell ref="D60:F60"/>
    <mergeCell ref="G60:H60"/>
    <mergeCell ref="I60:J60"/>
    <mergeCell ref="K60:L60"/>
    <mergeCell ref="M60:O60"/>
    <mergeCell ref="P60:R60"/>
    <mergeCell ref="T60:V60"/>
    <mergeCell ref="W60:Y60"/>
    <mergeCell ref="D59:F59"/>
    <mergeCell ref="G59:H59"/>
    <mergeCell ref="I59:J59"/>
    <mergeCell ref="K59:L59"/>
    <mergeCell ref="M59:O59"/>
    <mergeCell ref="P59:R59"/>
    <mergeCell ref="T61:V61"/>
    <mergeCell ref="W61:Y61"/>
    <mergeCell ref="D62:F62"/>
    <mergeCell ref="G62:H62"/>
    <mergeCell ref="I62:J62"/>
    <mergeCell ref="K62:L62"/>
    <mergeCell ref="M62:O62"/>
    <mergeCell ref="P62:R62"/>
    <mergeCell ref="T62:V62"/>
    <mergeCell ref="W62:Y62"/>
    <mergeCell ref="D61:F61"/>
    <mergeCell ref="G61:H61"/>
    <mergeCell ref="I61:J61"/>
    <mergeCell ref="K61:L61"/>
    <mergeCell ref="M61:O61"/>
    <mergeCell ref="P61:R61"/>
    <mergeCell ref="T63:V63"/>
    <mergeCell ref="W63:Y63"/>
    <mergeCell ref="D64:F64"/>
    <mergeCell ref="G64:H64"/>
    <mergeCell ref="I64:J64"/>
    <mergeCell ref="K64:L64"/>
    <mergeCell ref="M64:O64"/>
    <mergeCell ref="P64:R64"/>
    <mergeCell ref="T64:V64"/>
    <mergeCell ref="W64:Y64"/>
    <mergeCell ref="D63:F63"/>
    <mergeCell ref="G63:H63"/>
    <mergeCell ref="I63:J63"/>
    <mergeCell ref="K63:L63"/>
    <mergeCell ref="M63:O63"/>
    <mergeCell ref="P63:R63"/>
    <mergeCell ref="T65:V65"/>
    <mergeCell ref="W65:Y65"/>
    <mergeCell ref="D66:F66"/>
    <mergeCell ref="G66:H66"/>
    <mergeCell ref="I66:J66"/>
    <mergeCell ref="K66:L66"/>
    <mergeCell ref="M66:O66"/>
    <mergeCell ref="P66:R66"/>
    <mergeCell ref="T66:V66"/>
    <mergeCell ref="W66:Y66"/>
    <mergeCell ref="D65:F65"/>
    <mergeCell ref="G65:H65"/>
    <mergeCell ref="I65:J65"/>
    <mergeCell ref="K65:L65"/>
    <mergeCell ref="M65:O65"/>
    <mergeCell ref="P65:R65"/>
    <mergeCell ref="T67:V67"/>
    <mergeCell ref="W67:Y67"/>
    <mergeCell ref="D68:F68"/>
    <mergeCell ref="G68:H68"/>
    <mergeCell ref="I68:J68"/>
    <mergeCell ref="K68:L68"/>
    <mergeCell ref="M68:O68"/>
    <mergeCell ref="P68:R68"/>
    <mergeCell ref="T68:V68"/>
    <mergeCell ref="W68:Y68"/>
    <mergeCell ref="D67:F67"/>
    <mergeCell ref="G67:H67"/>
    <mergeCell ref="I67:J67"/>
    <mergeCell ref="K67:L67"/>
    <mergeCell ref="M67:O67"/>
    <mergeCell ref="P67:R67"/>
    <mergeCell ref="T69:V69"/>
    <mergeCell ref="W69:Y69"/>
    <mergeCell ref="D70:F70"/>
    <mergeCell ref="G70:H70"/>
    <mergeCell ref="I70:J70"/>
    <mergeCell ref="K70:L70"/>
    <mergeCell ref="M70:O70"/>
    <mergeCell ref="P70:R70"/>
    <mergeCell ref="T70:V70"/>
    <mergeCell ref="W70:Y70"/>
    <mergeCell ref="D69:F69"/>
    <mergeCell ref="G69:H69"/>
    <mergeCell ref="I69:J69"/>
    <mergeCell ref="K69:L69"/>
    <mergeCell ref="M69:O69"/>
    <mergeCell ref="P69:R69"/>
    <mergeCell ref="T71:V71"/>
    <mergeCell ref="W71:Y71"/>
    <mergeCell ref="D72:F72"/>
    <mergeCell ref="G72:H72"/>
    <mergeCell ref="I72:J72"/>
    <mergeCell ref="K72:L72"/>
    <mergeCell ref="M72:O72"/>
    <mergeCell ref="P72:R72"/>
    <mergeCell ref="T72:V72"/>
    <mergeCell ref="W72:Y72"/>
    <mergeCell ref="D71:F71"/>
    <mergeCell ref="G71:H71"/>
    <mergeCell ref="I71:J71"/>
    <mergeCell ref="K71:L71"/>
    <mergeCell ref="M71:O71"/>
    <mergeCell ref="P71:R71"/>
    <mergeCell ref="T73:V73"/>
    <mergeCell ref="W73:Y73"/>
    <mergeCell ref="D74:F74"/>
    <mergeCell ref="G74:H74"/>
    <mergeCell ref="I74:J74"/>
    <mergeCell ref="K74:L74"/>
    <mergeCell ref="M74:O74"/>
    <mergeCell ref="P74:R74"/>
    <mergeCell ref="T74:V74"/>
    <mergeCell ref="W74:Y74"/>
    <mergeCell ref="D73:F73"/>
    <mergeCell ref="G73:H73"/>
    <mergeCell ref="I73:J73"/>
    <mergeCell ref="K73:L73"/>
    <mergeCell ref="M73:O73"/>
    <mergeCell ref="P73:R73"/>
    <mergeCell ref="T75:V75"/>
    <mergeCell ref="W75:Y75"/>
    <mergeCell ref="D76:F76"/>
    <mergeCell ref="G76:H76"/>
    <mergeCell ref="I76:J76"/>
    <mergeCell ref="K76:L76"/>
    <mergeCell ref="M76:O76"/>
    <mergeCell ref="P76:R76"/>
    <mergeCell ref="T76:V76"/>
    <mergeCell ref="W76:Y76"/>
    <mergeCell ref="D75:F75"/>
    <mergeCell ref="G75:H75"/>
    <mergeCell ref="I75:J75"/>
    <mergeCell ref="K75:L75"/>
    <mergeCell ref="M75:O75"/>
    <mergeCell ref="P75:R75"/>
    <mergeCell ref="T77:V77"/>
    <mergeCell ref="W77:Y77"/>
    <mergeCell ref="D78:F78"/>
    <mergeCell ref="G78:H78"/>
    <mergeCell ref="I78:J78"/>
    <mergeCell ref="K78:L78"/>
    <mergeCell ref="M78:O78"/>
    <mergeCell ref="P78:R78"/>
    <mergeCell ref="T78:V78"/>
    <mergeCell ref="W78:Y78"/>
    <mergeCell ref="D77:F77"/>
    <mergeCell ref="G77:H77"/>
    <mergeCell ref="I77:J77"/>
    <mergeCell ref="K77:L77"/>
    <mergeCell ref="M77:O77"/>
    <mergeCell ref="P77:R77"/>
    <mergeCell ref="T79:V79"/>
    <mergeCell ref="W79:Y79"/>
    <mergeCell ref="D80:F80"/>
    <mergeCell ref="G80:H80"/>
    <mergeCell ref="I80:J80"/>
    <mergeCell ref="K80:L80"/>
    <mergeCell ref="M80:O80"/>
    <mergeCell ref="P80:R80"/>
    <mergeCell ref="T80:V80"/>
    <mergeCell ref="W80:Y80"/>
    <mergeCell ref="D79:F79"/>
    <mergeCell ref="G79:H79"/>
    <mergeCell ref="I79:J79"/>
    <mergeCell ref="K79:L79"/>
    <mergeCell ref="M79:O79"/>
    <mergeCell ref="P79:R79"/>
    <mergeCell ref="T81:V81"/>
    <mergeCell ref="W81:Y81"/>
    <mergeCell ref="D82:F82"/>
    <mergeCell ref="G82:H82"/>
    <mergeCell ref="I82:J82"/>
    <mergeCell ref="K82:L82"/>
    <mergeCell ref="M82:O82"/>
    <mergeCell ref="P82:R82"/>
    <mergeCell ref="T82:V82"/>
    <mergeCell ref="W82:Y82"/>
    <mergeCell ref="D81:F81"/>
    <mergeCell ref="G81:H81"/>
    <mergeCell ref="I81:J81"/>
    <mergeCell ref="K81:L81"/>
    <mergeCell ref="M81:O81"/>
    <mergeCell ref="P81:R81"/>
    <mergeCell ref="T83:V83"/>
    <mergeCell ref="W83:Y83"/>
    <mergeCell ref="D84:F84"/>
    <mergeCell ref="G84:H84"/>
    <mergeCell ref="I84:J84"/>
    <mergeCell ref="K84:L84"/>
    <mergeCell ref="M84:O84"/>
    <mergeCell ref="P84:R84"/>
    <mergeCell ref="T84:V84"/>
    <mergeCell ref="W84:Y84"/>
    <mergeCell ref="D83:F83"/>
    <mergeCell ref="G83:H83"/>
    <mergeCell ref="I83:J83"/>
    <mergeCell ref="K83:L83"/>
    <mergeCell ref="M83:O83"/>
    <mergeCell ref="P83:R83"/>
    <mergeCell ref="T85:V85"/>
    <mergeCell ref="W85:Y85"/>
    <mergeCell ref="D86:F86"/>
    <mergeCell ref="G86:H86"/>
    <mergeCell ref="I86:J86"/>
    <mergeCell ref="K86:L86"/>
    <mergeCell ref="M86:O86"/>
    <mergeCell ref="P86:R86"/>
    <mergeCell ref="T86:V86"/>
    <mergeCell ref="W86:Y86"/>
    <mergeCell ref="D85:F85"/>
    <mergeCell ref="G85:H85"/>
    <mergeCell ref="I85:J85"/>
    <mergeCell ref="K85:L85"/>
    <mergeCell ref="M85:O85"/>
    <mergeCell ref="P85:R85"/>
    <mergeCell ref="T87:V87"/>
    <mergeCell ref="W87:Y87"/>
    <mergeCell ref="D88:F88"/>
    <mergeCell ref="G88:H88"/>
    <mergeCell ref="I88:J88"/>
    <mergeCell ref="K88:L88"/>
    <mergeCell ref="M88:O88"/>
    <mergeCell ref="P88:R88"/>
    <mergeCell ref="T88:V88"/>
    <mergeCell ref="W88:Y88"/>
    <mergeCell ref="D87:F87"/>
    <mergeCell ref="G87:H87"/>
    <mergeCell ref="I87:J87"/>
    <mergeCell ref="K87:L87"/>
    <mergeCell ref="M87:O87"/>
    <mergeCell ref="P87:R87"/>
  </mergeCells>
  <pageMargins left="0.83" right="0.8" top="1.06" bottom="0.95" header="0.49" footer="0.3"/>
  <pageSetup scale="55" orientation="portrait" horizontalDpi="4294967294" verticalDpi="4294967294" r:id="rId1"/>
  <headerFooter>
    <oddHeader>&amp;L&amp;G</oddHeader>
    <oddFooter>&amp;L&amp;G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82"/>
  <sheetViews>
    <sheetView workbookViewId="0">
      <pane ySplit="1" topLeftCell="A35" activePane="bottomLeft" state="frozen"/>
      <selection pane="bottomLeft" activeCell="B25" sqref="B25"/>
    </sheetView>
  </sheetViews>
  <sheetFormatPr baseColWidth="10" defaultRowHeight="14.4"/>
  <cols>
    <col min="2" max="2" width="14.5546875" bestFit="1" customWidth="1"/>
    <col min="3" max="3" width="13.6640625" bestFit="1" customWidth="1"/>
    <col min="4" max="4" width="12.5546875" bestFit="1" customWidth="1"/>
    <col min="5" max="6" width="12.5546875" customWidth="1"/>
    <col min="8" max="8" width="13.109375" bestFit="1" customWidth="1"/>
    <col min="9" max="9" width="14.33203125" bestFit="1" customWidth="1"/>
    <col min="10" max="10" width="20.6640625" bestFit="1" customWidth="1"/>
    <col min="11" max="11" width="18.33203125" bestFit="1" customWidth="1"/>
    <col min="12" max="12" width="22.44140625" bestFit="1" customWidth="1"/>
    <col min="13" max="13" width="24.33203125" bestFit="1" customWidth="1"/>
    <col min="14" max="14" width="22.5546875" bestFit="1" customWidth="1"/>
    <col min="15" max="15" width="24.5546875" bestFit="1" customWidth="1"/>
    <col min="16" max="16" width="22.88671875" bestFit="1" customWidth="1"/>
  </cols>
  <sheetData>
    <row r="1" spans="2:6">
      <c r="B1" s="3" t="s">
        <v>395</v>
      </c>
      <c r="C1" s="3" t="s">
        <v>403</v>
      </c>
      <c r="D1" s="3" t="s">
        <v>404</v>
      </c>
      <c r="E1" s="3" t="s">
        <v>407</v>
      </c>
      <c r="F1" s="3" t="s">
        <v>408</v>
      </c>
    </row>
    <row r="2" spans="2:6">
      <c r="B2" s="296">
        <v>20000</v>
      </c>
      <c r="C2" s="265">
        <v>245.00000000000003</v>
      </c>
      <c r="D2" s="297">
        <v>245.00000000000003</v>
      </c>
      <c r="E2" s="265">
        <v>245.00000000000003</v>
      </c>
      <c r="F2" s="265">
        <v>329.36500000000001</v>
      </c>
    </row>
    <row r="3" spans="2:6">
      <c r="B3" s="296">
        <v>21000</v>
      </c>
      <c r="C3" s="265">
        <v>245.00000000000003</v>
      </c>
      <c r="D3" s="297">
        <v>245.00000000000003</v>
      </c>
      <c r="E3" s="265">
        <v>245.00000000000003</v>
      </c>
      <c r="F3" s="265">
        <v>329.36500000000001</v>
      </c>
    </row>
    <row r="4" spans="2:6">
      <c r="B4" s="296">
        <v>22000</v>
      </c>
      <c r="C4" s="265">
        <v>245.00000000000003</v>
      </c>
      <c r="D4" s="297">
        <v>245.00000000000003</v>
      </c>
      <c r="E4" s="265">
        <v>245.00000000000003</v>
      </c>
      <c r="F4" s="265">
        <v>329.36500000000001</v>
      </c>
    </row>
    <row r="5" spans="2:6">
      <c r="B5" s="296">
        <v>23000</v>
      </c>
      <c r="C5" s="265">
        <v>245.00000000000003</v>
      </c>
      <c r="D5" s="297">
        <v>245.00000000000003</v>
      </c>
      <c r="E5" s="265">
        <v>245.00000000000003</v>
      </c>
      <c r="F5" s="265">
        <v>329.36500000000001</v>
      </c>
    </row>
    <row r="6" spans="2:6">
      <c r="B6" s="296">
        <v>24000</v>
      </c>
      <c r="C6" s="265">
        <v>245.00000000000003</v>
      </c>
      <c r="D6" s="297">
        <v>245.00000000000003</v>
      </c>
      <c r="E6" s="265">
        <v>245.00000000000003</v>
      </c>
      <c r="F6" s="265">
        <v>329.36500000000001</v>
      </c>
    </row>
    <row r="7" spans="2:6">
      <c r="B7" s="296">
        <v>25000</v>
      </c>
      <c r="C7" s="265">
        <v>245.00000000000003</v>
      </c>
      <c r="D7" s="297">
        <v>245.00000000000003</v>
      </c>
      <c r="E7" s="265">
        <v>245.00000000000003</v>
      </c>
      <c r="F7" s="265">
        <v>329.36500000000001</v>
      </c>
    </row>
    <row r="8" spans="2:6">
      <c r="B8" s="298">
        <v>26000</v>
      </c>
      <c r="C8" s="265">
        <v>245.00000000000003</v>
      </c>
      <c r="D8" s="297">
        <v>245.00000000000003</v>
      </c>
      <c r="E8" s="265">
        <v>245.00000000000003</v>
      </c>
      <c r="F8" s="265">
        <v>329.36500000000001</v>
      </c>
    </row>
    <row r="9" spans="2:6">
      <c r="B9" s="298">
        <v>27000</v>
      </c>
      <c r="C9" s="265">
        <v>245.00000000000003</v>
      </c>
      <c r="D9" s="297">
        <v>245.00000000000003</v>
      </c>
      <c r="E9" s="265">
        <v>245.00000000000003</v>
      </c>
      <c r="F9" s="265">
        <v>329.36500000000001</v>
      </c>
    </row>
    <row r="10" spans="2:6">
      <c r="B10" s="296">
        <v>28000</v>
      </c>
      <c r="C10" s="265">
        <v>245.00000000000003</v>
      </c>
      <c r="D10" s="297">
        <v>245.00000000000003</v>
      </c>
      <c r="E10" s="265">
        <v>245.00000000000003</v>
      </c>
      <c r="F10" s="265">
        <v>329.36500000000001</v>
      </c>
    </row>
    <row r="11" spans="2:6">
      <c r="B11" s="298">
        <v>29000</v>
      </c>
      <c r="C11" s="265">
        <v>245.00000000000003</v>
      </c>
      <c r="D11" s="297">
        <v>245.00000000000003</v>
      </c>
      <c r="E11" s="265">
        <v>245.00000000000003</v>
      </c>
      <c r="F11" s="265">
        <v>329.36500000000001</v>
      </c>
    </row>
    <row r="12" spans="2:6">
      <c r="B12" s="296">
        <v>30000</v>
      </c>
      <c r="C12" s="265">
        <v>245.00000000000003</v>
      </c>
      <c r="D12" s="297">
        <v>245.00000000000003</v>
      </c>
      <c r="E12" s="265">
        <v>245.00000000000003</v>
      </c>
      <c r="F12" s="265">
        <v>329.36500000000001</v>
      </c>
    </row>
    <row r="13" spans="2:6">
      <c r="B13" s="298">
        <v>31000</v>
      </c>
      <c r="C13" s="265">
        <v>245.00000000000003</v>
      </c>
      <c r="D13" s="297">
        <v>245.00000000000003</v>
      </c>
      <c r="E13" s="265">
        <v>245.00000000000003</v>
      </c>
      <c r="F13" s="265">
        <v>329.36500000000001</v>
      </c>
    </row>
    <row r="14" spans="2:6">
      <c r="B14" s="296">
        <v>32000</v>
      </c>
      <c r="C14" s="265">
        <v>245.00000000000003</v>
      </c>
      <c r="D14" s="297">
        <v>245.00000000000003</v>
      </c>
      <c r="E14" s="265">
        <v>245.00000000000003</v>
      </c>
      <c r="F14" s="265">
        <v>329.36500000000001</v>
      </c>
    </row>
    <row r="15" spans="2:6">
      <c r="B15" s="298">
        <v>33000</v>
      </c>
      <c r="C15" s="265">
        <v>245.00000000000003</v>
      </c>
      <c r="D15" s="297">
        <v>245.00000000000003</v>
      </c>
      <c r="E15" s="265">
        <v>245.00000000000003</v>
      </c>
      <c r="F15" s="265">
        <v>329.36500000000001</v>
      </c>
    </row>
    <row r="16" spans="2:6">
      <c r="B16" s="298">
        <v>34000</v>
      </c>
      <c r="C16" s="265">
        <v>245.00000000000003</v>
      </c>
      <c r="D16" s="297">
        <v>245.00000000000003</v>
      </c>
      <c r="E16" s="265">
        <v>245.00000000000003</v>
      </c>
      <c r="F16" s="265">
        <v>329.36500000000001</v>
      </c>
    </row>
    <row r="17" spans="2:6">
      <c r="B17" s="296">
        <v>35000</v>
      </c>
      <c r="C17" s="265">
        <v>245.00000000000003</v>
      </c>
      <c r="D17" s="297">
        <v>245.00000000000003</v>
      </c>
      <c r="E17" s="265">
        <v>245.00000000000003</v>
      </c>
      <c r="F17" s="265">
        <v>329.36500000000001</v>
      </c>
    </row>
    <row r="18" spans="2:6">
      <c r="B18" s="298">
        <v>36000</v>
      </c>
      <c r="C18" s="265">
        <v>245.00000000000003</v>
      </c>
      <c r="D18" s="297">
        <v>245.00000000000003</v>
      </c>
      <c r="E18" s="265">
        <v>245.00000000000003</v>
      </c>
      <c r="F18" s="265">
        <v>329.36500000000001</v>
      </c>
    </row>
    <row r="19" spans="2:6">
      <c r="B19" s="296">
        <v>37000</v>
      </c>
      <c r="C19" s="265">
        <v>245.00000000000003</v>
      </c>
      <c r="D19" s="297">
        <v>245.00000000000003</v>
      </c>
      <c r="E19" s="265">
        <v>245.00000000000003</v>
      </c>
      <c r="F19" s="265">
        <v>329.36500000000001</v>
      </c>
    </row>
    <row r="20" spans="2:6">
      <c r="B20" s="298">
        <v>38000</v>
      </c>
      <c r="C20" s="265">
        <v>245.00000000000003</v>
      </c>
      <c r="D20" s="297">
        <v>245.00000000000003</v>
      </c>
      <c r="E20" s="265">
        <v>245.00000000000003</v>
      </c>
      <c r="F20" s="265">
        <v>329.36500000000001</v>
      </c>
    </row>
    <row r="21" spans="2:6">
      <c r="B21" s="296">
        <v>39000</v>
      </c>
      <c r="C21" s="265">
        <v>245.00000000000003</v>
      </c>
      <c r="D21" s="297">
        <v>245.00000000000003</v>
      </c>
      <c r="E21" s="265">
        <v>245.00000000000003</v>
      </c>
      <c r="F21" s="265">
        <v>329.36500000000001</v>
      </c>
    </row>
    <row r="22" spans="2:6">
      <c r="B22" s="298">
        <v>40000</v>
      </c>
      <c r="C22" s="265">
        <v>245.00000000000003</v>
      </c>
      <c r="D22" s="297">
        <v>245.00000000000003</v>
      </c>
      <c r="E22" s="265">
        <v>245.00000000000003</v>
      </c>
      <c r="F22" s="265">
        <v>373.51499999999999</v>
      </c>
    </row>
    <row r="23" spans="2:6">
      <c r="B23" s="298">
        <v>41000</v>
      </c>
      <c r="C23" s="265">
        <v>245.00000000000003</v>
      </c>
      <c r="D23" s="297">
        <v>245.00000000000003</v>
      </c>
      <c r="E23" s="265">
        <v>245.00000000000003</v>
      </c>
      <c r="F23" s="265">
        <v>373.51499999999999</v>
      </c>
    </row>
    <row r="24" spans="2:6">
      <c r="B24" s="296">
        <v>42000</v>
      </c>
      <c r="C24" s="265">
        <v>245.00000000000003</v>
      </c>
      <c r="D24" s="297">
        <v>245.00000000000003</v>
      </c>
      <c r="E24" s="265">
        <v>246.96000000000004</v>
      </c>
      <c r="F24" s="265">
        <v>373.64239999999995</v>
      </c>
    </row>
    <row r="25" spans="2:6">
      <c r="B25" s="298">
        <v>43000</v>
      </c>
      <c r="C25" s="265">
        <v>245.00000000000003</v>
      </c>
      <c r="D25" s="297">
        <v>245.00000000000003</v>
      </c>
      <c r="E25" s="265">
        <v>252.84000000000003</v>
      </c>
      <c r="F25" s="265">
        <v>374.02459999999996</v>
      </c>
    </row>
    <row r="26" spans="2:6">
      <c r="B26" s="296">
        <v>44000</v>
      </c>
      <c r="C26" s="265">
        <v>245.00000000000003</v>
      </c>
      <c r="D26" s="297">
        <v>245.00000000000003</v>
      </c>
      <c r="E26" s="265">
        <v>258.72000000000003</v>
      </c>
      <c r="F26" s="265">
        <v>374.40679999999998</v>
      </c>
    </row>
    <row r="27" spans="2:6">
      <c r="B27" s="296">
        <v>45000</v>
      </c>
      <c r="C27" s="265">
        <v>245.00000000000003</v>
      </c>
      <c r="D27" s="297">
        <v>245.00000000000003</v>
      </c>
      <c r="E27" s="265">
        <v>264.60000000000002</v>
      </c>
      <c r="F27" s="265">
        <v>374.78899999999999</v>
      </c>
    </row>
    <row r="28" spans="2:6">
      <c r="B28" s="298">
        <v>46000</v>
      </c>
      <c r="C28" s="265">
        <v>245.00000000000003</v>
      </c>
      <c r="D28" s="297">
        <v>245.00000000000003</v>
      </c>
      <c r="E28" s="265">
        <v>270.48</v>
      </c>
      <c r="F28" s="265">
        <v>375.1712</v>
      </c>
    </row>
    <row r="29" spans="2:6">
      <c r="B29" s="298">
        <v>47000</v>
      </c>
      <c r="C29" s="265">
        <v>245.00000000000003</v>
      </c>
      <c r="D29" s="297">
        <v>245.00000000000003</v>
      </c>
      <c r="E29" s="265">
        <v>276.36</v>
      </c>
      <c r="F29" s="265">
        <v>375.55339999999995</v>
      </c>
    </row>
    <row r="30" spans="2:6">
      <c r="B30" s="298">
        <v>48000</v>
      </c>
      <c r="C30" s="265">
        <v>245.00000000000003</v>
      </c>
      <c r="D30" s="297">
        <v>245.00000000000003</v>
      </c>
      <c r="E30" s="265">
        <v>282.24</v>
      </c>
      <c r="F30" s="265">
        <v>375.93559999999997</v>
      </c>
    </row>
    <row r="31" spans="2:6">
      <c r="B31" s="298">
        <v>49000</v>
      </c>
      <c r="C31" s="265">
        <v>245.00000000000003</v>
      </c>
      <c r="D31" s="297">
        <v>245.00000000000003</v>
      </c>
      <c r="E31" s="265">
        <v>288.12000000000006</v>
      </c>
      <c r="F31" s="265">
        <v>376.31779999999998</v>
      </c>
    </row>
    <row r="32" spans="2:6">
      <c r="B32" s="298">
        <v>50000</v>
      </c>
      <c r="C32" s="265">
        <v>245.00000000000003</v>
      </c>
      <c r="D32" s="297">
        <v>245.00000000000003</v>
      </c>
      <c r="E32" s="265">
        <v>294.00000000000006</v>
      </c>
      <c r="F32" s="265">
        <v>418.84000000000003</v>
      </c>
    </row>
    <row r="33" spans="2:6">
      <c r="B33" s="296">
        <v>51000</v>
      </c>
      <c r="C33" s="265">
        <v>245.00000000000003</v>
      </c>
      <c r="D33" s="297">
        <v>245.00000000000003</v>
      </c>
      <c r="E33" s="265">
        <v>299.88000000000005</v>
      </c>
      <c r="F33" s="265">
        <v>419.22220000000004</v>
      </c>
    </row>
    <row r="34" spans="2:6">
      <c r="B34" s="296">
        <v>52000</v>
      </c>
      <c r="C34" s="265">
        <v>245.00000000000003</v>
      </c>
      <c r="D34" s="297">
        <v>245.00000000000003</v>
      </c>
      <c r="E34" s="265">
        <v>305.76000000000005</v>
      </c>
      <c r="F34" s="265">
        <v>419.6044</v>
      </c>
    </row>
    <row r="35" spans="2:6">
      <c r="B35" s="296">
        <v>53000</v>
      </c>
      <c r="C35" s="265">
        <v>245.00000000000003</v>
      </c>
      <c r="D35" s="297">
        <v>245.00000000000003</v>
      </c>
      <c r="E35" s="265">
        <v>311.64000000000004</v>
      </c>
      <c r="F35" s="265">
        <v>419.98660000000001</v>
      </c>
    </row>
    <row r="36" spans="2:6">
      <c r="B36" s="298">
        <v>54000</v>
      </c>
      <c r="C36" s="265">
        <v>245.00000000000003</v>
      </c>
      <c r="D36" s="297">
        <v>245.00000000000003</v>
      </c>
      <c r="E36" s="265">
        <v>317.52000000000004</v>
      </c>
      <c r="F36" s="265">
        <v>420.36880000000002</v>
      </c>
    </row>
    <row r="37" spans="2:6">
      <c r="B37" s="298">
        <v>55000</v>
      </c>
      <c r="C37" s="265">
        <v>245.00000000000003</v>
      </c>
      <c r="D37" s="297">
        <v>245.00000000000003</v>
      </c>
      <c r="E37" s="265">
        <v>323.40000000000003</v>
      </c>
      <c r="F37" s="265">
        <v>434.27100000000002</v>
      </c>
    </row>
    <row r="38" spans="2:6">
      <c r="B38" s="298">
        <v>56000</v>
      </c>
      <c r="C38" s="265">
        <v>245.00000000000003</v>
      </c>
      <c r="D38" s="297">
        <v>245.00000000000003</v>
      </c>
      <c r="E38" s="265">
        <v>329.28000000000003</v>
      </c>
      <c r="F38" s="265">
        <v>434.65320000000003</v>
      </c>
    </row>
    <row r="39" spans="2:6">
      <c r="B39" s="298">
        <v>57000</v>
      </c>
      <c r="C39" s="265">
        <v>245.00000000000003</v>
      </c>
      <c r="D39" s="297">
        <v>245.00000000000003</v>
      </c>
      <c r="E39" s="265">
        <v>335.16</v>
      </c>
      <c r="F39" s="265">
        <v>435.03539999999998</v>
      </c>
    </row>
    <row r="40" spans="2:6">
      <c r="B40" s="298">
        <v>58000</v>
      </c>
      <c r="C40" s="265">
        <v>245.00000000000003</v>
      </c>
      <c r="D40" s="297">
        <v>245.00000000000003</v>
      </c>
      <c r="E40" s="265">
        <v>341.04</v>
      </c>
      <c r="F40" s="265">
        <v>435.41759999999999</v>
      </c>
    </row>
    <row r="41" spans="2:6">
      <c r="B41" s="298">
        <v>59000</v>
      </c>
      <c r="C41" s="265">
        <v>245.00000000000003</v>
      </c>
      <c r="D41" s="297">
        <v>245.00000000000003</v>
      </c>
      <c r="E41" s="265">
        <v>346.92</v>
      </c>
      <c r="F41" s="265">
        <v>435.7998</v>
      </c>
    </row>
    <row r="42" spans="2:6">
      <c r="B42" s="296">
        <v>60000</v>
      </c>
      <c r="C42" s="265">
        <v>245.00000000000003</v>
      </c>
      <c r="D42" s="297">
        <v>245.00000000000003</v>
      </c>
      <c r="E42" s="265">
        <v>352.8</v>
      </c>
      <c r="F42" s="265">
        <v>457.68200000000002</v>
      </c>
    </row>
    <row r="43" spans="2:6">
      <c r="B43" s="298">
        <v>61000</v>
      </c>
      <c r="C43" s="265">
        <v>245.00000000000003</v>
      </c>
      <c r="D43" s="297">
        <v>245.00000000000003</v>
      </c>
      <c r="E43" s="265">
        <v>358.68000000000006</v>
      </c>
      <c r="F43" s="265">
        <v>458.06420000000003</v>
      </c>
    </row>
    <row r="44" spans="2:6">
      <c r="B44" s="298">
        <v>62000</v>
      </c>
      <c r="C44" s="265">
        <v>245.00000000000003</v>
      </c>
      <c r="D44" s="297">
        <v>245.00000000000003</v>
      </c>
      <c r="E44" s="265">
        <v>364.56</v>
      </c>
      <c r="F44" s="265">
        <v>458.44639999999998</v>
      </c>
    </row>
    <row r="45" spans="2:6">
      <c r="B45" s="298">
        <v>63000</v>
      </c>
      <c r="C45" s="265">
        <v>245.00000000000003</v>
      </c>
      <c r="D45" s="297">
        <v>246.96000000000004</v>
      </c>
      <c r="E45" s="265">
        <v>370.44000000000005</v>
      </c>
      <c r="F45" s="265">
        <v>458.82859999999999</v>
      </c>
    </row>
    <row r="46" spans="2:6">
      <c r="B46" s="298">
        <v>64000</v>
      </c>
      <c r="C46" s="265">
        <v>245.00000000000003</v>
      </c>
      <c r="D46" s="297">
        <v>250.88000000000002</v>
      </c>
      <c r="E46" s="265">
        <v>376.32</v>
      </c>
      <c r="F46" s="265">
        <v>459.21080000000001</v>
      </c>
    </row>
    <row r="47" spans="2:6">
      <c r="B47" s="298">
        <v>65000</v>
      </c>
      <c r="C47" s="265">
        <v>245.00000000000003</v>
      </c>
      <c r="D47" s="297">
        <v>254.80000000000004</v>
      </c>
      <c r="E47" s="265">
        <v>382.20000000000005</v>
      </c>
      <c r="F47" s="265">
        <v>473.483</v>
      </c>
    </row>
    <row r="48" spans="2:6">
      <c r="B48" s="298">
        <v>66000</v>
      </c>
      <c r="C48" s="265">
        <v>245.00000000000003</v>
      </c>
      <c r="D48" s="297">
        <v>258.72000000000003</v>
      </c>
      <c r="E48" s="265">
        <v>388.08</v>
      </c>
      <c r="F48" s="265">
        <v>473.86520000000002</v>
      </c>
    </row>
    <row r="49" spans="2:6">
      <c r="B49" s="298">
        <v>67000</v>
      </c>
      <c r="C49" s="265">
        <v>245.00000000000003</v>
      </c>
      <c r="D49" s="297">
        <v>262.64000000000004</v>
      </c>
      <c r="E49" s="265">
        <v>393.96000000000004</v>
      </c>
      <c r="F49" s="265">
        <v>474.24739999999997</v>
      </c>
    </row>
    <row r="50" spans="2:6">
      <c r="B50" s="296">
        <v>68000</v>
      </c>
      <c r="C50" s="265">
        <v>245.00000000000003</v>
      </c>
      <c r="D50" s="297">
        <v>266.56</v>
      </c>
      <c r="E50" s="265">
        <v>399.84000000000009</v>
      </c>
      <c r="F50" s="265">
        <v>474.62959999999998</v>
      </c>
    </row>
    <row r="51" spans="2:6">
      <c r="B51" s="298">
        <v>69000</v>
      </c>
      <c r="C51" s="265">
        <v>245.00000000000003</v>
      </c>
      <c r="D51" s="297">
        <v>270.48</v>
      </c>
      <c r="E51" s="265">
        <v>405.72</v>
      </c>
      <c r="F51" s="265">
        <v>475.01179999999999</v>
      </c>
    </row>
    <row r="52" spans="2:6">
      <c r="B52" s="296">
        <v>70000</v>
      </c>
      <c r="C52" s="265">
        <v>245.00000000000003</v>
      </c>
      <c r="D52" s="297">
        <v>274.40000000000003</v>
      </c>
      <c r="E52" s="265">
        <v>411.60000000000008</v>
      </c>
      <c r="F52" s="265">
        <v>521.84399999999994</v>
      </c>
    </row>
    <row r="53" spans="2:6">
      <c r="B53" s="298">
        <v>71000</v>
      </c>
      <c r="C53" s="265">
        <v>245.00000000000003</v>
      </c>
      <c r="D53" s="297">
        <v>278.32</v>
      </c>
      <c r="E53" s="265">
        <v>417.48</v>
      </c>
      <c r="F53" s="265">
        <v>522.22619999999995</v>
      </c>
    </row>
    <row r="54" spans="2:6">
      <c r="B54" s="298">
        <v>72000</v>
      </c>
      <c r="C54" s="265">
        <v>246.96000000000006</v>
      </c>
      <c r="D54" s="297">
        <v>282.24</v>
      </c>
      <c r="E54" s="265">
        <v>423.36000000000007</v>
      </c>
      <c r="F54" s="265">
        <v>520.64839999999981</v>
      </c>
    </row>
    <row r="55" spans="2:6">
      <c r="B55" s="296">
        <v>73000</v>
      </c>
      <c r="C55" s="265">
        <v>250.39000000000007</v>
      </c>
      <c r="D55" s="297">
        <v>286.16000000000003</v>
      </c>
      <c r="E55" s="265">
        <v>429.24</v>
      </c>
      <c r="F55" s="265">
        <v>517.60059999999999</v>
      </c>
    </row>
    <row r="56" spans="2:6">
      <c r="B56" s="298">
        <v>74000</v>
      </c>
      <c r="C56" s="265">
        <v>253.82000000000005</v>
      </c>
      <c r="D56" s="297">
        <v>290.08000000000004</v>
      </c>
      <c r="E56" s="265">
        <v>435.12000000000006</v>
      </c>
      <c r="F56" s="265">
        <v>514.55279999999993</v>
      </c>
    </row>
    <row r="57" spans="2:6">
      <c r="B57" s="296">
        <v>75000</v>
      </c>
      <c r="C57" s="265">
        <v>257.25000000000006</v>
      </c>
      <c r="D57" s="297">
        <v>294.00000000000006</v>
      </c>
      <c r="E57" s="265">
        <v>441.00000000000006</v>
      </c>
      <c r="F57" s="265">
        <v>526.76499999999999</v>
      </c>
    </row>
    <row r="58" spans="2:6">
      <c r="B58" s="298">
        <v>76000</v>
      </c>
      <c r="C58" s="265">
        <v>245.00000000000003</v>
      </c>
      <c r="D58" s="297">
        <v>268.12800000000004</v>
      </c>
      <c r="E58" s="265">
        <v>446.88000000000005</v>
      </c>
      <c r="F58" s="265">
        <v>539.39720000000011</v>
      </c>
    </row>
    <row r="59" spans="2:6">
      <c r="B59" s="296">
        <v>77000</v>
      </c>
      <c r="C59" s="265">
        <v>245.00000000000003</v>
      </c>
      <c r="D59" s="297">
        <v>271.65600000000001</v>
      </c>
      <c r="E59" s="265">
        <v>452.76000000000005</v>
      </c>
      <c r="F59" s="265">
        <v>539.77940000000001</v>
      </c>
    </row>
    <row r="60" spans="2:6">
      <c r="B60" s="298">
        <v>78000</v>
      </c>
      <c r="C60" s="265">
        <v>245.00000000000003</v>
      </c>
      <c r="D60" s="297">
        <v>275.18400000000003</v>
      </c>
      <c r="E60" s="265">
        <v>458.64000000000004</v>
      </c>
      <c r="F60" s="265">
        <v>540.16160000000002</v>
      </c>
    </row>
    <row r="61" spans="2:6">
      <c r="B61" s="298">
        <v>79000</v>
      </c>
      <c r="C61" s="265">
        <v>245.00000000000003</v>
      </c>
      <c r="D61" s="297">
        <v>278.71200000000005</v>
      </c>
      <c r="E61" s="265">
        <v>464.52000000000004</v>
      </c>
      <c r="F61" s="265">
        <v>540.54380000000003</v>
      </c>
    </row>
    <row r="62" spans="2:6">
      <c r="B62" s="296">
        <v>80000</v>
      </c>
      <c r="C62" s="265">
        <v>246.96000000000004</v>
      </c>
      <c r="D62" s="297">
        <v>282.24</v>
      </c>
      <c r="E62" s="265">
        <v>470.40000000000003</v>
      </c>
      <c r="F62" s="265">
        <v>554.226</v>
      </c>
    </row>
    <row r="63" spans="2:6">
      <c r="B63" s="298">
        <v>81000</v>
      </c>
      <c r="C63" s="265">
        <v>250.04700000000005</v>
      </c>
      <c r="D63" s="297">
        <v>285.76800000000003</v>
      </c>
      <c r="E63" s="265">
        <v>476.28000000000003</v>
      </c>
      <c r="F63" s="265">
        <v>551.52119999999991</v>
      </c>
    </row>
    <row r="64" spans="2:6">
      <c r="B64" s="296">
        <v>82000</v>
      </c>
      <c r="C64" s="265">
        <v>253.13400000000001</v>
      </c>
      <c r="D64" s="297">
        <v>289.29599999999999</v>
      </c>
      <c r="E64" s="265">
        <v>482.16000000000008</v>
      </c>
      <c r="F64" s="265">
        <v>548.81640000000004</v>
      </c>
    </row>
    <row r="65" spans="2:6">
      <c r="B65" s="299">
        <v>83000</v>
      </c>
      <c r="C65" s="265">
        <v>256.221</v>
      </c>
      <c r="D65" s="297">
        <v>292.82400000000001</v>
      </c>
      <c r="E65" s="265">
        <v>488.04</v>
      </c>
      <c r="F65" s="265">
        <v>546.11159999999995</v>
      </c>
    </row>
    <row r="66" spans="2:6">
      <c r="B66" s="299">
        <v>84000</v>
      </c>
      <c r="C66" s="265">
        <v>259.30800000000005</v>
      </c>
      <c r="D66" s="297">
        <v>296.35200000000003</v>
      </c>
      <c r="E66" s="265">
        <v>493.92000000000007</v>
      </c>
      <c r="F66" s="265">
        <v>543.40679999999998</v>
      </c>
    </row>
    <row r="67" spans="2:6">
      <c r="B67" s="296">
        <v>85000</v>
      </c>
      <c r="C67" s="265">
        <v>262.39500000000004</v>
      </c>
      <c r="D67" s="297">
        <v>299.88</v>
      </c>
      <c r="E67" s="265">
        <v>499.8</v>
      </c>
      <c r="F67" s="265">
        <v>555.952</v>
      </c>
    </row>
    <row r="68" spans="2:6">
      <c r="B68" s="298">
        <v>86000</v>
      </c>
      <c r="C68" s="265">
        <v>265.48200000000003</v>
      </c>
      <c r="D68" s="297">
        <v>303.40800000000002</v>
      </c>
      <c r="E68" s="265">
        <v>505.68000000000006</v>
      </c>
      <c r="F68" s="265">
        <v>553.24719999999991</v>
      </c>
    </row>
    <row r="69" spans="2:6">
      <c r="B69" s="296">
        <v>87000</v>
      </c>
      <c r="C69" s="265">
        <v>268.56900000000002</v>
      </c>
      <c r="D69" s="297">
        <v>306.93599999999998</v>
      </c>
      <c r="E69" s="265">
        <v>511.56</v>
      </c>
      <c r="F69" s="265">
        <v>550.54240000000004</v>
      </c>
    </row>
    <row r="70" spans="2:6">
      <c r="B70" s="298">
        <v>88000</v>
      </c>
      <c r="C70" s="265">
        <v>271.65600000000001</v>
      </c>
      <c r="D70" s="297">
        <v>310.464</v>
      </c>
      <c r="E70" s="265">
        <v>517.44000000000005</v>
      </c>
      <c r="F70" s="265">
        <v>547.83759999999995</v>
      </c>
    </row>
    <row r="71" spans="2:6">
      <c r="B71" s="298">
        <v>89000</v>
      </c>
      <c r="C71" s="265">
        <v>274.74300000000005</v>
      </c>
      <c r="D71" s="297">
        <v>313.99200000000002</v>
      </c>
      <c r="E71" s="265">
        <v>523.32000000000005</v>
      </c>
      <c r="F71" s="265">
        <v>545.13279999999997</v>
      </c>
    </row>
    <row r="72" spans="2:6">
      <c r="B72" s="296">
        <v>90000</v>
      </c>
      <c r="C72" s="265">
        <v>277.83000000000004</v>
      </c>
      <c r="D72" s="297">
        <v>317.52</v>
      </c>
      <c r="E72" s="265">
        <v>529.20000000000005</v>
      </c>
      <c r="F72" s="265">
        <v>557.68799999999999</v>
      </c>
    </row>
    <row r="73" spans="2:6">
      <c r="B73" s="298">
        <v>91000</v>
      </c>
      <c r="C73" s="265">
        <v>280.91700000000009</v>
      </c>
      <c r="D73" s="297">
        <v>321.048</v>
      </c>
      <c r="E73" s="265">
        <v>535.08000000000004</v>
      </c>
      <c r="F73" s="265">
        <v>554.98320000000001</v>
      </c>
    </row>
    <row r="74" spans="2:6">
      <c r="B74" s="296">
        <v>92000</v>
      </c>
      <c r="C74" s="265">
        <v>284.00400000000002</v>
      </c>
      <c r="D74" s="297">
        <v>324.57599999999996</v>
      </c>
      <c r="E74" s="265">
        <v>540.96</v>
      </c>
      <c r="F74" s="265">
        <v>552.27840000000003</v>
      </c>
    </row>
    <row r="75" spans="2:6">
      <c r="B75" s="298">
        <v>93000</v>
      </c>
      <c r="C75" s="265">
        <v>287.09100000000001</v>
      </c>
      <c r="D75" s="297">
        <v>328.10399999999998</v>
      </c>
      <c r="E75" s="265">
        <v>546.84</v>
      </c>
      <c r="F75" s="265">
        <v>549.57360000000006</v>
      </c>
    </row>
    <row r="76" spans="2:6">
      <c r="B76" s="298">
        <v>94000</v>
      </c>
      <c r="C76" s="265">
        <v>290.17800000000005</v>
      </c>
      <c r="D76" s="297">
        <v>331.63200000000001</v>
      </c>
      <c r="E76" s="265">
        <v>552.72</v>
      </c>
      <c r="F76" s="265">
        <v>546.86879999999996</v>
      </c>
    </row>
    <row r="77" spans="2:6">
      <c r="B77" s="298">
        <v>95000</v>
      </c>
      <c r="C77" s="265">
        <v>293.26500000000004</v>
      </c>
      <c r="D77" s="297">
        <v>335.16</v>
      </c>
      <c r="E77" s="265">
        <v>558.6</v>
      </c>
      <c r="F77" s="265">
        <v>559.42399999999998</v>
      </c>
    </row>
    <row r="78" spans="2:6">
      <c r="B78" s="296">
        <v>96000</v>
      </c>
      <c r="C78" s="265">
        <v>296.35200000000003</v>
      </c>
      <c r="D78" s="297">
        <v>338.68799999999999</v>
      </c>
      <c r="E78" s="265">
        <v>564.48</v>
      </c>
      <c r="F78" s="265">
        <v>556.7192</v>
      </c>
    </row>
    <row r="79" spans="2:6">
      <c r="B79" s="298">
        <v>97000</v>
      </c>
      <c r="C79" s="265">
        <v>299.43900000000002</v>
      </c>
      <c r="D79" s="297">
        <v>342.21599999999995</v>
      </c>
      <c r="E79" s="265">
        <v>570.36</v>
      </c>
      <c r="F79" s="265">
        <v>554.01440000000002</v>
      </c>
    </row>
    <row r="80" spans="2:6">
      <c r="B80" s="296">
        <v>98000</v>
      </c>
      <c r="C80" s="265">
        <v>302.52600000000007</v>
      </c>
      <c r="D80" s="297">
        <v>345.74399999999997</v>
      </c>
      <c r="E80" s="265">
        <v>576.24000000000012</v>
      </c>
      <c r="F80" s="265">
        <v>551.30959999999993</v>
      </c>
    </row>
    <row r="81" spans="2:6">
      <c r="B81" s="296">
        <v>99000</v>
      </c>
      <c r="C81" s="265">
        <v>305.61300000000006</v>
      </c>
      <c r="D81" s="297">
        <v>349.27199999999999</v>
      </c>
      <c r="E81" s="265">
        <v>582.12</v>
      </c>
      <c r="F81" s="265">
        <v>548.60479999999995</v>
      </c>
    </row>
    <row r="82" spans="2:6">
      <c r="B82" s="298">
        <v>100000</v>
      </c>
      <c r="C82" s="265">
        <v>308.70000000000005</v>
      </c>
      <c r="D82" s="297">
        <v>352.79999999999995</v>
      </c>
      <c r="E82" s="265">
        <v>588.00000000000011</v>
      </c>
      <c r="F82" s="265">
        <v>552.14</v>
      </c>
    </row>
    <row r="83" spans="2:6">
      <c r="B83" s="298">
        <v>101000</v>
      </c>
      <c r="C83" s="265">
        <v>311.78700000000009</v>
      </c>
      <c r="D83" s="297">
        <v>356.32799999999997</v>
      </c>
      <c r="E83" s="265">
        <v>593.88</v>
      </c>
      <c r="F83" s="265">
        <v>549.4351999999999</v>
      </c>
    </row>
    <row r="84" spans="2:6">
      <c r="B84" s="298">
        <v>102000</v>
      </c>
      <c r="C84" s="265">
        <v>314.87400000000002</v>
      </c>
      <c r="D84" s="297">
        <v>359.85599999999999</v>
      </c>
      <c r="E84" s="265">
        <v>599.7600000000001</v>
      </c>
      <c r="F84" s="265">
        <v>546.73040000000003</v>
      </c>
    </row>
    <row r="85" spans="2:6">
      <c r="B85" s="298">
        <v>103000</v>
      </c>
      <c r="C85" s="265">
        <v>317.96100000000007</v>
      </c>
      <c r="D85" s="297">
        <v>363.38400000000001</v>
      </c>
      <c r="E85" s="265">
        <v>605.64</v>
      </c>
      <c r="F85" s="265">
        <v>544.02559999999994</v>
      </c>
    </row>
    <row r="86" spans="2:6">
      <c r="B86" s="298">
        <v>104000</v>
      </c>
      <c r="C86" s="265">
        <v>321.04800000000006</v>
      </c>
      <c r="D86" s="297">
        <v>366.91200000000003</v>
      </c>
      <c r="E86" s="265">
        <v>611.5200000000001</v>
      </c>
      <c r="F86" s="265">
        <v>541.32079999999996</v>
      </c>
    </row>
    <row r="87" spans="2:6">
      <c r="B87" s="296">
        <v>105000</v>
      </c>
      <c r="C87" s="265">
        <v>324.13500000000005</v>
      </c>
      <c r="D87" s="297">
        <v>370.44</v>
      </c>
      <c r="E87" s="265">
        <v>617.40000000000009</v>
      </c>
      <c r="F87" s="265">
        <v>550.77599999999995</v>
      </c>
    </row>
    <row r="88" spans="2:6">
      <c r="B88" s="296">
        <v>106000</v>
      </c>
      <c r="C88" s="265">
        <v>327.22200000000004</v>
      </c>
      <c r="D88" s="297">
        <v>373.96800000000002</v>
      </c>
      <c r="E88" s="265">
        <v>623.28000000000009</v>
      </c>
      <c r="F88" s="265">
        <v>548.07119999999998</v>
      </c>
    </row>
    <row r="89" spans="2:6">
      <c r="B89" s="298">
        <v>107000</v>
      </c>
      <c r="C89" s="265">
        <v>330.30900000000003</v>
      </c>
      <c r="D89" s="297">
        <v>377.49600000000004</v>
      </c>
      <c r="E89" s="265">
        <v>629.16000000000008</v>
      </c>
      <c r="F89" s="265">
        <v>545.3664</v>
      </c>
    </row>
    <row r="90" spans="2:6">
      <c r="B90" s="298">
        <v>108000</v>
      </c>
      <c r="C90" s="265">
        <v>333.39600000000007</v>
      </c>
      <c r="D90" s="297">
        <v>381.02400000000006</v>
      </c>
      <c r="E90" s="265">
        <v>635.04000000000008</v>
      </c>
      <c r="F90" s="265">
        <v>542.66159999999991</v>
      </c>
    </row>
    <row r="91" spans="2:6">
      <c r="B91" s="298">
        <v>109000</v>
      </c>
      <c r="C91" s="265">
        <v>336.48300000000006</v>
      </c>
      <c r="D91" s="297">
        <v>384.55199999999996</v>
      </c>
      <c r="E91" s="265">
        <v>640.92000000000007</v>
      </c>
      <c r="F91" s="265">
        <v>539.95679999999993</v>
      </c>
    </row>
    <row r="92" spans="2:6">
      <c r="B92" s="298">
        <v>110000</v>
      </c>
      <c r="C92" s="265">
        <v>339.57000000000005</v>
      </c>
      <c r="D92" s="297">
        <v>388.08</v>
      </c>
      <c r="E92" s="265">
        <v>646.80000000000007</v>
      </c>
      <c r="F92" s="265">
        <v>549.42200000000003</v>
      </c>
    </row>
    <row r="93" spans="2:6">
      <c r="B93" s="298">
        <v>111000</v>
      </c>
      <c r="C93" s="265">
        <v>342.6570000000001</v>
      </c>
      <c r="D93" s="297">
        <v>391.60799999999995</v>
      </c>
      <c r="E93" s="265">
        <v>652.68000000000006</v>
      </c>
      <c r="F93" s="265">
        <v>546.71719999999993</v>
      </c>
    </row>
    <row r="94" spans="2:6">
      <c r="B94" s="298">
        <v>112000</v>
      </c>
      <c r="C94" s="265">
        <v>345.74400000000009</v>
      </c>
      <c r="D94" s="297">
        <v>395.13599999999997</v>
      </c>
      <c r="E94" s="265">
        <v>658.56000000000006</v>
      </c>
      <c r="F94" s="265">
        <v>544.01239999999996</v>
      </c>
    </row>
    <row r="95" spans="2:6">
      <c r="B95" s="298">
        <v>113000</v>
      </c>
      <c r="C95" s="265">
        <v>348.83100000000007</v>
      </c>
      <c r="D95" s="297">
        <v>398.66399999999999</v>
      </c>
      <c r="E95" s="265">
        <v>664.44</v>
      </c>
      <c r="F95" s="265">
        <v>541.30759999999987</v>
      </c>
    </row>
    <row r="96" spans="2:6">
      <c r="B96" s="298">
        <v>114000</v>
      </c>
      <c r="C96" s="265">
        <v>351.91800000000006</v>
      </c>
      <c r="D96" s="297">
        <v>402.19200000000001</v>
      </c>
      <c r="E96" s="265">
        <v>670.32</v>
      </c>
      <c r="F96" s="265">
        <v>538.60279999999989</v>
      </c>
    </row>
    <row r="97" spans="2:6">
      <c r="B97" s="298">
        <v>115000</v>
      </c>
      <c r="C97" s="265">
        <v>355.00500000000005</v>
      </c>
      <c r="D97" s="297">
        <v>405.72</v>
      </c>
      <c r="E97" s="265">
        <v>676.2</v>
      </c>
      <c r="F97" s="265">
        <v>548.05799999999999</v>
      </c>
    </row>
    <row r="98" spans="2:6">
      <c r="B98" s="298">
        <v>116000</v>
      </c>
      <c r="C98" s="265">
        <v>358.09200000000004</v>
      </c>
      <c r="D98" s="297">
        <v>409.24800000000005</v>
      </c>
      <c r="E98" s="265">
        <v>682.08</v>
      </c>
      <c r="F98" s="265">
        <v>545.35320000000002</v>
      </c>
    </row>
    <row r="99" spans="2:6">
      <c r="B99" s="298">
        <v>117000</v>
      </c>
      <c r="C99" s="265">
        <v>361.17900000000003</v>
      </c>
      <c r="D99" s="297">
        <v>412.77600000000007</v>
      </c>
      <c r="E99" s="265">
        <v>687.96</v>
      </c>
      <c r="F99" s="265">
        <v>542.64840000000004</v>
      </c>
    </row>
    <row r="100" spans="2:6">
      <c r="B100" s="298">
        <v>118000</v>
      </c>
      <c r="C100" s="265">
        <v>364.26600000000008</v>
      </c>
      <c r="D100" s="297">
        <v>416.30400000000009</v>
      </c>
      <c r="E100" s="265">
        <v>693.84</v>
      </c>
      <c r="F100" s="265">
        <v>539.94359999999995</v>
      </c>
    </row>
    <row r="101" spans="2:6">
      <c r="B101" s="298">
        <v>119000</v>
      </c>
      <c r="C101" s="265">
        <v>367.35300000000007</v>
      </c>
      <c r="D101" s="297">
        <v>419.83200000000005</v>
      </c>
      <c r="E101" s="265">
        <v>699.72000000000014</v>
      </c>
      <c r="F101" s="265">
        <v>537.23879999999997</v>
      </c>
    </row>
    <row r="102" spans="2:6">
      <c r="B102" s="298">
        <v>120000</v>
      </c>
      <c r="C102" s="265">
        <v>370.44000000000005</v>
      </c>
      <c r="D102" s="297">
        <v>423.36000000000007</v>
      </c>
      <c r="E102" s="265">
        <v>705.6</v>
      </c>
      <c r="F102" s="265">
        <v>546.69399999999996</v>
      </c>
    </row>
    <row r="103" spans="2:6">
      <c r="B103" s="298">
        <v>121000</v>
      </c>
      <c r="C103" s="265">
        <v>373.52700000000004</v>
      </c>
      <c r="D103" s="297">
        <v>426.88800000000009</v>
      </c>
      <c r="E103" s="265">
        <v>711.48</v>
      </c>
      <c r="F103" s="265">
        <v>543.98919999999998</v>
      </c>
    </row>
    <row r="104" spans="2:6">
      <c r="B104" s="298">
        <v>122000</v>
      </c>
      <c r="C104" s="265">
        <v>376.61400000000003</v>
      </c>
      <c r="D104" s="297">
        <v>430.41600000000011</v>
      </c>
      <c r="E104" s="265">
        <v>717.36000000000013</v>
      </c>
      <c r="F104" s="265">
        <v>541.28440000000001</v>
      </c>
    </row>
    <row r="105" spans="2:6">
      <c r="B105" s="298">
        <v>123000</v>
      </c>
      <c r="C105" s="265">
        <v>379.70100000000008</v>
      </c>
      <c r="D105" s="297">
        <v>433.94400000000013</v>
      </c>
      <c r="E105" s="265">
        <v>723.24000000000012</v>
      </c>
      <c r="F105" s="265">
        <v>538.5795999999998</v>
      </c>
    </row>
    <row r="106" spans="2:6">
      <c r="B106" s="270">
        <v>124000</v>
      </c>
      <c r="C106" s="265">
        <v>382.78800000000007</v>
      </c>
      <c r="D106" s="297">
        <v>437.47200000000004</v>
      </c>
      <c r="E106" s="270">
        <v>729.12</v>
      </c>
      <c r="F106" s="270">
        <v>535.87479999999982</v>
      </c>
    </row>
    <row r="107" spans="2:6">
      <c r="B107" s="270">
        <v>125000</v>
      </c>
      <c r="C107" s="265">
        <v>385.875</v>
      </c>
      <c r="D107" s="297">
        <v>441.00000000000006</v>
      </c>
      <c r="E107" s="270">
        <v>735</v>
      </c>
      <c r="F107" s="270">
        <v>545.33999999999992</v>
      </c>
    </row>
    <row r="108" spans="2:6">
      <c r="B108" s="270">
        <v>126000</v>
      </c>
      <c r="C108" s="265">
        <v>388.96199999999999</v>
      </c>
      <c r="D108" s="297">
        <v>444.52800000000008</v>
      </c>
      <c r="E108" s="270">
        <v>740.88000000000011</v>
      </c>
      <c r="F108" s="270">
        <v>542.63519999999994</v>
      </c>
    </row>
    <row r="109" spans="2:6">
      <c r="B109" s="270">
        <v>127000</v>
      </c>
      <c r="C109" s="265">
        <v>392.04900000000004</v>
      </c>
      <c r="D109" s="297">
        <v>448.05600000000004</v>
      </c>
      <c r="E109" s="270">
        <v>746.7600000000001</v>
      </c>
      <c r="F109" s="270">
        <v>539.93039999999996</v>
      </c>
    </row>
    <row r="110" spans="2:6">
      <c r="B110" s="270">
        <v>128000</v>
      </c>
      <c r="C110" s="265">
        <v>395.13600000000002</v>
      </c>
      <c r="D110" s="297">
        <v>451.58400000000006</v>
      </c>
      <c r="E110" s="270">
        <v>752.64</v>
      </c>
      <c r="F110" s="270">
        <v>537.22559999999999</v>
      </c>
    </row>
    <row r="111" spans="2:6">
      <c r="B111" s="270">
        <v>129000</v>
      </c>
      <c r="C111" s="265">
        <v>398.22300000000001</v>
      </c>
      <c r="D111" s="297">
        <v>455.11200000000002</v>
      </c>
      <c r="E111" s="270">
        <v>758.5200000000001</v>
      </c>
      <c r="F111" s="270">
        <v>534.52080000000001</v>
      </c>
    </row>
    <row r="112" spans="2:6">
      <c r="B112" s="270">
        <v>130000</v>
      </c>
      <c r="C112" s="265">
        <v>401.31</v>
      </c>
      <c r="D112" s="297">
        <v>458.64000000000004</v>
      </c>
      <c r="E112" s="270">
        <v>764.40000000000009</v>
      </c>
      <c r="F112" s="270">
        <v>543.97600000000011</v>
      </c>
    </row>
    <row r="113" spans="2:6">
      <c r="B113" s="270">
        <v>131000</v>
      </c>
      <c r="C113" s="265">
        <v>404.39699999999999</v>
      </c>
      <c r="D113" s="297">
        <v>462.16800000000006</v>
      </c>
      <c r="E113" s="270">
        <v>770.28000000000009</v>
      </c>
      <c r="F113" s="270">
        <v>541.27120000000014</v>
      </c>
    </row>
    <row r="114" spans="2:6">
      <c r="B114" s="270">
        <v>132000</v>
      </c>
      <c r="C114" s="265">
        <v>407.48400000000009</v>
      </c>
      <c r="D114" s="297">
        <v>465.69600000000008</v>
      </c>
      <c r="E114" s="270">
        <v>776.16</v>
      </c>
      <c r="F114" s="270">
        <v>538.56639999999993</v>
      </c>
    </row>
    <row r="115" spans="2:6">
      <c r="B115" s="270">
        <v>133000</v>
      </c>
      <c r="C115" s="265">
        <v>410.57100000000008</v>
      </c>
      <c r="D115" s="297">
        <v>469.2240000000001</v>
      </c>
      <c r="E115" s="270">
        <v>782.04000000000008</v>
      </c>
      <c r="F115" s="270">
        <v>535.86159999999995</v>
      </c>
    </row>
    <row r="116" spans="2:6">
      <c r="B116" s="270">
        <v>134000</v>
      </c>
      <c r="C116" s="265">
        <v>413.65800000000007</v>
      </c>
      <c r="D116" s="297">
        <v>472.75200000000001</v>
      </c>
      <c r="E116" s="270">
        <v>787.92000000000007</v>
      </c>
      <c r="F116" s="270">
        <v>533.15679999999998</v>
      </c>
    </row>
    <row r="117" spans="2:6">
      <c r="B117" s="270">
        <v>135000</v>
      </c>
      <c r="C117" s="265">
        <v>416.74500000000006</v>
      </c>
      <c r="D117" s="297">
        <v>476.28000000000003</v>
      </c>
      <c r="E117" s="270">
        <v>793.80000000000007</v>
      </c>
      <c r="F117" s="270">
        <v>542.61199999999985</v>
      </c>
    </row>
    <row r="118" spans="2:6">
      <c r="B118" s="270">
        <v>136000</v>
      </c>
      <c r="C118" s="265">
        <v>419.83200000000005</v>
      </c>
      <c r="D118" s="297">
        <v>479.80800000000005</v>
      </c>
      <c r="E118" s="270">
        <v>799.68000000000018</v>
      </c>
      <c r="F118" s="270">
        <v>539.90719999999988</v>
      </c>
    </row>
    <row r="119" spans="2:6">
      <c r="B119" s="270">
        <v>137000</v>
      </c>
      <c r="C119" s="265">
        <v>422.9190000000001</v>
      </c>
      <c r="D119" s="297">
        <v>483.33600000000007</v>
      </c>
      <c r="E119" s="270">
        <v>805.56000000000006</v>
      </c>
      <c r="F119" s="270">
        <v>537.2023999999999</v>
      </c>
    </row>
    <row r="120" spans="2:6">
      <c r="B120" s="270">
        <v>138000</v>
      </c>
      <c r="C120" s="265">
        <v>426.00600000000009</v>
      </c>
      <c r="D120" s="297">
        <v>486.86400000000009</v>
      </c>
      <c r="E120" s="270">
        <v>811.44</v>
      </c>
      <c r="F120" s="270">
        <v>534.49759999999992</v>
      </c>
    </row>
    <row r="121" spans="2:6">
      <c r="B121" s="270">
        <v>139000</v>
      </c>
      <c r="C121" s="265">
        <v>429.09300000000007</v>
      </c>
      <c r="D121" s="297">
        <v>490.39200000000005</v>
      </c>
      <c r="E121" s="270">
        <v>817.32</v>
      </c>
      <c r="F121" s="270">
        <v>531.79279999999994</v>
      </c>
    </row>
    <row r="122" spans="2:6">
      <c r="B122" s="270">
        <v>140000</v>
      </c>
      <c r="C122" s="265">
        <v>432.18000000000006</v>
      </c>
      <c r="D122" s="297">
        <v>493.92000000000007</v>
      </c>
      <c r="E122" s="270">
        <v>823.20000000000016</v>
      </c>
      <c r="F122" s="270">
        <v>541.25800000000004</v>
      </c>
    </row>
    <row r="123" spans="2:6">
      <c r="B123" s="270">
        <v>141000</v>
      </c>
      <c r="C123" s="265">
        <v>435.26700000000005</v>
      </c>
      <c r="D123" s="297">
        <v>497.44800000000009</v>
      </c>
      <c r="E123" s="270">
        <v>829.08</v>
      </c>
      <c r="F123" s="270">
        <v>538.55320000000006</v>
      </c>
    </row>
    <row r="124" spans="2:6">
      <c r="B124" s="270">
        <v>142000</v>
      </c>
      <c r="C124" s="265">
        <v>438.3540000000001</v>
      </c>
      <c r="D124" s="297">
        <v>500.97600000000011</v>
      </c>
      <c r="E124" s="270">
        <v>834.96</v>
      </c>
      <c r="F124" s="270">
        <v>535.84839999999997</v>
      </c>
    </row>
    <row r="125" spans="2:6">
      <c r="B125" s="270">
        <v>143000</v>
      </c>
      <c r="C125" s="265">
        <v>441.44100000000009</v>
      </c>
      <c r="D125" s="297">
        <v>504.50400000000013</v>
      </c>
      <c r="E125" s="270">
        <v>840.84000000000015</v>
      </c>
      <c r="F125" s="270">
        <v>533.14359999999988</v>
      </c>
    </row>
    <row r="126" spans="2:6">
      <c r="B126" s="270">
        <v>144000</v>
      </c>
      <c r="C126" s="265">
        <v>444.52800000000008</v>
      </c>
      <c r="D126" s="297">
        <v>508.03199999999998</v>
      </c>
      <c r="E126" s="270">
        <v>846.72000000000014</v>
      </c>
      <c r="F126" s="270">
        <v>530.4387999999999</v>
      </c>
    </row>
    <row r="127" spans="2:6">
      <c r="B127" s="270">
        <v>145000</v>
      </c>
      <c r="C127" s="265">
        <v>447.61500000000001</v>
      </c>
      <c r="D127" s="297">
        <v>511.56</v>
      </c>
      <c r="E127" s="270">
        <v>852.6</v>
      </c>
      <c r="F127" s="270">
        <v>539.89400000000001</v>
      </c>
    </row>
    <row r="128" spans="2:6">
      <c r="B128" s="270">
        <v>146000</v>
      </c>
      <c r="C128" s="265">
        <v>450.702</v>
      </c>
      <c r="D128" s="297">
        <v>515.08800000000008</v>
      </c>
      <c r="E128" s="270">
        <v>858.48</v>
      </c>
      <c r="F128" s="270">
        <v>537.18920000000003</v>
      </c>
    </row>
    <row r="129" spans="2:6">
      <c r="B129" s="270">
        <v>147000</v>
      </c>
      <c r="C129" s="265">
        <v>453.78900000000004</v>
      </c>
      <c r="D129" s="297">
        <v>518.6160000000001</v>
      </c>
      <c r="E129" s="270">
        <v>864.36000000000013</v>
      </c>
      <c r="F129" s="270">
        <v>534.48440000000005</v>
      </c>
    </row>
    <row r="130" spans="2:6">
      <c r="B130" s="270">
        <v>148000</v>
      </c>
      <c r="C130" s="265">
        <v>456.87600000000003</v>
      </c>
      <c r="D130" s="297">
        <v>522.14400000000012</v>
      </c>
      <c r="E130" s="270">
        <v>870.24000000000012</v>
      </c>
      <c r="F130" s="270">
        <v>531.77960000000007</v>
      </c>
    </row>
    <row r="131" spans="2:6">
      <c r="B131" s="270">
        <v>149000</v>
      </c>
      <c r="C131" s="265">
        <v>459.96300000000002</v>
      </c>
      <c r="D131" s="297">
        <v>525.67200000000003</v>
      </c>
      <c r="E131" s="270">
        <v>876.12</v>
      </c>
      <c r="F131" s="270">
        <v>529.0748000000001</v>
      </c>
    </row>
    <row r="132" spans="2:6">
      <c r="B132" s="270">
        <v>150000</v>
      </c>
      <c r="C132" s="265">
        <v>463.05</v>
      </c>
      <c r="D132" s="297">
        <v>529.20000000000005</v>
      </c>
      <c r="E132" s="270">
        <v>882.00000000000011</v>
      </c>
      <c r="F132" s="270">
        <v>538.53</v>
      </c>
    </row>
    <row r="133" spans="2:6">
      <c r="B133" s="270">
        <v>151000</v>
      </c>
      <c r="C133" s="265">
        <v>439.50060000000008</v>
      </c>
      <c r="D133" s="297">
        <v>506.09160000000003</v>
      </c>
      <c r="E133" s="270">
        <v>887.88000000000011</v>
      </c>
      <c r="F133" s="270">
        <v>562.46159999999998</v>
      </c>
    </row>
    <row r="134" spans="2:6">
      <c r="B134" s="270">
        <v>152000</v>
      </c>
      <c r="C134" s="265">
        <v>442.41120000000006</v>
      </c>
      <c r="D134" s="297">
        <v>509.4432000000001</v>
      </c>
      <c r="E134" s="270">
        <v>893.7600000000001</v>
      </c>
      <c r="F134" s="270">
        <v>559.93319999999994</v>
      </c>
    </row>
    <row r="135" spans="2:6">
      <c r="B135" s="270">
        <v>153000</v>
      </c>
      <c r="C135" s="265">
        <v>445.32180000000011</v>
      </c>
      <c r="D135" s="297">
        <v>512.79480000000012</v>
      </c>
      <c r="E135" s="270">
        <v>899.64</v>
      </c>
      <c r="F135" s="270">
        <v>557.4047999999998</v>
      </c>
    </row>
    <row r="136" spans="2:6">
      <c r="B136" s="270">
        <v>154000</v>
      </c>
      <c r="C136" s="265">
        <v>448.2324000000001</v>
      </c>
      <c r="D136" s="297">
        <v>516.14640000000009</v>
      </c>
      <c r="E136" s="270">
        <v>905.5200000000001</v>
      </c>
      <c r="F136" s="270">
        <v>554.87639999999988</v>
      </c>
    </row>
    <row r="137" spans="2:6">
      <c r="B137" s="270">
        <v>155000</v>
      </c>
      <c r="C137" s="265">
        <v>451.14300000000003</v>
      </c>
      <c r="D137" s="297">
        <v>519.49800000000005</v>
      </c>
      <c r="E137" s="270">
        <v>911.40000000000009</v>
      </c>
      <c r="F137" s="270">
        <v>564.50799999999992</v>
      </c>
    </row>
    <row r="138" spans="2:6">
      <c r="B138" s="270">
        <v>156000</v>
      </c>
      <c r="C138" s="265">
        <v>454.05360000000002</v>
      </c>
      <c r="D138" s="297">
        <v>522.84960000000012</v>
      </c>
      <c r="E138" s="270">
        <v>917.28000000000009</v>
      </c>
      <c r="F138" s="270">
        <v>561.97959999999989</v>
      </c>
    </row>
    <row r="139" spans="2:6">
      <c r="B139" s="270">
        <v>157000</v>
      </c>
      <c r="C139" s="265">
        <v>456.96420000000012</v>
      </c>
      <c r="D139" s="297">
        <v>526.20120000000009</v>
      </c>
      <c r="E139" s="270">
        <v>923.1600000000002</v>
      </c>
      <c r="F139" s="270">
        <v>559.45119999999986</v>
      </c>
    </row>
    <row r="140" spans="2:6">
      <c r="B140" s="270">
        <v>158000</v>
      </c>
      <c r="C140" s="265">
        <v>459.87480000000005</v>
      </c>
      <c r="D140" s="297">
        <v>529.55280000000005</v>
      </c>
      <c r="E140" s="270">
        <v>929.04000000000008</v>
      </c>
      <c r="F140" s="270">
        <v>556.92279999999994</v>
      </c>
    </row>
    <row r="141" spans="2:6">
      <c r="B141" s="270">
        <v>159000</v>
      </c>
      <c r="C141" s="265">
        <v>462.78540000000004</v>
      </c>
      <c r="D141" s="297">
        <v>532.90440000000012</v>
      </c>
      <c r="E141" s="270">
        <v>934.92000000000007</v>
      </c>
      <c r="F141" s="270">
        <v>554.39439999999991</v>
      </c>
    </row>
    <row r="142" spans="2:6">
      <c r="B142" s="270">
        <v>160000</v>
      </c>
      <c r="C142" s="265">
        <v>465.69600000000008</v>
      </c>
      <c r="D142" s="297">
        <v>536.25600000000009</v>
      </c>
      <c r="E142" s="270">
        <v>940.80000000000007</v>
      </c>
      <c r="F142" s="270">
        <v>564.03600000000006</v>
      </c>
    </row>
    <row r="143" spans="2:6">
      <c r="B143" s="270">
        <v>161000</v>
      </c>
      <c r="C143" s="265">
        <v>468.60660000000001</v>
      </c>
      <c r="D143" s="297">
        <v>539.60760000000005</v>
      </c>
      <c r="E143" s="270">
        <v>946.68000000000018</v>
      </c>
      <c r="F143" s="270">
        <v>561.50760000000014</v>
      </c>
    </row>
    <row r="144" spans="2:6">
      <c r="B144" s="270">
        <v>162000</v>
      </c>
      <c r="C144" s="265">
        <v>471.51720000000017</v>
      </c>
      <c r="D144" s="297">
        <v>542.95920000000012</v>
      </c>
      <c r="E144" s="270">
        <v>952.56000000000006</v>
      </c>
      <c r="F144" s="270">
        <v>558.97919999999976</v>
      </c>
    </row>
    <row r="145" spans="2:6">
      <c r="B145" s="270">
        <v>163000</v>
      </c>
      <c r="C145" s="265">
        <v>474.4278000000001</v>
      </c>
      <c r="D145" s="297">
        <v>546.31080000000009</v>
      </c>
      <c r="E145" s="270">
        <v>958.44</v>
      </c>
      <c r="F145" s="270">
        <v>556.45079999999984</v>
      </c>
    </row>
    <row r="146" spans="2:6">
      <c r="B146" s="270">
        <v>164000</v>
      </c>
      <c r="C146" s="265">
        <v>477.33840000000009</v>
      </c>
      <c r="D146" s="297">
        <v>549.66240000000005</v>
      </c>
      <c r="E146" s="270">
        <v>964.32000000000016</v>
      </c>
      <c r="F146" s="270">
        <v>553.92240000000004</v>
      </c>
    </row>
    <row r="147" spans="2:6">
      <c r="B147" s="270">
        <v>165000</v>
      </c>
      <c r="C147" s="265">
        <v>480.24900000000008</v>
      </c>
      <c r="D147" s="297">
        <v>553.01400000000012</v>
      </c>
      <c r="E147" s="270">
        <v>970.20000000000016</v>
      </c>
      <c r="F147" s="270">
        <v>563.55399999999986</v>
      </c>
    </row>
    <row r="148" spans="2:6">
      <c r="B148" s="270">
        <v>166000</v>
      </c>
      <c r="C148" s="265">
        <v>483.15960000000001</v>
      </c>
      <c r="D148" s="297">
        <v>556.36560000000009</v>
      </c>
      <c r="E148" s="270">
        <v>976.08</v>
      </c>
      <c r="F148" s="270">
        <v>561.02559999999994</v>
      </c>
    </row>
    <row r="149" spans="2:6">
      <c r="B149" s="270">
        <v>167000</v>
      </c>
      <c r="C149" s="265">
        <v>486.07020000000011</v>
      </c>
      <c r="D149" s="297">
        <v>559.71720000000016</v>
      </c>
      <c r="E149" s="270">
        <v>981.96</v>
      </c>
      <c r="F149" s="270">
        <v>558.49719999999979</v>
      </c>
    </row>
    <row r="150" spans="2:6">
      <c r="B150" s="270">
        <v>168000</v>
      </c>
      <c r="C150" s="265">
        <v>488.9808000000001</v>
      </c>
      <c r="D150" s="297">
        <v>563.06880000000012</v>
      </c>
      <c r="E150" s="270">
        <v>987.84000000000015</v>
      </c>
      <c r="F150" s="270">
        <v>555.96879999999987</v>
      </c>
    </row>
    <row r="151" spans="2:6">
      <c r="B151" s="270">
        <v>169000</v>
      </c>
      <c r="C151" s="265">
        <v>491.89140000000003</v>
      </c>
      <c r="D151" s="297">
        <v>566.42040000000009</v>
      </c>
      <c r="E151" s="270">
        <v>993.72000000000014</v>
      </c>
      <c r="F151" s="270">
        <v>553.44039999999995</v>
      </c>
    </row>
    <row r="152" spans="2:6">
      <c r="B152" s="270">
        <v>170000</v>
      </c>
      <c r="C152" s="265">
        <v>494.80200000000008</v>
      </c>
      <c r="D152" s="297">
        <v>569.77200000000005</v>
      </c>
      <c r="E152" s="270">
        <v>999.6</v>
      </c>
      <c r="F152" s="270">
        <v>563.07199999999989</v>
      </c>
    </row>
    <row r="153" spans="2:6">
      <c r="B153" s="270">
        <v>171000</v>
      </c>
      <c r="C153" s="265">
        <v>497.71260000000007</v>
      </c>
      <c r="D153" s="297">
        <v>573.12360000000001</v>
      </c>
      <c r="E153" s="270">
        <v>1005.4800000000001</v>
      </c>
      <c r="F153" s="270">
        <v>560.54359999999997</v>
      </c>
    </row>
    <row r="154" spans="2:6">
      <c r="B154" s="270">
        <v>172000</v>
      </c>
      <c r="C154" s="265">
        <v>500.62320000000005</v>
      </c>
      <c r="D154" s="297">
        <v>576.47520000000009</v>
      </c>
      <c r="E154" s="270">
        <v>1011.3600000000001</v>
      </c>
      <c r="F154" s="270">
        <v>558.01519999999982</v>
      </c>
    </row>
    <row r="155" spans="2:6">
      <c r="B155" s="270">
        <v>173000</v>
      </c>
      <c r="C155" s="265">
        <v>503.53380000000016</v>
      </c>
      <c r="D155" s="297">
        <v>579.82680000000005</v>
      </c>
      <c r="E155" s="270">
        <v>1017.2400000000001</v>
      </c>
      <c r="F155" s="270">
        <v>555.4867999999999</v>
      </c>
    </row>
    <row r="156" spans="2:6">
      <c r="B156" s="270">
        <v>174000</v>
      </c>
      <c r="C156" s="265">
        <v>506.44440000000009</v>
      </c>
      <c r="D156" s="297">
        <v>583.17840000000012</v>
      </c>
      <c r="E156" s="270">
        <v>1023.12</v>
      </c>
      <c r="F156" s="270">
        <v>552.95839999999998</v>
      </c>
    </row>
    <row r="157" spans="2:6">
      <c r="B157" s="270">
        <v>175000</v>
      </c>
      <c r="C157" s="265">
        <v>509.35500000000002</v>
      </c>
      <c r="D157" s="297">
        <v>586.53000000000009</v>
      </c>
      <c r="E157" s="270">
        <v>1029.0000000000002</v>
      </c>
      <c r="F157" s="270">
        <v>562.6</v>
      </c>
    </row>
    <row r="158" spans="2:6">
      <c r="B158" s="270">
        <v>176000</v>
      </c>
      <c r="C158" s="265">
        <v>512.26560000000006</v>
      </c>
      <c r="D158" s="297">
        <v>589.88160000000005</v>
      </c>
      <c r="E158" s="270">
        <v>1034.8800000000001</v>
      </c>
      <c r="F158" s="270">
        <v>560.07159999999999</v>
      </c>
    </row>
    <row r="159" spans="2:6">
      <c r="B159" s="270">
        <v>177000</v>
      </c>
      <c r="C159" s="265">
        <v>515.17620000000011</v>
      </c>
      <c r="D159" s="297">
        <v>593.23320000000012</v>
      </c>
      <c r="E159" s="270">
        <v>1040.76</v>
      </c>
      <c r="F159" s="270">
        <v>557.54319999999996</v>
      </c>
    </row>
    <row r="160" spans="2:6">
      <c r="B160" s="270">
        <v>178000</v>
      </c>
      <c r="C160" s="265">
        <v>518.08680000000004</v>
      </c>
      <c r="D160" s="297">
        <v>596.58480000000009</v>
      </c>
      <c r="E160" s="270">
        <v>1046.6400000000001</v>
      </c>
      <c r="F160" s="270">
        <v>555.01480000000004</v>
      </c>
    </row>
    <row r="161" spans="2:6">
      <c r="B161" s="270">
        <v>179000</v>
      </c>
      <c r="C161" s="265">
        <v>520.99740000000008</v>
      </c>
      <c r="D161" s="297">
        <v>599.93640000000016</v>
      </c>
      <c r="E161" s="270">
        <v>1052.5200000000002</v>
      </c>
      <c r="F161" s="270">
        <v>552.4864</v>
      </c>
    </row>
    <row r="162" spans="2:6">
      <c r="B162" s="270">
        <v>180000</v>
      </c>
      <c r="C162" s="265">
        <v>523.90800000000002</v>
      </c>
      <c r="D162" s="297">
        <v>603.28800000000012</v>
      </c>
      <c r="E162" s="270">
        <v>1058.4000000000001</v>
      </c>
      <c r="F162" s="270">
        <v>562.11800000000005</v>
      </c>
    </row>
    <row r="163" spans="2:6">
      <c r="B163" s="270">
        <v>181000</v>
      </c>
      <c r="C163" s="265">
        <v>526.81859999999995</v>
      </c>
      <c r="D163" s="297">
        <v>606.63960000000009</v>
      </c>
      <c r="E163" s="270">
        <v>1064.28</v>
      </c>
      <c r="F163" s="270">
        <v>559.58960000000013</v>
      </c>
    </row>
    <row r="164" spans="2:6">
      <c r="B164" s="270">
        <v>182000</v>
      </c>
      <c r="C164" s="265">
        <v>529.72920000000011</v>
      </c>
      <c r="D164" s="297">
        <v>609.99120000000016</v>
      </c>
      <c r="E164" s="270">
        <v>1070.1600000000001</v>
      </c>
      <c r="F164" s="270">
        <v>557.06119999999999</v>
      </c>
    </row>
    <row r="165" spans="2:6">
      <c r="B165" s="270">
        <v>183000</v>
      </c>
      <c r="C165" s="265">
        <v>532.63980000000004</v>
      </c>
      <c r="D165" s="297">
        <v>613.34280000000012</v>
      </c>
      <c r="E165" s="270">
        <v>1076.0400000000002</v>
      </c>
      <c r="F165" s="270">
        <v>554.53280000000007</v>
      </c>
    </row>
    <row r="166" spans="2:6">
      <c r="B166" s="270">
        <v>184000</v>
      </c>
      <c r="C166" s="265">
        <v>535.5504000000002</v>
      </c>
      <c r="D166" s="297">
        <v>616.69440000000009</v>
      </c>
      <c r="E166" s="270">
        <v>1081.92</v>
      </c>
      <c r="F166" s="270">
        <v>552.00439999999992</v>
      </c>
    </row>
    <row r="167" spans="2:6">
      <c r="B167" s="270">
        <v>185000</v>
      </c>
      <c r="C167" s="265">
        <v>538.46100000000013</v>
      </c>
      <c r="D167" s="297">
        <v>620.04600000000016</v>
      </c>
      <c r="E167" s="270">
        <v>1087.8</v>
      </c>
      <c r="F167" s="270">
        <v>561.63599999999997</v>
      </c>
    </row>
    <row r="168" spans="2:6">
      <c r="B168" s="270">
        <v>186000</v>
      </c>
      <c r="C168" s="265">
        <v>541.37160000000006</v>
      </c>
      <c r="D168" s="297">
        <v>623.39760000000012</v>
      </c>
      <c r="E168" s="270">
        <v>1093.68</v>
      </c>
      <c r="F168" s="270">
        <v>559.10760000000005</v>
      </c>
    </row>
    <row r="169" spans="2:6">
      <c r="B169" s="270">
        <v>187000</v>
      </c>
      <c r="C169" s="265">
        <v>544.28220000000022</v>
      </c>
      <c r="D169" s="297">
        <v>626.74920000000009</v>
      </c>
      <c r="E169" s="270">
        <v>1099.5600000000002</v>
      </c>
      <c r="F169" s="270">
        <v>556.5791999999999</v>
      </c>
    </row>
    <row r="170" spans="2:6">
      <c r="B170" s="270">
        <v>188000</v>
      </c>
      <c r="C170" s="265">
        <v>547.19280000000015</v>
      </c>
      <c r="D170" s="297">
        <v>630.10080000000016</v>
      </c>
      <c r="E170" s="270">
        <v>1105.44</v>
      </c>
      <c r="F170" s="270">
        <v>554.05079999999975</v>
      </c>
    </row>
    <row r="171" spans="2:6">
      <c r="B171" s="270">
        <v>189000</v>
      </c>
      <c r="C171" s="265">
        <v>550.10340000000008</v>
      </c>
      <c r="D171" s="297">
        <v>633.45240000000013</v>
      </c>
      <c r="E171" s="270">
        <v>1111.3200000000002</v>
      </c>
      <c r="F171" s="270">
        <v>551.52239999999983</v>
      </c>
    </row>
    <row r="172" spans="2:6">
      <c r="B172" s="270">
        <v>190000</v>
      </c>
      <c r="C172" s="265">
        <v>553.01400000000012</v>
      </c>
      <c r="D172" s="297">
        <v>636.80400000000009</v>
      </c>
      <c r="E172" s="270">
        <v>1117.2</v>
      </c>
      <c r="F172" s="270">
        <v>561.15399999999977</v>
      </c>
    </row>
    <row r="173" spans="2:6">
      <c r="B173" s="270">
        <v>191000</v>
      </c>
      <c r="C173" s="265">
        <v>555.92460000000005</v>
      </c>
      <c r="D173" s="297">
        <v>640.15560000000016</v>
      </c>
      <c r="E173" s="270">
        <v>1123.0800000000002</v>
      </c>
      <c r="F173" s="270">
        <v>558.62559999999985</v>
      </c>
    </row>
    <row r="174" spans="2:6">
      <c r="B174" s="270">
        <v>192000</v>
      </c>
      <c r="C174" s="265">
        <v>558.8352000000001</v>
      </c>
      <c r="D174" s="297">
        <v>643.50720000000013</v>
      </c>
      <c r="E174" s="270">
        <v>1128.96</v>
      </c>
      <c r="F174" s="270">
        <v>561.55034136125641</v>
      </c>
    </row>
    <row r="175" spans="2:6">
      <c r="B175" s="270">
        <v>193000</v>
      </c>
      <c r="C175" s="265">
        <v>561.74580000000014</v>
      </c>
      <c r="D175" s="297">
        <v>646.85880000000009</v>
      </c>
      <c r="E175" s="270">
        <v>1134.8400000000001</v>
      </c>
      <c r="F175" s="270">
        <v>564.47508272251298</v>
      </c>
    </row>
    <row r="176" spans="2:6">
      <c r="B176" s="270">
        <v>194000</v>
      </c>
      <c r="C176" s="265">
        <v>564.65640000000008</v>
      </c>
      <c r="D176" s="297">
        <v>650.21040000000016</v>
      </c>
      <c r="E176" s="270">
        <v>1140.72</v>
      </c>
      <c r="F176" s="270">
        <v>567.39982408376954</v>
      </c>
    </row>
    <row r="177" spans="2:6">
      <c r="B177" s="270">
        <v>195000</v>
      </c>
      <c r="C177" s="265">
        <v>567.56700000000001</v>
      </c>
      <c r="D177" s="297">
        <v>653.56200000000013</v>
      </c>
      <c r="E177" s="270">
        <v>1146.6000000000001</v>
      </c>
      <c r="F177" s="270">
        <v>570.32456544502611</v>
      </c>
    </row>
    <row r="178" spans="2:6">
      <c r="B178" s="270">
        <v>196000</v>
      </c>
      <c r="C178" s="265">
        <v>570.47760000000005</v>
      </c>
      <c r="D178" s="297">
        <v>656.91359999999997</v>
      </c>
      <c r="E178" s="270">
        <v>1152.4800000000002</v>
      </c>
      <c r="F178" s="270">
        <v>573.24930680628268</v>
      </c>
    </row>
    <row r="179" spans="2:6">
      <c r="B179" s="270">
        <v>197000</v>
      </c>
      <c r="C179" s="265">
        <v>573.3882000000001</v>
      </c>
      <c r="D179" s="297">
        <v>660.26520000000016</v>
      </c>
      <c r="E179" s="270">
        <v>1158.3600000000001</v>
      </c>
      <c r="F179" s="270">
        <v>576.17404816753924</v>
      </c>
    </row>
    <row r="180" spans="2:6">
      <c r="B180" s="270">
        <v>198000</v>
      </c>
      <c r="C180" s="265">
        <v>576.29880000000014</v>
      </c>
      <c r="D180" s="297">
        <v>663.61680000000013</v>
      </c>
      <c r="E180" s="270">
        <v>1164.24</v>
      </c>
      <c r="F180" s="270">
        <v>579.09878952879581</v>
      </c>
    </row>
    <row r="181" spans="2:6">
      <c r="B181" s="270">
        <v>199000</v>
      </c>
      <c r="C181" s="265">
        <v>579.20940000000007</v>
      </c>
      <c r="D181" s="297">
        <v>666.96840000000009</v>
      </c>
      <c r="E181" s="270">
        <v>1170.1200000000001</v>
      </c>
      <c r="F181" s="270">
        <v>582.02353089005237</v>
      </c>
    </row>
    <row r="182" spans="2:6">
      <c r="B182" s="270">
        <v>200000</v>
      </c>
      <c r="C182" s="265">
        <v>582.12</v>
      </c>
      <c r="D182" s="297">
        <v>670.32</v>
      </c>
      <c r="E182" s="270">
        <v>1176.0000000000002</v>
      </c>
      <c r="F182" s="270">
        <v>584.94827225130871</v>
      </c>
    </row>
    <row r="183" spans="2:6">
      <c r="B183" s="270">
        <v>201000</v>
      </c>
      <c r="C183" s="265">
        <v>559.42320000000007</v>
      </c>
      <c r="D183" s="297">
        <v>638.21519999999998</v>
      </c>
      <c r="E183" s="270">
        <v>1181.8800000000001</v>
      </c>
      <c r="F183" s="270">
        <v>587.87301361256527</v>
      </c>
    </row>
    <row r="184" spans="2:6">
      <c r="B184" s="270">
        <v>202000</v>
      </c>
      <c r="C184" s="265">
        <v>562.20640000000014</v>
      </c>
      <c r="D184" s="297">
        <v>641.39040000000011</v>
      </c>
      <c r="E184" s="270">
        <v>1187.76</v>
      </c>
      <c r="F184" s="270">
        <v>590.79775497382195</v>
      </c>
    </row>
    <row r="185" spans="2:6">
      <c r="B185" s="270">
        <v>203000</v>
      </c>
      <c r="C185" s="265">
        <v>564.98960000000011</v>
      </c>
      <c r="D185" s="297">
        <v>644.56560000000013</v>
      </c>
      <c r="E185" s="270">
        <v>1193.6400000000001</v>
      </c>
      <c r="F185" s="270">
        <v>593.72249633507852</v>
      </c>
    </row>
    <row r="186" spans="2:6">
      <c r="B186" s="270">
        <v>204000</v>
      </c>
      <c r="C186" s="265">
        <v>567.77280000000007</v>
      </c>
      <c r="D186" s="297">
        <v>647.74080000000004</v>
      </c>
      <c r="E186" s="270">
        <v>1199.5200000000002</v>
      </c>
      <c r="F186" s="270">
        <v>596.64723769633508</v>
      </c>
    </row>
    <row r="187" spans="2:6">
      <c r="B187" s="270">
        <v>205000</v>
      </c>
      <c r="C187" s="265">
        <v>570.55600000000015</v>
      </c>
      <c r="D187" s="297">
        <v>650.91600000000005</v>
      </c>
      <c r="E187" s="270">
        <v>1205.4000000000001</v>
      </c>
      <c r="F187" s="270">
        <v>599.57197905759165</v>
      </c>
    </row>
    <row r="188" spans="2:6">
      <c r="B188" s="270">
        <v>206000</v>
      </c>
      <c r="C188" s="265">
        <v>573.33920000000012</v>
      </c>
      <c r="D188" s="297">
        <v>654.09120000000007</v>
      </c>
      <c r="E188" s="270">
        <v>1211.28</v>
      </c>
      <c r="F188" s="270">
        <v>602.49672041884799</v>
      </c>
    </row>
    <row r="189" spans="2:6">
      <c r="B189" s="270">
        <v>207000</v>
      </c>
      <c r="C189" s="265">
        <v>576.12240000000008</v>
      </c>
      <c r="D189" s="297">
        <v>657.26639999999998</v>
      </c>
      <c r="E189" s="270">
        <v>1217.1600000000001</v>
      </c>
      <c r="F189" s="270">
        <v>605.42146178010444</v>
      </c>
    </row>
    <row r="190" spans="2:6">
      <c r="B190" s="270">
        <v>208000</v>
      </c>
      <c r="C190" s="265">
        <v>578.90560000000016</v>
      </c>
      <c r="D190" s="297">
        <v>660.44159999999999</v>
      </c>
      <c r="E190" s="270">
        <v>1223.0400000000002</v>
      </c>
      <c r="F190" s="270">
        <v>608.346203141361</v>
      </c>
    </row>
    <row r="191" spans="2:6">
      <c r="B191" s="270">
        <v>209000</v>
      </c>
      <c r="C191" s="265">
        <v>581.68880000000013</v>
      </c>
      <c r="D191" s="297">
        <v>663.61680000000001</v>
      </c>
      <c r="E191" s="270">
        <v>1228.92</v>
      </c>
      <c r="F191" s="270">
        <v>611.27094450261757</v>
      </c>
    </row>
    <row r="192" spans="2:6">
      <c r="B192" s="270">
        <v>210000</v>
      </c>
      <c r="C192" s="265">
        <v>584.47200000000009</v>
      </c>
      <c r="D192" s="297">
        <v>666.79200000000014</v>
      </c>
      <c r="E192" s="270">
        <v>1234.8000000000002</v>
      </c>
      <c r="F192" s="270">
        <v>614.19568586387413</v>
      </c>
    </row>
    <row r="193" spans="2:6">
      <c r="B193" s="270">
        <v>211000</v>
      </c>
      <c r="C193" s="265">
        <v>587.25520000000006</v>
      </c>
      <c r="D193" s="297">
        <v>669.96720000000016</v>
      </c>
      <c r="E193" s="270">
        <v>1240.68</v>
      </c>
      <c r="F193" s="270">
        <v>617.1204272251307</v>
      </c>
    </row>
    <row r="194" spans="2:6">
      <c r="B194" s="270">
        <v>212000</v>
      </c>
      <c r="C194" s="265">
        <v>590.03840000000002</v>
      </c>
      <c r="D194" s="297">
        <v>673.14240000000007</v>
      </c>
      <c r="E194" s="270">
        <v>1246.5600000000002</v>
      </c>
      <c r="F194" s="270">
        <v>620.04516858638726</v>
      </c>
    </row>
    <row r="195" spans="2:6">
      <c r="B195" s="270">
        <v>213000</v>
      </c>
      <c r="C195" s="265">
        <v>592.8216000000001</v>
      </c>
      <c r="D195" s="297">
        <v>676.31760000000008</v>
      </c>
      <c r="E195" s="270">
        <v>1252.44</v>
      </c>
      <c r="F195" s="270">
        <v>622.96990994764383</v>
      </c>
    </row>
    <row r="196" spans="2:6">
      <c r="B196" s="270">
        <v>214000</v>
      </c>
      <c r="C196" s="265">
        <v>595.60480000000007</v>
      </c>
      <c r="D196" s="297">
        <v>679.4928000000001</v>
      </c>
      <c r="E196" s="270">
        <v>1258.3200000000002</v>
      </c>
      <c r="F196" s="270">
        <v>625.89465130890039</v>
      </c>
    </row>
    <row r="197" spans="2:6">
      <c r="B197" s="270">
        <v>215000</v>
      </c>
      <c r="C197" s="265">
        <v>598.38800000000003</v>
      </c>
      <c r="D197" s="297">
        <v>682.66800000000012</v>
      </c>
      <c r="E197" s="270">
        <v>1264.2</v>
      </c>
      <c r="F197" s="270">
        <v>628.81939267015684</v>
      </c>
    </row>
    <row r="198" spans="2:6">
      <c r="B198" s="270">
        <v>216000</v>
      </c>
      <c r="C198" s="265">
        <v>601.17120000000011</v>
      </c>
      <c r="D198" s="297">
        <v>685.84320000000014</v>
      </c>
      <c r="E198" s="270">
        <v>1270.0800000000002</v>
      </c>
      <c r="F198" s="270">
        <v>631.74413403141341</v>
      </c>
    </row>
    <row r="199" spans="2:6">
      <c r="B199" s="270">
        <v>217000</v>
      </c>
      <c r="C199" s="265">
        <v>603.95440000000008</v>
      </c>
      <c r="D199" s="297">
        <v>689.01839999999993</v>
      </c>
      <c r="E199" s="270">
        <v>1275.9600000000003</v>
      </c>
      <c r="F199" s="270">
        <v>634.66887539266997</v>
      </c>
    </row>
    <row r="200" spans="2:6">
      <c r="B200" s="270">
        <v>218000</v>
      </c>
      <c r="C200" s="265">
        <v>606.73760000000016</v>
      </c>
      <c r="D200" s="297">
        <v>692.19360000000006</v>
      </c>
      <c r="E200" s="270">
        <v>1281.8400000000001</v>
      </c>
      <c r="F200" s="270">
        <v>637.59361675392654</v>
      </c>
    </row>
    <row r="201" spans="2:6">
      <c r="B201" s="270">
        <v>219000</v>
      </c>
      <c r="C201" s="265">
        <v>609.52080000000012</v>
      </c>
      <c r="D201" s="297">
        <v>695.36880000000008</v>
      </c>
      <c r="E201" s="270">
        <v>1287.72</v>
      </c>
      <c r="F201" s="270">
        <v>640.5183581151831</v>
      </c>
    </row>
    <row r="202" spans="2:6">
      <c r="B202" s="270">
        <v>220000</v>
      </c>
      <c r="C202" s="265">
        <v>612.30400000000009</v>
      </c>
      <c r="D202" s="297">
        <v>698.54400000000021</v>
      </c>
      <c r="E202" s="270">
        <v>1293.6000000000001</v>
      </c>
      <c r="F202" s="270">
        <v>643.44309947643967</v>
      </c>
    </row>
    <row r="203" spans="2:6">
      <c r="B203" s="270">
        <v>221000</v>
      </c>
      <c r="C203" s="265">
        <v>615.08720000000017</v>
      </c>
      <c r="D203" s="297">
        <v>701.7192</v>
      </c>
      <c r="E203" s="270">
        <v>1299.4800000000002</v>
      </c>
      <c r="F203" s="270">
        <v>646.36784083769624</v>
      </c>
    </row>
    <row r="204" spans="2:6">
      <c r="B204" s="270">
        <v>222000</v>
      </c>
      <c r="C204" s="265">
        <v>617.87040000000013</v>
      </c>
      <c r="D204" s="297">
        <v>704.89440000000002</v>
      </c>
      <c r="E204" s="270">
        <v>1305.3600000000001</v>
      </c>
      <c r="F204" s="270">
        <v>649.2925821989528</v>
      </c>
    </row>
    <row r="205" spans="2:6">
      <c r="B205" s="270">
        <v>223000</v>
      </c>
      <c r="C205" s="265">
        <v>620.65360000000021</v>
      </c>
      <c r="D205" s="297">
        <v>708.06960000000015</v>
      </c>
      <c r="E205" s="270">
        <v>1311.24</v>
      </c>
      <c r="F205" s="270">
        <v>652.21732356020937</v>
      </c>
    </row>
    <row r="206" spans="2:6">
      <c r="B206" s="270">
        <v>224000</v>
      </c>
      <c r="C206" s="265">
        <v>623.43680000000006</v>
      </c>
      <c r="D206" s="297">
        <v>711.24480000000005</v>
      </c>
      <c r="E206" s="270">
        <v>1317.1200000000001</v>
      </c>
      <c r="F206" s="270">
        <v>655.14206492146593</v>
      </c>
    </row>
    <row r="207" spans="2:6">
      <c r="B207" s="270">
        <v>225000</v>
      </c>
      <c r="C207" s="265">
        <v>626.22</v>
      </c>
      <c r="D207" s="297">
        <v>714.42000000000007</v>
      </c>
      <c r="E207" s="270">
        <v>1323.0000000000002</v>
      </c>
      <c r="F207" s="270">
        <v>658.0668062827225</v>
      </c>
    </row>
    <row r="208" spans="2:6">
      <c r="B208" s="297">
        <v>226000</v>
      </c>
      <c r="C208" s="265">
        <v>629.00320000000011</v>
      </c>
      <c r="D208" s="297">
        <v>717.59520000000009</v>
      </c>
      <c r="E208" s="297">
        <v>1328.88</v>
      </c>
      <c r="F208" s="297">
        <v>660.99154764397883</v>
      </c>
    </row>
    <row r="209" spans="2:6">
      <c r="B209" s="297">
        <v>227000</v>
      </c>
      <c r="C209" s="265">
        <v>631.78640000000007</v>
      </c>
      <c r="D209" s="297">
        <v>720.7704</v>
      </c>
      <c r="E209" s="297">
        <v>1334.76</v>
      </c>
      <c r="F209" s="297">
        <v>663.9162890052354</v>
      </c>
    </row>
    <row r="210" spans="2:6">
      <c r="B210" s="297">
        <v>228000</v>
      </c>
      <c r="C210" s="265">
        <v>634.56960000000015</v>
      </c>
      <c r="D210" s="297">
        <v>723.94560000000013</v>
      </c>
      <c r="E210" s="297">
        <v>1340.64</v>
      </c>
      <c r="F210" s="297">
        <v>666.84103036649196</v>
      </c>
    </row>
    <row r="211" spans="2:6">
      <c r="B211" s="297">
        <v>229000</v>
      </c>
      <c r="C211" s="265">
        <v>637.35280000000012</v>
      </c>
      <c r="D211" s="297">
        <v>727.12080000000003</v>
      </c>
      <c r="E211" s="297">
        <v>1346.5200000000002</v>
      </c>
      <c r="F211" s="297">
        <v>669.76577172774853</v>
      </c>
    </row>
    <row r="212" spans="2:6">
      <c r="B212" s="297">
        <v>230000</v>
      </c>
      <c r="C212" s="265">
        <v>640.13600000000008</v>
      </c>
      <c r="D212" s="297">
        <v>730.29600000000016</v>
      </c>
      <c r="E212" s="297">
        <v>1352.4</v>
      </c>
      <c r="F212" s="297">
        <v>672.69051308900509</v>
      </c>
    </row>
    <row r="213" spans="2:6">
      <c r="B213" s="297">
        <v>231000</v>
      </c>
      <c r="C213" s="265">
        <v>642.91920000000016</v>
      </c>
      <c r="D213" s="297">
        <v>733.47120000000007</v>
      </c>
      <c r="E213" s="297">
        <v>1358.2800000000002</v>
      </c>
      <c r="F213" s="297">
        <v>675.61525445026155</v>
      </c>
    </row>
    <row r="214" spans="2:6">
      <c r="B214" s="297">
        <v>232000</v>
      </c>
      <c r="C214" s="265">
        <v>645.70240000000013</v>
      </c>
      <c r="D214" s="297">
        <v>736.64640000000009</v>
      </c>
      <c r="E214" s="297">
        <v>1364.16</v>
      </c>
      <c r="F214" s="297">
        <v>678.53999581151811</v>
      </c>
    </row>
    <row r="215" spans="2:6">
      <c r="B215" s="297">
        <v>233000</v>
      </c>
      <c r="C215" s="265">
        <v>648.4856000000002</v>
      </c>
      <c r="D215" s="297">
        <v>739.8216000000001</v>
      </c>
      <c r="E215" s="297">
        <v>1370.0400000000002</v>
      </c>
      <c r="F215" s="297">
        <v>681.46473717277468</v>
      </c>
    </row>
    <row r="216" spans="2:6">
      <c r="B216" s="297">
        <v>234000</v>
      </c>
      <c r="C216" s="265">
        <v>651.26880000000017</v>
      </c>
      <c r="D216" s="297">
        <v>742.99680000000001</v>
      </c>
      <c r="E216" s="297">
        <v>1375.92</v>
      </c>
      <c r="F216" s="297">
        <v>684.38947853403124</v>
      </c>
    </row>
    <row r="217" spans="2:6">
      <c r="B217" s="297">
        <v>235000</v>
      </c>
      <c r="C217" s="265">
        <v>654.05200000000013</v>
      </c>
      <c r="D217" s="297">
        <v>746.17200000000014</v>
      </c>
      <c r="E217" s="297">
        <v>1381.8000000000002</v>
      </c>
      <c r="F217" s="297">
        <v>687.31421989528781</v>
      </c>
    </row>
    <row r="218" spans="2:6">
      <c r="B218" s="297">
        <v>236000</v>
      </c>
      <c r="C218" s="265">
        <v>656.8352000000001</v>
      </c>
      <c r="D218" s="297">
        <v>749.34720000000016</v>
      </c>
      <c r="E218" s="297">
        <v>1387.68</v>
      </c>
      <c r="F218" s="297">
        <v>690.23896125654437</v>
      </c>
    </row>
    <row r="219" spans="2:6">
      <c r="B219" s="297">
        <v>237000</v>
      </c>
      <c r="C219" s="265">
        <v>659.61840000000007</v>
      </c>
      <c r="D219" s="297">
        <v>752.52239999999995</v>
      </c>
      <c r="E219" s="297">
        <v>1393.5600000000002</v>
      </c>
      <c r="F219" s="297">
        <v>693.16370261780094</v>
      </c>
    </row>
    <row r="220" spans="2:6">
      <c r="B220" s="297">
        <v>238000</v>
      </c>
      <c r="C220" s="265">
        <v>662.40160000000014</v>
      </c>
      <c r="D220" s="297">
        <v>755.69760000000008</v>
      </c>
      <c r="E220" s="297">
        <v>1399.4400000000003</v>
      </c>
      <c r="F220" s="297">
        <v>696.0884439790575</v>
      </c>
    </row>
    <row r="221" spans="2:6">
      <c r="B221" s="297">
        <v>239000</v>
      </c>
      <c r="C221" s="265">
        <v>665.18480000000011</v>
      </c>
      <c r="D221" s="297">
        <v>758.8728000000001</v>
      </c>
      <c r="E221" s="297">
        <v>1405.32</v>
      </c>
      <c r="F221" s="297">
        <v>699.01318534031395</v>
      </c>
    </row>
    <row r="222" spans="2:6">
      <c r="B222" s="297">
        <v>240000</v>
      </c>
      <c r="C222" s="265">
        <v>667.96800000000007</v>
      </c>
      <c r="D222" s="297">
        <v>762.04800000000012</v>
      </c>
      <c r="E222" s="297">
        <v>1411.2</v>
      </c>
      <c r="F222" s="297">
        <v>701.93792670157052</v>
      </c>
    </row>
    <row r="223" spans="2:6">
      <c r="B223" s="297">
        <v>241000</v>
      </c>
      <c r="C223" s="265">
        <v>670.75120000000015</v>
      </c>
      <c r="D223" s="297">
        <v>765.22320000000002</v>
      </c>
      <c r="E223" s="297">
        <v>1417.0800000000002</v>
      </c>
      <c r="F223" s="297">
        <v>704.86266806282708</v>
      </c>
    </row>
    <row r="224" spans="2:6">
      <c r="B224" s="297">
        <v>242000</v>
      </c>
      <c r="C224" s="265">
        <v>673.53440000000012</v>
      </c>
      <c r="D224" s="297">
        <v>768.39840000000004</v>
      </c>
      <c r="E224" s="297">
        <v>1422.96</v>
      </c>
      <c r="F224" s="297">
        <v>707.78740942408365</v>
      </c>
    </row>
    <row r="225" spans="2:6">
      <c r="B225" s="297">
        <v>243000</v>
      </c>
      <c r="C225" s="265">
        <v>676.3176000000002</v>
      </c>
      <c r="D225" s="297">
        <v>771.57360000000017</v>
      </c>
      <c r="E225" s="297">
        <v>1428.8400000000001</v>
      </c>
      <c r="F225" s="297">
        <v>710.71215078534021</v>
      </c>
    </row>
    <row r="226" spans="2:6">
      <c r="B226" s="297">
        <v>244000</v>
      </c>
      <c r="C226" s="265">
        <v>679.10080000000016</v>
      </c>
      <c r="D226" s="297">
        <v>774.74879999999996</v>
      </c>
      <c r="E226" s="297">
        <v>1434.7200000000003</v>
      </c>
      <c r="F226" s="297">
        <v>713.63689214659678</v>
      </c>
    </row>
    <row r="227" spans="2:6">
      <c r="B227" s="297">
        <v>245000</v>
      </c>
      <c r="C227" s="265">
        <v>681.88400000000013</v>
      </c>
      <c r="D227" s="297">
        <v>777.92399999999998</v>
      </c>
      <c r="E227" s="297">
        <v>1440.6000000000001</v>
      </c>
      <c r="F227" s="297">
        <v>716.56163350785312</v>
      </c>
    </row>
    <row r="228" spans="2:6">
      <c r="B228" s="297">
        <v>246000</v>
      </c>
      <c r="C228" s="265">
        <v>684.66720000000021</v>
      </c>
      <c r="D228" s="297">
        <v>781.09920000000011</v>
      </c>
      <c r="E228" s="297">
        <v>1446.4800000000002</v>
      </c>
      <c r="F228" s="297">
        <v>719.48637486910968</v>
      </c>
    </row>
    <row r="229" spans="2:6">
      <c r="B229" s="297">
        <v>247000</v>
      </c>
      <c r="C229" s="265">
        <v>687.45040000000017</v>
      </c>
      <c r="D229" s="297">
        <v>784.2743999999999</v>
      </c>
      <c r="E229" s="297">
        <v>1452.3600000000004</v>
      </c>
      <c r="F229" s="297">
        <v>722.41111623036625</v>
      </c>
    </row>
    <row r="230" spans="2:6">
      <c r="B230" s="297">
        <v>248000</v>
      </c>
      <c r="C230" s="265">
        <v>690.23360000000014</v>
      </c>
      <c r="D230" s="297">
        <v>787.44960000000026</v>
      </c>
      <c r="E230" s="297">
        <v>1458.24</v>
      </c>
      <c r="F230" s="297">
        <v>725.33585759162281</v>
      </c>
    </row>
    <row r="231" spans="2:6">
      <c r="B231" s="297">
        <v>249000</v>
      </c>
      <c r="C231" s="265">
        <v>693.01679999999999</v>
      </c>
      <c r="D231" s="297">
        <v>790.62480000000005</v>
      </c>
      <c r="E231" s="297">
        <v>1464.1200000000001</v>
      </c>
      <c r="F231" s="297">
        <v>728.26059895287938</v>
      </c>
    </row>
    <row r="232" spans="2:6">
      <c r="B232" s="297">
        <v>250000</v>
      </c>
      <c r="C232" s="265">
        <v>695.80000000000007</v>
      </c>
      <c r="D232" s="297">
        <v>793.80000000000007</v>
      </c>
      <c r="E232" s="297">
        <v>1470</v>
      </c>
      <c r="F232" s="297">
        <v>731.18534031413594</v>
      </c>
    </row>
    <row r="233" spans="2:6">
      <c r="B233" s="297">
        <v>251000</v>
      </c>
      <c r="C233" s="265">
        <v>698.58320000000015</v>
      </c>
      <c r="D233" s="297">
        <v>796.9752000000002</v>
      </c>
      <c r="E233" s="297">
        <v>1475.88</v>
      </c>
      <c r="F233" s="297">
        <v>734.11008167539251</v>
      </c>
    </row>
    <row r="234" spans="2:6">
      <c r="B234" s="297">
        <v>252000</v>
      </c>
      <c r="C234" s="265">
        <v>701.3664</v>
      </c>
      <c r="D234" s="297">
        <v>800.15039999999999</v>
      </c>
      <c r="E234" s="297">
        <v>1481.7600000000002</v>
      </c>
      <c r="F234" s="297">
        <v>737.03482303664907</v>
      </c>
    </row>
    <row r="235" spans="2:6">
      <c r="B235" s="297">
        <v>253000</v>
      </c>
      <c r="C235" s="265">
        <v>704.14960000000019</v>
      </c>
      <c r="D235" s="297">
        <v>803.32560000000001</v>
      </c>
      <c r="E235" s="297">
        <v>1487.64</v>
      </c>
      <c r="F235" s="297">
        <v>739.95956439790564</v>
      </c>
    </row>
    <row r="236" spans="2:6">
      <c r="B236" s="297">
        <v>254000</v>
      </c>
      <c r="C236" s="265">
        <v>706.93280000000016</v>
      </c>
      <c r="D236" s="297">
        <v>806.50080000000014</v>
      </c>
      <c r="E236" s="297">
        <v>1493.5200000000002</v>
      </c>
      <c r="F236" s="297">
        <v>742.88430575916209</v>
      </c>
    </row>
    <row r="237" spans="2:6">
      <c r="B237" s="297">
        <v>255000</v>
      </c>
      <c r="C237" s="265">
        <v>709.71600000000001</v>
      </c>
      <c r="D237" s="297">
        <v>809.67600000000004</v>
      </c>
      <c r="E237" s="297">
        <v>1499.4000000000003</v>
      </c>
      <c r="F237" s="297">
        <v>745.80904712041865</v>
      </c>
    </row>
    <row r="238" spans="2:6">
      <c r="B238" s="297">
        <v>256000</v>
      </c>
      <c r="C238" s="265">
        <v>712.4992000000002</v>
      </c>
      <c r="D238" s="297">
        <v>812.85120000000018</v>
      </c>
      <c r="E238" s="297">
        <v>1505.28</v>
      </c>
      <c r="F238" s="297">
        <v>748.73378848167522</v>
      </c>
    </row>
    <row r="239" spans="2:6">
      <c r="B239" s="297">
        <v>257000</v>
      </c>
      <c r="C239" s="265">
        <v>715.28240000000017</v>
      </c>
      <c r="D239" s="297">
        <v>816.02640000000008</v>
      </c>
      <c r="E239" s="297">
        <v>1511.16</v>
      </c>
      <c r="F239" s="297">
        <v>751.65852984293178</v>
      </c>
    </row>
    <row r="240" spans="2:6">
      <c r="B240" s="297">
        <v>258000</v>
      </c>
      <c r="C240" s="265">
        <v>718.06560000000025</v>
      </c>
      <c r="D240" s="297">
        <v>819.20159999999998</v>
      </c>
      <c r="E240" s="297">
        <v>1517.0400000000002</v>
      </c>
      <c r="F240" s="297">
        <v>754.58327120418835</v>
      </c>
    </row>
    <row r="241" spans="2:6">
      <c r="B241" s="297">
        <v>259000</v>
      </c>
      <c r="C241" s="265">
        <v>720.84880000000021</v>
      </c>
      <c r="D241" s="297">
        <v>822.37680000000012</v>
      </c>
      <c r="E241" s="297">
        <v>1522.92</v>
      </c>
      <c r="F241" s="297">
        <v>757.50801256544491</v>
      </c>
    </row>
    <row r="242" spans="2:6">
      <c r="B242" s="297">
        <v>260000</v>
      </c>
      <c r="C242" s="265">
        <v>723.63200000000006</v>
      </c>
      <c r="D242" s="297">
        <v>825.55200000000013</v>
      </c>
      <c r="E242" s="297">
        <v>1528.8000000000002</v>
      </c>
      <c r="F242" s="297">
        <v>760.43275392670148</v>
      </c>
    </row>
    <row r="243" spans="2:6">
      <c r="B243" s="297">
        <v>261000</v>
      </c>
      <c r="C243" s="265">
        <v>726.41520000000025</v>
      </c>
      <c r="D243" s="297">
        <v>828.72719999999993</v>
      </c>
      <c r="E243" s="297">
        <v>1534.6800000000003</v>
      </c>
      <c r="F243" s="297">
        <v>763.35749528795805</v>
      </c>
    </row>
    <row r="244" spans="2:6">
      <c r="B244" s="297">
        <v>262000</v>
      </c>
      <c r="C244" s="265">
        <v>729.19840000000011</v>
      </c>
      <c r="D244" s="297">
        <v>831.90240000000006</v>
      </c>
      <c r="E244" s="297">
        <v>1540.5600000000002</v>
      </c>
      <c r="F244" s="297">
        <v>766.2822366492145</v>
      </c>
    </row>
    <row r="245" spans="2:6">
      <c r="B245" s="297">
        <v>263000</v>
      </c>
      <c r="C245" s="265">
        <v>731.98160000000007</v>
      </c>
      <c r="D245" s="297">
        <v>835.07759999999996</v>
      </c>
      <c r="E245" s="297">
        <v>1546.4400000000003</v>
      </c>
      <c r="F245" s="297">
        <v>769.20697801047106</v>
      </c>
    </row>
    <row r="246" spans="2:6">
      <c r="B246" s="297">
        <v>264000</v>
      </c>
      <c r="C246" s="265">
        <v>734.76480000000004</v>
      </c>
      <c r="D246" s="297">
        <v>838.25280000000021</v>
      </c>
      <c r="E246" s="297">
        <v>1552.32</v>
      </c>
      <c r="F246" s="297">
        <v>772.13171937172763</v>
      </c>
    </row>
    <row r="247" spans="2:6">
      <c r="B247" s="297">
        <v>265000</v>
      </c>
      <c r="C247" s="265">
        <v>737.54800000000012</v>
      </c>
      <c r="D247" s="297">
        <v>841.42800000000022</v>
      </c>
      <c r="E247" s="297">
        <v>1558.2</v>
      </c>
      <c r="F247" s="297">
        <v>775.05646073298396</v>
      </c>
    </row>
    <row r="248" spans="2:6">
      <c r="B248" s="297">
        <v>266000</v>
      </c>
      <c r="C248" s="265">
        <v>740.33120000000008</v>
      </c>
      <c r="D248" s="297">
        <v>844.60320000000002</v>
      </c>
      <c r="E248" s="297">
        <v>1564.0800000000002</v>
      </c>
      <c r="F248" s="297">
        <v>777.98120209424053</v>
      </c>
    </row>
    <row r="249" spans="2:6">
      <c r="B249" s="297">
        <v>267000</v>
      </c>
      <c r="C249" s="265">
        <v>743.11440000000005</v>
      </c>
      <c r="D249" s="297">
        <v>847.77840000000015</v>
      </c>
      <c r="E249" s="297">
        <v>1569.96</v>
      </c>
      <c r="F249" s="297">
        <v>780.90594345549709</v>
      </c>
    </row>
    <row r="250" spans="2:6">
      <c r="B250" s="297">
        <v>268000</v>
      </c>
      <c r="C250" s="265">
        <v>745.89760000000024</v>
      </c>
      <c r="D250" s="297">
        <v>850.95359999999994</v>
      </c>
      <c r="E250" s="297">
        <v>1575.8400000000001</v>
      </c>
      <c r="F250" s="297">
        <v>783.83068481675366</v>
      </c>
    </row>
    <row r="251" spans="2:6">
      <c r="B251" s="297">
        <v>269000</v>
      </c>
      <c r="C251" s="265">
        <v>748.68080000000009</v>
      </c>
      <c r="D251" s="297">
        <v>854.12880000000007</v>
      </c>
      <c r="E251" s="297">
        <v>1581.7200000000003</v>
      </c>
      <c r="F251" s="297">
        <v>786.75542617801023</v>
      </c>
    </row>
    <row r="252" spans="2:6">
      <c r="B252" s="297">
        <v>270000</v>
      </c>
      <c r="C252" s="265">
        <v>751.46400000000006</v>
      </c>
      <c r="D252" s="297">
        <v>857.30400000000009</v>
      </c>
      <c r="E252" s="297">
        <v>1587.6000000000001</v>
      </c>
      <c r="F252" s="297">
        <v>789.68016753926679</v>
      </c>
    </row>
    <row r="253" spans="2:6">
      <c r="B253" s="297">
        <v>271000</v>
      </c>
      <c r="C253" s="265">
        <v>754.24720000000025</v>
      </c>
      <c r="D253" s="297">
        <v>860.47920000000011</v>
      </c>
      <c r="E253" s="297">
        <v>1593.4800000000002</v>
      </c>
      <c r="F253" s="297">
        <v>792.60490890052336</v>
      </c>
    </row>
    <row r="254" spans="2:6">
      <c r="B254" s="297">
        <v>272000</v>
      </c>
      <c r="C254" s="265">
        <v>757.0304000000001</v>
      </c>
      <c r="D254" s="297">
        <v>863.65440000000024</v>
      </c>
      <c r="E254" s="297">
        <v>1599.3600000000004</v>
      </c>
      <c r="F254" s="297">
        <v>795.52965026177992</v>
      </c>
    </row>
    <row r="255" spans="2:6">
      <c r="B255" s="297">
        <v>273000</v>
      </c>
      <c r="C255" s="265">
        <v>759.81360000000029</v>
      </c>
      <c r="D255" s="297">
        <v>866.82960000000003</v>
      </c>
      <c r="E255" s="297">
        <v>1605.24</v>
      </c>
      <c r="F255" s="297">
        <v>798.45439162303649</v>
      </c>
    </row>
    <row r="256" spans="2:6">
      <c r="B256" s="297">
        <v>274000</v>
      </c>
      <c r="C256" s="265">
        <v>762.59680000000014</v>
      </c>
      <c r="D256" s="297">
        <v>870.00480000000016</v>
      </c>
      <c r="E256" s="297">
        <v>1611.1200000000001</v>
      </c>
      <c r="F256" s="297">
        <v>801.37913298429294</v>
      </c>
    </row>
    <row r="257" spans="2:6">
      <c r="B257" s="297">
        <v>275000</v>
      </c>
      <c r="C257" s="265">
        <v>765.38000000000011</v>
      </c>
      <c r="D257" s="297">
        <v>873.18000000000018</v>
      </c>
      <c r="E257" s="297">
        <v>1617.0000000000002</v>
      </c>
      <c r="F257" s="297">
        <v>804.3038743455495</v>
      </c>
    </row>
    <row r="258" spans="2:6">
      <c r="B258" s="297">
        <v>276000</v>
      </c>
      <c r="C258" s="265">
        <v>768.1632000000003</v>
      </c>
      <c r="D258" s="297">
        <v>876.35520000000008</v>
      </c>
      <c r="E258" s="297">
        <v>1622.88</v>
      </c>
      <c r="F258" s="297">
        <v>807.22861570680607</v>
      </c>
    </row>
    <row r="259" spans="2:6">
      <c r="B259" s="297">
        <v>277000</v>
      </c>
      <c r="C259" s="265">
        <v>770.94640000000015</v>
      </c>
      <c r="D259" s="297">
        <v>879.53039999999999</v>
      </c>
      <c r="E259" s="297">
        <v>1628.7600000000002</v>
      </c>
      <c r="F259" s="297">
        <v>810.15335706806263</v>
      </c>
    </row>
    <row r="260" spans="2:6">
      <c r="B260" s="297">
        <v>278000</v>
      </c>
      <c r="C260" s="265">
        <v>773.72960000000012</v>
      </c>
      <c r="D260" s="297">
        <v>882.70560000000012</v>
      </c>
      <c r="E260" s="297">
        <v>1634.64</v>
      </c>
      <c r="F260" s="297">
        <v>813.0780984293192</v>
      </c>
    </row>
    <row r="261" spans="2:6">
      <c r="B261" s="297">
        <v>279000</v>
      </c>
      <c r="C261" s="265">
        <v>776.51280000000008</v>
      </c>
      <c r="D261" s="297">
        <v>885.88080000000002</v>
      </c>
      <c r="E261" s="297">
        <v>1640.5200000000002</v>
      </c>
      <c r="F261" s="297">
        <v>816.00283979057576</v>
      </c>
    </row>
    <row r="262" spans="2:6">
      <c r="B262" s="297">
        <v>280000</v>
      </c>
      <c r="C262" s="265">
        <v>779.29600000000028</v>
      </c>
      <c r="D262" s="297">
        <v>889.05600000000015</v>
      </c>
      <c r="E262" s="297">
        <v>1646.4000000000003</v>
      </c>
      <c r="F262" s="297">
        <v>818.92758115183233</v>
      </c>
    </row>
    <row r="263" spans="2:6">
      <c r="B263" s="297">
        <v>281000</v>
      </c>
      <c r="C263" s="265">
        <v>782.07920000000013</v>
      </c>
      <c r="D263" s="297">
        <v>892.23120000000017</v>
      </c>
      <c r="E263" s="297">
        <v>1652.28</v>
      </c>
      <c r="F263" s="297">
        <v>821.85232251308889</v>
      </c>
    </row>
    <row r="264" spans="2:6">
      <c r="B264" s="297">
        <v>282000</v>
      </c>
      <c r="C264" s="265">
        <v>784.86239999999998</v>
      </c>
      <c r="D264" s="297">
        <v>895.40639999999996</v>
      </c>
      <c r="E264" s="297">
        <v>1658.16</v>
      </c>
      <c r="F264" s="297">
        <v>824.77706387434546</v>
      </c>
    </row>
    <row r="265" spans="2:6">
      <c r="B265" s="297">
        <v>283000</v>
      </c>
      <c r="C265" s="265">
        <v>787.64560000000017</v>
      </c>
      <c r="D265" s="297">
        <v>898.58160000000009</v>
      </c>
      <c r="E265" s="297">
        <v>1664.0400000000002</v>
      </c>
      <c r="F265" s="297">
        <v>827.70180523560202</v>
      </c>
    </row>
    <row r="266" spans="2:6">
      <c r="B266" s="297">
        <v>284000</v>
      </c>
      <c r="C266" s="265">
        <v>790.42880000000014</v>
      </c>
      <c r="D266" s="297">
        <v>901.75680000000011</v>
      </c>
      <c r="E266" s="297">
        <v>1669.92</v>
      </c>
      <c r="F266" s="297">
        <v>830.62654659685859</v>
      </c>
    </row>
    <row r="267" spans="2:6">
      <c r="B267" s="297">
        <v>285000</v>
      </c>
      <c r="C267" s="265">
        <v>793.2120000000001</v>
      </c>
      <c r="D267" s="297">
        <v>904.93200000000013</v>
      </c>
      <c r="E267" s="297">
        <v>1675.8000000000002</v>
      </c>
      <c r="F267" s="297">
        <v>833.55128795811515</v>
      </c>
    </row>
    <row r="268" spans="2:6">
      <c r="B268" s="297">
        <v>286000</v>
      </c>
      <c r="C268" s="265">
        <v>795.99520000000018</v>
      </c>
      <c r="D268" s="297">
        <v>908.10720000000003</v>
      </c>
      <c r="E268" s="297">
        <v>1681.6800000000003</v>
      </c>
      <c r="F268" s="297">
        <v>836.47602931937149</v>
      </c>
    </row>
    <row r="269" spans="2:6">
      <c r="B269" s="297">
        <v>287000</v>
      </c>
      <c r="C269" s="265">
        <v>798.77840000000015</v>
      </c>
      <c r="D269" s="297">
        <v>911.28240000000005</v>
      </c>
      <c r="E269" s="297">
        <v>1687.5600000000002</v>
      </c>
      <c r="F269" s="297">
        <v>839.40077068062806</v>
      </c>
    </row>
    <row r="270" spans="2:6">
      <c r="B270" s="297">
        <v>288000</v>
      </c>
      <c r="C270" s="265">
        <v>801.56160000000034</v>
      </c>
      <c r="D270" s="297">
        <v>914.45759999999984</v>
      </c>
      <c r="E270" s="297">
        <v>1693.4400000000003</v>
      </c>
      <c r="F270" s="297">
        <v>842.32551204188462</v>
      </c>
    </row>
    <row r="271" spans="2:6">
      <c r="B271" s="297">
        <v>289000</v>
      </c>
      <c r="C271" s="265">
        <v>804.34480000000019</v>
      </c>
      <c r="D271" s="297">
        <v>917.6328000000002</v>
      </c>
      <c r="E271" s="297">
        <v>1699.32</v>
      </c>
      <c r="F271" s="297">
        <v>845.25025340314107</v>
      </c>
    </row>
    <row r="272" spans="2:6">
      <c r="B272" s="297">
        <v>290000</v>
      </c>
      <c r="C272" s="265">
        <v>807.12800000000016</v>
      </c>
      <c r="D272" s="297">
        <v>920.80800000000011</v>
      </c>
      <c r="E272" s="297">
        <v>1705.2</v>
      </c>
      <c r="F272" s="297">
        <v>848.17499476439764</v>
      </c>
    </row>
    <row r="273" spans="2:6">
      <c r="B273" s="297">
        <v>291000</v>
      </c>
      <c r="C273" s="265">
        <v>809.91120000000012</v>
      </c>
      <c r="D273" s="297">
        <v>923.98320000000012</v>
      </c>
      <c r="E273" s="297">
        <v>1711.0800000000002</v>
      </c>
      <c r="F273" s="297">
        <v>851.0997361256542</v>
      </c>
    </row>
    <row r="274" spans="2:6">
      <c r="B274" s="297">
        <v>292000</v>
      </c>
      <c r="C274" s="265">
        <v>812.69440000000031</v>
      </c>
      <c r="D274" s="297">
        <v>927.15840000000014</v>
      </c>
      <c r="E274" s="297">
        <v>1716.96</v>
      </c>
      <c r="F274" s="297">
        <v>854.02447748691077</v>
      </c>
    </row>
    <row r="275" spans="2:6">
      <c r="B275" s="297">
        <v>293000</v>
      </c>
      <c r="C275" s="265">
        <v>815.47760000000028</v>
      </c>
      <c r="D275" s="297">
        <v>930.33359999999993</v>
      </c>
      <c r="E275" s="297">
        <v>1722.8400000000001</v>
      </c>
      <c r="F275" s="297">
        <v>856.94921884816733</v>
      </c>
    </row>
    <row r="276" spans="2:6">
      <c r="B276" s="297">
        <v>294000</v>
      </c>
      <c r="C276" s="265">
        <v>818.26080000000002</v>
      </c>
      <c r="D276" s="297">
        <v>933.50880000000018</v>
      </c>
      <c r="E276" s="297">
        <v>1728.7200000000003</v>
      </c>
      <c r="F276" s="297">
        <v>859.8739602094239</v>
      </c>
    </row>
    <row r="277" spans="2:6">
      <c r="B277" s="297">
        <v>295000</v>
      </c>
      <c r="C277" s="265">
        <v>821.04399999999998</v>
      </c>
      <c r="D277" s="297">
        <v>936.68400000000008</v>
      </c>
      <c r="E277" s="297">
        <v>1734.6000000000001</v>
      </c>
      <c r="F277" s="297">
        <v>862.79870157068046</v>
      </c>
    </row>
    <row r="278" spans="2:6">
      <c r="B278" s="297">
        <v>296000</v>
      </c>
      <c r="C278" s="265">
        <v>823.82720000000006</v>
      </c>
      <c r="D278" s="297">
        <v>939.85919999999999</v>
      </c>
      <c r="E278" s="297">
        <v>1740.4800000000002</v>
      </c>
      <c r="F278" s="297">
        <v>865.72344293193703</v>
      </c>
    </row>
    <row r="279" spans="2:6">
      <c r="B279" s="297">
        <v>297000</v>
      </c>
      <c r="C279" s="265">
        <v>826.61040000000014</v>
      </c>
      <c r="D279" s="297">
        <v>943.03440000000012</v>
      </c>
      <c r="E279" s="297">
        <v>1746.3600000000004</v>
      </c>
      <c r="F279" s="297">
        <v>868.64818429319359</v>
      </c>
    </row>
    <row r="280" spans="2:6">
      <c r="B280" s="297">
        <v>298000</v>
      </c>
      <c r="C280" s="265">
        <v>829.39360000000022</v>
      </c>
      <c r="D280" s="297">
        <v>946.20960000000002</v>
      </c>
      <c r="E280" s="297">
        <v>1752.24</v>
      </c>
      <c r="F280" s="297">
        <v>871.57292565445016</v>
      </c>
    </row>
    <row r="281" spans="2:6">
      <c r="B281" s="297">
        <v>299000</v>
      </c>
      <c r="C281" s="265">
        <v>832.17680000000007</v>
      </c>
      <c r="D281" s="297">
        <v>949.38480000000027</v>
      </c>
      <c r="E281" s="297">
        <v>1758.1200000000001</v>
      </c>
      <c r="F281" s="297">
        <v>874.49766701570672</v>
      </c>
    </row>
    <row r="282" spans="2:6">
      <c r="B282" s="297">
        <v>300000</v>
      </c>
      <c r="C282" s="265">
        <v>834.96</v>
      </c>
      <c r="D282" s="297">
        <v>952.56000000000006</v>
      </c>
      <c r="E282" s="297">
        <v>1764.0000000000002</v>
      </c>
      <c r="F282" s="297">
        <v>877.42240837696329</v>
      </c>
    </row>
    <row r="283" spans="2:6">
      <c r="B283" s="297">
        <v>301000</v>
      </c>
      <c r="C283" s="265">
        <v>837.7432</v>
      </c>
      <c r="D283" s="297">
        <v>955.73520000000008</v>
      </c>
      <c r="E283" s="297">
        <v>1769.88</v>
      </c>
      <c r="F283" s="297">
        <v>880.34714973821985</v>
      </c>
    </row>
    <row r="284" spans="2:6">
      <c r="B284" s="297">
        <v>302000</v>
      </c>
      <c r="C284" s="265">
        <v>840.52640000000019</v>
      </c>
      <c r="D284" s="297">
        <v>958.9104000000001</v>
      </c>
      <c r="E284" s="297">
        <v>1775.7600000000002</v>
      </c>
      <c r="F284" s="297">
        <v>883.27189109947642</v>
      </c>
    </row>
    <row r="285" spans="2:6">
      <c r="B285" s="297">
        <v>303000</v>
      </c>
      <c r="C285" s="265">
        <v>843.30960000000016</v>
      </c>
      <c r="D285" s="297">
        <v>962.0856</v>
      </c>
      <c r="E285" s="297">
        <v>1781.64</v>
      </c>
      <c r="F285" s="297">
        <v>886.1966324607323</v>
      </c>
    </row>
    <row r="286" spans="2:6">
      <c r="B286" s="297">
        <v>304000</v>
      </c>
      <c r="C286" s="265">
        <v>846.09280000000024</v>
      </c>
      <c r="D286" s="297">
        <v>965.26080000000002</v>
      </c>
      <c r="E286" s="297">
        <v>1787.5200000000002</v>
      </c>
      <c r="F286" s="297">
        <v>889.12137382198875</v>
      </c>
    </row>
    <row r="287" spans="2:6">
      <c r="B287" s="297">
        <v>305000</v>
      </c>
      <c r="C287" s="265">
        <v>848.87600000000009</v>
      </c>
      <c r="D287" s="297">
        <v>968.43600000000015</v>
      </c>
      <c r="E287" s="297">
        <v>1793.4000000000003</v>
      </c>
      <c r="F287" s="297">
        <v>892.04611518324532</v>
      </c>
    </row>
    <row r="288" spans="2:6">
      <c r="B288" s="297">
        <v>306000</v>
      </c>
      <c r="C288" s="265">
        <v>851.65920000000006</v>
      </c>
      <c r="D288" s="297">
        <v>971.61120000000017</v>
      </c>
      <c r="E288" s="297">
        <v>1799.28</v>
      </c>
      <c r="F288" s="297">
        <v>894.97085654450166</v>
      </c>
    </row>
    <row r="289" spans="2:6">
      <c r="B289" s="297">
        <v>307000</v>
      </c>
      <c r="C289" s="265">
        <v>854.44240000000025</v>
      </c>
      <c r="D289" s="297">
        <v>974.78640000000007</v>
      </c>
      <c r="E289" s="297">
        <v>1805.16</v>
      </c>
      <c r="F289" s="297">
        <v>897.89559790575822</v>
      </c>
    </row>
    <row r="290" spans="2:6">
      <c r="B290" s="297">
        <v>308000</v>
      </c>
      <c r="C290" s="265">
        <v>857.22560000000021</v>
      </c>
      <c r="D290" s="297">
        <v>977.96160000000009</v>
      </c>
      <c r="E290" s="297">
        <v>1811.0400000000002</v>
      </c>
      <c r="F290" s="297">
        <v>900.82033926701479</v>
      </c>
    </row>
    <row r="291" spans="2:6">
      <c r="B291" s="297">
        <v>309000</v>
      </c>
      <c r="C291" s="265">
        <v>860.00880000000018</v>
      </c>
      <c r="D291" s="297">
        <v>981.13680000000011</v>
      </c>
      <c r="E291" s="297">
        <v>1816.92</v>
      </c>
      <c r="F291" s="297">
        <v>903.74508062827135</v>
      </c>
    </row>
    <row r="292" spans="2:6">
      <c r="B292" s="297">
        <v>310000</v>
      </c>
      <c r="C292" s="265">
        <v>862.79200000000026</v>
      </c>
      <c r="D292" s="297">
        <v>984.31200000000024</v>
      </c>
      <c r="E292" s="297">
        <v>1822.8000000000002</v>
      </c>
      <c r="F292" s="297">
        <v>906.66982198952792</v>
      </c>
    </row>
    <row r="293" spans="2:6">
      <c r="B293" s="297">
        <v>311000</v>
      </c>
      <c r="C293" s="265">
        <v>865.57520000000011</v>
      </c>
      <c r="D293" s="297">
        <v>987.48720000000003</v>
      </c>
      <c r="E293" s="297">
        <v>1828.6800000000003</v>
      </c>
      <c r="F293" s="297">
        <v>909.59456335078448</v>
      </c>
    </row>
    <row r="294" spans="2:6">
      <c r="B294" s="297">
        <v>312000</v>
      </c>
      <c r="C294" s="265">
        <v>868.35840000000019</v>
      </c>
      <c r="D294" s="297">
        <v>990.66240000000005</v>
      </c>
      <c r="E294" s="297">
        <v>1834.5600000000002</v>
      </c>
      <c r="F294" s="297">
        <v>912.51930471204105</v>
      </c>
    </row>
    <row r="295" spans="2:6">
      <c r="B295" s="297">
        <v>313000</v>
      </c>
      <c r="C295" s="265">
        <v>871.14160000000027</v>
      </c>
      <c r="D295" s="297">
        <v>993.83759999999995</v>
      </c>
      <c r="E295" s="297">
        <v>1840.4400000000003</v>
      </c>
      <c r="F295" s="297">
        <v>915.44404607329761</v>
      </c>
    </row>
    <row r="296" spans="2:6">
      <c r="B296" s="297">
        <v>314000</v>
      </c>
      <c r="C296" s="265">
        <v>873.92480000000023</v>
      </c>
      <c r="D296" s="297">
        <v>997.01279999999997</v>
      </c>
      <c r="E296" s="297">
        <v>1846.3200000000004</v>
      </c>
      <c r="F296" s="297">
        <v>918.36878743455418</v>
      </c>
    </row>
    <row r="297" spans="2:6">
      <c r="B297" s="297">
        <v>315000</v>
      </c>
      <c r="C297" s="265">
        <v>876.7080000000002</v>
      </c>
      <c r="D297" s="297">
        <v>1000.1880000000002</v>
      </c>
      <c r="E297" s="297">
        <v>1852.2</v>
      </c>
      <c r="F297" s="297">
        <v>921.29352879581074</v>
      </c>
    </row>
    <row r="298" spans="2:6">
      <c r="B298" s="297">
        <v>316000</v>
      </c>
      <c r="C298" s="265">
        <v>879.49120000000005</v>
      </c>
      <c r="D298" s="297">
        <v>1003.3632000000001</v>
      </c>
      <c r="E298" s="297">
        <v>1858.0800000000002</v>
      </c>
      <c r="F298" s="297">
        <v>924.21827015706731</v>
      </c>
    </row>
    <row r="299" spans="2:6">
      <c r="B299" s="297">
        <v>317000</v>
      </c>
      <c r="C299" s="265">
        <v>882.27440000000024</v>
      </c>
      <c r="D299" s="297">
        <v>1006.5384</v>
      </c>
      <c r="E299" s="297">
        <v>1863.96</v>
      </c>
      <c r="F299" s="297">
        <v>927.14301151832376</v>
      </c>
    </row>
    <row r="300" spans="2:6">
      <c r="B300" s="297">
        <v>318000</v>
      </c>
      <c r="C300" s="265">
        <v>885.05760000000021</v>
      </c>
      <c r="D300" s="297">
        <v>1009.7136</v>
      </c>
      <c r="E300" s="297">
        <v>1869.8400000000001</v>
      </c>
      <c r="F300" s="297">
        <v>930.06775287958033</v>
      </c>
    </row>
    <row r="301" spans="2:6">
      <c r="B301" s="297">
        <v>319000</v>
      </c>
      <c r="C301" s="265">
        <v>887.84080000000006</v>
      </c>
      <c r="D301" s="297">
        <v>1012.8888000000001</v>
      </c>
      <c r="E301" s="297">
        <v>1875.7200000000003</v>
      </c>
      <c r="F301" s="297">
        <v>932.99249424083689</v>
      </c>
    </row>
    <row r="302" spans="2:6">
      <c r="B302" s="297">
        <v>320000</v>
      </c>
      <c r="C302" s="265">
        <v>890.62400000000014</v>
      </c>
      <c r="D302" s="297">
        <v>1016.064</v>
      </c>
      <c r="E302" s="297">
        <v>1881.6000000000001</v>
      </c>
      <c r="F302" s="297">
        <v>935.91723560209346</v>
      </c>
    </row>
    <row r="303" spans="2:6">
      <c r="B303" s="297">
        <v>321000</v>
      </c>
      <c r="C303" s="265">
        <v>893.40719999999999</v>
      </c>
      <c r="D303" s="297">
        <v>1019.2392000000001</v>
      </c>
      <c r="E303" s="297">
        <v>1887.4800000000002</v>
      </c>
      <c r="F303" s="297">
        <v>938.84197696335002</v>
      </c>
    </row>
    <row r="304" spans="2:6">
      <c r="B304" s="297">
        <v>322000</v>
      </c>
      <c r="C304" s="265">
        <v>896.19040000000007</v>
      </c>
      <c r="D304" s="297">
        <v>1022.4144000000001</v>
      </c>
      <c r="E304" s="297">
        <v>1893.3600000000004</v>
      </c>
      <c r="F304" s="297">
        <v>941.76671832460659</v>
      </c>
    </row>
    <row r="305" spans="2:6">
      <c r="B305" s="297">
        <v>323000</v>
      </c>
      <c r="C305" s="265">
        <v>898.97360000000015</v>
      </c>
      <c r="D305" s="297">
        <v>1025.5896</v>
      </c>
      <c r="E305" s="297">
        <v>1899.24</v>
      </c>
      <c r="F305" s="297">
        <v>944.69145968586292</v>
      </c>
    </row>
    <row r="306" spans="2:6">
      <c r="B306" s="297">
        <v>324000</v>
      </c>
      <c r="C306" s="265">
        <v>901.75680000000011</v>
      </c>
      <c r="D306" s="297">
        <v>1028.7648000000002</v>
      </c>
      <c r="E306" s="297">
        <v>1905.1200000000001</v>
      </c>
      <c r="F306" s="297">
        <v>947.61620104711949</v>
      </c>
    </row>
    <row r="307" spans="2:6">
      <c r="B307" s="297">
        <v>325000</v>
      </c>
      <c r="C307" s="265">
        <v>904.54000000000008</v>
      </c>
      <c r="D307" s="297">
        <v>1031.94</v>
      </c>
      <c r="E307" s="297">
        <v>1911.0000000000002</v>
      </c>
      <c r="F307" s="297">
        <v>950.54094240837605</v>
      </c>
    </row>
    <row r="308" spans="2:6">
      <c r="B308" s="297">
        <v>326000</v>
      </c>
      <c r="C308" s="265">
        <v>907.32320000000016</v>
      </c>
      <c r="D308" s="297">
        <v>1035.1152000000002</v>
      </c>
      <c r="E308" s="297">
        <v>1916.88</v>
      </c>
      <c r="F308" s="297">
        <v>953.46568376963262</v>
      </c>
    </row>
    <row r="309" spans="2:6">
      <c r="B309" s="297">
        <v>327000</v>
      </c>
      <c r="C309" s="265">
        <v>910.10640000000024</v>
      </c>
      <c r="D309" s="297">
        <v>1038.2904000000001</v>
      </c>
      <c r="E309" s="297">
        <v>1922.7600000000002</v>
      </c>
      <c r="F309" s="297">
        <v>956.39042513088918</v>
      </c>
    </row>
    <row r="310" spans="2:6">
      <c r="B310" s="297">
        <v>328000</v>
      </c>
      <c r="C310" s="265">
        <v>912.88960000000009</v>
      </c>
      <c r="D310" s="297">
        <v>1041.4656</v>
      </c>
      <c r="E310" s="297">
        <v>1928.6400000000003</v>
      </c>
      <c r="F310" s="297">
        <v>959.31516649214598</v>
      </c>
    </row>
    <row r="311" spans="2:6">
      <c r="B311" s="297">
        <v>329000</v>
      </c>
      <c r="C311" s="265">
        <v>915.67280000000017</v>
      </c>
      <c r="D311" s="297">
        <v>1044.6407999999999</v>
      </c>
      <c r="E311" s="297">
        <v>1934.5200000000002</v>
      </c>
      <c r="F311" s="297">
        <v>962.23990785340231</v>
      </c>
    </row>
    <row r="312" spans="2:6">
      <c r="B312" s="297">
        <v>330000</v>
      </c>
      <c r="C312" s="265">
        <v>918.45600000000013</v>
      </c>
      <c r="D312" s="297">
        <v>1047.816</v>
      </c>
      <c r="E312" s="297">
        <v>1940.4000000000003</v>
      </c>
      <c r="F312" s="297">
        <v>965.16464921465865</v>
      </c>
    </row>
    <row r="313" spans="2:6">
      <c r="B313" s="297">
        <v>331000</v>
      </c>
      <c r="C313" s="265">
        <v>921.2392000000001</v>
      </c>
      <c r="D313" s="297">
        <v>1050.9912000000002</v>
      </c>
      <c r="E313" s="297">
        <v>1946.28</v>
      </c>
      <c r="F313" s="297">
        <v>968.08939057591522</v>
      </c>
    </row>
    <row r="314" spans="2:6">
      <c r="B314" s="297">
        <v>332000</v>
      </c>
      <c r="C314" s="265">
        <v>924.02240000000029</v>
      </c>
      <c r="D314" s="297">
        <v>1054.1664000000001</v>
      </c>
      <c r="E314" s="297">
        <v>1952.16</v>
      </c>
      <c r="F314" s="297">
        <v>971.01413193717178</v>
      </c>
    </row>
    <row r="315" spans="2:6">
      <c r="B315" s="297">
        <v>333000</v>
      </c>
      <c r="C315" s="265">
        <v>926.80560000000014</v>
      </c>
      <c r="D315" s="297">
        <v>1057.3416</v>
      </c>
      <c r="E315" s="297">
        <v>1958.0400000000002</v>
      </c>
      <c r="F315" s="297">
        <v>973.93887329842835</v>
      </c>
    </row>
    <row r="316" spans="2:6">
      <c r="B316" s="297">
        <v>334000</v>
      </c>
      <c r="C316" s="265">
        <v>929.58880000000011</v>
      </c>
      <c r="D316" s="297">
        <v>1060.5168000000001</v>
      </c>
      <c r="E316" s="297">
        <v>1963.92</v>
      </c>
      <c r="F316" s="297">
        <v>976.86361465968469</v>
      </c>
    </row>
    <row r="317" spans="2:6">
      <c r="B317" s="297">
        <v>335000</v>
      </c>
      <c r="C317" s="265">
        <v>932.37200000000018</v>
      </c>
      <c r="D317" s="297">
        <v>1063.6920000000002</v>
      </c>
      <c r="E317" s="297">
        <v>1969.8000000000002</v>
      </c>
      <c r="F317" s="297">
        <v>979.78835602094125</v>
      </c>
    </row>
    <row r="318" spans="2:6">
      <c r="B318" s="297">
        <v>336000</v>
      </c>
      <c r="C318" s="265">
        <v>935.15520000000026</v>
      </c>
      <c r="D318" s="297">
        <v>1066.8671999999999</v>
      </c>
      <c r="E318" s="297">
        <v>1975.6800000000003</v>
      </c>
      <c r="F318" s="297">
        <v>982.71309738219782</v>
      </c>
    </row>
    <row r="319" spans="2:6">
      <c r="B319" s="297">
        <v>337000</v>
      </c>
      <c r="C319" s="265">
        <v>937.93840000000034</v>
      </c>
      <c r="D319" s="297">
        <v>1070.0424</v>
      </c>
      <c r="E319" s="297">
        <v>1981.5600000000002</v>
      </c>
      <c r="F319" s="297">
        <v>985.63783874345461</v>
      </c>
    </row>
    <row r="320" spans="2:6">
      <c r="B320" s="297">
        <v>338000</v>
      </c>
      <c r="C320" s="265">
        <v>940.72160000000031</v>
      </c>
      <c r="D320" s="297">
        <v>1073.2176000000002</v>
      </c>
      <c r="E320" s="297">
        <v>1987.4400000000003</v>
      </c>
      <c r="F320" s="297">
        <v>988.56258010471117</v>
      </c>
    </row>
    <row r="321" spans="2:6">
      <c r="B321" s="297">
        <v>339000</v>
      </c>
      <c r="C321" s="265">
        <v>943.50480000000016</v>
      </c>
      <c r="D321" s="297">
        <v>1076.3927999999999</v>
      </c>
      <c r="E321" s="297">
        <v>1993.3200000000004</v>
      </c>
      <c r="F321" s="297">
        <v>991.48732146596774</v>
      </c>
    </row>
    <row r="322" spans="2:6">
      <c r="B322" s="297">
        <v>340000</v>
      </c>
      <c r="C322" s="265">
        <v>946.28800000000012</v>
      </c>
      <c r="D322" s="297">
        <v>1079.5680000000002</v>
      </c>
      <c r="E322" s="297">
        <v>1999.2</v>
      </c>
      <c r="F322" s="297">
        <v>994.4120628272243</v>
      </c>
    </row>
    <row r="323" spans="2:6">
      <c r="B323" s="297">
        <v>341000</v>
      </c>
      <c r="C323" s="265">
        <v>949.07120000000032</v>
      </c>
      <c r="D323" s="297">
        <v>1082.7432000000001</v>
      </c>
      <c r="E323" s="297">
        <v>2005.0800000000002</v>
      </c>
      <c r="F323" s="297">
        <v>997.33680418848087</v>
      </c>
    </row>
    <row r="324" spans="2:6">
      <c r="B324" s="297">
        <v>342000</v>
      </c>
      <c r="C324" s="265">
        <v>951.85440000000028</v>
      </c>
      <c r="D324" s="297">
        <v>1085.9184000000002</v>
      </c>
      <c r="E324" s="297">
        <v>2010.9600000000003</v>
      </c>
      <c r="F324" s="297">
        <v>1000.2615455497374</v>
      </c>
    </row>
    <row r="325" spans="2:6">
      <c r="B325" s="297">
        <v>343000</v>
      </c>
      <c r="C325" s="265">
        <v>954.63760000000036</v>
      </c>
      <c r="D325" s="297">
        <v>1089.0935999999999</v>
      </c>
      <c r="E325" s="297">
        <v>2016.8400000000001</v>
      </c>
      <c r="F325" s="297">
        <v>1003.1862869109937</v>
      </c>
    </row>
    <row r="326" spans="2:6">
      <c r="B326" s="297">
        <v>344000</v>
      </c>
      <c r="C326" s="265">
        <v>957.42079999999999</v>
      </c>
      <c r="D326" s="297">
        <v>1092.2688000000001</v>
      </c>
      <c r="E326" s="297">
        <v>2022.7200000000003</v>
      </c>
      <c r="F326" s="297">
        <v>1006.1110282722502</v>
      </c>
    </row>
    <row r="327" spans="2:6">
      <c r="B327" s="297">
        <v>345000</v>
      </c>
      <c r="C327" s="265">
        <v>960.20400000000006</v>
      </c>
      <c r="D327" s="297">
        <v>1095.4440000000002</v>
      </c>
      <c r="E327" s="297">
        <v>2028.6000000000001</v>
      </c>
      <c r="F327" s="297">
        <v>1009.035769633507</v>
      </c>
    </row>
    <row r="328" spans="2:6">
      <c r="B328" s="297">
        <v>346000</v>
      </c>
      <c r="C328" s="265">
        <v>962.98720000000014</v>
      </c>
      <c r="D328" s="297">
        <v>1098.6192000000001</v>
      </c>
      <c r="E328" s="297">
        <v>2034.4800000000002</v>
      </c>
      <c r="F328" s="297">
        <v>1011.9605109947636</v>
      </c>
    </row>
    <row r="329" spans="2:6">
      <c r="B329" s="297">
        <v>347000</v>
      </c>
      <c r="C329" s="265">
        <v>965.77040000000022</v>
      </c>
      <c r="D329" s="297">
        <v>1101.7944000000002</v>
      </c>
      <c r="E329" s="297">
        <v>2040.3600000000004</v>
      </c>
      <c r="F329" s="297">
        <v>1014.8852523560201</v>
      </c>
    </row>
    <row r="330" spans="2:6">
      <c r="B330" s="297">
        <v>348000</v>
      </c>
      <c r="C330" s="265">
        <v>968.55360000000019</v>
      </c>
      <c r="D330" s="297">
        <v>1104.9696000000001</v>
      </c>
      <c r="E330" s="297">
        <v>2046.24</v>
      </c>
      <c r="F330" s="297">
        <v>1017.8099937172767</v>
      </c>
    </row>
    <row r="331" spans="2:6">
      <c r="B331" s="297">
        <v>349000</v>
      </c>
      <c r="C331" s="265">
        <v>971.33680000000015</v>
      </c>
      <c r="D331" s="297">
        <v>1108.1448</v>
      </c>
      <c r="E331" s="297">
        <v>2052.1200000000003</v>
      </c>
      <c r="F331" s="297">
        <v>1020.734735078533</v>
      </c>
    </row>
    <row r="332" spans="2:6">
      <c r="B332" s="297">
        <v>350000</v>
      </c>
      <c r="C332" s="265">
        <v>974.12</v>
      </c>
      <c r="D332" s="297">
        <v>1111.3200000000002</v>
      </c>
      <c r="E332" s="297">
        <v>2058.0000000000005</v>
      </c>
      <c r="F332" s="297">
        <v>1023.6594764397896</v>
      </c>
    </row>
    <row r="333" spans="2:6">
      <c r="B333" s="297">
        <v>351000</v>
      </c>
      <c r="C333" s="265">
        <v>976.9032000000002</v>
      </c>
      <c r="D333" s="297">
        <v>1114.4952000000001</v>
      </c>
      <c r="E333" s="297">
        <v>2063.88</v>
      </c>
      <c r="F333" s="297">
        <v>1026.5842178010462</v>
      </c>
    </row>
    <row r="334" spans="2:6">
      <c r="B334" s="297">
        <v>352000</v>
      </c>
      <c r="C334" s="265">
        <v>979.68640000000016</v>
      </c>
      <c r="D334" s="297">
        <v>1117.6704</v>
      </c>
      <c r="E334" s="297">
        <v>2069.7600000000002</v>
      </c>
      <c r="F334" s="297">
        <v>1029.5089591623027</v>
      </c>
    </row>
    <row r="335" spans="2:6">
      <c r="B335" s="297">
        <v>353000</v>
      </c>
      <c r="C335" s="265">
        <v>982.46960000000024</v>
      </c>
      <c r="D335" s="297">
        <v>1120.8456000000001</v>
      </c>
      <c r="E335" s="297">
        <v>2075.6400000000003</v>
      </c>
      <c r="F335" s="297">
        <v>1032.4337005235593</v>
      </c>
    </row>
    <row r="336" spans="2:6">
      <c r="B336" s="297">
        <v>354000</v>
      </c>
      <c r="C336" s="265">
        <v>985.25280000000021</v>
      </c>
      <c r="D336" s="297">
        <v>1124.0208</v>
      </c>
      <c r="E336" s="297">
        <v>2081.52</v>
      </c>
      <c r="F336" s="297">
        <v>1035.3584418848159</v>
      </c>
    </row>
    <row r="337" spans="2:6">
      <c r="B337" s="297">
        <v>355000</v>
      </c>
      <c r="C337" s="265">
        <v>988.03600000000006</v>
      </c>
      <c r="D337" s="297">
        <v>1127.1960000000001</v>
      </c>
      <c r="E337" s="297">
        <v>2087.4</v>
      </c>
      <c r="F337" s="297">
        <v>1038.2831832460724</v>
      </c>
    </row>
    <row r="338" spans="2:6">
      <c r="B338" s="297">
        <v>356000</v>
      </c>
      <c r="C338" s="265">
        <v>990.81920000000025</v>
      </c>
      <c r="D338" s="297">
        <v>1130.3712000000003</v>
      </c>
      <c r="E338" s="297">
        <v>2093.2800000000002</v>
      </c>
      <c r="F338" s="297">
        <v>1041.207924607329</v>
      </c>
    </row>
    <row r="339" spans="2:6">
      <c r="B339" s="297">
        <v>357000</v>
      </c>
      <c r="C339" s="265">
        <v>993.60240000000022</v>
      </c>
      <c r="D339" s="297">
        <v>1133.5463999999999</v>
      </c>
      <c r="E339" s="297">
        <v>2099.1600000000003</v>
      </c>
      <c r="F339" s="297">
        <v>1044.1326659685856</v>
      </c>
    </row>
    <row r="340" spans="2:6">
      <c r="B340" s="297">
        <v>358000</v>
      </c>
      <c r="C340" s="265">
        <v>996.38560000000018</v>
      </c>
      <c r="D340" s="297">
        <v>1136.7216000000001</v>
      </c>
      <c r="E340" s="297">
        <v>2105.0400000000004</v>
      </c>
      <c r="F340" s="297">
        <v>1047.0574073298421</v>
      </c>
    </row>
    <row r="341" spans="2:6">
      <c r="B341" s="297">
        <v>359000</v>
      </c>
      <c r="C341" s="265">
        <v>999.16880000000026</v>
      </c>
      <c r="D341" s="297">
        <v>1139.8968</v>
      </c>
      <c r="E341" s="297">
        <v>2110.92</v>
      </c>
      <c r="F341" s="297">
        <v>1049.9821486910987</v>
      </c>
    </row>
    <row r="342" spans="2:6">
      <c r="B342" s="297">
        <v>360000</v>
      </c>
      <c r="C342" s="265">
        <v>1001.9520000000002</v>
      </c>
      <c r="D342" s="297">
        <v>1143.0720000000001</v>
      </c>
      <c r="E342" s="297">
        <v>2116.8000000000002</v>
      </c>
      <c r="F342" s="297">
        <v>1052.9068900523553</v>
      </c>
    </row>
    <row r="343" spans="2:6">
      <c r="B343" s="297">
        <v>361000</v>
      </c>
      <c r="C343" s="265">
        <v>1004.7352000000004</v>
      </c>
      <c r="D343" s="297">
        <v>1146.2472</v>
      </c>
      <c r="E343" s="297">
        <v>2122.6800000000003</v>
      </c>
      <c r="F343" s="297">
        <v>1055.8316314136118</v>
      </c>
    </row>
    <row r="344" spans="2:6">
      <c r="B344" s="297">
        <v>362000</v>
      </c>
      <c r="C344" s="265">
        <v>1007.5184000000003</v>
      </c>
      <c r="D344" s="297">
        <v>1149.4224000000002</v>
      </c>
      <c r="E344" s="297">
        <v>2128.56</v>
      </c>
      <c r="F344" s="297">
        <v>1058.7563727748684</v>
      </c>
    </row>
    <row r="345" spans="2:6">
      <c r="B345" s="297">
        <v>363000</v>
      </c>
      <c r="C345" s="265">
        <v>1010.3016000000002</v>
      </c>
      <c r="D345" s="297">
        <v>1152.5976000000001</v>
      </c>
      <c r="E345" s="297">
        <v>2134.44</v>
      </c>
      <c r="F345" s="297">
        <v>1061.681114136125</v>
      </c>
    </row>
    <row r="346" spans="2:6">
      <c r="B346" s="297">
        <v>364000</v>
      </c>
      <c r="C346" s="265">
        <v>1013.0848000000002</v>
      </c>
      <c r="D346" s="297">
        <v>1155.7728</v>
      </c>
      <c r="E346" s="297">
        <v>2140.3200000000002</v>
      </c>
      <c r="F346" s="297">
        <v>1064.6058554973815</v>
      </c>
    </row>
    <row r="347" spans="2:6">
      <c r="B347" s="297">
        <v>365000</v>
      </c>
      <c r="C347" s="265">
        <v>1015.8680000000003</v>
      </c>
      <c r="D347" s="297">
        <v>1158.9480000000001</v>
      </c>
      <c r="E347" s="297">
        <v>2146.2000000000003</v>
      </c>
      <c r="F347" s="297">
        <v>1067.5305968586381</v>
      </c>
    </row>
    <row r="348" spans="2:6">
      <c r="B348" s="297">
        <v>366000</v>
      </c>
      <c r="C348" s="265">
        <v>1018.6512000000004</v>
      </c>
      <c r="D348" s="297">
        <v>1162.1232000000002</v>
      </c>
      <c r="E348" s="297">
        <v>2152.0800000000004</v>
      </c>
      <c r="F348" s="297">
        <v>1070.4553382198947</v>
      </c>
    </row>
    <row r="349" spans="2:6">
      <c r="B349" s="297">
        <v>367000</v>
      </c>
      <c r="C349" s="265">
        <v>1021.4344000000002</v>
      </c>
      <c r="D349" s="297">
        <v>1165.2984000000001</v>
      </c>
      <c r="E349" s="297">
        <v>2157.9600000000005</v>
      </c>
      <c r="F349" s="297">
        <v>1073.3800795811512</v>
      </c>
    </row>
    <row r="350" spans="2:6">
      <c r="B350" s="297">
        <v>368000</v>
      </c>
      <c r="C350" s="265">
        <v>1024.2176000000002</v>
      </c>
      <c r="D350" s="297">
        <v>1168.4736</v>
      </c>
      <c r="E350" s="297">
        <v>2163.84</v>
      </c>
      <c r="F350" s="297">
        <v>1076.3048209424078</v>
      </c>
    </row>
    <row r="351" spans="2:6">
      <c r="B351" s="297">
        <v>369000</v>
      </c>
      <c r="C351" s="265">
        <v>1027.0008000000003</v>
      </c>
      <c r="D351" s="297">
        <v>1171.6488000000002</v>
      </c>
      <c r="E351" s="297">
        <v>2169.7200000000003</v>
      </c>
      <c r="F351" s="297">
        <v>1079.2295623036639</v>
      </c>
    </row>
    <row r="352" spans="2:6">
      <c r="B352" s="297">
        <v>370000</v>
      </c>
      <c r="C352" s="265">
        <v>1029.7840000000001</v>
      </c>
      <c r="D352" s="297">
        <v>1174.8240000000001</v>
      </c>
      <c r="E352" s="297">
        <v>2175.6</v>
      </c>
      <c r="F352" s="297">
        <v>1082.1543036649205</v>
      </c>
    </row>
    <row r="353" spans="2:6">
      <c r="B353" s="297">
        <v>371000</v>
      </c>
      <c r="C353" s="265">
        <v>1032.5672000000002</v>
      </c>
      <c r="D353" s="297">
        <v>1177.9992</v>
      </c>
      <c r="E353" s="297">
        <v>2181.48</v>
      </c>
      <c r="F353" s="297">
        <v>1085.079045026177</v>
      </c>
    </row>
    <row r="354" spans="2:6">
      <c r="B354" s="297">
        <v>372000</v>
      </c>
      <c r="C354" s="265">
        <v>1035.3504</v>
      </c>
      <c r="D354" s="297">
        <v>1181.1744000000001</v>
      </c>
      <c r="E354" s="297">
        <v>2187.36</v>
      </c>
      <c r="F354" s="297">
        <v>1088.0037863874336</v>
      </c>
    </row>
    <row r="355" spans="2:6">
      <c r="B355" s="297">
        <v>373000</v>
      </c>
      <c r="C355" s="265">
        <v>1038.1336000000001</v>
      </c>
      <c r="D355" s="297">
        <v>1184.3496</v>
      </c>
      <c r="E355" s="297">
        <v>2193.2400000000002</v>
      </c>
      <c r="F355" s="297">
        <v>1090.9285277486902</v>
      </c>
    </row>
    <row r="356" spans="2:6">
      <c r="B356" s="297">
        <v>374000</v>
      </c>
      <c r="C356" s="265">
        <v>1040.9168000000002</v>
      </c>
      <c r="D356" s="297">
        <v>1187.5248000000001</v>
      </c>
      <c r="E356" s="297">
        <v>2199.1200000000003</v>
      </c>
      <c r="F356" s="297">
        <v>1093.8532691099467</v>
      </c>
    </row>
    <row r="357" spans="2:6">
      <c r="B357" s="297">
        <v>375000</v>
      </c>
      <c r="C357" s="265">
        <v>1043.7</v>
      </c>
      <c r="D357" s="297">
        <v>1190.7</v>
      </c>
      <c r="E357" s="297">
        <v>2205.0000000000005</v>
      </c>
      <c r="F357" s="297">
        <v>1096.7780104712033</v>
      </c>
    </row>
    <row r="358" spans="2:6">
      <c r="B358" s="297">
        <v>376000</v>
      </c>
      <c r="C358" s="265">
        <v>1046.4832000000004</v>
      </c>
      <c r="D358" s="297">
        <v>1193.8752000000002</v>
      </c>
      <c r="E358" s="297">
        <v>2210.88</v>
      </c>
      <c r="F358" s="297">
        <v>1099.7027518324594</v>
      </c>
    </row>
    <row r="359" spans="2:6">
      <c r="B359" s="297">
        <v>377000</v>
      </c>
      <c r="C359" s="265">
        <v>1049.2664000000002</v>
      </c>
      <c r="D359" s="297">
        <v>1197.0504000000001</v>
      </c>
      <c r="E359" s="297">
        <v>2216.7600000000002</v>
      </c>
      <c r="F359" s="297">
        <v>1102.627493193716</v>
      </c>
    </row>
    <row r="360" spans="2:6">
      <c r="B360" s="297">
        <v>378000</v>
      </c>
      <c r="C360" s="265">
        <v>1052.0496000000001</v>
      </c>
      <c r="D360" s="297">
        <v>1200.2256</v>
      </c>
      <c r="E360" s="297">
        <v>2222.6400000000003</v>
      </c>
      <c r="F360" s="297">
        <v>1105.5522345549725</v>
      </c>
    </row>
    <row r="361" spans="2:6">
      <c r="B361" s="297">
        <v>379000</v>
      </c>
      <c r="C361" s="265">
        <v>1054.8328000000001</v>
      </c>
      <c r="D361" s="297">
        <v>1203.4007999999999</v>
      </c>
      <c r="E361" s="297">
        <v>2228.52</v>
      </c>
      <c r="F361" s="297">
        <v>1108.4769759162291</v>
      </c>
    </row>
    <row r="362" spans="2:6">
      <c r="B362" s="297">
        <v>380000</v>
      </c>
      <c r="C362" s="265">
        <v>1057.6160000000002</v>
      </c>
      <c r="D362" s="297">
        <v>1206.5760000000002</v>
      </c>
      <c r="E362" s="297">
        <v>2234.4</v>
      </c>
      <c r="F362" s="297">
        <v>1111.4017172774857</v>
      </c>
    </row>
    <row r="363" spans="2:6">
      <c r="B363" s="297">
        <v>381000</v>
      </c>
      <c r="C363" s="265">
        <v>1060.3992000000003</v>
      </c>
      <c r="D363" s="297">
        <v>1209.7512000000002</v>
      </c>
      <c r="E363" s="297">
        <v>2240.2800000000002</v>
      </c>
      <c r="F363" s="297">
        <v>1114.3264586387422</v>
      </c>
    </row>
    <row r="364" spans="2:6">
      <c r="B364" s="297">
        <v>382000</v>
      </c>
      <c r="C364" s="265">
        <v>1063.1824000000004</v>
      </c>
      <c r="D364" s="297">
        <v>1212.9264000000001</v>
      </c>
      <c r="E364" s="297">
        <v>2246.1600000000003</v>
      </c>
      <c r="F364" s="297">
        <v>1117.2511999999988</v>
      </c>
    </row>
    <row r="365" spans="2:6">
      <c r="B365" s="297">
        <v>383000</v>
      </c>
      <c r="C365" s="265">
        <v>1065.9656000000002</v>
      </c>
      <c r="D365" s="297">
        <v>1216.1016000000002</v>
      </c>
      <c r="E365" s="297">
        <v>2252.0400000000004</v>
      </c>
      <c r="F365" s="297">
        <v>1120.1759413612554</v>
      </c>
    </row>
    <row r="366" spans="2:6">
      <c r="B366" s="297">
        <v>384000</v>
      </c>
      <c r="C366" s="265">
        <v>1068.7488000000001</v>
      </c>
      <c r="D366" s="297">
        <v>1219.2767999999999</v>
      </c>
      <c r="E366" s="297">
        <v>2257.92</v>
      </c>
      <c r="F366" s="297">
        <v>1123.1006827225119</v>
      </c>
    </row>
    <row r="367" spans="2:6">
      <c r="B367" s="297">
        <v>385000</v>
      </c>
      <c r="C367" s="265">
        <v>1071.5320000000002</v>
      </c>
      <c r="D367" s="297">
        <v>1222.4520000000002</v>
      </c>
      <c r="E367" s="297">
        <v>2263.8000000000002</v>
      </c>
      <c r="F367" s="297">
        <v>1126.0254240837685</v>
      </c>
    </row>
    <row r="368" spans="2:6">
      <c r="B368" s="297">
        <v>386000</v>
      </c>
      <c r="C368" s="265">
        <v>1074.3152000000002</v>
      </c>
      <c r="D368" s="297">
        <v>1225.6272000000001</v>
      </c>
      <c r="E368" s="297">
        <v>2269.6800000000003</v>
      </c>
      <c r="F368" s="297">
        <v>1128.950165445025</v>
      </c>
    </row>
    <row r="369" spans="2:6">
      <c r="B369" s="297">
        <v>387000</v>
      </c>
      <c r="C369" s="265">
        <v>1077.0984000000003</v>
      </c>
      <c r="D369" s="297">
        <v>1228.8024</v>
      </c>
      <c r="E369" s="297">
        <v>2275.56</v>
      </c>
      <c r="F369" s="297">
        <v>1131.8749068062816</v>
      </c>
    </row>
    <row r="370" spans="2:6">
      <c r="B370" s="297">
        <v>388000</v>
      </c>
      <c r="C370" s="265">
        <v>1079.8816000000004</v>
      </c>
      <c r="D370" s="297">
        <v>1231.9776000000002</v>
      </c>
      <c r="E370" s="297">
        <v>2281.44</v>
      </c>
      <c r="F370" s="297">
        <v>1134.7996481675382</v>
      </c>
    </row>
    <row r="371" spans="2:6">
      <c r="B371" s="297">
        <v>389000</v>
      </c>
      <c r="C371" s="265">
        <v>1082.6648000000002</v>
      </c>
      <c r="D371" s="297">
        <v>1235.1528000000001</v>
      </c>
      <c r="E371" s="297">
        <v>2287.3200000000002</v>
      </c>
      <c r="F371" s="297">
        <v>1137.7243895287947</v>
      </c>
    </row>
    <row r="372" spans="2:6">
      <c r="B372" s="297">
        <v>390000</v>
      </c>
      <c r="C372" s="265">
        <v>1085.4480000000001</v>
      </c>
      <c r="D372" s="297">
        <v>1238.3280000000002</v>
      </c>
      <c r="E372" s="297">
        <v>2293.2000000000003</v>
      </c>
      <c r="F372" s="297">
        <v>1140.6491308900513</v>
      </c>
    </row>
    <row r="373" spans="2:6">
      <c r="B373" s="297">
        <v>391000</v>
      </c>
      <c r="C373" s="265">
        <v>1088.2312000000004</v>
      </c>
      <c r="D373" s="297">
        <v>1241.5032000000001</v>
      </c>
      <c r="E373" s="297">
        <v>2299.0800000000004</v>
      </c>
      <c r="F373" s="297">
        <v>1143.5738722513079</v>
      </c>
    </row>
    <row r="374" spans="2:6">
      <c r="B374" s="297">
        <v>392000</v>
      </c>
      <c r="C374" s="265">
        <v>1091.0144000000003</v>
      </c>
      <c r="D374" s="297">
        <v>1244.6784</v>
      </c>
      <c r="E374" s="297">
        <v>2304.9600000000005</v>
      </c>
      <c r="F374" s="297">
        <v>1146.4986136125644</v>
      </c>
    </row>
    <row r="375" spans="2:6">
      <c r="B375" s="297">
        <v>393000</v>
      </c>
      <c r="C375" s="265">
        <v>1093.7976000000003</v>
      </c>
      <c r="D375" s="297">
        <v>1247.8536000000001</v>
      </c>
      <c r="E375" s="297">
        <v>2310.84</v>
      </c>
      <c r="F375" s="297">
        <v>1149.423354973821</v>
      </c>
    </row>
    <row r="376" spans="2:6">
      <c r="B376" s="297">
        <v>394000</v>
      </c>
      <c r="C376" s="265">
        <v>1096.5808000000004</v>
      </c>
      <c r="D376" s="297">
        <v>1251.0288</v>
      </c>
      <c r="E376" s="297">
        <v>2316.7200000000003</v>
      </c>
      <c r="F376" s="297">
        <v>1152.3480963350776</v>
      </c>
    </row>
    <row r="377" spans="2:6">
      <c r="B377" s="297">
        <v>395000</v>
      </c>
      <c r="C377" s="265">
        <v>1099.364</v>
      </c>
      <c r="D377" s="297">
        <v>1254.2040000000004</v>
      </c>
      <c r="E377" s="297">
        <v>2322.6000000000004</v>
      </c>
      <c r="F377" s="297">
        <v>1155.2728376963341</v>
      </c>
    </row>
    <row r="378" spans="2:6">
      <c r="B378" s="297">
        <v>396000</v>
      </c>
      <c r="C378" s="265">
        <v>1102.1472000000001</v>
      </c>
      <c r="D378" s="297">
        <v>1257.3792000000001</v>
      </c>
      <c r="E378" s="297">
        <v>2328.48</v>
      </c>
      <c r="F378" s="297">
        <v>1158.1975790575907</v>
      </c>
    </row>
    <row r="379" spans="2:6">
      <c r="B379" s="297">
        <v>397000</v>
      </c>
      <c r="C379" s="265">
        <v>1104.9304000000002</v>
      </c>
      <c r="D379" s="297">
        <v>1260.5544000000002</v>
      </c>
      <c r="E379" s="297">
        <v>2334.36</v>
      </c>
      <c r="F379" s="297">
        <v>1161.1223204188473</v>
      </c>
    </row>
    <row r="380" spans="2:6">
      <c r="B380" s="297">
        <v>398000</v>
      </c>
      <c r="C380" s="265">
        <v>1107.7136000000003</v>
      </c>
      <c r="D380" s="297">
        <v>1263.7295999999999</v>
      </c>
      <c r="E380" s="297">
        <v>2340.2400000000002</v>
      </c>
      <c r="F380" s="297">
        <v>1164.0470617801038</v>
      </c>
    </row>
    <row r="381" spans="2:6">
      <c r="B381" s="297">
        <v>399000</v>
      </c>
      <c r="C381" s="265">
        <v>1110.4968000000001</v>
      </c>
      <c r="D381" s="297">
        <v>1266.9048</v>
      </c>
      <c r="E381" s="297">
        <v>2346.1200000000003</v>
      </c>
      <c r="F381" s="297">
        <v>1166.9718031413604</v>
      </c>
    </row>
    <row r="382" spans="2:6">
      <c r="B382" s="297">
        <v>400000</v>
      </c>
      <c r="C382" s="265">
        <v>1113.28</v>
      </c>
      <c r="D382" s="297">
        <v>1270.0800000000002</v>
      </c>
      <c r="E382" s="297">
        <v>2352.0000000000005</v>
      </c>
      <c r="F382" s="297">
        <v>1169.896544502617</v>
      </c>
    </row>
    <row r="383" spans="2:6">
      <c r="B383" s="297">
        <v>401000</v>
      </c>
      <c r="C383" s="265">
        <v>1116.0632000000003</v>
      </c>
      <c r="D383" s="297">
        <v>1273.2552000000003</v>
      </c>
      <c r="E383" s="297">
        <v>2357.88</v>
      </c>
      <c r="F383" s="297">
        <v>1172.8212858638735</v>
      </c>
    </row>
    <row r="384" spans="2:6">
      <c r="B384" s="297">
        <v>402000</v>
      </c>
      <c r="C384" s="265">
        <v>1118.8464000000001</v>
      </c>
      <c r="D384" s="297">
        <v>1276.4304</v>
      </c>
      <c r="E384" s="297">
        <v>2363.7600000000002</v>
      </c>
      <c r="F384" s="297">
        <v>1175.7460272251301</v>
      </c>
    </row>
    <row r="385" spans="2:6">
      <c r="B385" s="297">
        <v>403000</v>
      </c>
      <c r="C385" s="265">
        <v>1121.6296000000002</v>
      </c>
      <c r="D385" s="297">
        <v>1279.6056000000001</v>
      </c>
      <c r="E385" s="297">
        <v>2369.6400000000003</v>
      </c>
      <c r="F385" s="297">
        <v>1178.6707685863864</v>
      </c>
    </row>
    <row r="386" spans="2:6">
      <c r="B386" s="297">
        <v>404000</v>
      </c>
      <c r="C386" s="265">
        <v>1124.4128000000003</v>
      </c>
      <c r="D386" s="297">
        <v>1282.7808000000002</v>
      </c>
      <c r="E386" s="297">
        <v>2375.52</v>
      </c>
      <c r="F386" s="297">
        <v>1181.595509947643</v>
      </c>
    </row>
    <row r="387" spans="2:6">
      <c r="B387" s="297">
        <v>405000</v>
      </c>
      <c r="C387" s="265">
        <v>1127.1960000000001</v>
      </c>
      <c r="D387" s="297">
        <v>1285.9560000000001</v>
      </c>
      <c r="E387" s="297">
        <v>2381.4</v>
      </c>
      <c r="F387" s="297">
        <v>1184.5202513088996</v>
      </c>
    </row>
    <row r="388" spans="2:6">
      <c r="B388" s="297">
        <v>406000</v>
      </c>
      <c r="C388" s="265">
        <v>1129.9792000000002</v>
      </c>
      <c r="D388" s="297">
        <v>1289.1312000000003</v>
      </c>
      <c r="E388" s="297">
        <v>2387.2800000000002</v>
      </c>
      <c r="F388" s="297">
        <v>1187.4449926701561</v>
      </c>
    </row>
    <row r="389" spans="2:6">
      <c r="B389" s="297">
        <v>407000</v>
      </c>
      <c r="C389" s="265">
        <v>1132.7624000000003</v>
      </c>
      <c r="D389" s="297">
        <v>1292.3064000000002</v>
      </c>
      <c r="E389" s="297">
        <v>2393.1600000000003</v>
      </c>
      <c r="F389" s="297">
        <v>1190.3697340314127</v>
      </c>
    </row>
    <row r="390" spans="2:6">
      <c r="B390" s="297">
        <v>408000</v>
      </c>
      <c r="C390" s="265">
        <v>1135.5456000000001</v>
      </c>
      <c r="D390" s="297">
        <v>1295.4816000000001</v>
      </c>
      <c r="E390" s="297">
        <v>2399.0400000000004</v>
      </c>
      <c r="F390" s="297">
        <v>1193.2944753926693</v>
      </c>
    </row>
    <row r="391" spans="2:6">
      <c r="B391" s="297">
        <v>409000</v>
      </c>
      <c r="C391" s="265">
        <v>1138.3288000000002</v>
      </c>
      <c r="D391" s="297">
        <v>1298.6568</v>
      </c>
      <c r="E391" s="297">
        <v>2404.9200000000005</v>
      </c>
      <c r="F391" s="297">
        <v>1196.2192167539258</v>
      </c>
    </row>
    <row r="392" spans="2:6">
      <c r="B392" s="297">
        <v>410000</v>
      </c>
      <c r="C392" s="265">
        <v>1141.1120000000003</v>
      </c>
      <c r="D392" s="297">
        <v>1301.8320000000001</v>
      </c>
      <c r="E392" s="297">
        <v>2410.8000000000002</v>
      </c>
      <c r="F392" s="297">
        <v>1199.1439581151824</v>
      </c>
    </row>
    <row r="393" spans="2:6">
      <c r="B393" s="297">
        <v>411000</v>
      </c>
      <c r="C393" s="265">
        <v>1143.8952000000004</v>
      </c>
      <c r="D393" s="297">
        <v>1305.0072</v>
      </c>
      <c r="E393" s="297">
        <v>2416.6800000000003</v>
      </c>
      <c r="F393" s="297">
        <v>1202.068699476439</v>
      </c>
    </row>
    <row r="394" spans="2:6">
      <c r="B394" s="297">
        <v>412000</v>
      </c>
      <c r="C394" s="265">
        <v>1146.6784000000002</v>
      </c>
      <c r="D394" s="297">
        <v>1308.1824000000001</v>
      </c>
      <c r="E394" s="297">
        <v>2422.56</v>
      </c>
      <c r="F394" s="297">
        <v>1204.9934408376951</v>
      </c>
    </row>
    <row r="395" spans="2:6">
      <c r="B395" s="297">
        <v>413000</v>
      </c>
      <c r="C395" s="265">
        <v>1149.4616000000003</v>
      </c>
      <c r="D395" s="297">
        <v>1311.3576</v>
      </c>
      <c r="E395" s="297">
        <v>2428.44</v>
      </c>
      <c r="F395" s="297">
        <v>1207.9181821989516</v>
      </c>
    </row>
    <row r="396" spans="2:6">
      <c r="B396" s="297">
        <v>414000</v>
      </c>
      <c r="C396" s="265">
        <v>1152.2448000000002</v>
      </c>
      <c r="D396" s="297">
        <v>1314.5328</v>
      </c>
      <c r="E396" s="297">
        <v>2434.3200000000002</v>
      </c>
      <c r="F396" s="297">
        <v>1210.8429235602082</v>
      </c>
    </row>
    <row r="397" spans="2:6">
      <c r="B397" s="297">
        <v>415000</v>
      </c>
      <c r="C397" s="265">
        <v>1155.0280000000002</v>
      </c>
      <c r="D397" s="297">
        <v>1317.7080000000003</v>
      </c>
      <c r="E397" s="297">
        <v>2440.2000000000003</v>
      </c>
      <c r="F397" s="297">
        <v>1213.7676649214648</v>
      </c>
    </row>
    <row r="398" spans="2:6">
      <c r="B398" s="297">
        <v>416000</v>
      </c>
      <c r="C398" s="265">
        <v>1157.8112000000003</v>
      </c>
      <c r="D398" s="297">
        <v>1320.8832</v>
      </c>
      <c r="E398" s="297">
        <v>2446.0800000000004</v>
      </c>
      <c r="F398" s="297">
        <v>1216.6924062827213</v>
      </c>
    </row>
    <row r="399" spans="2:6">
      <c r="B399" s="297">
        <v>417000</v>
      </c>
      <c r="C399" s="265">
        <v>1160.5944000000002</v>
      </c>
      <c r="D399" s="297">
        <v>1324.0584000000001</v>
      </c>
      <c r="E399" s="297">
        <v>2451.9600000000005</v>
      </c>
      <c r="F399" s="297">
        <v>1219.6171476439779</v>
      </c>
    </row>
    <row r="400" spans="2:6">
      <c r="B400" s="297">
        <v>418000</v>
      </c>
      <c r="C400" s="265">
        <v>1163.3776000000003</v>
      </c>
      <c r="D400" s="297">
        <v>1327.2336</v>
      </c>
      <c r="E400" s="297">
        <v>2457.84</v>
      </c>
      <c r="F400" s="297">
        <v>1222.5418890052345</v>
      </c>
    </row>
    <row r="401" spans="2:6">
      <c r="B401" s="297">
        <v>419000</v>
      </c>
      <c r="C401" s="265">
        <v>1166.1608000000003</v>
      </c>
      <c r="D401" s="297">
        <v>1330.4087999999999</v>
      </c>
      <c r="E401" s="297">
        <v>2463.7200000000003</v>
      </c>
      <c r="F401" s="297">
        <v>1225.466630366491</v>
      </c>
    </row>
    <row r="402" spans="2:6">
      <c r="B402" s="297">
        <v>420000</v>
      </c>
      <c r="C402" s="265">
        <v>1168.9440000000002</v>
      </c>
      <c r="D402" s="297">
        <v>1333.5840000000003</v>
      </c>
      <c r="E402" s="297">
        <v>2469.6000000000004</v>
      </c>
      <c r="F402" s="297">
        <v>1228.3913717277474</v>
      </c>
    </row>
    <row r="403" spans="2:6">
      <c r="B403" s="297">
        <v>421000</v>
      </c>
      <c r="C403" s="265">
        <v>1171.7272000000003</v>
      </c>
      <c r="D403" s="297">
        <v>1336.7592000000002</v>
      </c>
      <c r="E403" s="297">
        <v>2475.48</v>
      </c>
      <c r="F403" s="297">
        <v>1231.3161130890039</v>
      </c>
    </row>
    <row r="404" spans="2:6">
      <c r="B404" s="297">
        <v>422000</v>
      </c>
      <c r="C404" s="265">
        <v>1174.5104000000001</v>
      </c>
      <c r="D404" s="297">
        <v>1339.9344000000003</v>
      </c>
      <c r="E404" s="297">
        <v>2481.36</v>
      </c>
      <c r="F404" s="297">
        <v>1234.2408544502605</v>
      </c>
    </row>
    <row r="405" spans="2:6">
      <c r="B405" s="297">
        <v>423000</v>
      </c>
      <c r="C405" s="265">
        <v>1177.2936000000002</v>
      </c>
      <c r="D405" s="297">
        <v>1343.1096</v>
      </c>
      <c r="E405" s="297">
        <v>2487.2400000000002</v>
      </c>
      <c r="F405" s="297">
        <v>1237.1655958115171</v>
      </c>
    </row>
    <row r="406" spans="2:6">
      <c r="B406" s="297">
        <v>424000</v>
      </c>
      <c r="C406" s="265">
        <v>1180.0768</v>
      </c>
      <c r="D406" s="297">
        <v>1346.2848000000001</v>
      </c>
      <c r="E406" s="297">
        <v>2493.1200000000003</v>
      </c>
      <c r="F406" s="297">
        <v>1240.0903371727736</v>
      </c>
    </row>
    <row r="407" spans="2:6">
      <c r="B407" s="297">
        <v>425000</v>
      </c>
      <c r="C407" s="265">
        <v>1182.8600000000001</v>
      </c>
      <c r="D407" s="297">
        <v>1349.4600000000003</v>
      </c>
      <c r="E407" s="297">
        <v>2499.0000000000005</v>
      </c>
      <c r="F407" s="297">
        <v>1243.0150785340302</v>
      </c>
    </row>
    <row r="408" spans="2:6">
      <c r="B408" s="297">
        <v>426000</v>
      </c>
      <c r="C408" s="265">
        <v>1185.6432000000002</v>
      </c>
      <c r="D408" s="297">
        <v>1352.6352000000002</v>
      </c>
      <c r="E408" s="297">
        <v>2504.88</v>
      </c>
      <c r="F408" s="297">
        <v>1245.9398198952867</v>
      </c>
    </row>
    <row r="409" spans="2:6">
      <c r="B409" s="297">
        <v>427000</v>
      </c>
      <c r="C409" s="265">
        <v>1188.4264000000003</v>
      </c>
      <c r="D409" s="297">
        <v>1355.8104000000001</v>
      </c>
      <c r="E409" s="297">
        <v>2510.7600000000002</v>
      </c>
      <c r="F409" s="297">
        <v>1248.8645612565433</v>
      </c>
    </row>
    <row r="410" spans="2:6">
      <c r="B410" s="297">
        <v>428000</v>
      </c>
      <c r="C410" s="265">
        <v>1191.2096000000001</v>
      </c>
      <c r="D410" s="297">
        <v>1358.9856000000002</v>
      </c>
      <c r="E410" s="297">
        <v>2516.6400000000003</v>
      </c>
      <c r="F410" s="297">
        <v>1251.7893026177999</v>
      </c>
    </row>
    <row r="411" spans="2:6">
      <c r="B411" s="297">
        <v>429000</v>
      </c>
      <c r="C411" s="265">
        <v>1193.9928000000002</v>
      </c>
      <c r="D411" s="297">
        <v>1362.1608000000001</v>
      </c>
      <c r="E411" s="297">
        <v>2522.52</v>
      </c>
      <c r="F411" s="297">
        <v>1254.7140439790564</v>
      </c>
    </row>
    <row r="412" spans="2:6">
      <c r="B412" s="297">
        <v>430000</v>
      </c>
      <c r="C412" s="265">
        <v>1196.7760000000001</v>
      </c>
      <c r="D412" s="297">
        <v>1365.3360000000002</v>
      </c>
      <c r="E412" s="297">
        <v>2528.4</v>
      </c>
      <c r="F412" s="297">
        <v>1257.638785340313</v>
      </c>
    </row>
    <row r="413" spans="2:6">
      <c r="B413" s="297">
        <v>431000</v>
      </c>
      <c r="C413" s="265">
        <v>1199.5592000000004</v>
      </c>
      <c r="D413" s="297">
        <v>1368.5112000000001</v>
      </c>
      <c r="E413" s="297">
        <v>2534.2800000000002</v>
      </c>
      <c r="F413" s="297">
        <v>1260.5635267015696</v>
      </c>
    </row>
    <row r="414" spans="2:6">
      <c r="B414" s="297">
        <v>432000</v>
      </c>
      <c r="C414" s="265">
        <v>1202.3424000000002</v>
      </c>
      <c r="D414" s="297">
        <v>1371.6864000000003</v>
      </c>
      <c r="E414" s="297">
        <v>2540.1600000000003</v>
      </c>
      <c r="F414" s="297">
        <v>1263.4882680628261</v>
      </c>
    </row>
    <row r="415" spans="2:6">
      <c r="B415" s="297">
        <v>433000</v>
      </c>
      <c r="C415" s="265">
        <v>1205.1256000000003</v>
      </c>
      <c r="D415" s="297">
        <v>1374.8616000000002</v>
      </c>
      <c r="E415" s="297">
        <v>2546.0400000000004</v>
      </c>
      <c r="F415" s="297">
        <v>1266.4130094240825</v>
      </c>
    </row>
    <row r="416" spans="2:6">
      <c r="B416" s="297">
        <v>434000</v>
      </c>
      <c r="C416" s="265">
        <v>1207.9088000000002</v>
      </c>
      <c r="D416" s="297">
        <v>1378.0367999999999</v>
      </c>
      <c r="E416" s="297">
        <v>2551.9200000000005</v>
      </c>
      <c r="F416" s="297">
        <v>1269.337750785339</v>
      </c>
    </row>
    <row r="417" spans="2:6">
      <c r="B417" s="297">
        <v>435000</v>
      </c>
      <c r="C417" s="265">
        <v>1210.6920000000002</v>
      </c>
      <c r="D417" s="297">
        <v>1381.2120000000002</v>
      </c>
      <c r="E417" s="297">
        <v>2557.8000000000002</v>
      </c>
      <c r="F417" s="297">
        <v>1272.2624921465956</v>
      </c>
    </row>
    <row r="418" spans="2:6">
      <c r="B418" s="297">
        <v>436000</v>
      </c>
      <c r="C418" s="265">
        <v>1213.4752000000003</v>
      </c>
      <c r="D418" s="297">
        <v>1384.3872000000001</v>
      </c>
      <c r="E418" s="297">
        <v>2563.6800000000003</v>
      </c>
      <c r="F418" s="297">
        <v>1275.1872335078522</v>
      </c>
    </row>
    <row r="419" spans="2:6">
      <c r="B419" s="297">
        <v>437000</v>
      </c>
      <c r="C419" s="265">
        <v>1216.2584000000004</v>
      </c>
      <c r="D419" s="297">
        <v>1387.5624</v>
      </c>
      <c r="E419" s="297">
        <v>2569.56</v>
      </c>
      <c r="F419" s="297">
        <v>1278.1119748691087</v>
      </c>
    </row>
    <row r="420" spans="2:6">
      <c r="B420" s="297">
        <v>438000</v>
      </c>
      <c r="C420" s="265">
        <v>1219.0416000000002</v>
      </c>
      <c r="D420" s="297">
        <v>1390.7376000000002</v>
      </c>
      <c r="E420" s="297">
        <v>2575.44</v>
      </c>
      <c r="F420" s="297">
        <v>1281.0367162303653</v>
      </c>
    </row>
    <row r="421" spans="2:6">
      <c r="B421" s="297">
        <v>439000</v>
      </c>
      <c r="C421" s="265">
        <v>1221.8248000000001</v>
      </c>
      <c r="D421" s="297">
        <v>1393.9128000000001</v>
      </c>
      <c r="E421" s="297">
        <v>2581.3200000000002</v>
      </c>
      <c r="F421" s="297">
        <v>1283.9614575916219</v>
      </c>
    </row>
    <row r="422" spans="2:6">
      <c r="B422" s="297">
        <v>440000</v>
      </c>
      <c r="C422" s="265">
        <v>1224.6080000000002</v>
      </c>
      <c r="D422" s="297">
        <v>1397.0880000000004</v>
      </c>
      <c r="E422" s="297">
        <v>2587.2000000000003</v>
      </c>
      <c r="F422" s="297">
        <v>1286.8861989528784</v>
      </c>
    </row>
    <row r="423" spans="2:6">
      <c r="B423" s="297">
        <v>441000</v>
      </c>
      <c r="C423" s="265">
        <v>1227.3912000000003</v>
      </c>
      <c r="D423" s="297">
        <v>1400.2632000000001</v>
      </c>
      <c r="E423" s="297">
        <v>2593.0800000000004</v>
      </c>
      <c r="F423" s="297">
        <v>1289.810940314135</v>
      </c>
    </row>
    <row r="424" spans="2:6">
      <c r="B424" s="297">
        <v>442000</v>
      </c>
      <c r="C424" s="265">
        <v>1230.1744000000003</v>
      </c>
      <c r="D424" s="297">
        <v>1403.4384</v>
      </c>
      <c r="E424" s="297">
        <v>2598.9600000000005</v>
      </c>
      <c r="F424" s="297">
        <v>1292.7356816753916</v>
      </c>
    </row>
    <row r="425" spans="2:6">
      <c r="B425" s="297">
        <v>443000</v>
      </c>
      <c r="C425" s="265">
        <v>1232.9576000000004</v>
      </c>
      <c r="D425" s="297">
        <v>1406.6135999999999</v>
      </c>
      <c r="E425" s="297">
        <v>2604.84</v>
      </c>
      <c r="F425" s="297">
        <v>1295.6604230366481</v>
      </c>
    </row>
    <row r="426" spans="2:6">
      <c r="B426" s="297">
        <v>444000</v>
      </c>
      <c r="C426" s="265">
        <v>1235.7408000000003</v>
      </c>
      <c r="D426" s="297">
        <v>1409.7888</v>
      </c>
      <c r="E426" s="297">
        <v>2610.7200000000003</v>
      </c>
      <c r="F426" s="297">
        <v>1298.5851643979047</v>
      </c>
    </row>
    <row r="427" spans="2:6">
      <c r="B427" s="297">
        <v>445000</v>
      </c>
      <c r="C427" s="265">
        <v>1238.5240000000001</v>
      </c>
      <c r="D427" s="297">
        <v>1412.9640000000002</v>
      </c>
      <c r="E427" s="297">
        <v>2616.6000000000004</v>
      </c>
      <c r="F427" s="297">
        <v>1301.5099057591613</v>
      </c>
    </row>
    <row r="428" spans="2:6">
      <c r="B428" s="297">
        <v>446000</v>
      </c>
      <c r="C428" s="265">
        <v>1241.3072000000004</v>
      </c>
      <c r="D428" s="297">
        <v>1416.1392000000003</v>
      </c>
      <c r="E428" s="297">
        <v>2622.48</v>
      </c>
      <c r="F428" s="297">
        <v>1304.4346471204178</v>
      </c>
    </row>
    <row r="429" spans="2:6">
      <c r="B429" s="297">
        <v>447000</v>
      </c>
      <c r="C429" s="265">
        <v>1244.0904000000003</v>
      </c>
      <c r="D429" s="297">
        <v>1419.3144000000002</v>
      </c>
      <c r="E429" s="297">
        <v>2628.36</v>
      </c>
      <c r="F429" s="297">
        <v>1307.3593884816744</v>
      </c>
    </row>
    <row r="430" spans="2:6">
      <c r="B430" s="297">
        <v>448000</v>
      </c>
      <c r="C430" s="265">
        <v>1246.8736000000001</v>
      </c>
      <c r="D430" s="297">
        <v>1422.4896000000001</v>
      </c>
      <c r="E430" s="297">
        <v>2634.2400000000002</v>
      </c>
      <c r="F430" s="297">
        <v>1310.284129842931</v>
      </c>
    </row>
    <row r="431" spans="2:6">
      <c r="B431" s="297">
        <v>449000</v>
      </c>
      <c r="C431" s="265">
        <v>1249.6568000000002</v>
      </c>
      <c r="D431" s="297">
        <v>1425.6648000000002</v>
      </c>
      <c r="E431" s="297">
        <v>2640.1200000000003</v>
      </c>
      <c r="F431" s="297">
        <v>1313.2088712041875</v>
      </c>
    </row>
    <row r="432" spans="2:6">
      <c r="B432" s="297">
        <v>450000</v>
      </c>
      <c r="C432" s="265">
        <v>1252.44</v>
      </c>
      <c r="D432" s="297">
        <v>1428.8400000000001</v>
      </c>
      <c r="E432" s="297">
        <v>2646.0000000000005</v>
      </c>
      <c r="F432" s="297">
        <v>1316.1336125654441</v>
      </c>
    </row>
    <row r="433" spans="2:6">
      <c r="B433" s="297">
        <v>451000</v>
      </c>
      <c r="C433" s="265">
        <v>1255.2232000000001</v>
      </c>
      <c r="D433" s="297">
        <v>1432.0152</v>
      </c>
      <c r="E433" s="297">
        <v>2651.88</v>
      </c>
      <c r="F433" s="297">
        <v>1319.0583539267002</v>
      </c>
    </row>
    <row r="434" spans="2:6">
      <c r="B434" s="297">
        <v>452000</v>
      </c>
      <c r="C434" s="265">
        <v>1258.0064000000002</v>
      </c>
      <c r="D434" s="297">
        <v>1435.1904000000002</v>
      </c>
      <c r="E434" s="297">
        <v>2657.76</v>
      </c>
      <c r="F434" s="297">
        <v>1321.9830952879568</v>
      </c>
    </row>
    <row r="435" spans="2:6">
      <c r="B435" s="297">
        <v>453000</v>
      </c>
      <c r="C435" s="265">
        <v>1260.7896000000003</v>
      </c>
      <c r="D435" s="297">
        <v>1438.3656000000001</v>
      </c>
      <c r="E435" s="297">
        <v>2663.6400000000003</v>
      </c>
      <c r="F435" s="297">
        <v>1324.9078366492133</v>
      </c>
    </row>
    <row r="436" spans="2:6">
      <c r="B436" s="297">
        <v>454000</v>
      </c>
      <c r="C436" s="265">
        <v>1263.5728000000001</v>
      </c>
      <c r="D436" s="297">
        <v>1441.5408</v>
      </c>
      <c r="E436" s="297">
        <v>2669.52</v>
      </c>
      <c r="F436" s="297">
        <v>1327.8325780104699</v>
      </c>
    </row>
    <row r="437" spans="2:6">
      <c r="B437" s="297">
        <v>455000</v>
      </c>
      <c r="C437" s="265">
        <v>1266.3560000000002</v>
      </c>
      <c r="D437" s="297">
        <v>1444.7160000000001</v>
      </c>
      <c r="E437" s="297">
        <v>2675.4</v>
      </c>
      <c r="F437" s="297">
        <v>1330.7573193717265</v>
      </c>
    </row>
    <row r="438" spans="2:6">
      <c r="B438" s="297">
        <v>456000</v>
      </c>
      <c r="C438" s="265">
        <v>1269.1392000000003</v>
      </c>
      <c r="D438" s="297">
        <v>1447.8912000000003</v>
      </c>
      <c r="E438" s="297">
        <v>2681.28</v>
      </c>
      <c r="F438" s="297">
        <v>1333.682060732983</v>
      </c>
    </row>
    <row r="439" spans="2:6">
      <c r="B439" s="297">
        <v>457000</v>
      </c>
      <c r="C439" s="265">
        <v>1271.9224000000002</v>
      </c>
      <c r="D439" s="297">
        <v>1451.0663999999999</v>
      </c>
      <c r="E439" s="297">
        <v>2687.1600000000003</v>
      </c>
      <c r="F439" s="297">
        <v>1336.6068020942396</v>
      </c>
    </row>
    <row r="440" spans="2:6">
      <c r="B440" s="297">
        <v>458000</v>
      </c>
      <c r="C440" s="265">
        <v>1274.7056000000002</v>
      </c>
      <c r="D440" s="297">
        <v>1454.2416000000001</v>
      </c>
      <c r="E440" s="297">
        <v>2693.0400000000004</v>
      </c>
      <c r="F440" s="297">
        <v>1339.5315434554961</v>
      </c>
    </row>
    <row r="441" spans="2:6">
      <c r="B441" s="297">
        <v>459000</v>
      </c>
      <c r="C441" s="265">
        <v>1277.4888000000003</v>
      </c>
      <c r="D441" s="297">
        <v>1457.4168</v>
      </c>
      <c r="E441" s="297">
        <v>2698.9200000000005</v>
      </c>
      <c r="F441" s="297">
        <v>1342.4562848167525</v>
      </c>
    </row>
    <row r="442" spans="2:6">
      <c r="B442" s="297">
        <v>460000</v>
      </c>
      <c r="C442" s="265">
        <v>1280.2720000000002</v>
      </c>
      <c r="D442" s="297">
        <v>1460.5920000000003</v>
      </c>
      <c r="E442" s="297">
        <v>2704.8</v>
      </c>
      <c r="F442" s="297">
        <v>1345.3810261780091</v>
      </c>
    </row>
    <row r="443" spans="2:6">
      <c r="B443" s="297">
        <v>461000</v>
      </c>
      <c r="C443" s="265">
        <v>1283.0552000000005</v>
      </c>
      <c r="D443" s="297">
        <v>1463.7672000000002</v>
      </c>
      <c r="E443" s="297">
        <v>2710.6800000000003</v>
      </c>
      <c r="F443" s="297">
        <v>1348.3057675392656</v>
      </c>
    </row>
    <row r="444" spans="2:6">
      <c r="B444" s="297">
        <v>462000</v>
      </c>
      <c r="C444" s="265">
        <v>1285.8384000000003</v>
      </c>
      <c r="D444" s="297">
        <v>1466.9424000000001</v>
      </c>
      <c r="E444" s="297">
        <v>2716.5600000000004</v>
      </c>
      <c r="F444" s="297">
        <v>1351.2305089005222</v>
      </c>
    </row>
    <row r="445" spans="2:6">
      <c r="B445" s="297">
        <v>463000</v>
      </c>
      <c r="C445" s="265">
        <v>1288.6216000000002</v>
      </c>
      <c r="D445" s="297">
        <v>1470.1176000000003</v>
      </c>
      <c r="E445" s="297">
        <v>2722.44</v>
      </c>
      <c r="F445" s="297">
        <v>1354.1552502617787</v>
      </c>
    </row>
    <row r="446" spans="2:6">
      <c r="B446" s="297">
        <v>464000</v>
      </c>
      <c r="C446" s="265">
        <v>1291.4048000000003</v>
      </c>
      <c r="D446" s="297">
        <v>1473.2928000000002</v>
      </c>
      <c r="E446" s="297">
        <v>2728.32</v>
      </c>
      <c r="F446" s="297">
        <v>1357.0799916230353</v>
      </c>
    </row>
    <row r="447" spans="2:6">
      <c r="B447" s="297">
        <v>465000</v>
      </c>
      <c r="C447" s="265">
        <v>1294.1880000000003</v>
      </c>
      <c r="D447" s="297">
        <v>1476.4680000000001</v>
      </c>
      <c r="E447" s="297">
        <v>2734.2000000000003</v>
      </c>
      <c r="F447" s="297">
        <v>1360.0047329842919</v>
      </c>
    </row>
    <row r="448" spans="2:6">
      <c r="B448" s="297">
        <v>466000</v>
      </c>
      <c r="C448" s="265">
        <v>1296.9712000000004</v>
      </c>
      <c r="D448" s="297">
        <v>1479.6432000000002</v>
      </c>
      <c r="E448" s="297">
        <v>2740.0800000000004</v>
      </c>
      <c r="F448" s="297">
        <v>1362.9294743455484</v>
      </c>
    </row>
    <row r="449" spans="2:6">
      <c r="B449" s="297">
        <v>467000</v>
      </c>
      <c r="C449" s="265">
        <v>1299.7544000000005</v>
      </c>
      <c r="D449" s="297">
        <v>1482.8184000000001</v>
      </c>
      <c r="E449" s="297">
        <v>2745.9600000000005</v>
      </c>
      <c r="F449" s="297">
        <v>1365.854215706805</v>
      </c>
    </row>
    <row r="450" spans="2:6">
      <c r="B450" s="297">
        <v>468000</v>
      </c>
      <c r="C450" s="265">
        <v>1302.5376000000003</v>
      </c>
      <c r="D450" s="297">
        <v>1485.9936</v>
      </c>
      <c r="E450" s="297">
        <v>2751.84</v>
      </c>
      <c r="F450" s="297">
        <v>1368.7789570680616</v>
      </c>
    </row>
    <row r="451" spans="2:6">
      <c r="B451" s="297">
        <v>469000</v>
      </c>
      <c r="C451" s="265">
        <v>1305.3208000000002</v>
      </c>
      <c r="D451" s="297">
        <v>1489.1688000000001</v>
      </c>
      <c r="E451" s="297">
        <v>2757.7200000000007</v>
      </c>
      <c r="F451" s="297">
        <v>1371.7036984293181</v>
      </c>
    </row>
    <row r="452" spans="2:6">
      <c r="B452" s="297">
        <v>470000</v>
      </c>
      <c r="C452" s="265">
        <v>1308.1040000000003</v>
      </c>
      <c r="D452" s="297">
        <v>1492.3440000000003</v>
      </c>
      <c r="E452" s="297">
        <v>2763.6000000000004</v>
      </c>
      <c r="F452" s="297">
        <v>1374.6284397905747</v>
      </c>
    </row>
    <row r="453" spans="2:6">
      <c r="B453" s="297">
        <v>471000</v>
      </c>
      <c r="C453" s="265">
        <v>1310.8872000000003</v>
      </c>
      <c r="D453" s="297">
        <v>1495.5192</v>
      </c>
      <c r="E453" s="297">
        <v>2769.48</v>
      </c>
      <c r="F453" s="297">
        <v>1377.5531811518313</v>
      </c>
    </row>
    <row r="454" spans="2:6">
      <c r="B454" s="297">
        <v>472000</v>
      </c>
      <c r="C454" s="265">
        <v>1313.6704000000002</v>
      </c>
      <c r="D454" s="297">
        <v>1498.6944000000003</v>
      </c>
      <c r="E454" s="297">
        <v>2775.36</v>
      </c>
      <c r="F454" s="297">
        <v>1380.4779225130876</v>
      </c>
    </row>
    <row r="455" spans="2:6">
      <c r="B455" s="297">
        <v>473000</v>
      </c>
      <c r="C455" s="265">
        <v>1316.4536000000001</v>
      </c>
      <c r="D455" s="297">
        <v>1501.8696</v>
      </c>
      <c r="E455" s="297">
        <v>2781.2400000000002</v>
      </c>
      <c r="F455" s="297">
        <v>1383.4026638743442</v>
      </c>
    </row>
    <row r="456" spans="2:6">
      <c r="B456" s="297">
        <v>474000</v>
      </c>
      <c r="C456" s="265">
        <v>1319.2368000000001</v>
      </c>
      <c r="D456" s="297">
        <v>1505.0447999999999</v>
      </c>
      <c r="E456" s="297">
        <v>2787.1200000000003</v>
      </c>
      <c r="F456" s="297">
        <v>1386.3274052356007</v>
      </c>
    </row>
    <row r="457" spans="2:6">
      <c r="B457" s="297">
        <v>475000</v>
      </c>
      <c r="C457" s="265">
        <v>1322.0200000000002</v>
      </c>
      <c r="D457" s="297">
        <v>1508.2200000000003</v>
      </c>
      <c r="E457" s="297">
        <v>2793</v>
      </c>
      <c r="F457" s="297">
        <v>1389.2521465968573</v>
      </c>
    </row>
    <row r="458" spans="2:6">
      <c r="B458" s="297">
        <v>476000</v>
      </c>
      <c r="C458" s="265">
        <v>1324.8032000000003</v>
      </c>
      <c r="D458" s="297">
        <v>1511.3952000000002</v>
      </c>
      <c r="E458" s="297">
        <v>2798.8800000000006</v>
      </c>
      <c r="F458" s="297">
        <v>1392.1768879581139</v>
      </c>
    </row>
    <row r="459" spans="2:6">
      <c r="B459" s="297">
        <v>477000</v>
      </c>
      <c r="C459" s="265">
        <v>1327.5864000000004</v>
      </c>
      <c r="D459" s="297">
        <v>1514.5703999999998</v>
      </c>
      <c r="E459" s="297">
        <v>2804.76</v>
      </c>
      <c r="F459" s="297">
        <v>1395.1016293193704</v>
      </c>
    </row>
    <row r="460" spans="2:6">
      <c r="B460" s="297">
        <v>478000</v>
      </c>
      <c r="C460" s="265">
        <v>1330.3696000000002</v>
      </c>
      <c r="D460" s="297">
        <v>1517.7456000000002</v>
      </c>
      <c r="E460" s="297">
        <v>2810.64</v>
      </c>
      <c r="F460" s="297">
        <v>1398.026370680627</v>
      </c>
    </row>
    <row r="461" spans="2:6">
      <c r="B461" s="297">
        <v>479000</v>
      </c>
      <c r="C461" s="265">
        <v>1333.1528000000001</v>
      </c>
      <c r="D461" s="297">
        <v>1520.9208000000001</v>
      </c>
      <c r="E461" s="297">
        <v>2816.5200000000004</v>
      </c>
      <c r="F461" s="297">
        <v>1400.9511120418836</v>
      </c>
    </row>
    <row r="462" spans="2:6">
      <c r="B462" s="297">
        <v>480000</v>
      </c>
      <c r="C462" s="265">
        <v>1335.9360000000001</v>
      </c>
      <c r="D462" s="297">
        <v>1524.0960000000002</v>
      </c>
      <c r="E462" s="297">
        <v>2822.4</v>
      </c>
      <c r="F462" s="297">
        <v>1403.8758534031401</v>
      </c>
    </row>
    <row r="463" spans="2:6">
      <c r="B463" s="297">
        <v>481000</v>
      </c>
      <c r="C463" s="265">
        <v>1338.7192000000002</v>
      </c>
      <c r="D463" s="297">
        <v>1527.2712000000001</v>
      </c>
      <c r="E463" s="297">
        <v>2828.28</v>
      </c>
      <c r="F463" s="297">
        <v>1406.8005947643967</v>
      </c>
    </row>
    <row r="464" spans="2:6">
      <c r="B464" s="297">
        <v>482000</v>
      </c>
      <c r="C464" s="265">
        <v>1341.5024000000003</v>
      </c>
      <c r="D464" s="297">
        <v>1530.4464</v>
      </c>
      <c r="E464" s="297">
        <v>2834.1600000000003</v>
      </c>
      <c r="F464" s="297">
        <v>1409.7253361256533</v>
      </c>
    </row>
    <row r="465" spans="2:6">
      <c r="B465" s="297">
        <v>483000</v>
      </c>
      <c r="C465" s="265">
        <v>1344.2856000000004</v>
      </c>
      <c r="D465" s="297">
        <v>1533.6216000000002</v>
      </c>
      <c r="E465" s="297">
        <v>2840.0400000000004</v>
      </c>
      <c r="F465" s="297">
        <v>1412.6500774869098</v>
      </c>
    </row>
    <row r="466" spans="2:6">
      <c r="B466" s="297">
        <v>484000</v>
      </c>
      <c r="C466" s="265">
        <v>1347.0688000000002</v>
      </c>
      <c r="D466" s="297">
        <v>1536.7968000000001</v>
      </c>
      <c r="E466" s="297">
        <v>2845.92</v>
      </c>
      <c r="F466" s="297">
        <v>1415.5748188481664</v>
      </c>
    </row>
    <row r="467" spans="2:6">
      <c r="B467" s="297">
        <v>485000</v>
      </c>
      <c r="C467" s="265">
        <v>1349.8520000000001</v>
      </c>
      <c r="D467" s="297">
        <v>1539.9720000000004</v>
      </c>
      <c r="E467" s="297">
        <v>2851.8000000000006</v>
      </c>
      <c r="F467" s="297">
        <v>1418.499560209423</v>
      </c>
    </row>
    <row r="468" spans="2:6">
      <c r="B468" s="297">
        <v>486000</v>
      </c>
      <c r="C468" s="265">
        <v>1352.6352000000004</v>
      </c>
      <c r="D468" s="297">
        <v>1543.1472000000003</v>
      </c>
      <c r="E468" s="297">
        <v>2857.6800000000003</v>
      </c>
      <c r="F468" s="297">
        <v>1421.4243015706795</v>
      </c>
    </row>
    <row r="469" spans="2:6">
      <c r="B469" s="297">
        <v>487000</v>
      </c>
      <c r="C469" s="265">
        <v>1355.4184000000002</v>
      </c>
      <c r="D469" s="297">
        <v>1546.3224000000002</v>
      </c>
      <c r="E469" s="297">
        <v>2863.56</v>
      </c>
      <c r="F469" s="297">
        <v>1424.3490429319361</v>
      </c>
    </row>
    <row r="470" spans="2:6">
      <c r="B470" s="297">
        <v>488000</v>
      </c>
      <c r="C470" s="265">
        <v>1358.2016000000003</v>
      </c>
      <c r="D470" s="297">
        <v>1549.4975999999999</v>
      </c>
      <c r="E470" s="297">
        <v>2869.4400000000005</v>
      </c>
      <c r="F470" s="297">
        <v>1427.2737842931926</v>
      </c>
    </row>
    <row r="471" spans="2:6">
      <c r="B471" s="297">
        <v>489000</v>
      </c>
      <c r="C471" s="265">
        <v>1360.9848000000004</v>
      </c>
      <c r="D471" s="297">
        <v>1552.6728000000001</v>
      </c>
      <c r="E471" s="297">
        <v>2875.32</v>
      </c>
      <c r="F471" s="297">
        <v>1430.1985256544488</v>
      </c>
    </row>
    <row r="472" spans="2:6">
      <c r="B472" s="297">
        <v>490000</v>
      </c>
      <c r="C472" s="265">
        <v>1363.7680000000003</v>
      </c>
      <c r="D472" s="297">
        <v>1555.848</v>
      </c>
      <c r="E472" s="297">
        <v>2881.2000000000003</v>
      </c>
      <c r="F472" s="297">
        <v>1433.1232670157053</v>
      </c>
    </row>
    <row r="473" spans="2:6">
      <c r="B473" s="297">
        <v>491000</v>
      </c>
      <c r="C473" s="265">
        <v>1366.5512000000006</v>
      </c>
      <c r="D473" s="297">
        <v>1559.0232000000003</v>
      </c>
      <c r="E473" s="297">
        <v>2887.0800000000004</v>
      </c>
      <c r="F473" s="297">
        <v>1436.0480083769619</v>
      </c>
    </row>
    <row r="474" spans="2:6">
      <c r="B474" s="297">
        <v>492000</v>
      </c>
      <c r="C474" s="265">
        <v>1369.3344000000004</v>
      </c>
      <c r="D474" s="297">
        <v>1562.1984000000002</v>
      </c>
      <c r="E474" s="297">
        <v>2892.9600000000005</v>
      </c>
      <c r="F474" s="297">
        <v>1438.9727497382185</v>
      </c>
    </row>
    <row r="475" spans="2:6">
      <c r="B475" s="297">
        <v>493000</v>
      </c>
      <c r="C475" s="265">
        <v>1372.1176000000003</v>
      </c>
      <c r="D475" s="297">
        <v>1565.3736000000001</v>
      </c>
      <c r="E475" s="297">
        <v>2898.84</v>
      </c>
      <c r="F475" s="297">
        <v>1441.897491099475</v>
      </c>
    </row>
    <row r="476" spans="2:6">
      <c r="B476" s="297">
        <v>494000</v>
      </c>
      <c r="C476" s="265">
        <v>1374.9008000000003</v>
      </c>
      <c r="D476" s="297">
        <v>1568.5487999999998</v>
      </c>
      <c r="E476" s="297">
        <v>2904.7200000000007</v>
      </c>
      <c r="F476" s="297">
        <v>1444.8222324607316</v>
      </c>
    </row>
    <row r="477" spans="2:6">
      <c r="B477" s="297">
        <v>495000</v>
      </c>
      <c r="C477" s="265">
        <v>1377.6840000000002</v>
      </c>
      <c r="D477" s="297">
        <v>1571.7240000000002</v>
      </c>
      <c r="E477" s="297">
        <v>2910.6000000000004</v>
      </c>
      <c r="F477" s="297">
        <v>1447.7469738219881</v>
      </c>
    </row>
    <row r="478" spans="2:6">
      <c r="B478" s="297">
        <v>496000</v>
      </c>
      <c r="C478" s="265">
        <v>1380.4672000000003</v>
      </c>
      <c r="D478" s="297">
        <v>1574.8992000000005</v>
      </c>
      <c r="E478" s="297">
        <v>2916.48</v>
      </c>
      <c r="F478" s="297">
        <v>1450.6717151832447</v>
      </c>
    </row>
    <row r="479" spans="2:6">
      <c r="B479" s="297">
        <v>497000</v>
      </c>
      <c r="C479" s="265">
        <v>1383.2504000000001</v>
      </c>
      <c r="D479" s="297">
        <v>1578.0744000000002</v>
      </c>
      <c r="E479" s="297">
        <v>2922.36</v>
      </c>
      <c r="F479" s="297">
        <v>1453.5964565445013</v>
      </c>
    </row>
    <row r="480" spans="2:6">
      <c r="B480" s="297">
        <v>498000</v>
      </c>
      <c r="C480" s="265">
        <v>1386.0336</v>
      </c>
      <c r="D480" s="297">
        <v>1581.2496000000001</v>
      </c>
      <c r="E480" s="297">
        <v>2928.2400000000002</v>
      </c>
      <c r="F480" s="297">
        <v>1456.5211979057576</v>
      </c>
    </row>
    <row r="481" spans="2:6">
      <c r="B481" s="297">
        <v>499000</v>
      </c>
      <c r="C481" s="265">
        <v>1388.8168000000003</v>
      </c>
      <c r="D481" s="297">
        <v>1584.4248</v>
      </c>
      <c r="E481" s="297">
        <v>2934.1200000000003</v>
      </c>
      <c r="F481" s="297">
        <v>1459.4459392670142</v>
      </c>
    </row>
    <row r="482" spans="2:6">
      <c r="B482" s="297">
        <v>500000</v>
      </c>
      <c r="C482" s="265">
        <v>1391.6000000000001</v>
      </c>
      <c r="D482" s="297">
        <v>1587.6000000000001</v>
      </c>
      <c r="E482" s="297">
        <v>2940</v>
      </c>
      <c r="F482" s="297">
        <v>1462.3706806282707</v>
      </c>
    </row>
    <row r="483" spans="2:6">
      <c r="B483" s="297">
        <v>501000</v>
      </c>
      <c r="C483" s="265">
        <v>1350.1950000000002</v>
      </c>
      <c r="D483" s="297">
        <v>1502.3987999999999</v>
      </c>
      <c r="E483" s="297">
        <v>2945.8800000000006</v>
      </c>
      <c r="F483" s="297">
        <v>1465.2954219895273</v>
      </c>
    </row>
    <row r="484" spans="2:6">
      <c r="B484" s="297">
        <v>502000</v>
      </c>
      <c r="C484" s="265">
        <v>1352.89</v>
      </c>
      <c r="D484" s="297">
        <v>1505.3976000000002</v>
      </c>
      <c r="E484" s="297">
        <v>2951.76</v>
      </c>
      <c r="F484" s="297">
        <v>1468.2201633507839</v>
      </c>
    </row>
    <row r="485" spans="2:6">
      <c r="B485" s="297">
        <v>503000</v>
      </c>
      <c r="C485" s="265">
        <v>1355.5850000000003</v>
      </c>
      <c r="D485" s="297">
        <v>1508.3964000000003</v>
      </c>
      <c r="E485" s="297">
        <v>2957.64</v>
      </c>
      <c r="F485" s="297">
        <v>1471.1449047120404</v>
      </c>
    </row>
    <row r="486" spans="2:6">
      <c r="B486" s="297">
        <v>504000</v>
      </c>
      <c r="C486" s="265">
        <v>1358.2800000000002</v>
      </c>
      <c r="D486" s="297">
        <v>1511.3952000000002</v>
      </c>
      <c r="E486" s="297">
        <v>2963.5200000000004</v>
      </c>
      <c r="F486" s="297">
        <v>1474.069646073297</v>
      </c>
    </row>
    <row r="487" spans="2:6">
      <c r="B487" s="297">
        <v>505000</v>
      </c>
      <c r="C487" s="265">
        <v>1360.9750000000001</v>
      </c>
      <c r="D487" s="297">
        <v>1514.3940000000002</v>
      </c>
      <c r="E487" s="297">
        <v>2969.4</v>
      </c>
      <c r="F487" s="297">
        <v>1476.9943874345536</v>
      </c>
    </row>
    <row r="488" spans="2:6">
      <c r="B488" s="297">
        <v>506000</v>
      </c>
      <c r="C488" s="265">
        <v>1363.67</v>
      </c>
      <c r="D488" s="297">
        <v>1517.3927999999999</v>
      </c>
      <c r="E488" s="297">
        <v>2975.28</v>
      </c>
      <c r="F488" s="297">
        <v>1479.9191287958101</v>
      </c>
    </row>
    <row r="489" spans="2:6">
      <c r="B489" s="297">
        <v>507000</v>
      </c>
      <c r="C489" s="265">
        <v>1366.365</v>
      </c>
      <c r="D489" s="297">
        <v>1520.3916000000002</v>
      </c>
      <c r="E489" s="297">
        <v>2981.1600000000003</v>
      </c>
      <c r="F489" s="297">
        <v>1482.8438701570667</v>
      </c>
    </row>
    <row r="490" spans="2:6">
      <c r="B490" s="297">
        <v>508000</v>
      </c>
      <c r="C490" s="265">
        <v>1369.0600000000002</v>
      </c>
      <c r="D490" s="297">
        <v>1523.3904</v>
      </c>
      <c r="E490" s="297">
        <v>2987.0400000000004</v>
      </c>
      <c r="F490" s="297">
        <v>1485.7686115183233</v>
      </c>
    </row>
    <row r="491" spans="2:6">
      <c r="B491" s="297">
        <v>509000</v>
      </c>
      <c r="C491" s="265">
        <v>1371.7550000000001</v>
      </c>
      <c r="D491" s="297">
        <v>1526.3892000000003</v>
      </c>
      <c r="E491" s="297">
        <v>2992.92</v>
      </c>
      <c r="F491" s="297">
        <v>1488.6933528795798</v>
      </c>
    </row>
    <row r="492" spans="2:6">
      <c r="B492" s="297">
        <v>510000</v>
      </c>
      <c r="C492" s="265">
        <v>1374.45</v>
      </c>
      <c r="D492" s="297">
        <v>1529.3880000000001</v>
      </c>
      <c r="E492" s="297">
        <v>2998.8000000000006</v>
      </c>
      <c r="F492" s="297">
        <v>1491.6180942408364</v>
      </c>
    </row>
    <row r="493" spans="2:6">
      <c r="B493" s="297">
        <v>511000</v>
      </c>
      <c r="C493" s="265">
        <v>1377.1450000000002</v>
      </c>
      <c r="D493" s="297">
        <v>1532.3868000000002</v>
      </c>
      <c r="E493" s="297">
        <v>3004.6800000000003</v>
      </c>
      <c r="F493" s="297">
        <v>1494.5428356020927</v>
      </c>
    </row>
    <row r="494" spans="2:6">
      <c r="B494" s="297">
        <v>512000</v>
      </c>
      <c r="C494" s="265">
        <v>1379.8400000000001</v>
      </c>
      <c r="D494" s="297">
        <v>1535.3856000000003</v>
      </c>
      <c r="E494" s="297">
        <v>3010.56</v>
      </c>
      <c r="F494" s="297">
        <v>1497.4675769633493</v>
      </c>
    </row>
    <row r="495" spans="2:6">
      <c r="B495" s="297">
        <v>513000</v>
      </c>
      <c r="C495" s="265">
        <v>1382.5350000000001</v>
      </c>
      <c r="D495" s="297">
        <v>1538.3843999999999</v>
      </c>
      <c r="E495" s="297">
        <v>3016.4400000000005</v>
      </c>
      <c r="F495" s="297">
        <v>1500.3923183246059</v>
      </c>
    </row>
    <row r="496" spans="2:6">
      <c r="B496" s="297">
        <v>514000</v>
      </c>
      <c r="C496" s="265">
        <v>1385.2300000000002</v>
      </c>
      <c r="D496" s="297">
        <v>1541.3832000000002</v>
      </c>
      <c r="E496" s="297">
        <v>3022.32</v>
      </c>
      <c r="F496" s="297">
        <v>1503.3170596858624</v>
      </c>
    </row>
    <row r="497" spans="2:6">
      <c r="B497" s="297">
        <v>515000</v>
      </c>
      <c r="C497" s="265">
        <v>1387.9250000000002</v>
      </c>
      <c r="D497" s="297">
        <v>1544.3820000000003</v>
      </c>
      <c r="E497" s="297">
        <v>3028.2000000000003</v>
      </c>
      <c r="F497" s="297">
        <v>1506.241801047119</v>
      </c>
    </row>
    <row r="498" spans="2:6">
      <c r="B498" s="297">
        <v>516000</v>
      </c>
      <c r="C498" s="265">
        <v>1390.6200000000001</v>
      </c>
      <c r="D498" s="297">
        <v>1547.3807999999999</v>
      </c>
      <c r="E498" s="297">
        <v>3034.0800000000004</v>
      </c>
      <c r="F498" s="297">
        <v>1509.1665424083756</v>
      </c>
    </row>
    <row r="499" spans="2:6">
      <c r="B499" s="297">
        <v>517000</v>
      </c>
      <c r="C499" s="265">
        <v>1393.3150000000003</v>
      </c>
      <c r="D499" s="297">
        <v>1550.3796000000002</v>
      </c>
      <c r="E499" s="297">
        <v>3039.9600000000005</v>
      </c>
      <c r="F499" s="297">
        <v>1512.0912837696321</v>
      </c>
    </row>
    <row r="500" spans="2:6">
      <c r="B500" s="297">
        <v>518000</v>
      </c>
      <c r="C500" s="265">
        <v>1396.0100000000002</v>
      </c>
      <c r="D500" s="297">
        <v>1553.3784000000003</v>
      </c>
      <c r="E500" s="297">
        <v>3045.84</v>
      </c>
      <c r="F500" s="297">
        <v>1515.0160251308887</v>
      </c>
    </row>
    <row r="501" spans="2:6">
      <c r="B501" s="297">
        <v>519000</v>
      </c>
      <c r="C501" s="265">
        <v>1398.7050000000002</v>
      </c>
      <c r="D501" s="297">
        <v>1556.3772000000001</v>
      </c>
      <c r="E501" s="297">
        <v>3051.7200000000007</v>
      </c>
      <c r="F501" s="297">
        <v>1517.9407664921453</v>
      </c>
    </row>
    <row r="502" spans="2:6">
      <c r="B502" s="297">
        <v>520000</v>
      </c>
      <c r="C502" s="265">
        <v>1401.4000000000003</v>
      </c>
      <c r="D502" s="297">
        <v>1559.3760000000002</v>
      </c>
      <c r="E502" s="297">
        <v>3057.6000000000004</v>
      </c>
      <c r="F502" s="297">
        <v>1520.8655078534018</v>
      </c>
    </row>
    <row r="503" spans="2:6">
      <c r="B503" s="297">
        <v>521000</v>
      </c>
      <c r="C503" s="265">
        <v>1404.0950000000003</v>
      </c>
      <c r="D503" s="297">
        <v>1562.3748000000003</v>
      </c>
      <c r="E503" s="297">
        <v>3063.48</v>
      </c>
      <c r="F503" s="297">
        <v>1523.7902492146584</v>
      </c>
    </row>
    <row r="504" spans="2:6">
      <c r="B504" s="297">
        <v>522000</v>
      </c>
      <c r="C504" s="265">
        <v>1406.7900000000002</v>
      </c>
      <c r="D504" s="297">
        <v>1565.3736000000001</v>
      </c>
      <c r="E504" s="297">
        <v>3069.3600000000006</v>
      </c>
      <c r="F504" s="297">
        <v>1526.714990575915</v>
      </c>
    </row>
    <row r="505" spans="2:6">
      <c r="B505" s="297">
        <v>523000</v>
      </c>
      <c r="C505" s="265">
        <v>1409.4850000000004</v>
      </c>
      <c r="D505" s="297">
        <v>1568.3724000000002</v>
      </c>
      <c r="E505" s="297">
        <v>3075.2400000000002</v>
      </c>
      <c r="F505" s="297">
        <v>1529.6397319371715</v>
      </c>
    </row>
    <row r="506" spans="2:6">
      <c r="B506" s="297">
        <v>524000</v>
      </c>
      <c r="C506" s="265">
        <v>1412.18</v>
      </c>
      <c r="D506" s="297">
        <v>1571.3712000000003</v>
      </c>
      <c r="E506" s="297">
        <v>3081.1200000000003</v>
      </c>
      <c r="F506" s="297">
        <v>1532.5644732984281</v>
      </c>
    </row>
    <row r="507" spans="2:6">
      <c r="B507" s="297">
        <v>525000</v>
      </c>
      <c r="C507" s="265">
        <v>1414.875</v>
      </c>
      <c r="D507" s="297">
        <v>1574.3700000000001</v>
      </c>
      <c r="E507" s="297">
        <v>3087</v>
      </c>
      <c r="F507" s="297">
        <v>1535.4892146596846</v>
      </c>
    </row>
    <row r="508" spans="2:6">
      <c r="B508" s="297">
        <v>526000</v>
      </c>
      <c r="C508" s="265">
        <v>1417.57</v>
      </c>
      <c r="D508" s="297">
        <v>1577.3688</v>
      </c>
      <c r="E508" s="297">
        <v>3092.8800000000006</v>
      </c>
      <c r="F508" s="297">
        <v>1538.4139560209412</v>
      </c>
    </row>
    <row r="509" spans="2:6">
      <c r="B509" s="297">
        <v>527000</v>
      </c>
      <c r="C509" s="265">
        <v>1420.2650000000001</v>
      </c>
      <c r="D509" s="297">
        <v>1580.3675999999998</v>
      </c>
      <c r="E509" s="297">
        <v>3098.76</v>
      </c>
      <c r="F509" s="297">
        <v>1541.3386973821978</v>
      </c>
    </row>
    <row r="510" spans="2:6">
      <c r="B510" s="297">
        <v>528000</v>
      </c>
      <c r="C510" s="265">
        <v>1422.96</v>
      </c>
      <c r="D510" s="297">
        <v>1583.3664000000001</v>
      </c>
      <c r="E510" s="297">
        <v>3104.64</v>
      </c>
      <c r="F510" s="297">
        <v>1544.2634387434543</v>
      </c>
    </row>
    <row r="511" spans="2:6">
      <c r="B511" s="297">
        <v>529000</v>
      </c>
      <c r="C511" s="265">
        <v>1425.655</v>
      </c>
      <c r="D511" s="297">
        <v>1586.3652000000002</v>
      </c>
      <c r="E511" s="297">
        <v>3110.5200000000004</v>
      </c>
      <c r="F511" s="297">
        <v>1547.1881801047109</v>
      </c>
    </row>
    <row r="512" spans="2:6">
      <c r="B512" s="297">
        <v>530000</v>
      </c>
      <c r="C512" s="265">
        <v>1428.3500000000001</v>
      </c>
      <c r="D512" s="297">
        <v>1589.3640000000003</v>
      </c>
      <c r="E512" s="297">
        <v>3116.4</v>
      </c>
      <c r="F512" s="297">
        <v>1550.112921465967</v>
      </c>
    </row>
    <row r="513" spans="2:6">
      <c r="B513" s="297">
        <v>531000</v>
      </c>
      <c r="C513" s="265">
        <v>1431.0450000000001</v>
      </c>
      <c r="D513" s="297">
        <v>1592.3628000000001</v>
      </c>
      <c r="E513" s="297">
        <v>3122.28</v>
      </c>
      <c r="F513" s="297">
        <v>1553.0376628272236</v>
      </c>
    </row>
    <row r="514" spans="2:6">
      <c r="B514" s="297">
        <v>532000</v>
      </c>
      <c r="C514" s="265">
        <v>1433.74</v>
      </c>
      <c r="D514" s="297">
        <v>1595.3616000000002</v>
      </c>
      <c r="E514" s="297">
        <v>3128.1600000000003</v>
      </c>
      <c r="F514" s="297">
        <v>1555.9624041884801</v>
      </c>
    </row>
    <row r="515" spans="2:6">
      <c r="B515" s="297">
        <v>533000</v>
      </c>
      <c r="C515" s="265">
        <v>1436.4350000000002</v>
      </c>
      <c r="D515" s="297">
        <v>1598.3604000000003</v>
      </c>
      <c r="E515" s="297">
        <v>3134.0400000000004</v>
      </c>
      <c r="F515" s="297">
        <v>1558.8871455497367</v>
      </c>
    </row>
    <row r="516" spans="2:6">
      <c r="B516" s="297">
        <v>534000</v>
      </c>
      <c r="C516" s="265">
        <v>1439.13</v>
      </c>
      <c r="D516" s="297">
        <v>1601.3592000000006</v>
      </c>
      <c r="E516" s="297">
        <v>3139.92</v>
      </c>
      <c r="F516" s="297">
        <v>1561.8118869109933</v>
      </c>
    </row>
    <row r="517" spans="2:6">
      <c r="B517" s="297">
        <v>535000</v>
      </c>
      <c r="C517" s="265">
        <v>1441.825</v>
      </c>
      <c r="D517" s="297">
        <v>1604.3580000000002</v>
      </c>
      <c r="E517" s="297">
        <v>3145.8000000000006</v>
      </c>
      <c r="F517" s="297">
        <v>1564.7366282722498</v>
      </c>
    </row>
    <row r="518" spans="2:6">
      <c r="B518" s="297">
        <v>536000</v>
      </c>
      <c r="C518" s="265">
        <v>1444.5200000000002</v>
      </c>
      <c r="D518" s="297">
        <v>1607.3568000000002</v>
      </c>
      <c r="E518" s="297">
        <v>3151.6800000000003</v>
      </c>
      <c r="F518" s="297">
        <v>1567.6613696335064</v>
      </c>
    </row>
    <row r="519" spans="2:6">
      <c r="B519" s="297">
        <v>537000</v>
      </c>
      <c r="C519" s="265">
        <v>1447.2150000000001</v>
      </c>
      <c r="D519" s="297">
        <v>1610.3556000000001</v>
      </c>
      <c r="E519" s="297">
        <v>3157.56</v>
      </c>
      <c r="F519" s="297">
        <v>1570.5861109947627</v>
      </c>
    </row>
    <row r="520" spans="2:6">
      <c r="B520" s="297">
        <v>538000</v>
      </c>
      <c r="C520" s="265">
        <v>1449.91</v>
      </c>
      <c r="D520" s="297">
        <v>1613.3544000000002</v>
      </c>
      <c r="E520" s="297">
        <v>3163.4400000000005</v>
      </c>
      <c r="F520" s="297">
        <v>1573.5108523560193</v>
      </c>
    </row>
    <row r="521" spans="2:6">
      <c r="B521" s="297">
        <v>539000</v>
      </c>
      <c r="C521" s="265">
        <v>1452.6050000000002</v>
      </c>
      <c r="D521" s="297">
        <v>1616.3532000000002</v>
      </c>
      <c r="E521" s="297">
        <v>3169.32</v>
      </c>
      <c r="F521" s="297">
        <v>1576.4355937172759</v>
      </c>
    </row>
    <row r="522" spans="2:6">
      <c r="B522" s="297">
        <v>540000</v>
      </c>
      <c r="C522" s="265">
        <v>1455.3000000000002</v>
      </c>
      <c r="D522" s="297">
        <v>1619.3520000000001</v>
      </c>
      <c r="E522" s="297">
        <v>3175.2000000000003</v>
      </c>
      <c r="F522" s="297">
        <v>1579.3603350785324</v>
      </c>
    </row>
    <row r="523" spans="2:6">
      <c r="B523" s="297">
        <v>541000</v>
      </c>
      <c r="C523" s="265">
        <v>1457.9950000000001</v>
      </c>
      <c r="D523" s="297">
        <v>1622.3507999999999</v>
      </c>
      <c r="E523" s="297">
        <v>3181.0800000000004</v>
      </c>
      <c r="F523" s="297">
        <v>1582.285076439789</v>
      </c>
    </row>
    <row r="524" spans="2:6">
      <c r="B524" s="297">
        <v>542000</v>
      </c>
      <c r="C524" s="265">
        <v>1460.6900000000003</v>
      </c>
      <c r="D524" s="297">
        <v>1625.3496000000005</v>
      </c>
      <c r="E524" s="297">
        <v>3186.9600000000005</v>
      </c>
      <c r="F524" s="297">
        <v>1585.2098178010456</v>
      </c>
    </row>
    <row r="525" spans="2:6">
      <c r="B525" s="297">
        <v>543000</v>
      </c>
      <c r="C525" s="265">
        <v>1463.3850000000002</v>
      </c>
      <c r="D525" s="297">
        <v>1628.3484000000001</v>
      </c>
      <c r="E525" s="297">
        <v>3192.84</v>
      </c>
      <c r="F525" s="297">
        <v>1588.1345591623021</v>
      </c>
    </row>
    <row r="526" spans="2:6">
      <c r="B526" s="297">
        <v>544000</v>
      </c>
      <c r="C526" s="265">
        <v>1466.0800000000002</v>
      </c>
      <c r="D526" s="297">
        <v>1631.3471999999999</v>
      </c>
      <c r="E526" s="297">
        <v>3198.7200000000007</v>
      </c>
      <c r="F526" s="297">
        <v>1591.0593005235587</v>
      </c>
    </row>
    <row r="527" spans="2:6">
      <c r="B527" s="297">
        <v>545000</v>
      </c>
      <c r="C527" s="265">
        <v>1468.7750000000003</v>
      </c>
      <c r="D527" s="297">
        <v>1634.3460000000005</v>
      </c>
      <c r="E527" s="297">
        <v>3204.6000000000004</v>
      </c>
      <c r="F527" s="297">
        <v>1593.9840418848153</v>
      </c>
    </row>
    <row r="528" spans="2:6">
      <c r="B528" s="297">
        <v>546000</v>
      </c>
      <c r="C528" s="265">
        <v>1471.4700000000003</v>
      </c>
      <c r="D528" s="297">
        <v>1637.3448000000001</v>
      </c>
      <c r="E528" s="297">
        <v>3210.48</v>
      </c>
      <c r="F528" s="297">
        <v>1596.9087832460718</v>
      </c>
    </row>
    <row r="529" spans="2:6">
      <c r="B529" s="297">
        <v>547000</v>
      </c>
      <c r="C529" s="265">
        <v>1474.1650000000002</v>
      </c>
      <c r="D529" s="297">
        <v>1640.3436000000002</v>
      </c>
      <c r="E529" s="297">
        <v>3216.3600000000006</v>
      </c>
      <c r="F529" s="297">
        <v>1599.8335246073284</v>
      </c>
    </row>
    <row r="530" spans="2:6">
      <c r="B530" s="297">
        <v>548000</v>
      </c>
      <c r="C530" s="265">
        <v>1476.8600000000004</v>
      </c>
      <c r="D530" s="297">
        <v>1643.3424000000005</v>
      </c>
      <c r="E530" s="297">
        <v>3222.2400000000002</v>
      </c>
      <c r="F530" s="297">
        <v>1602.758265968585</v>
      </c>
    </row>
    <row r="531" spans="2:6">
      <c r="B531" s="297">
        <v>549000</v>
      </c>
      <c r="C531" s="265">
        <v>1479.5550000000003</v>
      </c>
      <c r="D531" s="297">
        <v>1646.3412000000001</v>
      </c>
      <c r="E531" s="297">
        <v>3228.1200000000003</v>
      </c>
      <c r="F531" s="297">
        <v>1605.6830073298415</v>
      </c>
    </row>
    <row r="532" spans="2:6">
      <c r="B532" s="297">
        <v>550000</v>
      </c>
      <c r="C532" s="265">
        <v>1482.25</v>
      </c>
      <c r="D532" s="297">
        <v>1649.3400000000001</v>
      </c>
      <c r="E532" s="297">
        <v>3234.0000000000005</v>
      </c>
      <c r="F532" s="297">
        <v>1608.6077486910981</v>
      </c>
    </row>
    <row r="533" spans="2:6">
      <c r="B533" s="297">
        <v>551000</v>
      </c>
      <c r="C533" s="265">
        <v>1484.9449999999999</v>
      </c>
      <c r="D533" s="297">
        <v>1652.3388000000002</v>
      </c>
      <c r="E533" s="297">
        <v>3239.8800000000006</v>
      </c>
      <c r="F533" s="297">
        <v>1611.5324900523547</v>
      </c>
    </row>
    <row r="534" spans="2:6">
      <c r="B534" s="297">
        <v>552000</v>
      </c>
      <c r="C534" s="265">
        <v>1487.64</v>
      </c>
      <c r="D534" s="297">
        <v>1655.3376000000005</v>
      </c>
      <c r="E534" s="297">
        <v>3245.76</v>
      </c>
      <c r="F534" s="297">
        <v>1614.4572314136112</v>
      </c>
    </row>
    <row r="535" spans="2:6">
      <c r="B535" s="297">
        <v>553000</v>
      </c>
      <c r="C535" s="265">
        <v>1490.335</v>
      </c>
      <c r="D535" s="297">
        <v>1658.3364000000001</v>
      </c>
      <c r="E535" s="297">
        <v>3251.64</v>
      </c>
      <c r="F535" s="297">
        <v>1617.3819727748678</v>
      </c>
    </row>
    <row r="536" spans="2:6">
      <c r="B536" s="297">
        <v>554000</v>
      </c>
      <c r="C536" s="265">
        <v>1493.03</v>
      </c>
      <c r="D536" s="297">
        <v>1661.3351999999998</v>
      </c>
      <c r="E536" s="297">
        <v>3257.5200000000004</v>
      </c>
      <c r="F536" s="297">
        <v>1620.3067141361244</v>
      </c>
    </row>
    <row r="537" spans="2:6">
      <c r="B537" s="297">
        <v>555000</v>
      </c>
      <c r="C537" s="265">
        <v>1495.7250000000001</v>
      </c>
      <c r="D537" s="297">
        <v>1664.3340000000005</v>
      </c>
      <c r="E537" s="297">
        <v>3263.4</v>
      </c>
      <c r="F537" s="297">
        <v>1623.2314554973809</v>
      </c>
    </row>
    <row r="538" spans="2:6">
      <c r="B538" s="297">
        <v>556000</v>
      </c>
      <c r="C538" s="265">
        <v>1498.42</v>
      </c>
      <c r="D538" s="297">
        <v>1667.3328000000001</v>
      </c>
      <c r="E538" s="297">
        <v>3269.28</v>
      </c>
      <c r="F538" s="297">
        <v>1626.1561968586373</v>
      </c>
    </row>
    <row r="539" spans="2:6">
      <c r="B539" s="297">
        <v>557000</v>
      </c>
      <c r="C539" s="265">
        <v>1501.115</v>
      </c>
      <c r="D539" s="297">
        <v>1670.3316000000002</v>
      </c>
      <c r="E539" s="297">
        <v>3275.1600000000003</v>
      </c>
      <c r="F539" s="297">
        <v>1629.0809382198938</v>
      </c>
    </row>
    <row r="540" spans="2:6">
      <c r="B540" s="297">
        <v>558000</v>
      </c>
      <c r="C540" s="265">
        <v>1503.8100000000002</v>
      </c>
      <c r="D540" s="297">
        <v>1673.3304000000001</v>
      </c>
      <c r="E540" s="297">
        <v>3281.0400000000004</v>
      </c>
      <c r="F540" s="297">
        <v>1632.0056795811504</v>
      </c>
    </row>
    <row r="541" spans="2:6">
      <c r="B541" s="297">
        <v>559000</v>
      </c>
      <c r="C541" s="265">
        <v>1506.5050000000001</v>
      </c>
      <c r="D541" s="297">
        <v>1676.3292000000001</v>
      </c>
      <c r="E541" s="297">
        <v>3286.92</v>
      </c>
      <c r="F541" s="297">
        <v>1634.930420942407</v>
      </c>
    </row>
    <row r="542" spans="2:6">
      <c r="B542" s="297">
        <v>560000</v>
      </c>
      <c r="C542" s="265">
        <v>1509.2</v>
      </c>
      <c r="D542" s="297">
        <v>1679.3280000000002</v>
      </c>
      <c r="E542" s="297">
        <v>3292.8000000000006</v>
      </c>
      <c r="F542" s="297">
        <v>1637.8551623036635</v>
      </c>
    </row>
    <row r="543" spans="2:6">
      <c r="B543" s="297">
        <v>561000</v>
      </c>
      <c r="C543" s="265">
        <v>1511.8950000000002</v>
      </c>
      <c r="D543" s="297">
        <v>1682.3268</v>
      </c>
      <c r="E543" s="297">
        <v>3298.6800000000003</v>
      </c>
      <c r="F543" s="297">
        <v>1640.7799036649201</v>
      </c>
    </row>
    <row r="544" spans="2:6">
      <c r="B544" s="297">
        <v>562000</v>
      </c>
      <c r="C544" s="265">
        <v>1514.5900000000001</v>
      </c>
      <c r="D544" s="297">
        <v>1685.3256000000003</v>
      </c>
      <c r="E544" s="297">
        <v>3304.56</v>
      </c>
      <c r="F544" s="297">
        <v>1643.7046450261766</v>
      </c>
    </row>
    <row r="545" spans="2:6">
      <c r="B545" s="297">
        <v>563000</v>
      </c>
      <c r="C545" s="265">
        <v>1517.2850000000001</v>
      </c>
      <c r="D545" s="297">
        <v>1688.3244000000002</v>
      </c>
      <c r="E545" s="297">
        <v>3310.4400000000005</v>
      </c>
      <c r="F545" s="297">
        <v>1646.6293863874332</v>
      </c>
    </row>
    <row r="546" spans="2:6">
      <c r="B546" s="297">
        <v>564000</v>
      </c>
      <c r="C546" s="265">
        <v>1519.9800000000002</v>
      </c>
      <c r="D546" s="297">
        <v>1691.3232</v>
      </c>
      <c r="E546" s="297">
        <v>3316.32</v>
      </c>
      <c r="F546" s="297">
        <v>1649.5541277486898</v>
      </c>
    </row>
    <row r="547" spans="2:6">
      <c r="B547" s="297">
        <v>565000</v>
      </c>
      <c r="C547" s="265">
        <v>1522.6750000000002</v>
      </c>
      <c r="D547" s="297">
        <v>1694.3220000000001</v>
      </c>
      <c r="E547" s="297">
        <v>3322.2000000000003</v>
      </c>
      <c r="F547" s="297">
        <v>1652.4788691099463</v>
      </c>
    </row>
    <row r="548" spans="2:6">
      <c r="B548" s="297">
        <v>566000</v>
      </c>
      <c r="C548" s="265">
        <v>1525.3700000000001</v>
      </c>
      <c r="D548" s="297">
        <v>1697.3208000000002</v>
      </c>
      <c r="E548" s="297">
        <v>3328.0800000000004</v>
      </c>
      <c r="F548" s="297">
        <v>1655.4036104712029</v>
      </c>
    </row>
    <row r="549" spans="2:6">
      <c r="B549" s="297">
        <v>567000</v>
      </c>
      <c r="C549" s="265">
        <v>1528.0650000000003</v>
      </c>
      <c r="D549" s="297">
        <v>1700.3196000000005</v>
      </c>
      <c r="E549" s="297">
        <v>3333.9600000000005</v>
      </c>
      <c r="F549" s="297">
        <v>1658.3283518324595</v>
      </c>
    </row>
    <row r="550" spans="2:6">
      <c r="B550" s="297">
        <v>568000</v>
      </c>
      <c r="C550" s="265">
        <v>1530.7600000000002</v>
      </c>
      <c r="D550" s="297">
        <v>1703.3184000000001</v>
      </c>
      <c r="E550" s="297">
        <v>3339.84</v>
      </c>
      <c r="F550" s="297">
        <v>1661.253093193716</v>
      </c>
    </row>
    <row r="551" spans="2:6">
      <c r="B551" s="297">
        <v>569000</v>
      </c>
      <c r="C551" s="265">
        <v>1533.4550000000002</v>
      </c>
      <c r="D551" s="297">
        <v>1706.3171999999997</v>
      </c>
      <c r="E551" s="297">
        <v>3345.7200000000007</v>
      </c>
      <c r="F551" s="297">
        <v>1664.1778345549726</v>
      </c>
    </row>
    <row r="552" spans="2:6">
      <c r="B552" s="297">
        <v>570000</v>
      </c>
      <c r="C552" s="265">
        <v>1536.1500000000003</v>
      </c>
      <c r="D552" s="297">
        <v>1709.3160000000005</v>
      </c>
      <c r="E552" s="297">
        <v>3351.6000000000004</v>
      </c>
      <c r="F552" s="297">
        <v>1667.1025759162292</v>
      </c>
    </row>
    <row r="553" spans="2:6">
      <c r="B553" s="297">
        <v>571000</v>
      </c>
      <c r="C553" s="265">
        <v>1538.8450000000003</v>
      </c>
      <c r="D553" s="297">
        <v>1712.3148000000001</v>
      </c>
      <c r="E553" s="297">
        <v>3357.48</v>
      </c>
      <c r="F553" s="297">
        <v>1670.0273172774853</v>
      </c>
    </row>
    <row r="554" spans="2:6">
      <c r="B554" s="297">
        <v>572000</v>
      </c>
      <c r="C554" s="265">
        <v>1541.5400000000002</v>
      </c>
      <c r="D554" s="297">
        <v>1715.3136000000002</v>
      </c>
      <c r="E554" s="297">
        <v>3363.3600000000006</v>
      </c>
      <c r="F554" s="297">
        <v>1672.9520586387418</v>
      </c>
    </row>
    <row r="555" spans="2:6">
      <c r="B555" s="297">
        <v>573000</v>
      </c>
      <c r="C555" s="265">
        <v>1544.2350000000004</v>
      </c>
      <c r="D555" s="297">
        <v>1718.3124000000005</v>
      </c>
      <c r="E555" s="297">
        <v>3369.2400000000002</v>
      </c>
      <c r="F555" s="297">
        <v>1675.8767999999984</v>
      </c>
    </row>
    <row r="556" spans="2:6">
      <c r="B556" s="297">
        <v>574000</v>
      </c>
      <c r="C556" s="265">
        <v>1546.9300000000003</v>
      </c>
      <c r="D556" s="297">
        <v>1721.3112000000001</v>
      </c>
      <c r="E556" s="297">
        <v>3375.1200000000003</v>
      </c>
      <c r="F556" s="297">
        <v>1678.801541361255</v>
      </c>
    </row>
    <row r="557" spans="2:6">
      <c r="B557" s="297">
        <v>575000</v>
      </c>
      <c r="C557" s="265">
        <v>1549.625</v>
      </c>
      <c r="D557" s="297">
        <v>1724.3100000000002</v>
      </c>
      <c r="E557" s="297">
        <v>3381.0000000000005</v>
      </c>
      <c r="F557" s="297">
        <v>1681.7262827225115</v>
      </c>
    </row>
    <row r="558" spans="2:6">
      <c r="B558" s="297">
        <v>576000</v>
      </c>
      <c r="C558" s="265">
        <v>1552.32</v>
      </c>
      <c r="D558" s="297">
        <v>1727.3088000000005</v>
      </c>
      <c r="E558" s="297">
        <v>3386.8800000000006</v>
      </c>
      <c r="F558" s="297">
        <v>1684.6510240837681</v>
      </c>
    </row>
    <row r="559" spans="2:6">
      <c r="B559" s="297">
        <v>577000</v>
      </c>
      <c r="C559" s="265">
        <v>1555.0150000000001</v>
      </c>
      <c r="D559" s="297">
        <v>1730.3076000000003</v>
      </c>
      <c r="E559" s="297">
        <v>3392.76</v>
      </c>
      <c r="F559" s="297">
        <v>1687.5757654450247</v>
      </c>
    </row>
    <row r="560" spans="2:6">
      <c r="B560" s="297">
        <v>578000</v>
      </c>
      <c r="C560" s="265">
        <v>1557.71</v>
      </c>
      <c r="D560" s="297">
        <v>1733.3064000000002</v>
      </c>
      <c r="E560" s="297">
        <v>3398.64</v>
      </c>
      <c r="F560" s="297">
        <v>1690.5005068062812</v>
      </c>
    </row>
    <row r="561" spans="2:6">
      <c r="B561" s="297">
        <v>579000</v>
      </c>
      <c r="C561" s="265">
        <v>1560.405</v>
      </c>
      <c r="D561" s="297">
        <v>1736.3051999999998</v>
      </c>
      <c r="E561" s="297">
        <v>3404.5200000000004</v>
      </c>
      <c r="F561" s="297">
        <v>1693.4252481675378</v>
      </c>
    </row>
    <row r="562" spans="2:6">
      <c r="B562" s="297">
        <v>580000</v>
      </c>
      <c r="C562" s="265">
        <v>1563.1000000000001</v>
      </c>
      <c r="D562" s="297">
        <v>1739.3040000000003</v>
      </c>
      <c r="E562" s="297">
        <v>3410.4</v>
      </c>
      <c r="F562" s="297">
        <v>1696.3499895287944</v>
      </c>
    </row>
    <row r="563" spans="2:6">
      <c r="B563" s="297">
        <v>581000</v>
      </c>
      <c r="C563" s="265">
        <v>1565.7950000000001</v>
      </c>
      <c r="D563" s="297">
        <v>1742.3028000000002</v>
      </c>
      <c r="E563" s="297">
        <v>3416.28</v>
      </c>
      <c r="F563" s="297">
        <v>1699.2747308900509</v>
      </c>
    </row>
    <row r="564" spans="2:6">
      <c r="B564" s="297">
        <v>582000</v>
      </c>
      <c r="C564" s="265">
        <v>1568.49</v>
      </c>
      <c r="D564" s="297">
        <v>1745.3016</v>
      </c>
      <c r="E564" s="297">
        <v>3422.1600000000003</v>
      </c>
      <c r="F564" s="297">
        <v>1702.199472251307</v>
      </c>
    </row>
    <row r="565" spans="2:6">
      <c r="B565" s="297">
        <v>583000</v>
      </c>
      <c r="C565" s="265">
        <v>1571.1850000000002</v>
      </c>
      <c r="D565" s="297">
        <v>1748.3004000000003</v>
      </c>
      <c r="E565" s="297">
        <v>3428.0400000000004</v>
      </c>
      <c r="F565" s="297">
        <v>1705.1242136125636</v>
      </c>
    </row>
    <row r="566" spans="2:6">
      <c r="B566" s="297">
        <v>584000</v>
      </c>
      <c r="C566" s="265">
        <v>1573.88</v>
      </c>
      <c r="D566" s="297">
        <v>1751.2992000000002</v>
      </c>
      <c r="E566" s="297">
        <v>3433.92</v>
      </c>
      <c r="F566" s="297">
        <v>1708.0489549738202</v>
      </c>
    </row>
    <row r="567" spans="2:6">
      <c r="B567" s="297">
        <v>585000</v>
      </c>
      <c r="C567" s="265">
        <v>1576.575</v>
      </c>
      <c r="D567" s="297">
        <v>1754.298</v>
      </c>
      <c r="E567" s="297">
        <v>3439.8000000000006</v>
      </c>
      <c r="F567" s="297">
        <v>1710.9736963350767</v>
      </c>
    </row>
    <row r="568" spans="2:6">
      <c r="B568" s="297">
        <v>586000</v>
      </c>
      <c r="C568" s="265">
        <v>1579.2700000000002</v>
      </c>
      <c r="D568" s="297">
        <v>1757.2968000000001</v>
      </c>
      <c r="E568" s="297">
        <v>3445.6800000000003</v>
      </c>
      <c r="F568" s="297">
        <v>1713.8984376963333</v>
      </c>
    </row>
    <row r="569" spans="2:6">
      <c r="B569" s="297">
        <v>587000</v>
      </c>
      <c r="C569" s="265">
        <v>1581.9650000000001</v>
      </c>
      <c r="D569" s="297">
        <v>1760.2956000000004</v>
      </c>
      <c r="E569" s="297">
        <v>3451.56</v>
      </c>
      <c r="F569" s="297">
        <v>1716.8231790575899</v>
      </c>
    </row>
    <row r="570" spans="2:6">
      <c r="B570" s="297">
        <v>588000</v>
      </c>
      <c r="C570" s="265">
        <v>1584.66</v>
      </c>
      <c r="D570" s="297">
        <v>1763.2944</v>
      </c>
      <c r="E570" s="297">
        <v>3457.4400000000005</v>
      </c>
      <c r="F570" s="297">
        <v>1719.7479204188464</v>
      </c>
    </row>
    <row r="571" spans="2:6">
      <c r="B571" s="297">
        <v>589000</v>
      </c>
      <c r="C571" s="265">
        <v>1587.3550000000002</v>
      </c>
      <c r="D571" s="297">
        <v>1766.2932000000001</v>
      </c>
      <c r="E571" s="297">
        <v>3463.32</v>
      </c>
      <c r="F571" s="297">
        <v>1722.672661780103</v>
      </c>
    </row>
    <row r="572" spans="2:6">
      <c r="B572" s="297">
        <v>590000</v>
      </c>
      <c r="C572" s="265">
        <v>1590.0500000000002</v>
      </c>
      <c r="D572" s="297">
        <v>1769.2920000000004</v>
      </c>
      <c r="E572" s="297">
        <v>3469.2000000000003</v>
      </c>
      <c r="F572" s="297">
        <v>1725.5974031413596</v>
      </c>
    </row>
    <row r="573" spans="2:6">
      <c r="B573" s="297">
        <v>591000</v>
      </c>
      <c r="C573" s="265">
        <v>1592.7450000000001</v>
      </c>
      <c r="D573" s="297">
        <v>1772.2908</v>
      </c>
      <c r="E573" s="297">
        <v>3475.0800000000004</v>
      </c>
      <c r="F573" s="297">
        <v>1728.5221445026161</v>
      </c>
    </row>
    <row r="574" spans="2:6">
      <c r="B574" s="297">
        <v>592000</v>
      </c>
      <c r="C574" s="265">
        <v>1595.4400000000003</v>
      </c>
      <c r="D574" s="297">
        <v>1775.2896000000003</v>
      </c>
      <c r="E574" s="297">
        <v>3480.9600000000005</v>
      </c>
      <c r="F574" s="297">
        <v>1731.4468858638727</v>
      </c>
    </row>
    <row r="575" spans="2:6">
      <c r="B575" s="297">
        <v>593000</v>
      </c>
      <c r="C575" s="265">
        <v>1598.1350000000002</v>
      </c>
      <c r="D575" s="297">
        <v>1778.2884000000001</v>
      </c>
      <c r="E575" s="297">
        <v>3486.84</v>
      </c>
      <c r="F575" s="297">
        <v>1734.3716272251293</v>
      </c>
    </row>
    <row r="576" spans="2:6">
      <c r="B576" s="297">
        <v>594000</v>
      </c>
      <c r="C576" s="265">
        <v>1600.8300000000002</v>
      </c>
      <c r="D576" s="297">
        <v>1781.2872</v>
      </c>
      <c r="E576" s="297">
        <v>3492.7200000000007</v>
      </c>
      <c r="F576" s="297">
        <v>1737.2963685863858</v>
      </c>
    </row>
    <row r="577" spans="2:6">
      <c r="B577" s="297">
        <v>595000</v>
      </c>
      <c r="C577" s="265">
        <v>1603.5250000000003</v>
      </c>
      <c r="D577" s="297">
        <v>1784.2860000000003</v>
      </c>
      <c r="E577" s="297">
        <v>3498.6000000000004</v>
      </c>
      <c r="F577" s="297">
        <v>1740.2211099476424</v>
      </c>
    </row>
    <row r="578" spans="2:6">
      <c r="B578" s="297">
        <v>596000</v>
      </c>
      <c r="C578" s="265">
        <v>1606.2200000000003</v>
      </c>
      <c r="D578" s="297">
        <v>1787.2848000000001</v>
      </c>
      <c r="E578" s="297">
        <v>3504.48</v>
      </c>
      <c r="F578" s="297">
        <v>1743.145851308899</v>
      </c>
    </row>
    <row r="579" spans="2:6">
      <c r="B579" s="297">
        <v>597000</v>
      </c>
      <c r="C579" s="265">
        <v>1608.9150000000002</v>
      </c>
      <c r="D579" s="297">
        <v>1790.2836000000004</v>
      </c>
      <c r="E579" s="297">
        <v>3510.3600000000006</v>
      </c>
      <c r="F579" s="297">
        <v>1746.0705926701555</v>
      </c>
    </row>
    <row r="580" spans="2:6">
      <c r="B580" s="297">
        <v>598000</v>
      </c>
      <c r="C580" s="265">
        <v>1611.6100000000004</v>
      </c>
      <c r="D580" s="297">
        <v>1793.2824000000003</v>
      </c>
      <c r="E580" s="297">
        <v>3516.2400000000002</v>
      </c>
      <c r="F580" s="297">
        <v>1748.9953340314121</v>
      </c>
    </row>
    <row r="581" spans="2:6">
      <c r="B581" s="297">
        <v>599000</v>
      </c>
      <c r="C581" s="265">
        <v>1614.3050000000003</v>
      </c>
      <c r="D581" s="297">
        <v>1796.2812000000001</v>
      </c>
      <c r="E581" s="297">
        <v>3522.1200000000003</v>
      </c>
      <c r="F581" s="297">
        <v>1751.9200753926687</v>
      </c>
    </row>
    <row r="582" spans="2:6">
      <c r="B582" s="297">
        <v>600000</v>
      </c>
      <c r="C582" s="265">
        <v>1617.0000000000002</v>
      </c>
      <c r="D582" s="297">
        <v>1799.28</v>
      </c>
      <c r="E582" s="297">
        <v>3528.0000000000005</v>
      </c>
      <c r="F582" s="297">
        <v>1754.8448167539252</v>
      </c>
    </row>
    <row r="583" spans="2:6">
      <c r="B583" s="297">
        <v>601000</v>
      </c>
      <c r="C583" s="265">
        <v>1619.6949999999999</v>
      </c>
      <c r="D583" s="297">
        <v>1802.2788000000003</v>
      </c>
      <c r="E583" s="297">
        <v>3533.8800000000006</v>
      </c>
      <c r="F583" s="297">
        <v>1757.7695581151818</v>
      </c>
    </row>
    <row r="584" spans="2:6">
      <c r="B584" s="297">
        <v>602000</v>
      </c>
      <c r="C584" s="265">
        <v>1622.39</v>
      </c>
      <c r="D584" s="297">
        <v>1805.2776000000003</v>
      </c>
      <c r="E584" s="297">
        <v>3539.76</v>
      </c>
      <c r="F584" s="297">
        <v>1760.6942994764383</v>
      </c>
    </row>
    <row r="585" spans="2:6">
      <c r="B585" s="297">
        <v>603000</v>
      </c>
      <c r="C585" s="265">
        <v>1625.085</v>
      </c>
      <c r="D585" s="297">
        <v>1808.2764</v>
      </c>
      <c r="E585" s="297">
        <v>3545.6400000000008</v>
      </c>
      <c r="F585" s="297">
        <v>1763.6190408376949</v>
      </c>
    </row>
    <row r="586" spans="2:6">
      <c r="B586" s="297">
        <v>604000</v>
      </c>
      <c r="C586" s="265">
        <v>1627.78</v>
      </c>
      <c r="D586" s="297">
        <v>1811.2751999999998</v>
      </c>
      <c r="E586" s="297">
        <v>3551.5200000000004</v>
      </c>
      <c r="F586" s="297">
        <v>1766.5437821989515</v>
      </c>
    </row>
    <row r="587" spans="2:6">
      <c r="B587" s="297">
        <v>605000</v>
      </c>
      <c r="C587" s="265">
        <v>1630.4750000000001</v>
      </c>
      <c r="D587" s="297">
        <v>1814.2740000000003</v>
      </c>
      <c r="E587" s="297">
        <v>3557.4</v>
      </c>
      <c r="F587" s="297">
        <v>1769.468523560208</v>
      </c>
    </row>
    <row r="588" spans="2:6">
      <c r="B588" s="297">
        <v>606000</v>
      </c>
      <c r="C588" s="265">
        <v>1633.17</v>
      </c>
      <c r="D588" s="297">
        <v>1817.2728</v>
      </c>
      <c r="E588" s="297">
        <v>3563.28</v>
      </c>
      <c r="F588" s="297">
        <v>1772.3932649214646</v>
      </c>
    </row>
    <row r="589" spans="2:6">
      <c r="B589" s="297">
        <v>607000</v>
      </c>
      <c r="C589" s="265">
        <v>1635.865</v>
      </c>
      <c r="D589" s="297">
        <v>1820.2716</v>
      </c>
      <c r="E589" s="297">
        <v>3569.1600000000003</v>
      </c>
      <c r="F589" s="297">
        <v>1775.3180062827212</v>
      </c>
    </row>
    <row r="590" spans="2:6">
      <c r="B590" s="297">
        <v>608000</v>
      </c>
      <c r="C590" s="265">
        <v>1638.5600000000002</v>
      </c>
      <c r="D590" s="297">
        <v>1823.2704000000003</v>
      </c>
      <c r="E590" s="297">
        <v>3575.0400000000004</v>
      </c>
      <c r="F590" s="297">
        <v>1778.2427476439775</v>
      </c>
    </row>
    <row r="591" spans="2:6">
      <c r="B591" s="297">
        <v>609000</v>
      </c>
      <c r="C591" s="265">
        <v>1641.2550000000001</v>
      </c>
      <c r="D591" s="297">
        <v>1826.2692</v>
      </c>
      <c r="E591" s="297">
        <v>3580.92</v>
      </c>
      <c r="F591" s="297">
        <v>1781.1674890052336</v>
      </c>
    </row>
    <row r="592" spans="2:6">
      <c r="B592" s="297">
        <v>610000</v>
      </c>
      <c r="C592" s="265">
        <v>1643.95</v>
      </c>
      <c r="D592" s="297">
        <v>1829.268</v>
      </c>
      <c r="E592" s="297">
        <v>3586.8000000000006</v>
      </c>
      <c r="F592" s="297">
        <v>1784.0922303664906</v>
      </c>
    </row>
    <row r="593" spans="2:6">
      <c r="B593" s="297">
        <v>611000</v>
      </c>
      <c r="C593" s="265">
        <v>1646.6450000000002</v>
      </c>
      <c r="D593" s="297">
        <v>1832.2668000000003</v>
      </c>
      <c r="E593" s="297">
        <v>3592.6800000000003</v>
      </c>
      <c r="F593" s="297">
        <v>1787.0169717277467</v>
      </c>
    </row>
    <row r="594" spans="2:6">
      <c r="B594" s="297">
        <v>612000</v>
      </c>
      <c r="C594" s="265">
        <v>1649.3400000000001</v>
      </c>
      <c r="D594" s="297">
        <v>1835.2656000000004</v>
      </c>
      <c r="E594" s="297">
        <v>3598.56</v>
      </c>
      <c r="F594" s="297">
        <v>1789.9417130890033</v>
      </c>
    </row>
    <row r="595" spans="2:6">
      <c r="B595" s="297">
        <v>613000</v>
      </c>
      <c r="C595" s="265">
        <v>1652.0350000000001</v>
      </c>
      <c r="D595" s="297">
        <v>1838.2644</v>
      </c>
      <c r="E595" s="297">
        <v>3604.4400000000005</v>
      </c>
      <c r="F595" s="297">
        <v>1792.8664544502599</v>
      </c>
    </row>
    <row r="596" spans="2:6">
      <c r="B596" s="297">
        <v>614000</v>
      </c>
      <c r="C596" s="265">
        <v>1654.7300000000002</v>
      </c>
      <c r="D596" s="297">
        <v>1841.2632000000001</v>
      </c>
      <c r="E596" s="297">
        <v>3610.32</v>
      </c>
      <c r="F596" s="297">
        <v>1795.7911958115164</v>
      </c>
    </row>
    <row r="597" spans="2:6">
      <c r="B597" s="297">
        <v>615000</v>
      </c>
      <c r="C597" s="265">
        <v>1657.4250000000002</v>
      </c>
      <c r="D597" s="297">
        <v>1844.2620000000004</v>
      </c>
      <c r="E597" s="297">
        <v>3616.2000000000003</v>
      </c>
      <c r="F597" s="297">
        <v>1798.715937172773</v>
      </c>
    </row>
    <row r="598" spans="2:6">
      <c r="B598" s="297">
        <v>616000</v>
      </c>
      <c r="C598" s="265">
        <v>1660.1200000000001</v>
      </c>
      <c r="D598" s="297">
        <v>1847.2608</v>
      </c>
      <c r="E598" s="297">
        <v>3622.0800000000004</v>
      </c>
      <c r="F598" s="297">
        <v>1801.6406785340296</v>
      </c>
    </row>
    <row r="599" spans="2:6">
      <c r="B599" s="297">
        <v>617000</v>
      </c>
      <c r="C599" s="265">
        <v>1662.8150000000003</v>
      </c>
      <c r="D599" s="297">
        <v>1850.2596000000003</v>
      </c>
      <c r="E599" s="297">
        <v>3627.9600000000005</v>
      </c>
      <c r="F599" s="297">
        <v>1804.5654198952861</v>
      </c>
    </row>
    <row r="600" spans="2:6">
      <c r="B600" s="297">
        <v>618000</v>
      </c>
      <c r="C600" s="265">
        <v>1665.5100000000002</v>
      </c>
      <c r="D600" s="297">
        <v>1853.2584000000004</v>
      </c>
      <c r="E600" s="297">
        <v>3633.84</v>
      </c>
      <c r="F600" s="297">
        <v>1807.4901612565427</v>
      </c>
    </row>
    <row r="601" spans="2:6">
      <c r="B601" s="297">
        <v>619000</v>
      </c>
      <c r="C601" s="265">
        <v>1668.2050000000002</v>
      </c>
      <c r="D601" s="297">
        <v>1856.2572</v>
      </c>
      <c r="E601" s="297">
        <v>3639.7200000000007</v>
      </c>
      <c r="F601" s="297">
        <v>1810.4149026177993</v>
      </c>
    </row>
    <row r="602" spans="2:6">
      <c r="B602" s="297">
        <v>620000</v>
      </c>
      <c r="C602" s="265">
        <v>1670.9000000000003</v>
      </c>
      <c r="D602" s="297">
        <v>1859.2560000000003</v>
      </c>
      <c r="E602" s="297">
        <v>3645.6000000000004</v>
      </c>
      <c r="F602" s="297">
        <v>1813.3396439790558</v>
      </c>
    </row>
    <row r="603" spans="2:6">
      <c r="B603" s="297">
        <v>621000</v>
      </c>
      <c r="C603" s="265">
        <v>1673.5950000000003</v>
      </c>
      <c r="D603" s="297">
        <v>1862.2547999999999</v>
      </c>
      <c r="E603" s="297">
        <v>3651.48</v>
      </c>
      <c r="F603" s="297">
        <v>1816.2643853403124</v>
      </c>
    </row>
    <row r="604" spans="2:6">
      <c r="B604" s="297">
        <v>622000</v>
      </c>
      <c r="C604" s="265">
        <v>1676.2900000000002</v>
      </c>
      <c r="D604" s="297">
        <v>1865.2536000000002</v>
      </c>
      <c r="E604" s="297">
        <v>3657.3600000000006</v>
      </c>
      <c r="F604" s="297">
        <v>1819.189126701569</v>
      </c>
    </row>
    <row r="605" spans="2:6">
      <c r="B605" s="297">
        <v>623000</v>
      </c>
      <c r="C605" s="265">
        <v>1678.9850000000004</v>
      </c>
      <c r="D605" s="297">
        <v>1868.2524000000003</v>
      </c>
      <c r="E605" s="297">
        <v>3663.2400000000002</v>
      </c>
      <c r="F605" s="297">
        <v>1822.1138680628255</v>
      </c>
    </row>
    <row r="606" spans="2:6">
      <c r="B606" s="297">
        <v>624000</v>
      </c>
      <c r="C606" s="265">
        <v>1681.6800000000003</v>
      </c>
      <c r="D606" s="297">
        <v>1871.2511999999999</v>
      </c>
      <c r="E606" s="297">
        <v>3669.1200000000003</v>
      </c>
      <c r="F606" s="297">
        <v>1825.0386094240821</v>
      </c>
    </row>
    <row r="607" spans="2:6">
      <c r="B607" s="297">
        <v>625000</v>
      </c>
      <c r="C607" s="265">
        <v>1684.3750000000002</v>
      </c>
      <c r="D607" s="297">
        <v>1874.2500000000002</v>
      </c>
      <c r="E607" s="297">
        <v>3675.0000000000005</v>
      </c>
      <c r="F607" s="297">
        <v>1827.9633507853387</v>
      </c>
    </row>
    <row r="608" spans="2:6">
      <c r="B608" s="297">
        <v>626000</v>
      </c>
      <c r="C608" s="265">
        <v>1687.07</v>
      </c>
      <c r="D608" s="297">
        <v>1877.2488000000003</v>
      </c>
      <c r="E608" s="297">
        <v>3680.8800000000006</v>
      </c>
      <c r="F608" s="297">
        <v>1830.8880921465952</v>
      </c>
    </row>
    <row r="609" spans="2:6">
      <c r="B609" s="297">
        <v>627000</v>
      </c>
      <c r="C609" s="265">
        <v>1689.7650000000001</v>
      </c>
      <c r="D609" s="297">
        <v>1880.2476000000004</v>
      </c>
      <c r="E609" s="297">
        <v>3686.76</v>
      </c>
      <c r="F609" s="297">
        <v>1833.8128335078518</v>
      </c>
    </row>
    <row r="610" spans="2:6">
      <c r="B610" s="297">
        <v>628000</v>
      </c>
      <c r="C610" s="265">
        <v>1692.46</v>
      </c>
      <c r="D610" s="297">
        <v>1883.2464</v>
      </c>
      <c r="E610" s="297">
        <v>3692.6400000000008</v>
      </c>
      <c r="F610" s="297">
        <v>1836.7375748691084</v>
      </c>
    </row>
    <row r="611" spans="2:6">
      <c r="B611" s="297">
        <v>629000</v>
      </c>
      <c r="C611" s="265">
        <v>1695.155</v>
      </c>
      <c r="D611" s="297">
        <v>1886.2452000000001</v>
      </c>
      <c r="E611" s="297">
        <v>3698.5200000000004</v>
      </c>
      <c r="F611" s="297">
        <v>1839.6623162303649</v>
      </c>
    </row>
    <row r="612" spans="2:6">
      <c r="B612" s="297">
        <v>630000</v>
      </c>
      <c r="C612" s="265">
        <v>1697.8500000000001</v>
      </c>
      <c r="D612" s="297">
        <v>1889.2440000000004</v>
      </c>
      <c r="E612" s="297">
        <v>3704.4</v>
      </c>
      <c r="F612" s="297">
        <v>1842.5870575916215</v>
      </c>
    </row>
    <row r="613" spans="2:6">
      <c r="B613" s="297">
        <v>631000</v>
      </c>
      <c r="C613" s="265">
        <v>1700.5450000000001</v>
      </c>
      <c r="D613" s="297">
        <v>1892.2428</v>
      </c>
      <c r="E613" s="297">
        <v>3710.2800000000007</v>
      </c>
      <c r="F613" s="297">
        <v>1845.5117989528781</v>
      </c>
    </row>
    <row r="614" spans="2:6">
      <c r="B614" s="297">
        <v>632000</v>
      </c>
      <c r="C614" s="265">
        <v>1703.24</v>
      </c>
      <c r="D614" s="297">
        <v>1895.2416000000003</v>
      </c>
      <c r="E614" s="297">
        <v>3716.1600000000003</v>
      </c>
      <c r="F614" s="297">
        <v>1848.4365403141346</v>
      </c>
    </row>
    <row r="615" spans="2:6">
      <c r="B615" s="297">
        <v>633000</v>
      </c>
      <c r="C615" s="265">
        <v>1705.9350000000002</v>
      </c>
      <c r="D615" s="297">
        <v>1898.2404000000004</v>
      </c>
      <c r="E615" s="297">
        <v>3722.0400000000004</v>
      </c>
      <c r="F615" s="297">
        <v>1851.3612816753912</v>
      </c>
    </row>
    <row r="616" spans="2:6">
      <c r="B616" s="297">
        <v>634000</v>
      </c>
      <c r="C616" s="265">
        <v>1708.63</v>
      </c>
      <c r="D616" s="297">
        <v>1901.2392</v>
      </c>
      <c r="E616" s="297">
        <v>3727.92</v>
      </c>
      <c r="F616" s="297">
        <v>1854.2860230366475</v>
      </c>
    </row>
    <row r="617" spans="2:6">
      <c r="B617" s="297">
        <v>635000</v>
      </c>
      <c r="C617" s="265">
        <v>1711.325</v>
      </c>
      <c r="D617" s="297">
        <v>1904.2380000000001</v>
      </c>
      <c r="E617" s="297">
        <v>3733.8000000000006</v>
      </c>
      <c r="F617" s="297">
        <v>1857.2107643979041</v>
      </c>
    </row>
    <row r="618" spans="2:6">
      <c r="B618" s="297">
        <v>636000</v>
      </c>
      <c r="C618" s="265">
        <v>1714.0200000000002</v>
      </c>
      <c r="D618" s="297">
        <v>1907.2368000000004</v>
      </c>
      <c r="E618" s="297">
        <v>3739.6800000000003</v>
      </c>
      <c r="F618" s="297">
        <v>1860.1355057591607</v>
      </c>
    </row>
    <row r="619" spans="2:6">
      <c r="B619" s="297">
        <v>637000</v>
      </c>
      <c r="C619" s="265">
        <v>1716.7150000000001</v>
      </c>
      <c r="D619" s="297">
        <v>1910.2356000000002</v>
      </c>
      <c r="E619" s="297">
        <v>3745.56</v>
      </c>
      <c r="F619" s="297">
        <v>1863.0602471204172</v>
      </c>
    </row>
    <row r="620" spans="2:6">
      <c r="B620" s="297">
        <v>638000</v>
      </c>
      <c r="C620" s="265">
        <v>1719.41</v>
      </c>
      <c r="D620" s="297">
        <v>1913.2344000000001</v>
      </c>
      <c r="E620" s="297">
        <v>3751.4400000000005</v>
      </c>
      <c r="F620" s="297">
        <v>1865.9849884816738</v>
      </c>
    </row>
    <row r="621" spans="2:6">
      <c r="B621" s="297">
        <v>639000</v>
      </c>
      <c r="C621" s="265">
        <v>1722.1050000000002</v>
      </c>
      <c r="D621" s="297">
        <v>1916.2332000000004</v>
      </c>
      <c r="E621" s="297">
        <v>3757.32</v>
      </c>
      <c r="F621" s="297">
        <v>1868.9097298429303</v>
      </c>
    </row>
    <row r="622" spans="2:6">
      <c r="B622" s="297">
        <v>640000</v>
      </c>
      <c r="C622" s="265">
        <v>1724.8000000000002</v>
      </c>
      <c r="D622" s="297">
        <v>1919.2320000000002</v>
      </c>
      <c r="E622" s="297">
        <v>3763.2000000000003</v>
      </c>
      <c r="F622" s="297">
        <v>1871.8344712041869</v>
      </c>
    </row>
    <row r="623" spans="2:6">
      <c r="B623" s="297">
        <v>641000</v>
      </c>
      <c r="C623" s="265">
        <v>1727.4950000000001</v>
      </c>
      <c r="D623" s="297">
        <v>1922.2308</v>
      </c>
      <c r="E623" s="297">
        <v>3769.0800000000004</v>
      </c>
      <c r="F623" s="297">
        <v>1874.7592125654435</v>
      </c>
    </row>
    <row r="624" spans="2:6">
      <c r="B624" s="297">
        <v>642000</v>
      </c>
      <c r="C624" s="265">
        <v>1730.1900000000003</v>
      </c>
      <c r="D624" s="297">
        <v>1925.2296000000006</v>
      </c>
      <c r="E624" s="297">
        <v>3774.9600000000005</v>
      </c>
      <c r="F624" s="297">
        <v>1877.6839539267</v>
      </c>
    </row>
    <row r="625" spans="2:6">
      <c r="B625" s="297">
        <v>643000</v>
      </c>
      <c r="C625" s="265">
        <v>1732.8850000000002</v>
      </c>
      <c r="D625" s="297">
        <v>1928.2284000000002</v>
      </c>
      <c r="E625" s="297">
        <v>3780.84</v>
      </c>
      <c r="F625" s="297">
        <v>1880.6086952879566</v>
      </c>
    </row>
    <row r="626" spans="2:6">
      <c r="B626" s="297">
        <v>644000</v>
      </c>
      <c r="C626" s="265">
        <v>1735.5800000000002</v>
      </c>
      <c r="D626" s="297">
        <v>1931.2272</v>
      </c>
      <c r="E626" s="297">
        <v>3786.7200000000007</v>
      </c>
      <c r="F626" s="297">
        <v>1883.5334366492132</v>
      </c>
    </row>
    <row r="627" spans="2:6">
      <c r="B627" s="297">
        <v>645000</v>
      </c>
      <c r="C627" s="265">
        <v>1738.2750000000003</v>
      </c>
      <c r="D627" s="297">
        <v>1934.2260000000003</v>
      </c>
      <c r="E627" s="297">
        <v>3792.6000000000004</v>
      </c>
      <c r="F627" s="297">
        <v>1886.4581780104697</v>
      </c>
    </row>
    <row r="628" spans="2:6">
      <c r="B628" s="297">
        <v>646000</v>
      </c>
      <c r="C628" s="265">
        <v>1740.9700000000003</v>
      </c>
      <c r="D628" s="297">
        <v>1937.2248000000002</v>
      </c>
      <c r="E628" s="297">
        <v>3798.48</v>
      </c>
      <c r="F628" s="297">
        <v>1889.3829193717258</v>
      </c>
    </row>
    <row r="629" spans="2:6">
      <c r="B629" s="297">
        <v>647000</v>
      </c>
      <c r="C629" s="265">
        <v>1743.6650000000002</v>
      </c>
      <c r="D629" s="297">
        <v>1940.2236000000003</v>
      </c>
      <c r="E629" s="297">
        <v>3804.3600000000006</v>
      </c>
      <c r="F629" s="297">
        <v>1892.3076607329829</v>
      </c>
    </row>
    <row r="630" spans="2:6">
      <c r="B630" s="297">
        <v>648000</v>
      </c>
      <c r="C630" s="265">
        <v>1746.3600000000004</v>
      </c>
      <c r="D630" s="297">
        <v>1943.2224000000003</v>
      </c>
      <c r="E630" s="297">
        <v>3810.2400000000002</v>
      </c>
      <c r="F630" s="297">
        <v>1895.232402094239</v>
      </c>
    </row>
    <row r="631" spans="2:6">
      <c r="B631" s="297">
        <v>649000</v>
      </c>
      <c r="C631" s="265">
        <v>1749.0550000000003</v>
      </c>
      <c r="D631" s="297">
        <v>1946.2212</v>
      </c>
      <c r="E631" s="297">
        <v>3816.1200000000003</v>
      </c>
      <c r="F631" s="297">
        <v>1898.1571434554955</v>
      </c>
    </row>
    <row r="632" spans="2:6">
      <c r="B632" s="297">
        <v>650000</v>
      </c>
      <c r="C632" s="265">
        <v>1751.7500000000002</v>
      </c>
      <c r="D632" s="297">
        <v>1949.2200000000003</v>
      </c>
      <c r="E632" s="297">
        <v>3822.0000000000005</v>
      </c>
      <c r="F632" s="297">
        <v>1901.0818848167521</v>
      </c>
    </row>
    <row r="633" spans="2:6">
      <c r="B633" s="297">
        <v>651000</v>
      </c>
      <c r="C633" s="265">
        <v>1754.4450000000004</v>
      </c>
      <c r="D633" s="297">
        <v>1952.2188000000003</v>
      </c>
      <c r="E633" s="297">
        <v>3827.8800000000006</v>
      </c>
      <c r="F633" s="297">
        <v>1904.0066261780087</v>
      </c>
    </row>
    <row r="634" spans="2:6">
      <c r="B634" s="297">
        <v>652000</v>
      </c>
      <c r="C634" s="265">
        <v>1757.14</v>
      </c>
      <c r="D634" s="297">
        <v>1955.2176000000002</v>
      </c>
      <c r="E634" s="297">
        <v>3833.76</v>
      </c>
      <c r="F634" s="297">
        <v>1906.9313675392652</v>
      </c>
    </row>
    <row r="635" spans="2:6">
      <c r="B635" s="297">
        <v>653000</v>
      </c>
      <c r="C635" s="265">
        <v>1759.835</v>
      </c>
      <c r="D635" s="297">
        <v>1958.2164000000002</v>
      </c>
      <c r="E635" s="297">
        <v>3839.6400000000008</v>
      </c>
      <c r="F635" s="297">
        <v>1909.8561089005218</v>
      </c>
    </row>
    <row r="636" spans="2:6">
      <c r="B636" s="297">
        <v>654000</v>
      </c>
      <c r="C636" s="265">
        <v>1762.53</v>
      </c>
      <c r="D636" s="297">
        <v>1961.2151999999999</v>
      </c>
      <c r="E636" s="297">
        <v>3845.5200000000004</v>
      </c>
      <c r="F636" s="297">
        <v>1912.7808502617784</v>
      </c>
    </row>
    <row r="637" spans="2:6">
      <c r="B637" s="297">
        <v>655000</v>
      </c>
      <c r="C637" s="265">
        <v>1765.2250000000001</v>
      </c>
      <c r="D637" s="297">
        <v>1964.2140000000002</v>
      </c>
      <c r="E637" s="297">
        <v>3851.4</v>
      </c>
      <c r="F637" s="297">
        <v>1915.7055916230349</v>
      </c>
    </row>
    <row r="638" spans="2:6">
      <c r="B638" s="297">
        <v>656000</v>
      </c>
      <c r="C638" s="265">
        <v>1767.92</v>
      </c>
      <c r="D638" s="297">
        <v>1967.2128</v>
      </c>
      <c r="E638" s="297">
        <v>3857.2800000000007</v>
      </c>
      <c r="F638" s="297">
        <v>1918.630332984292</v>
      </c>
    </row>
    <row r="639" spans="2:6">
      <c r="B639" s="297">
        <v>657000</v>
      </c>
      <c r="C639" s="265">
        <v>1770.615</v>
      </c>
      <c r="D639" s="297">
        <v>1970.2116000000003</v>
      </c>
      <c r="E639" s="297">
        <v>3863.1600000000003</v>
      </c>
      <c r="F639" s="297">
        <v>1921.5550743455481</v>
      </c>
    </row>
    <row r="640" spans="2:6">
      <c r="B640" s="297">
        <v>658000</v>
      </c>
      <c r="C640" s="265">
        <v>1773.3100000000002</v>
      </c>
      <c r="D640" s="297">
        <v>1973.2104000000002</v>
      </c>
      <c r="E640" s="297">
        <v>3869.0400000000004</v>
      </c>
      <c r="F640" s="297">
        <v>1924.4798157068046</v>
      </c>
    </row>
    <row r="641" spans="2:6">
      <c r="B641" s="297">
        <v>659000</v>
      </c>
      <c r="C641" s="265">
        <v>1776.0050000000001</v>
      </c>
      <c r="D641" s="297">
        <v>1976.2092</v>
      </c>
      <c r="E641" s="297">
        <v>3874.92</v>
      </c>
      <c r="F641" s="297">
        <v>1927.4045570680612</v>
      </c>
    </row>
    <row r="642" spans="2:6">
      <c r="B642" s="297">
        <v>660000</v>
      </c>
      <c r="C642" s="265">
        <v>1778.7</v>
      </c>
      <c r="D642" s="297">
        <v>1979.2080000000003</v>
      </c>
      <c r="E642" s="297">
        <v>3880.8000000000006</v>
      </c>
      <c r="F642" s="297">
        <v>1930.3292984293173</v>
      </c>
    </row>
    <row r="643" spans="2:6">
      <c r="B643" s="297">
        <v>661000</v>
      </c>
      <c r="C643" s="265">
        <v>1781.3950000000002</v>
      </c>
      <c r="D643" s="297">
        <v>1982.2068000000002</v>
      </c>
      <c r="E643" s="297">
        <v>3886.6800000000003</v>
      </c>
      <c r="F643" s="297">
        <v>1933.2540397905743</v>
      </c>
    </row>
    <row r="644" spans="2:6">
      <c r="B644" s="297">
        <v>662000</v>
      </c>
      <c r="C644" s="265">
        <v>1784.0900000000001</v>
      </c>
      <c r="D644" s="297">
        <v>1985.2056000000002</v>
      </c>
      <c r="E644" s="297">
        <v>3892.56</v>
      </c>
      <c r="F644" s="297">
        <v>1936.1787811518304</v>
      </c>
    </row>
    <row r="645" spans="2:6">
      <c r="B645" s="297">
        <v>663000</v>
      </c>
      <c r="C645" s="265">
        <v>1786.7850000000001</v>
      </c>
      <c r="D645" s="297">
        <v>1988.2043999999999</v>
      </c>
      <c r="E645" s="297">
        <v>3898.4400000000005</v>
      </c>
      <c r="F645" s="297">
        <v>1939.1035225130875</v>
      </c>
    </row>
    <row r="646" spans="2:6">
      <c r="B646" s="297">
        <v>664000</v>
      </c>
      <c r="C646" s="265">
        <v>1789.4800000000002</v>
      </c>
      <c r="D646" s="297">
        <v>1991.2032000000002</v>
      </c>
      <c r="E646" s="297">
        <v>3904.32</v>
      </c>
      <c r="F646" s="297">
        <v>1942.0282638743436</v>
      </c>
    </row>
    <row r="647" spans="2:6">
      <c r="B647" s="297">
        <v>665000</v>
      </c>
      <c r="C647" s="265">
        <v>1792.1750000000002</v>
      </c>
      <c r="D647" s="297">
        <v>1994.2020000000002</v>
      </c>
      <c r="E647" s="297">
        <v>3910.2000000000003</v>
      </c>
      <c r="F647" s="297">
        <v>1944.9530052356001</v>
      </c>
    </row>
    <row r="648" spans="2:6">
      <c r="B648" s="297">
        <v>666000</v>
      </c>
      <c r="C648" s="265">
        <v>1794.8700000000001</v>
      </c>
      <c r="D648" s="297">
        <v>1997.2007999999998</v>
      </c>
      <c r="E648" s="297">
        <v>3916.0800000000004</v>
      </c>
      <c r="F648" s="297">
        <v>1947.8777465968567</v>
      </c>
    </row>
    <row r="649" spans="2:6">
      <c r="B649" s="297">
        <v>667000</v>
      </c>
      <c r="C649" s="265">
        <v>1797.5650000000003</v>
      </c>
      <c r="D649" s="297">
        <v>2000.1996000000006</v>
      </c>
      <c r="E649" s="297">
        <v>3921.9600000000005</v>
      </c>
      <c r="F649" s="297">
        <v>1950.8024879581133</v>
      </c>
    </row>
    <row r="650" spans="2:6">
      <c r="B650" s="297">
        <v>668000</v>
      </c>
      <c r="C650" s="265">
        <v>1800.2600000000002</v>
      </c>
      <c r="D650" s="297">
        <v>2003.1984000000002</v>
      </c>
      <c r="E650" s="297">
        <v>3927.84</v>
      </c>
      <c r="F650" s="297">
        <v>1953.7272293193694</v>
      </c>
    </row>
    <row r="651" spans="2:6">
      <c r="B651" s="297">
        <v>669000</v>
      </c>
      <c r="C651" s="265">
        <v>1802.9550000000002</v>
      </c>
      <c r="D651" s="297">
        <v>2006.1971999999998</v>
      </c>
      <c r="E651" s="297">
        <v>3933.7200000000007</v>
      </c>
      <c r="F651" s="297">
        <v>1956.6519706806264</v>
      </c>
    </row>
    <row r="652" spans="2:6">
      <c r="B652" s="297">
        <v>670000</v>
      </c>
      <c r="C652" s="265">
        <v>1805.6500000000003</v>
      </c>
      <c r="D652" s="297">
        <v>2009.1960000000006</v>
      </c>
      <c r="E652" s="297">
        <v>3939.6000000000004</v>
      </c>
      <c r="F652" s="297">
        <v>1959.5767120418825</v>
      </c>
    </row>
    <row r="653" spans="2:6">
      <c r="B653" s="297">
        <v>671000</v>
      </c>
      <c r="C653" s="265">
        <v>1808.3450000000003</v>
      </c>
      <c r="D653" s="297">
        <v>2012.1948000000002</v>
      </c>
      <c r="E653" s="297">
        <v>3945.48</v>
      </c>
      <c r="F653" s="297">
        <v>1962.5014534031395</v>
      </c>
    </row>
    <row r="654" spans="2:6">
      <c r="B654" s="297">
        <v>672000</v>
      </c>
      <c r="C654" s="265">
        <v>1811.0400000000002</v>
      </c>
      <c r="D654" s="297">
        <v>2015.1936000000003</v>
      </c>
      <c r="E654" s="297">
        <v>3951.3600000000006</v>
      </c>
      <c r="F654" s="297">
        <v>1965.4261947643956</v>
      </c>
    </row>
    <row r="655" spans="2:6">
      <c r="B655" s="297">
        <v>673000</v>
      </c>
      <c r="C655" s="265">
        <v>1813.7350000000004</v>
      </c>
      <c r="D655" s="297">
        <v>2018.1924000000001</v>
      </c>
      <c r="E655" s="297">
        <v>3957.2400000000002</v>
      </c>
      <c r="F655" s="297">
        <v>1968.3509361256527</v>
      </c>
    </row>
    <row r="656" spans="2:6">
      <c r="B656" s="297">
        <v>674000</v>
      </c>
      <c r="C656" s="265">
        <v>1816.4300000000003</v>
      </c>
      <c r="D656" s="297">
        <v>2021.1912000000002</v>
      </c>
      <c r="E656" s="297">
        <v>3963.1200000000003</v>
      </c>
      <c r="F656" s="297">
        <v>1971.2756774869092</v>
      </c>
    </row>
    <row r="657" spans="2:6">
      <c r="B657" s="297">
        <v>675000</v>
      </c>
      <c r="C657" s="265">
        <v>1819.1250000000002</v>
      </c>
      <c r="D657" s="297">
        <v>2024.1900000000003</v>
      </c>
      <c r="E657" s="297">
        <v>3969.0000000000005</v>
      </c>
      <c r="F657" s="297">
        <v>1974.2004188481658</v>
      </c>
    </row>
    <row r="658" spans="2:6">
      <c r="B658" s="297">
        <v>676000</v>
      </c>
      <c r="C658" s="265">
        <v>1821.8200000000004</v>
      </c>
      <c r="D658" s="297">
        <v>2027.1888000000001</v>
      </c>
      <c r="E658" s="297">
        <v>3974.8800000000006</v>
      </c>
      <c r="F658" s="297">
        <v>1977.1251602094223</v>
      </c>
    </row>
    <row r="659" spans="2:6">
      <c r="B659" s="297">
        <v>677000</v>
      </c>
      <c r="C659" s="265">
        <v>1824.5150000000001</v>
      </c>
      <c r="D659" s="297">
        <v>2030.1876000000004</v>
      </c>
      <c r="E659" s="297">
        <v>3980.76</v>
      </c>
      <c r="F659" s="297">
        <v>1980.0499015706785</v>
      </c>
    </row>
    <row r="660" spans="2:6">
      <c r="B660" s="297">
        <v>678000</v>
      </c>
      <c r="C660" s="265">
        <v>1827.21</v>
      </c>
      <c r="D660" s="297">
        <v>2033.1864000000003</v>
      </c>
      <c r="E660" s="297">
        <v>3986.6400000000008</v>
      </c>
      <c r="F660" s="297">
        <v>1982.9746429319355</v>
      </c>
    </row>
    <row r="661" spans="2:6">
      <c r="B661" s="297">
        <v>679000</v>
      </c>
      <c r="C661" s="265">
        <v>1829.905</v>
      </c>
      <c r="D661" s="297">
        <v>2036.1852000000001</v>
      </c>
      <c r="E661" s="297">
        <v>3992.5200000000004</v>
      </c>
      <c r="F661" s="297">
        <v>1985.8993842931916</v>
      </c>
    </row>
    <row r="662" spans="2:6">
      <c r="B662" s="297">
        <v>680000</v>
      </c>
      <c r="C662" s="265">
        <v>1832.6000000000001</v>
      </c>
      <c r="D662" s="297">
        <v>2039.1840000000002</v>
      </c>
      <c r="E662" s="297">
        <v>3998.4</v>
      </c>
      <c r="F662" s="297">
        <v>1988.8241256544486</v>
      </c>
    </row>
    <row r="663" spans="2:6">
      <c r="B663" s="297">
        <v>681000</v>
      </c>
      <c r="C663" s="265">
        <v>1835.2950000000001</v>
      </c>
      <c r="D663" s="297">
        <v>2042.1828000000003</v>
      </c>
      <c r="E663" s="297">
        <v>4004.2800000000007</v>
      </c>
      <c r="F663" s="297">
        <v>1991.7488670157047</v>
      </c>
    </row>
    <row r="664" spans="2:6">
      <c r="B664" s="297">
        <v>682000</v>
      </c>
      <c r="C664" s="265">
        <v>1837.99</v>
      </c>
      <c r="D664" s="297">
        <v>2045.1816000000006</v>
      </c>
      <c r="E664" s="297">
        <v>4010.1600000000003</v>
      </c>
      <c r="F664" s="297">
        <v>1994.6736083769617</v>
      </c>
    </row>
    <row r="665" spans="2:6">
      <c r="B665" s="297">
        <v>683000</v>
      </c>
      <c r="C665" s="265">
        <v>1840.6850000000002</v>
      </c>
      <c r="D665" s="297">
        <v>2048.1804000000002</v>
      </c>
      <c r="E665" s="297">
        <v>4016.0400000000004</v>
      </c>
      <c r="F665" s="297">
        <v>1997.5983497382183</v>
      </c>
    </row>
    <row r="666" spans="2:6">
      <c r="B666" s="297">
        <v>684000</v>
      </c>
      <c r="C666" s="265">
        <v>1843.38</v>
      </c>
      <c r="D666" s="297">
        <v>2051.1792</v>
      </c>
      <c r="E666" s="297">
        <v>4021.9200000000005</v>
      </c>
      <c r="F666" s="297">
        <v>2000.5230910994749</v>
      </c>
    </row>
    <row r="667" spans="2:6">
      <c r="B667" s="297">
        <v>685000</v>
      </c>
      <c r="C667" s="265">
        <v>1846.075</v>
      </c>
      <c r="D667" s="297">
        <v>2054.1780000000003</v>
      </c>
      <c r="E667" s="297">
        <v>4027.8000000000006</v>
      </c>
      <c r="F667" s="297">
        <v>2003.4478324607312</v>
      </c>
    </row>
    <row r="668" spans="2:6">
      <c r="B668" s="297">
        <v>686000</v>
      </c>
      <c r="C668" s="265">
        <v>1848.7700000000002</v>
      </c>
      <c r="D668" s="297">
        <v>2057.1768000000002</v>
      </c>
      <c r="E668" s="297">
        <v>4033.6800000000003</v>
      </c>
      <c r="F668" s="297">
        <v>2006.3725738219873</v>
      </c>
    </row>
    <row r="669" spans="2:6">
      <c r="B669" s="297">
        <v>687000</v>
      </c>
      <c r="C669" s="265">
        <v>1851.4650000000001</v>
      </c>
      <c r="D669" s="297">
        <v>2060.1756</v>
      </c>
      <c r="E669" s="297">
        <v>4039.56</v>
      </c>
      <c r="F669" s="297">
        <v>2009.2973151832443</v>
      </c>
    </row>
    <row r="670" spans="2:6">
      <c r="B670" s="297">
        <v>688000</v>
      </c>
      <c r="C670" s="265">
        <v>1854.16</v>
      </c>
      <c r="D670" s="297">
        <v>2063.1744000000003</v>
      </c>
      <c r="E670" s="297">
        <v>4045.4400000000005</v>
      </c>
      <c r="F670" s="297">
        <v>2012.2220565445004</v>
      </c>
    </row>
    <row r="671" spans="2:6">
      <c r="B671" s="297">
        <v>689000</v>
      </c>
      <c r="C671" s="265">
        <v>1856.8550000000002</v>
      </c>
      <c r="D671" s="297">
        <v>2066.1732000000002</v>
      </c>
      <c r="E671" s="297">
        <v>4051.32</v>
      </c>
      <c r="F671" s="297">
        <v>2015.1467979057575</v>
      </c>
    </row>
    <row r="672" spans="2:6">
      <c r="B672" s="297">
        <v>690000</v>
      </c>
      <c r="C672" s="265">
        <v>1859.5500000000002</v>
      </c>
      <c r="D672" s="297">
        <v>2069.172</v>
      </c>
      <c r="E672" s="297">
        <v>4057.2000000000003</v>
      </c>
      <c r="F672" s="297">
        <v>2018.071539267014</v>
      </c>
    </row>
    <row r="673" spans="2:6">
      <c r="B673" s="297">
        <v>691000</v>
      </c>
      <c r="C673" s="265">
        <v>1862.2450000000001</v>
      </c>
      <c r="D673" s="297">
        <v>2072.1707999999999</v>
      </c>
      <c r="E673" s="297">
        <v>4063.0800000000004</v>
      </c>
      <c r="F673" s="297">
        <v>2020.9962806282706</v>
      </c>
    </row>
    <row r="674" spans="2:6">
      <c r="B674" s="297">
        <v>692000</v>
      </c>
      <c r="C674" s="265">
        <v>1864.9400000000003</v>
      </c>
      <c r="D674" s="297">
        <v>2075.1696000000006</v>
      </c>
      <c r="E674" s="297">
        <v>4068.9600000000005</v>
      </c>
      <c r="F674" s="297">
        <v>2023.9210219895272</v>
      </c>
    </row>
    <row r="675" spans="2:6">
      <c r="B675" s="297">
        <v>693000</v>
      </c>
      <c r="C675" s="265">
        <v>1867.6350000000002</v>
      </c>
      <c r="D675" s="297">
        <v>2078.1684</v>
      </c>
      <c r="E675" s="297">
        <v>4074.84</v>
      </c>
      <c r="F675" s="297">
        <v>2026.8457633507833</v>
      </c>
    </row>
    <row r="676" spans="2:6">
      <c r="B676" s="297">
        <v>694000</v>
      </c>
      <c r="C676" s="265">
        <v>1870.3300000000002</v>
      </c>
      <c r="D676" s="297">
        <v>2081.1671999999999</v>
      </c>
      <c r="E676" s="297">
        <v>4080.7200000000007</v>
      </c>
      <c r="F676" s="297">
        <v>2029.7705047120403</v>
      </c>
    </row>
    <row r="677" spans="2:6">
      <c r="B677" s="297">
        <v>695000</v>
      </c>
      <c r="C677" s="265">
        <v>1873.0250000000003</v>
      </c>
      <c r="D677" s="297">
        <v>2084.1660000000006</v>
      </c>
      <c r="E677" s="297">
        <v>4086.6000000000004</v>
      </c>
      <c r="F677" s="297">
        <v>2032.6952460732964</v>
      </c>
    </row>
    <row r="678" spans="2:6">
      <c r="B678" s="297">
        <v>696000</v>
      </c>
      <c r="C678" s="265">
        <v>1875.7200000000003</v>
      </c>
      <c r="D678" s="297">
        <v>2087.1648</v>
      </c>
      <c r="E678" s="297">
        <v>4092.48</v>
      </c>
      <c r="F678" s="297">
        <v>2035.6199874345534</v>
      </c>
    </row>
    <row r="679" spans="2:6">
      <c r="B679" s="297">
        <v>697000</v>
      </c>
      <c r="C679" s="265">
        <v>1878.4150000000002</v>
      </c>
      <c r="D679" s="297">
        <v>2090.1636000000003</v>
      </c>
      <c r="E679" s="297">
        <v>4098.3600000000006</v>
      </c>
      <c r="F679" s="297">
        <v>2038.5447287958095</v>
      </c>
    </row>
    <row r="680" spans="2:6">
      <c r="B680" s="297">
        <v>698000</v>
      </c>
      <c r="C680" s="265">
        <v>1881.1100000000004</v>
      </c>
      <c r="D680" s="297">
        <v>2093.1624000000006</v>
      </c>
      <c r="E680" s="297">
        <v>4104.2400000000007</v>
      </c>
      <c r="F680" s="297">
        <v>2041.4694701570661</v>
      </c>
    </row>
    <row r="681" spans="2:6">
      <c r="B681" s="297">
        <v>699000</v>
      </c>
      <c r="C681" s="265">
        <v>1883.8050000000003</v>
      </c>
      <c r="D681" s="297">
        <v>2096.1612</v>
      </c>
      <c r="E681" s="297">
        <v>4110.12</v>
      </c>
      <c r="F681" s="297">
        <v>2044.3942115183227</v>
      </c>
    </row>
    <row r="682" spans="2:6">
      <c r="B682" s="297">
        <v>700000</v>
      </c>
      <c r="C682" s="265">
        <v>1886.5000000000002</v>
      </c>
      <c r="D682" s="297">
        <v>2099.1600000000003</v>
      </c>
      <c r="E682" s="297">
        <v>4116.0000000000009</v>
      </c>
      <c r="F682" s="297">
        <v>2047.3189528795792</v>
      </c>
    </row>
    <row r="683" spans="2:6">
      <c r="B683" s="297">
        <v>701000</v>
      </c>
      <c r="C683" s="265">
        <v>1889.1950000000004</v>
      </c>
      <c r="D683" s="297">
        <v>2102.1588000000002</v>
      </c>
      <c r="E683" s="297">
        <v>4121.88</v>
      </c>
      <c r="F683" s="297">
        <v>2050.2436942408358</v>
      </c>
    </row>
    <row r="684" spans="2:6">
      <c r="B684" s="297">
        <v>702000</v>
      </c>
      <c r="C684" s="265">
        <v>1891.8900000000003</v>
      </c>
      <c r="D684" s="297">
        <v>2105.1576000000005</v>
      </c>
      <c r="E684" s="297">
        <v>4127.76</v>
      </c>
      <c r="F684" s="297">
        <v>2053.1684356020924</v>
      </c>
    </row>
    <row r="685" spans="2:6">
      <c r="B685" s="297">
        <v>703000</v>
      </c>
      <c r="C685" s="265">
        <v>1894.585</v>
      </c>
      <c r="D685" s="297">
        <v>2108.1564000000003</v>
      </c>
      <c r="E685" s="297">
        <v>4133.6400000000003</v>
      </c>
      <c r="F685" s="297">
        <v>2056.0931769633489</v>
      </c>
    </row>
    <row r="686" spans="2:6">
      <c r="B686" s="297">
        <v>704000</v>
      </c>
      <c r="C686" s="265">
        <v>1897.28</v>
      </c>
      <c r="D686" s="297">
        <v>2111.1552000000001</v>
      </c>
      <c r="E686" s="297">
        <v>4139.5200000000004</v>
      </c>
      <c r="F686" s="297">
        <v>2059.0179183246055</v>
      </c>
    </row>
    <row r="687" spans="2:6">
      <c r="B687" s="297">
        <v>705000</v>
      </c>
      <c r="C687" s="265">
        <v>1899.9750000000001</v>
      </c>
      <c r="D687" s="297">
        <v>2114.1540000000005</v>
      </c>
      <c r="E687" s="297">
        <v>4145.4000000000005</v>
      </c>
      <c r="F687" s="297">
        <v>2061.9426596858621</v>
      </c>
    </row>
    <row r="688" spans="2:6">
      <c r="B688" s="297">
        <v>706000</v>
      </c>
      <c r="C688" s="265">
        <v>1902.67</v>
      </c>
      <c r="D688" s="297">
        <v>2117.1528000000003</v>
      </c>
      <c r="E688" s="297">
        <v>4151.2800000000007</v>
      </c>
      <c r="F688" s="297">
        <v>2064.8674010471186</v>
      </c>
    </row>
    <row r="689" spans="2:6">
      <c r="B689" s="297">
        <v>707000</v>
      </c>
      <c r="C689" s="265">
        <v>1905.365</v>
      </c>
      <c r="D689" s="297">
        <v>2120.1516000000006</v>
      </c>
      <c r="E689" s="297">
        <v>4157.1600000000008</v>
      </c>
      <c r="F689" s="297">
        <v>2067.7921424083752</v>
      </c>
    </row>
    <row r="690" spans="2:6">
      <c r="B690" s="297">
        <v>708000</v>
      </c>
      <c r="C690" s="265">
        <v>1908.0600000000002</v>
      </c>
      <c r="D690" s="297">
        <v>2123.1504</v>
      </c>
      <c r="E690" s="297">
        <v>4163.04</v>
      </c>
      <c r="F690" s="297">
        <v>2070.7168837696317</v>
      </c>
    </row>
    <row r="691" spans="2:6">
      <c r="B691" s="297">
        <v>709000</v>
      </c>
      <c r="C691" s="265">
        <v>1910.7550000000001</v>
      </c>
      <c r="D691" s="297">
        <v>2126.1492000000003</v>
      </c>
      <c r="E691" s="297">
        <v>4168.920000000001</v>
      </c>
      <c r="F691" s="297">
        <v>2073.6416251308883</v>
      </c>
    </row>
    <row r="692" spans="2:6">
      <c r="B692" s="297">
        <v>710000</v>
      </c>
      <c r="C692" s="265">
        <v>1913.45</v>
      </c>
      <c r="D692" s="297">
        <v>2129.1480000000001</v>
      </c>
      <c r="E692" s="297">
        <v>4174.8</v>
      </c>
      <c r="F692" s="297">
        <v>2076.5663664921449</v>
      </c>
    </row>
    <row r="693" spans="2:6">
      <c r="B693" s="297">
        <v>711000</v>
      </c>
      <c r="C693" s="265">
        <v>1916.1450000000002</v>
      </c>
      <c r="D693" s="297">
        <v>2132.1468</v>
      </c>
      <c r="E693" s="297">
        <v>4180.68</v>
      </c>
      <c r="F693" s="297">
        <v>2079.4911078534014</v>
      </c>
    </row>
    <row r="694" spans="2:6">
      <c r="B694" s="297">
        <v>712000</v>
      </c>
      <c r="C694" s="265">
        <v>1918.8400000000001</v>
      </c>
      <c r="D694" s="297">
        <v>2135.1456000000003</v>
      </c>
      <c r="E694" s="297">
        <v>4186.5600000000004</v>
      </c>
      <c r="F694" s="297">
        <v>2082.415849214658</v>
      </c>
    </row>
    <row r="695" spans="2:6">
      <c r="B695" s="297">
        <v>713000</v>
      </c>
      <c r="C695" s="265">
        <v>1921.5350000000001</v>
      </c>
      <c r="D695" s="297">
        <v>2138.1444000000001</v>
      </c>
      <c r="E695" s="297">
        <v>4192.4400000000005</v>
      </c>
      <c r="F695" s="297">
        <v>2085.3405905759146</v>
      </c>
    </row>
    <row r="696" spans="2:6">
      <c r="B696" s="297">
        <v>714000</v>
      </c>
      <c r="C696" s="265">
        <v>1924.2300000000002</v>
      </c>
      <c r="D696" s="297">
        <v>2141.1432</v>
      </c>
      <c r="E696" s="297">
        <v>4198.3200000000006</v>
      </c>
      <c r="F696" s="297">
        <v>2088.2653319371711</v>
      </c>
    </row>
    <row r="697" spans="2:6">
      <c r="B697" s="297">
        <v>715000</v>
      </c>
      <c r="C697" s="265">
        <v>1926.9250000000002</v>
      </c>
      <c r="D697" s="297">
        <v>2144.1420000000003</v>
      </c>
      <c r="E697" s="297">
        <v>4204.2</v>
      </c>
      <c r="F697" s="297">
        <v>2091.1900732984277</v>
      </c>
    </row>
    <row r="698" spans="2:6">
      <c r="B698" s="297">
        <v>716000</v>
      </c>
      <c r="C698" s="265">
        <v>1929.6200000000001</v>
      </c>
      <c r="D698" s="297">
        <v>2147.1408000000001</v>
      </c>
      <c r="E698" s="297">
        <v>4210.0800000000008</v>
      </c>
      <c r="F698" s="297">
        <v>2094.1148146596843</v>
      </c>
    </row>
    <row r="699" spans="2:6">
      <c r="B699" s="297">
        <v>717000</v>
      </c>
      <c r="C699" s="265">
        <v>1932.3150000000003</v>
      </c>
      <c r="D699" s="297">
        <v>2150.1396000000004</v>
      </c>
      <c r="E699" s="297">
        <v>4215.96</v>
      </c>
      <c r="F699" s="297">
        <v>2097.0395560209408</v>
      </c>
    </row>
    <row r="700" spans="2:6">
      <c r="B700" s="297">
        <v>718000</v>
      </c>
      <c r="C700" s="265">
        <v>1935.0100000000002</v>
      </c>
      <c r="D700" s="297">
        <v>2153.1384000000003</v>
      </c>
      <c r="E700" s="297">
        <v>4221.84</v>
      </c>
      <c r="F700" s="297">
        <v>2099.9642973821974</v>
      </c>
    </row>
    <row r="701" spans="2:6">
      <c r="B701" s="297">
        <v>719000</v>
      </c>
      <c r="C701" s="265">
        <v>1937.7050000000002</v>
      </c>
      <c r="D701" s="297">
        <v>2156.1372000000001</v>
      </c>
      <c r="E701" s="297">
        <v>4227.72</v>
      </c>
      <c r="F701" s="297">
        <v>2102.889038743454</v>
      </c>
    </row>
    <row r="702" spans="2:6">
      <c r="B702" s="297">
        <v>720000</v>
      </c>
      <c r="C702" s="265">
        <v>1940.4000000000003</v>
      </c>
      <c r="D702" s="297">
        <v>2159.1360000000004</v>
      </c>
      <c r="E702" s="297">
        <v>4233.6000000000004</v>
      </c>
      <c r="F702" s="297">
        <v>2105.8137801047105</v>
      </c>
    </row>
    <row r="703" spans="2:6">
      <c r="B703" s="297">
        <v>721000</v>
      </c>
      <c r="C703" s="265">
        <v>1943.0950000000003</v>
      </c>
      <c r="D703" s="297">
        <v>2162.1348000000003</v>
      </c>
      <c r="E703" s="297">
        <v>4239.4800000000005</v>
      </c>
      <c r="F703" s="297">
        <v>2108.7385214659671</v>
      </c>
    </row>
    <row r="704" spans="2:6">
      <c r="B704" s="297">
        <v>722000</v>
      </c>
      <c r="C704" s="265">
        <v>1945.7900000000002</v>
      </c>
      <c r="D704" s="297">
        <v>2165.1336000000001</v>
      </c>
      <c r="E704" s="297">
        <v>4245.3600000000006</v>
      </c>
      <c r="F704" s="297">
        <v>2111.6632628272237</v>
      </c>
    </row>
    <row r="705" spans="2:6">
      <c r="B705" s="297">
        <v>723000</v>
      </c>
      <c r="C705" s="265">
        <v>1948.4850000000004</v>
      </c>
      <c r="D705" s="297">
        <v>2168.1324000000004</v>
      </c>
      <c r="E705" s="297">
        <v>4251.2400000000007</v>
      </c>
      <c r="F705" s="297">
        <v>2114.5880041884802</v>
      </c>
    </row>
    <row r="706" spans="2:6">
      <c r="B706" s="297">
        <v>724000</v>
      </c>
      <c r="C706" s="265">
        <v>1951.1800000000003</v>
      </c>
      <c r="D706" s="297">
        <v>2171.1312000000003</v>
      </c>
      <c r="E706" s="297">
        <v>4257.12</v>
      </c>
      <c r="F706" s="297">
        <v>2117.5127455497368</v>
      </c>
    </row>
    <row r="707" spans="2:6">
      <c r="B707" s="297">
        <v>725000</v>
      </c>
      <c r="C707" s="265">
        <v>1953.8750000000002</v>
      </c>
      <c r="D707" s="297">
        <v>2174.13</v>
      </c>
      <c r="E707" s="297">
        <v>4263.0000000000009</v>
      </c>
      <c r="F707" s="297">
        <v>2120.4374869109934</v>
      </c>
    </row>
    <row r="708" spans="2:6">
      <c r="B708" s="297">
        <v>726000</v>
      </c>
      <c r="C708" s="265">
        <v>1956.5700000000004</v>
      </c>
      <c r="D708" s="297">
        <v>2177.1288000000004</v>
      </c>
      <c r="E708" s="297">
        <v>4268.88</v>
      </c>
      <c r="F708" s="297">
        <v>2123.3622282722499</v>
      </c>
    </row>
    <row r="709" spans="2:6">
      <c r="B709" s="297">
        <v>727000</v>
      </c>
      <c r="C709" s="265">
        <v>1959.2650000000003</v>
      </c>
      <c r="D709" s="297">
        <v>2180.1276000000003</v>
      </c>
      <c r="E709" s="297">
        <v>4274.76</v>
      </c>
      <c r="F709" s="297">
        <v>2126.2869696335065</v>
      </c>
    </row>
    <row r="710" spans="2:6">
      <c r="B710" s="297">
        <v>728000</v>
      </c>
      <c r="C710" s="265">
        <v>1961.96</v>
      </c>
      <c r="D710" s="297">
        <v>2183.1264000000001</v>
      </c>
      <c r="E710" s="297">
        <v>4280.6400000000003</v>
      </c>
      <c r="F710" s="297">
        <v>2129.2117109947631</v>
      </c>
    </row>
    <row r="711" spans="2:6">
      <c r="B711" s="297">
        <v>729000</v>
      </c>
      <c r="C711" s="265">
        <v>1964.655</v>
      </c>
      <c r="D711" s="297">
        <v>2186.1251999999999</v>
      </c>
      <c r="E711" s="297">
        <v>4286.5200000000004</v>
      </c>
      <c r="F711" s="297">
        <v>2132.1364523560196</v>
      </c>
    </row>
    <row r="712" spans="2:6">
      <c r="B712" s="297">
        <v>730000</v>
      </c>
      <c r="C712" s="265">
        <v>1967.3500000000001</v>
      </c>
      <c r="D712" s="297">
        <v>2189.1240000000003</v>
      </c>
      <c r="E712" s="297">
        <v>4292.4000000000005</v>
      </c>
      <c r="F712" s="297">
        <v>2135.0611937172762</v>
      </c>
    </row>
    <row r="713" spans="2:6">
      <c r="B713" s="297">
        <v>731000</v>
      </c>
      <c r="C713" s="265">
        <v>1970.0450000000001</v>
      </c>
      <c r="D713" s="297">
        <v>2192.1228000000001</v>
      </c>
      <c r="E713" s="297">
        <v>4298.2800000000007</v>
      </c>
      <c r="F713" s="297">
        <v>2137.9859350785327</v>
      </c>
    </row>
    <row r="714" spans="2:6">
      <c r="B714" s="297">
        <v>732000</v>
      </c>
      <c r="C714" s="265">
        <v>1972.74</v>
      </c>
      <c r="D714" s="297">
        <v>2195.1216000000004</v>
      </c>
      <c r="E714" s="297">
        <v>4304.1600000000008</v>
      </c>
      <c r="F714" s="297">
        <v>2140.9106764397893</v>
      </c>
    </row>
    <row r="715" spans="2:6">
      <c r="B715" s="297">
        <v>733000</v>
      </c>
      <c r="C715" s="265">
        <v>1975.4350000000002</v>
      </c>
      <c r="D715" s="297">
        <v>2198.1204000000002</v>
      </c>
      <c r="E715" s="297">
        <v>4310.04</v>
      </c>
      <c r="F715" s="297">
        <v>2143.8354178010459</v>
      </c>
    </row>
    <row r="716" spans="2:6">
      <c r="B716" s="297">
        <v>734000</v>
      </c>
      <c r="C716" s="265">
        <v>1978.13</v>
      </c>
      <c r="D716" s="297">
        <v>2201.1192000000001</v>
      </c>
      <c r="E716" s="297">
        <v>4315.920000000001</v>
      </c>
      <c r="F716" s="297">
        <v>2146.7601591623024</v>
      </c>
    </row>
    <row r="717" spans="2:6">
      <c r="B717" s="297">
        <v>735000</v>
      </c>
      <c r="C717" s="265">
        <v>1980.825</v>
      </c>
      <c r="D717" s="297">
        <v>2204.1179999999999</v>
      </c>
      <c r="E717" s="297">
        <v>4321.8</v>
      </c>
      <c r="F717" s="297">
        <v>2149.684900523559</v>
      </c>
    </row>
    <row r="718" spans="2:6">
      <c r="B718" s="297">
        <v>736000</v>
      </c>
      <c r="C718" s="265">
        <v>1983.5200000000002</v>
      </c>
      <c r="D718" s="297">
        <v>2207.1168000000002</v>
      </c>
      <c r="E718" s="297">
        <v>4327.68</v>
      </c>
      <c r="F718" s="297">
        <v>2152.6096418848156</v>
      </c>
    </row>
    <row r="719" spans="2:6">
      <c r="B719" s="297">
        <v>737000</v>
      </c>
      <c r="C719" s="265">
        <v>1986.2150000000001</v>
      </c>
      <c r="D719" s="297">
        <v>2210.1156000000005</v>
      </c>
      <c r="E719" s="297">
        <v>4333.5600000000004</v>
      </c>
      <c r="F719" s="297">
        <v>2155.5343832460712</v>
      </c>
    </row>
    <row r="720" spans="2:6">
      <c r="B720" s="297">
        <v>738000</v>
      </c>
      <c r="C720" s="265">
        <v>1988.91</v>
      </c>
      <c r="D720" s="297">
        <v>2213.1143999999999</v>
      </c>
      <c r="E720" s="297">
        <v>4339.4400000000005</v>
      </c>
      <c r="F720" s="297">
        <v>2158.4591246073278</v>
      </c>
    </row>
    <row r="721" spans="2:6">
      <c r="B721" s="297">
        <v>739000</v>
      </c>
      <c r="C721" s="265">
        <v>1991.6050000000002</v>
      </c>
      <c r="D721" s="297">
        <v>2216.1132000000002</v>
      </c>
      <c r="E721" s="297">
        <v>4345.3200000000006</v>
      </c>
      <c r="F721" s="297">
        <v>2161.3838659685844</v>
      </c>
    </row>
    <row r="722" spans="2:6">
      <c r="B722" s="297">
        <v>740000</v>
      </c>
      <c r="C722" s="265">
        <v>1994.3000000000002</v>
      </c>
      <c r="D722" s="297">
        <v>2219.1120000000005</v>
      </c>
      <c r="E722" s="297">
        <v>4351.2</v>
      </c>
      <c r="F722" s="297">
        <v>2164.3086073298409</v>
      </c>
    </row>
    <row r="723" spans="2:6">
      <c r="B723" s="297">
        <v>741000</v>
      </c>
      <c r="C723" s="265">
        <v>1996.9950000000001</v>
      </c>
      <c r="D723" s="297">
        <v>2222.1107999999999</v>
      </c>
      <c r="E723" s="297">
        <v>4357.0800000000008</v>
      </c>
      <c r="F723" s="297">
        <v>2167.2333486910975</v>
      </c>
    </row>
    <row r="724" spans="2:6">
      <c r="B724" s="297">
        <v>742000</v>
      </c>
      <c r="C724" s="265">
        <v>1999.6900000000003</v>
      </c>
      <c r="D724" s="297">
        <v>2225.1096000000002</v>
      </c>
      <c r="E724" s="297">
        <v>4362.96</v>
      </c>
      <c r="F724" s="297">
        <v>2170.1580900523541</v>
      </c>
    </row>
    <row r="725" spans="2:6">
      <c r="B725" s="297">
        <v>743000</v>
      </c>
      <c r="C725" s="265">
        <v>2002.3850000000002</v>
      </c>
      <c r="D725" s="297">
        <v>2228.1084000000001</v>
      </c>
      <c r="E725" s="297">
        <v>4368.84</v>
      </c>
      <c r="F725" s="297">
        <v>2173.0828314136097</v>
      </c>
    </row>
    <row r="726" spans="2:6">
      <c r="B726" s="297">
        <v>744000</v>
      </c>
      <c r="C726" s="265">
        <v>2005.0800000000002</v>
      </c>
      <c r="D726" s="297">
        <v>2231.1071999999999</v>
      </c>
      <c r="E726" s="297">
        <v>4374.72</v>
      </c>
      <c r="F726" s="297">
        <v>2176.0075727748672</v>
      </c>
    </row>
    <row r="727" spans="2:6">
      <c r="B727" s="297">
        <v>745000</v>
      </c>
      <c r="C727" s="265">
        <v>2007.7750000000003</v>
      </c>
      <c r="D727" s="297">
        <v>2234.1060000000002</v>
      </c>
      <c r="E727" s="297">
        <v>4380.6000000000004</v>
      </c>
      <c r="F727" s="297">
        <v>2178.9323141361228</v>
      </c>
    </row>
    <row r="728" spans="2:6">
      <c r="B728" s="297">
        <v>746000</v>
      </c>
      <c r="C728" s="265">
        <v>2010.4700000000003</v>
      </c>
      <c r="D728" s="297">
        <v>2237.1048000000001</v>
      </c>
      <c r="E728" s="297">
        <v>4386.4800000000005</v>
      </c>
      <c r="F728" s="297">
        <v>2181.8570554973803</v>
      </c>
    </row>
    <row r="729" spans="2:6">
      <c r="B729" s="297">
        <v>747000</v>
      </c>
      <c r="C729" s="265">
        <v>2013.1650000000002</v>
      </c>
      <c r="D729" s="297">
        <v>2240.1036000000004</v>
      </c>
      <c r="E729" s="297">
        <v>4392.3600000000006</v>
      </c>
      <c r="F729" s="297">
        <v>2184.781796858636</v>
      </c>
    </row>
    <row r="730" spans="2:6">
      <c r="B730" s="297">
        <v>748000</v>
      </c>
      <c r="C730" s="265">
        <v>2015.8600000000004</v>
      </c>
      <c r="D730" s="297">
        <v>2243.1024000000002</v>
      </c>
      <c r="E730" s="297">
        <v>4398.2400000000007</v>
      </c>
      <c r="F730" s="297">
        <v>2187.7065382198934</v>
      </c>
    </row>
    <row r="731" spans="2:6">
      <c r="B731" s="297">
        <v>749000</v>
      </c>
      <c r="C731" s="265">
        <v>2018.5550000000003</v>
      </c>
      <c r="D731" s="297">
        <v>2246.1012000000001</v>
      </c>
      <c r="E731" s="297">
        <v>4404.12</v>
      </c>
      <c r="F731" s="297">
        <v>2190.6312795811491</v>
      </c>
    </row>
    <row r="732" spans="2:6">
      <c r="B732" s="297">
        <v>750000</v>
      </c>
      <c r="C732" s="265">
        <v>2021.2500000000002</v>
      </c>
      <c r="D732" s="297">
        <v>2249.1000000000004</v>
      </c>
      <c r="E732" s="297">
        <v>4410.0000000000009</v>
      </c>
      <c r="F732" s="297">
        <v>2193.5560209424066</v>
      </c>
    </row>
    <row r="733" spans="2:6">
      <c r="B733" s="297">
        <v>751000</v>
      </c>
      <c r="C733" s="265">
        <v>2023.9450000000004</v>
      </c>
      <c r="D733" s="297">
        <v>2252.0988000000002</v>
      </c>
      <c r="E733" s="297">
        <v>4415.88</v>
      </c>
      <c r="F733" s="297">
        <v>2196.4807623036622</v>
      </c>
    </row>
    <row r="734" spans="2:6">
      <c r="B734" s="297">
        <v>752000</v>
      </c>
      <c r="C734" s="265">
        <v>2026.6400000000003</v>
      </c>
      <c r="D734" s="297">
        <v>2255.0976000000005</v>
      </c>
      <c r="E734" s="297">
        <v>4421.76</v>
      </c>
      <c r="F734" s="297">
        <v>2199.4055036649188</v>
      </c>
    </row>
    <row r="735" spans="2:6">
      <c r="B735" s="297">
        <v>753000</v>
      </c>
      <c r="C735" s="265">
        <v>2029.3350000000003</v>
      </c>
      <c r="D735" s="297">
        <v>2258.0963999999999</v>
      </c>
      <c r="E735" s="297">
        <v>4427.6400000000003</v>
      </c>
      <c r="F735" s="297">
        <v>2202.3302450261754</v>
      </c>
    </row>
    <row r="736" spans="2:6">
      <c r="B736" s="297">
        <v>754000</v>
      </c>
      <c r="C736" s="265">
        <v>2032.03</v>
      </c>
      <c r="D736" s="297">
        <v>2261.0952000000002</v>
      </c>
      <c r="E736" s="297">
        <v>4433.5200000000004</v>
      </c>
      <c r="F736" s="297">
        <v>2205.2549863874319</v>
      </c>
    </row>
    <row r="737" spans="2:6">
      <c r="B737" s="297">
        <v>755000</v>
      </c>
      <c r="C737" s="265">
        <v>2034.7250000000001</v>
      </c>
      <c r="D737" s="297">
        <v>2264.0940000000005</v>
      </c>
      <c r="E737" s="297">
        <v>4439.4000000000005</v>
      </c>
      <c r="F737" s="297">
        <v>2208.1797277486885</v>
      </c>
    </row>
    <row r="738" spans="2:6">
      <c r="B738" s="297">
        <v>756000</v>
      </c>
      <c r="C738" s="265">
        <v>2037.42</v>
      </c>
      <c r="D738" s="297">
        <v>2267.0927999999999</v>
      </c>
      <c r="E738" s="297">
        <v>4445.2800000000007</v>
      </c>
      <c r="F738" s="297">
        <v>2211.1044691099451</v>
      </c>
    </row>
    <row r="739" spans="2:6">
      <c r="B739" s="297">
        <v>757000</v>
      </c>
      <c r="C739" s="265">
        <v>2040.115</v>
      </c>
      <c r="D739" s="297">
        <v>2270.0916000000007</v>
      </c>
      <c r="E739" s="297">
        <v>4451.1600000000008</v>
      </c>
      <c r="F739" s="297">
        <v>2214.0292104712016</v>
      </c>
    </row>
    <row r="740" spans="2:6">
      <c r="B740" s="297">
        <v>758000</v>
      </c>
      <c r="C740" s="265">
        <v>2042.8100000000002</v>
      </c>
      <c r="D740" s="297">
        <v>2273.0904000000005</v>
      </c>
      <c r="E740" s="297">
        <v>4457.04</v>
      </c>
      <c r="F740" s="297">
        <v>2216.9539518324582</v>
      </c>
    </row>
    <row r="741" spans="2:6">
      <c r="B741" s="297">
        <v>759000</v>
      </c>
      <c r="C741" s="265">
        <v>2045.5050000000001</v>
      </c>
      <c r="D741" s="297">
        <v>2276.0891999999999</v>
      </c>
      <c r="E741" s="297">
        <v>4462.920000000001</v>
      </c>
      <c r="F741" s="297">
        <v>2219.8786931937148</v>
      </c>
    </row>
    <row r="742" spans="2:6">
      <c r="B742" s="297">
        <v>760000</v>
      </c>
      <c r="C742" s="265">
        <v>2048.2000000000003</v>
      </c>
      <c r="D742" s="297">
        <v>2279.0880000000002</v>
      </c>
      <c r="E742" s="297">
        <v>4468.8</v>
      </c>
      <c r="F742" s="297">
        <v>2222.8034345549713</v>
      </c>
    </row>
    <row r="743" spans="2:6">
      <c r="B743" s="297">
        <v>761000</v>
      </c>
      <c r="C743" s="265">
        <v>2050.895</v>
      </c>
      <c r="D743" s="297">
        <v>2282.0868000000005</v>
      </c>
      <c r="E743" s="297">
        <v>4474.68</v>
      </c>
      <c r="F743" s="297">
        <v>2225.7281759162279</v>
      </c>
    </row>
    <row r="744" spans="2:6">
      <c r="B744" s="297">
        <v>762000</v>
      </c>
      <c r="C744" s="265">
        <v>2053.59</v>
      </c>
      <c r="D744" s="297">
        <v>2285.0856000000003</v>
      </c>
      <c r="E744" s="297">
        <v>4480.5600000000004</v>
      </c>
      <c r="F744" s="297">
        <v>2228.6529172774844</v>
      </c>
    </row>
    <row r="745" spans="2:6">
      <c r="B745" s="297">
        <v>763000</v>
      </c>
      <c r="C745" s="265">
        <v>2056.2850000000003</v>
      </c>
      <c r="D745" s="297">
        <v>2288.0844000000002</v>
      </c>
      <c r="E745" s="297">
        <v>4486.4400000000005</v>
      </c>
      <c r="F745" s="297">
        <v>2231.577658638741</v>
      </c>
    </row>
    <row r="746" spans="2:6">
      <c r="B746" s="297">
        <v>764000</v>
      </c>
      <c r="C746" s="265">
        <v>2058.98</v>
      </c>
      <c r="D746" s="297">
        <v>2291.0832000000005</v>
      </c>
      <c r="E746" s="297">
        <v>4492.3200000000006</v>
      </c>
      <c r="F746" s="297">
        <v>2234.5023999999976</v>
      </c>
    </row>
    <row r="747" spans="2:6">
      <c r="B747" s="297">
        <v>765000</v>
      </c>
      <c r="C747" s="265">
        <v>2061.6750000000002</v>
      </c>
      <c r="D747" s="297">
        <v>2294.0820000000003</v>
      </c>
      <c r="E747" s="297">
        <v>4498.2000000000007</v>
      </c>
      <c r="F747" s="297">
        <v>2237.4271413612541</v>
      </c>
    </row>
    <row r="748" spans="2:6">
      <c r="B748" s="297">
        <v>766000</v>
      </c>
      <c r="C748" s="265">
        <v>2064.3700000000003</v>
      </c>
      <c r="D748" s="297">
        <v>2297.0808000000002</v>
      </c>
      <c r="E748" s="297">
        <v>4504.0800000000008</v>
      </c>
      <c r="F748" s="297">
        <v>2240.3518827225107</v>
      </c>
    </row>
    <row r="749" spans="2:6">
      <c r="B749" s="297">
        <v>767000</v>
      </c>
      <c r="C749" s="265">
        <v>2067.0650000000001</v>
      </c>
      <c r="D749" s="297">
        <v>2300.0796000000005</v>
      </c>
      <c r="E749" s="297">
        <v>4509.96</v>
      </c>
      <c r="F749" s="297">
        <v>2243.2766240837673</v>
      </c>
    </row>
    <row r="750" spans="2:6">
      <c r="B750" s="297">
        <v>768000</v>
      </c>
      <c r="C750" s="265">
        <v>2069.7600000000002</v>
      </c>
      <c r="D750" s="297">
        <v>2303.0784000000003</v>
      </c>
      <c r="E750" s="297">
        <v>4515.84</v>
      </c>
      <c r="F750" s="297">
        <v>2246.2013654450238</v>
      </c>
    </row>
    <row r="751" spans="2:6">
      <c r="B751" s="297">
        <v>769000</v>
      </c>
      <c r="C751" s="265">
        <v>2072.4550000000004</v>
      </c>
      <c r="D751" s="297">
        <v>2306.0772000000002</v>
      </c>
      <c r="E751" s="297">
        <v>4521.72</v>
      </c>
      <c r="F751" s="297">
        <v>2249.1261068062804</v>
      </c>
    </row>
    <row r="752" spans="2:6">
      <c r="B752" s="297">
        <v>770000</v>
      </c>
      <c r="C752" s="265">
        <v>2075.15</v>
      </c>
      <c r="D752" s="297">
        <v>2309.0760000000005</v>
      </c>
      <c r="E752" s="297">
        <v>4527.6000000000004</v>
      </c>
      <c r="F752" s="297">
        <v>2252.050848167537</v>
      </c>
    </row>
    <row r="753" spans="2:6">
      <c r="B753" s="297">
        <v>771000</v>
      </c>
      <c r="C753" s="265">
        <v>2077.8450000000003</v>
      </c>
      <c r="D753" s="297">
        <v>2312.0748000000003</v>
      </c>
      <c r="E753" s="297">
        <v>4533.4800000000005</v>
      </c>
      <c r="F753" s="297">
        <v>2254.9755895287935</v>
      </c>
    </row>
    <row r="754" spans="2:6">
      <c r="B754" s="297">
        <v>772000</v>
      </c>
      <c r="C754" s="265">
        <v>2080.5400000000004</v>
      </c>
      <c r="D754" s="297">
        <v>2315.0736000000002</v>
      </c>
      <c r="E754" s="297">
        <v>4539.3600000000006</v>
      </c>
      <c r="F754" s="297">
        <v>2257.9003308900501</v>
      </c>
    </row>
    <row r="755" spans="2:6">
      <c r="B755" s="297">
        <v>773000</v>
      </c>
      <c r="C755" s="265">
        <v>2083.2350000000001</v>
      </c>
      <c r="D755" s="297">
        <v>2318.0724000000005</v>
      </c>
      <c r="E755" s="297">
        <v>4545.2400000000007</v>
      </c>
      <c r="F755" s="297">
        <v>2260.8250722513067</v>
      </c>
    </row>
    <row r="756" spans="2:6">
      <c r="B756" s="297">
        <v>774000</v>
      </c>
      <c r="C756" s="265">
        <v>2085.9300000000003</v>
      </c>
      <c r="D756" s="297">
        <v>2321.0711999999999</v>
      </c>
      <c r="E756" s="297">
        <v>4551.12</v>
      </c>
      <c r="F756" s="297">
        <v>2263.7498136125632</v>
      </c>
    </row>
    <row r="757" spans="2:6">
      <c r="B757" s="297">
        <v>775000</v>
      </c>
      <c r="C757" s="265">
        <v>2088.6250000000005</v>
      </c>
      <c r="D757" s="297">
        <v>2324.0700000000002</v>
      </c>
      <c r="E757" s="297">
        <v>4557.0000000000009</v>
      </c>
      <c r="F757" s="297">
        <v>2266.6745549738198</v>
      </c>
    </row>
    <row r="758" spans="2:6">
      <c r="B758" s="297">
        <v>776000</v>
      </c>
      <c r="C758" s="265">
        <v>2091.3200000000002</v>
      </c>
      <c r="D758" s="297">
        <v>2327.0688000000005</v>
      </c>
      <c r="E758" s="297">
        <v>4562.88</v>
      </c>
      <c r="F758" s="297">
        <v>2269.5992963350764</v>
      </c>
    </row>
    <row r="759" spans="2:6">
      <c r="B759" s="297">
        <v>777000</v>
      </c>
      <c r="C759" s="265">
        <v>2094.0150000000003</v>
      </c>
      <c r="D759" s="297">
        <v>2330.0676000000003</v>
      </c>
      <c r="E759" s="297">
        <v>4568.76</v>
      </c>
      <c r="F759" s="297">
        <v>2272.5240376963329</v>
      </c>
    </row>
    <row r="760" spans="2:6">
      <c r="B760" s="297">
        <v>778000</v>
      </c>
      <c r="C760" s="265">
        <v>2096.7100000000005</v>
      </c>
      <c r="D760" s="297">
        <v>2333.0664000000002</v>
      </c>
      <c r="E760" s="297">
        <v>4574.6400000000003</v>
      </c>
      <c r="F760" s="297">
        <v>2275.4487790575895</v>
      </c>
    </row>
    <row r="761" spans="2:6">
      <c r="B761" s="297">
        <v>779000</v>
      </c>
      <c r="C761" s="265">
        <v>2099.4050000000002</v>
      </c>
      <c r="D761" s="297">
        <v>2336.0652000000005</v>
      </c>
      <c r="E761" s="297">
        <v>4580.5200000000004</v>
      </c>
      <c r="F761" s="297">
        <v>2278.3735204188461</v>
      </c>
    </row>
    <row r="762" spans="2:6">
      <c r="B762" s="297">
        <v>780000</v>
      </c>
      <c r="C762" s="265">
        <v>2102.1</v>
      </c>
      <c r="D762" s="297">
        <v>2339.0640000000003</v>
      </c>
      <c r="E762" s="297">
        <v>4586.4000000000005</v>
      </c>
      <c r="F762" s="297">
        <v>2281.2982617801026</v>
      </c>
    </row>
    <row r="763" spans="2:6">
      <c r="B763" s="297">
        <v>781000</v>
      </c>
      <c r="C763" s="265">
        <v>2104.7950000000001</v>
      </c>
      <c r="D763" s="297">
        <v>2342.0628000000002</v>
      </c>
      <c r="E763" s="297">
        <v>4592.2800000000007</v>
      </c>
      <c r="F763" s="297">
        <v>2284.2230031413592</v>
      </c>
    </row>
    <row r="764" spans="2:6">
      <c r="B764" s="297">
        <v>782000</v>
      </c>
      <c r="C764" s="265">
        <v>2107.4900000000002</v>
      </c>
      <c r="D764" s="297">
        <v>2345.0616000000005</v>
      </c>
      <c r="E764" s="297">
        <v>4598.1600000000008</v>
      </c>
      <c r="F764" s="297">
        <v>2287.1477445026158</v>
      </c>
    </row>
    <row r="765" spans="2:6">
      <c r="B765" s="297">
        <v>783000</v>
      </c>
      <c r="C765" s="265">
        <v>2110.1849999999999</v>
      </c>
      <c r="D765" s="297">
        <v>2348.0604000000003</v>
      </c>
      <c r="E765" s="297">
        <v>4604.04</v>
      </c>
      <c r="F765" s="297">
        <v>2290.0724858638723</v>
      </c>
    </row>
    <row r="766" spans="2:6">
      <c r="B766" s="297">
        <v>784000</v>
      </c>
      <c r="C766" s="265">
        <v>2112.88</v>
      </c>
      <c r="D766" s="297">
        <v>2351.0592000000001</v>
      </c>
      <c r="E766" s="297">
        <v>4609.920000000001</v>
      </c>
      <c r="F766" s="297">
        <v>2292.9972272251289</v>
      </c>
    </row>
    <row r="767" spans="2:6">
      <c r="B767" s="297">
        <v>785000</v>
      </c>
      <c r="C767" s="265">
        <v>2115.5750000000003</v>
      </c>
      <c r="D767" s="297">
        <v>2354.0580000000004</v>
      </c>
      <c r="E767" s="297">
        <v>4615.8</v>
      </c>
      <c r="F767" s="297">
        <v>2295.9219685863854</v>
      </c>
    </row>
    <row r="768" spans="2:6">
      <c r="B768" s="297">
        <v>786000</v>
      </c>
      <c r="C768" s="265">
        <v>2118.27</v>
      </c>
      <c r="D768" s="297">
        <v>2357.0568000000003</v>
      </c>
      <c r="E768" s="297">
        <v>4621.68</v>
      </c>
      <c r="F768" s="297">
        <v>2298.846709947642</v>
      </c>
    </row>
    <row r="769" spans="2:6">
      <c r="B769" s="297">
        <v>787000</v>
      </c>
      <c r="C769" s="265">
        <v>2120.9650000000001</v>
      </c>
      <c r="D769" s="297">
        <v>2360.0556000000001</v>
      </c>
      <c r="E769" s="297">
        <v>4627.5600000000004</v>
      </c>
      <c r="F769" s="297">
        <v>2301.7714513088986</v>
      </c>
    </row>
    <row r="770" spans="2:6">
      <c r="B770" s="297">
        <v>788000</v>
      </c>
      <c r="C770" s="265">
        <v>2123.6600000000003</v>
      </c>
      <c r="D770" s="297">
        <v>2363.0544</v>
      </c>
      <c r="E770" s="297">
        <v>4633.4400000000005</v>
      </c>
      <c r="F770" s="297">
        <v>2304.6961926701551</v>
      </c>
    </row>
    <row r="771" spans="2:6">
      <c r="B771" s="297">
        <v>789000</v>
      </c>
      <c r="C771" s="265">
        <v>2126.355</v>
      </c>
      <c r="D771" s="297">
        <v>2366.0532000000003</v>
      </c>
      <c r="E771" s="297">
        <v>4639.3200000000006</v>
      </c>
      <c r="F771" s="297">
        <v>2307.6209340314117</v>
      </c>
    </row>
    <row r="772" spans="2:6">
      <c r="B772" s="297">
        <v>790000</v>
      </c>
      <c r="C772" s="265">
        <v>2129.0500000000002</v>
      </c>
      <c r="D772" s="297">
        <v>2369.0520000000001</v>
      </c>
      <c r="E772" s="297">
        <v>4645.2000000000007</v>
      </c>
      <c r="F772" s="297">
        <v>2310.5456753926683</v>
      </c>
    </row>
    <row r="773" spans="2:6">
      <c r="B773" s="297">
        <v>791000</v>
      </c>
      <c r="C773" s="265">
        <v>2131.7450000000003</v>
      </c>
      <c r="D773" s="297">
        <v>2372.0508</v>
      </c>
      <c r="E773" s="297">
        <v>4651.0800000000008</v>
      </c>
      <c r="F773" s="297">
        <v>2313.4704167539248</v>
      </c>
    </row>
    <row r="774" spans="2:6">
      <c r="B774" s="297">
        <v>792000</v>
      </c>
      <c r="C774" s="265">
        <v>2134.44</v>
      </c>
      <c r="D774" s="297">
        <v>2375.0496000000007</v>
      </c>
      <c r="E774" s="297">
        <v>4656.96</v>
      </c>
      <c r="F774" s="297">
        <v>2316.3951581151814</v>
      </c>
    </row>
    <row r="775" spans="2:6">
      <c r="B775" s="297">
        <v>793000</v>
      </c>
      <c r="C775" s="265">
        <v>2137.1350000000002</v>
      </c>
      <c r="D775" s="297">
        <v>2378.0484000000001</v>
      </c>
      <c r="E775" s="297">
        <v>4662.84</v>
      </c>
      <c r="F775" s="297">
        <v>2319.319899476438</v>
      </c>
    </row>
    <row r="776" spans="2:6">
      <c r="B776" s="297">
        <v>794000</v>
      </c>
      <c r="C776" s="265">
        <v>2139.8300000000004</v>
      </c>
      <c r="D776" s="297">
        <v>2381.0472</v>
      </c>
      <c r="E776" s="297">
        <v>4668.72</v>
      </c>
      <c r="F776" s="297">
        <v>2322.2446408376945</v>
      </c>
    </row>
    <row r="777" spans="2:6">
      <c r="B777" s="297">
        <v>795000</v>
      </c>
      <c r="C777" s="265">
        <v>2142.5250000000001</v>
      </c>
      <c r="D777" s="297">
        <v>2384.0460000000007</v>
      </c>
      <c r="E777" s="297">
        <v>4674.6000000000004</v>
      </c>
      <c r="F777" s="297">
        <v>2325.1693821989511</v>
      </c>
    </row>
    <row r="778" spans="2:6">
      <c r="B778" s="297">
        <v>796000</v>
      </c>
      <c r="C778" s="265">
        <v>2145.2200000000003</v>
      </c>
      <c r="D778" s="297">
        <v>2387.0448000000001</v>
      </c>
      <c r="E778" s="297">
        <v>4680.4800000000005</v>
      </c>
      <c r="F778" s="297">
        <v>2328.0941235602077</v>
      </c>
    </row>
    <row r="779" spans="2:6">
      <c r="B779" s="297">
        <v>797000</v>
      </c>
      <c r="C779" s="265">
        <v>2147.9150000000004</v>
      </c>
      <c r="D779" s="297">
        <v>2390.0436000000004</v>
      </c>
      <c r="E779" s="297">
        <v>4686.3600000000006</v>
      </c>
      <c r="F779" s="297">
        <v>2331.0188649214642</v>
      </c>
    </row>
    <row r="780" spans="2:6">
      <c r="B780" s="297">
        <v>798000</v>
      </c>
      <c r="C780" s="265">
        <v>2150.61</v>
      </c>
      <c r="D780" s="297">
        <v>2393.0424000000003</v>
      </c>
      <c r="E780" s="297">
        <v>4692.2400000000007</v>
      </c>
      <c r="F780" s="297">
        <v>2333.9436062827208</v>
      </c>
    </row>
    <row r="781" spans="2:6">
      <c r="B781" s="297">
        <v>799000</v>
      </c>
      <c r="C781" s="265">
        <v>2153.3050000000003</v>
      </c>
      <c r="D781" s="297">
        <v>2396.0412000000001</v>
      </c>
      <c r="E781" s="297">
        <v>4698.12</v>
      </c>
      <c r="F781" s="297">
        <v>2336.8683476439774</v>
      </c>
    </row>
    <row r="782" spans="2:6">
      <c r="B782" s="297">
        <v>800000</v>
      </c>
      <c r="C782" s="265">
        <v>2156.0000000000005</v>
      </c>
      <c r="D782" s="297">
        <v>2399.0400000000004</v>
      </c>
      <c r="E782" s="297">
        <v>4704.0000000000009</v>
      </c>
      <c r="F782" s="297">
        <v>2339.7930890052339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4" tint="-0.249977111117893"/>
  </sheetPr>
  <dimension ref="A6:AE55"/>
  <sheetViews>
    <sheetView showGridLines="0" view="pageLayout" zoomScale="90" zoomScaleNormal="100" zoomScaleSheetLayoutView="100" zoomScalePageLayoutView="90" workbookViewId="0">
      <selection activeCell="P18" sqref="P18:R18"/>
    </sheetView>
  </sheetViews>
  <sheetFormatPr baseColWidth="10" defaultColWidth="11.33203125" defaultRowHeight="13.2"/>
  <cols>
    <col min="1" max="1" width="9.109375" style="57" customWidth="1"/>
    <col min="2" max="2" width="5" style="57" hidden="1" customWidth="1"/>
    <col min="3" max="3" width="14.44140625" style="57" customWidth="1"/>
    <col min="4" max="4" width="3.5546875" style="57" customWidth="1"/>
    <col min="5" max="5" width="5.109375" style="57" customWidth="1"/>
    <col min="6" max="6" width="5.33203125" style="57" customWidth="1"/>
    <col min="7" max="7" width="6.88671875" style="57" customWidth="1"/>
    <col min="8" max="8" width="5.33203125" style="57" customWidth="1"/>
    <col min="9" max="9" width="6.33203125" style="57" customWidth="1"/>
    <col min="10" max="10" width="7.6640625" style="57" customWidth="1"/>
    <col min="11" max="11" width="6.6640625" style="57" hidden="1" customWidth="1"/>
    <col min="12" max="12" width="6" style="57" hidden="1" customWidth="1"/>
    <col min="13" max="13" width="4" style="57" customWidth="1"/>
    <col min="14" max="18" width="4.33203125" style="57" customWidth="1"/>
    <col min="19" max="19" width="12.6640625" style="57" hidden="1" customWidth="1"/>
    <col min="20" max="20" width="10.6640625" style="57" hidden="1" customWidth="1"/>
    <col min="21" max="23" width="4.33203125" style="57" customWidth="1"/>
    <col min="24" max="26" width="4.33203125" style="57" hidden="1" customWidth="1"/>
    <col min="27" max="27" width="11.6640625" style="57" bestFit="1" customWidth="1"/>
    <col min="28" max="28" width="12.44140625" style="57" customWidth="1"/>
    <col min="29" max="29" width="11.5546875" style="57" customWidth="1"/>
    <col min="30" max="30" width="12.5546875" style="57" customWidth="1"/>
    <col min="31" max="31" width="11.6640625" style="57" bestFit="1" customWidth="1"/>
    <col min="32" max="258" width="11.33203125" style="57"/>
    <col min="259" max="259" width="4" style="57" customWidth="1"/>
    <col min="260" max="260" width="3.5546875" style="57" customWidth="1"/>
    <col min="261" max="261" width="5.109375" style="57" customWidth="1"/>
    <col min="262" max="262" width="5.33203125" style="57" customWidth="1"/>
    <col min="263" max="263" width="6.88671875" style="57" customWidth="1"/>
    <col min="264" max="264" width="5.33203125" style="57" customWidth="1"/>
    <col min="265" max="265" width="6.33203125" style="57" customWidth="1"/>
    <col min="266" max="266" width="7.6640625" style="57" customWidth="1"/>
    <col min="267" max="268" width="0" style="57" hidden="1" customWidth="1"/>
    <col min="269" max="269" width="4" style="57" customWidth="1"/>
    <col min="270" max="274" width="4.33203125" style="57" customWidth="1"/>
    <col min="275" max="276" width="0" style="57" hidden="1" customWidth="1"/>
    <col min="277" max="279" width="4.33203125" style="57" customWidth="1"/>
    <col min="280" max="282" width="0" style="57" hidden="1" customWidth="1"/>
    <col min="283" max="283" width="11.6640625" style="57" bestFit="1" customWidth="1"/>
    <col min="284" max="284" width="12.44140625" style="57" customWidth="1"/>
    <col min="285" max="285" width="11.5546875" style="57" customWidth="1"/>
    <col min="286" max="286" width="12.109375" style="57" customWidth="1"/>
    <col min="287" max="287" width="11.6640625" style="57" bestFit="1" customWidth="1"/>
    <col min="288" max="514" width="11.33203125" style="57"/>
    <col min="515" max="515" width="4" style="57" customWidth="1"/>
    <col min="516" max="516" width="3.5546875" style="57" customWidth="1"/>
    <col min="517" max="517" width="5.109375" style="57" customWidth="1"/>
    <col min="518" max="518" width="5.33203125" style="57" customWidth="1"/>
    <col min="519" max="519" width="6.88671875" style="57" customWidth="1"/>
    <col min="520" max="520" width="5.33203125" style="57" customWidth="1"/>
    <col min="521" max="521" width="6.33203125" style="57" customWidth="1"/>
    <col min="522" max="522" width="7.6640625" style="57" customWidth="1"/>
    <col min="523" max="524" width="0" style="57" hidden="1" customWidth="1"/>
    <col min="525" max="525" width="4" style="57" customWidth="1"/>
    <col min="526" max="530" width="4.33203125" style="57" customWidth="1"/>
    <col min="531" max="532" width="0" style="57" hidden="1" customWidth="1"/>
    <col min="533" max="535" width="4.33203125" style="57" customWidth="1"/>
    <col min="536" max="538" width="0" style="57" hidden="1" customWidth="1"/>
    <col min="539" max="539" width="11.6640625" style="57" bestFit="1" customWidth="1"/>
    <col min="540" max="540" width="12.44140625" style="57" customWidth="1"/>
    <col min="541" max="541" width="11.5546875" style="57" customWidth="1"/>
    <col min="542" max="542" width="12.109375" style="57" customWidth="1"/>
    <col min="543" max="543" width="11.6640625" style="57" bestFit="1" customWidth="1"/>
    <col min="544" max="770" width="11.33203125" style="57"/>
    <col min="771" max="771" width="4" style="57" customWidth="1"/>
    <col min="772" max="772" width="3.5546875" style="57" customWidth="1"/>
    <col min="773" max="773" width="5.109375" style="57" customWidth="1"/>
    <col min="774" max="774" width="5.33203125" style="57" customWidth="1"/>
    <col min="775" max="775" width="6.88671875" style="57" customWidth="1"/>
    <col min="776" max="776" width="5.33203125" style="57" customWidth="1"/>
    <col min="777" max="777" width="6.33203125" style="57" customWidth="1"/>
    <col min="778" max="778" width="7.6640625" style="57" customWidth="1"/>
    <col min="779" max="780" width="0" style="57" hidden="1" customWidth="1"/>
    <col min="781" max="781" width="4" style="57" customWidth="1"/>
    <col min="782" max="786" width="4.33203125" style="57" customWidth="1"/>
    <col min="787" max="788" width="0" style="57" hidden="1" customWidth="1"/>
    <col min="789" max="791" width="4.33203125" style="57" customWidth="1"/>
    <col min="792" max="794" width="0" style="57" hidden="1" customWidth="1"/>
    <col min="795" max="795" width="11.6640625" style="57" bestFit="1" customWidth="1"/>
    <col min="796" max="796" width="12.44140625" style="57" customWidth="1"/>
    <col min="797" max="797" width="11.5546875" style="57" customWidth="1"/>
    <col min="798" max="798" width="12.109375" style="57" customWidth="1"/>
    <col min="799" max="799" width="11.6640625" style="57" bestFit="1" customWidth="1"/>
    <col min="800" max="1026" width="11.33203125" style="57"/>
    <col min="1027" max="1027" width="4" style="57" customWidth="1"/>
    <col min="1028" max="1028" width="3.5546875" style="57" customWidth="1"/>
    <col min="1029" max="1029" width="5.109375" style="57" customWidth="1"/>
    <col min="1030" max="1030" width="5.33203125" style="57" customWidth="1"/>
    <col min="1031" max="1031" width="6.88671875" style="57" customWidth="1"/>
    <col min="1032" max="1032" width="5.33203125" style="57" customWidth="1"/>
    <col min="1033" max="1033" width="6.33203125" style="57" customWidth="1"/>
    <col min="1034" max="1034" width="7.6640625" style="57" customWidth="1"/>
    <col min="1035" max="1036" width="0" style="57" hidden="1" customWidth="1"/>
    <col min="1037" max="1037" width="4" style="57" customWidth="1"/>
    <col min="1038" max="1042" width="4.33203125" style="57" customWidth="1"/>
    <col min="1043" max="1044" width="0" style="57" hidden="1" customWidth="1"/>
    <col min="1045" max="1047" width="4.33203125" style="57" customWidth="1"/>
    <col min="1048" max="1050" width="0" style="57" hidden="1" customWidth="1"/>
    <col min="1051" max="1051" width="11.6640625" style="57" bestFit="1" customWidth="1"/>
    <col min="1052" max="1052" width="12.44140625" style="57" customWidth="1"/>
    <col min="1053" max="1053" width="11.5546875" style="57" customWidth="1"/>
    <col min="1054" max="1054" width="12.109375" style="57" customWidth="1"/>
    <col min="1055" max="1055" width="11.6640625" style="57" bestFit="1" customWidth="1"/>
    <col min="1056" max="1282" width="11.33203125" style="57"/>
    <col min="1283" max="1283" width="4" style="57" customWidth="1"/>
    <col min="1284" max="1284" width="3.5546875" style="57" customWidth="1"/>
    <col min="1285" max="1285" width="5.109375" style="57" customWidth="1"/>
    <col min="1286" max="1286" width="5.33203125" style="57" customWidth="1"/>
    <col min="1287" max="1287" width="6.88671875" style="57" customWidth="1"/>
    <col min="1288" max="1288" width="5.33203125" style="57" customWidth="1"/>
    <col min="1289" max="1289" width="6.33203125" style="57" customWidth="1"/>
    <col min="1290" max="1290" width="7.6640625" style="57" customWidth="1"/>
    <col min="1291" max="1292" width="0" style="57" hidden="1" customWidth="1"/>
    <col min="1293" max="1293" width="4" style="57" customWidth="1"/>
    <col min="1294" max="1298" width="4.33203125" style="57" customWidth="1"/>
    <col min="1299" max="1300" width="0" style="57" hidden="1" customWidth="1"/>
    <col min="1301" max="1303" width="4.33203125" style="57" customWidth="1"/>
    <col min="1304" max="1306" width="0" style="57" hidden="1" customWidth="1"/>
    <col min="1307" max="1307" width="11.6640625" style="57" bestFit="1" customWidth="1"/>
    <col min="1308" max="1308" width="12.44140625" style="57" customWidth="1"/>
    <col min="1309" max="1309" width="11.5546875" style="57" customWidth="1"/>
    <col min="1310" max="1310" width="12.109375" style="57" customWidth="1"/>
    <col min="1311" max="1311" width="11.6640625" style="57" bestFit="1" customWidth="1"/>
    <col min="1312" max="1538" width="11.33203125" style="57"/>
    <col min="1539" max="1539" width="4" style="57" customWidth="1"/>
    <col min="1540" max="1540" width="3.5546875" style="57" customWidth="1"/>
    <col min="1541" max="1541" width="5.109375" style="57" customWidth="1"/>
    <col min="1542" max="1542" width="5.33203125" style="57" customWidth="1"/>
    <col min="1543" max="1543" width="6.88671875" style="57" customWidth="1"/>
    <col min="1544" max="1544" width="5.33203125" style="57" customWidth="1"/>
    <col min="1545" max="1545" width="6.33203125" style="57" customWidth="1"/>
    <col min="1546" max="1546" width="7.6640625" style="57" customWidth="1"/>
    <col min="1547" max="1548" width="0" style="57" hidden="1" customWidth="1"/>
    <col min="1549" max="1549" width="4" style="57" customWidth="1"/>
    <col min="1550" max="1554" width="4.33203125" style="57" customWidth="1"/>
    <col min="1555" max="1556" width="0" style="57" hidden="1" customWidth="1"/>
    <col min="1557" max="1559" width="4.33203125" style="57" customWidth="1"/>
    <col min="1560" max="1562" width="0" style="57" hidden="1" customWidth="1"/>
    <col min="1563" max="1563" width="11.6640625" style="57" bestFit="1" customWidth="1"/>
    <col min="1564" max="1564" width="12.44140625" style="57" customWidth="1"/>
    <col min="1565" max="1565" width="11.5546875" style="57" customWidth="1"/>
    <col min="1566" max="1566" width="12.109375" style="57" customWidth="1"/>
    <col min="1567" max="1567" width="11.6640625" style="57" bestFit="1" customWidth="1"/>
    <col min="1568" max="1794" width="11.33203125" style="57"/>
    <col min="1795" max="1795" width="4" style="57" customWidth="1"/>
    <col min="1796" max="1796" width="3.5546875" style="57" customWidth="1"/>
    <col min="1797" max="1797" width="5.109375" style="57" customWidth="1"/>
    <col min="1798" max="1798" width="5.33203125" style="57" customWidth="1"/>
    <col min="1799" max="1799" width="6.88671875" style="57" customWidth="1"/>
    <col min="1800" max="1800" width="5.33203125" style="57" customWidth="1"/>
    <col min="1801" max="1801" width="6.33203125" style="57" customWidth="1"/>
    <col min="1802" max="1802" width="7.6640625" style="57" customWidth="1"/>
    <col min="1803" max="1804" width="0" style="57" hidden="1" customWidth="1"/>
    <col min="1805" max="1805" width="4" style="57" customWidth="1"/>
    <col min="1806" max="1810" width="4.33203125" style="57" customWidth="1"/>
    <col min="1811" max="1812" width="0" style="57" hidden="1" customWidth="1"/>
    <col min="1813" max="1815" width="4.33203125" style="57" customWidth="1"/>
    <col min="1816" max="1818" width="0" style="57" hidden="1" customWidth="1"/>
    <col min="1819" max="1819" width="11.6640625" style="57" bestFit="1" customWidth="1"/>
    <col min="1820" max="1820" width="12.44140625" style="57" customWidth="1"/>
    <col min="1821" max="1821" width="11.5546875" style="57" customWidth="1"/>
    <col min="1822" max="1822" width="12.109375" style="57" customWidth="1"/>
    <col min="1823" max="1823" width="11.6640625" style="57" bestFit="1" customWidth="1"/>
    <col min="1824" max="2050" width="11.33203125" style="57"/>
    <col min="2051" max="2051" width="4" style="57" customWidth="1"/>
    <col min="2052" max="2052" width="3.5546875" style="57" customWidth="1"/>
    <col min="2053" max="2053" width="5.109375" style="57" customWidth="1"/>
    <col min="2054" max="2054" width="5.33203125" style="57" customWidth="1"/>
    <col min="2055" max="2055" width="6.88671875" style="57" customWidth="1"/>
    <col min="2056" max="2056" width="5.33203125" style="57" customWidth="1"/>
    <col min="2057" max="2057" width="6.33203125" style="57" customWidth="1"/>
    <col min="2058" max="2058" width="7.6640625" style="57" customWidth="1"/>
    <col min="2059" max="2060" width="0" style="57" hidden="1" customWidth="1"/>
    <col min="2061" max="2061" width="4" style="57" customWidth="1"/>
    <col min="2062" max="2066" width="4.33203125" style="57" customWidth="1"/>
    <col min="2067" max="2068" width="0" style="57" hidden="1" customWidth="1"/>
    <col min="2069" max="2071" width="4.33203125" style="57" customWidth="1"/>
    <col min="2072" max="2074" width="0" style="57" hidden="1" customWidth="1"/>
    <col min="2075" max="2075" width="11.6640625" style="57" bestFit="1" customWidth="1"/>
    <col min="2076" max="2076" width="12.44140625" style="57" customWidth="1"/>
    <col min="2077" max="2077" width="11.5546875" style="57" customWidth="1"/>
    <col min="2078" max="2078" width="12.109375" style="57" customWidth="1"/>
    <col min="2079" max="2079" width="11.6640625" style="57" bestFit="1" customWidth="1"/>
    <col min="2080" max="2306" width="11.33203125" style="57"/>
    <col min="2307" max="2307" width="4" style="57" customWidth="1"/>
    <col min="2308" max="2308" width="3.5546875" style="57" customWidth="1"/>
    <col min="2309" max="2309" width="5.109375" style="57" customWidth="1"/>
    <col min="2310" max="2310" width="5.33203125" style="57" customWidth="1"/>
    <col min="2311" max="2311" width="6.88671875" style="57" customWidth="1"/>
    <col min="2312" max="2312" width="5.33203125" style="57" customWidth="1"/>
    <col min="2313" max="2313" width="6.33203125" style="57" customWidth="1"/>
    <col min="2314" max="2314" width="7.6640625" style="57" customWidth="1"/>
    <col min="2315" max="2316" width="0" style="57" hidden="1" customWidth="1"/>
    <col min="2317" max="2317" width="4" style="57" customWidth="1"/>
    <col min="2318" max="2322" width="4.33203125" style="57" customWidth="1"/>
    <col min="2323" max="2324" width="0" style="57" hidden="1" customWidth="1"/>
    <col min="2325" max="2327" width="4.33203125" style="57" customWidth="1"/>
    <col min="2328" max="2330" width="0" style="57" hidden="1" customWidth="1"/>
    <col min="2331" max="2331" width="11.6640625" style="57" bestFit="1" customWidth="1"/>
    <col min="2332" max="2332" width="12.44140625" style="57" customWidth="1"/>
    <col min="2333" max="2333" width="11.5546875" style="57" customWidth="1"/>
    <col min="2334" max="2334" width="12.109375" style="57" customWidth="1"/>
    <col min="2335" max="2335" width="11.6640625" style="57" bestFit="1" customWidth="1"/>
    <col min="2336" max="2562" width="11.33203125" style="57"/>
    <col min="2563" max="2563" width="4" style="57" customWidth="1"/>
    <col min="2564" max="2564" width="3.5546875" style="57" customWidth="1"/>
    <col min="2565" max="2565" width="5.109375" style="57" customWidth="1"/>
    <col min="2566" max="2566" width="5.33203125" style="57" customWidth="1"/>
    <col min="2567" max="2567" width="6.88671875" style="57" customWidth="1"/>
    <col min="2568" max="2568" width="5.33203125" style="57" customWidth="1"/>
    <col min="2569" max="2569" width="6.33203125" style="57" customWidth="1"/>
    <col min="2570" max="2570" width="7.6640625" style="57" customWidth="1"/>
    <col min="2571" max="2572" width="0" style="57" hidden="1" customWidth="1"/>
    <col min="2573" max="2573" width="4" style="57" customWidth="1"/>
    <col min="2574" max="2578" width="4.33203125" style="57" customWidth="1"/>
    <col min="2579" max="2580" width="0" style="57" hidden="1" customWidth="1"/>
    <col min="2581" max="2583" width="4.33203125" style="57" customWidth="1"/>
    <col min="2584" max="2586" width="0" style="57" hidden="1" customWidth="1"/>
    <col min="2587" max="2587" width="11.6640625" style="57" bestFit="1" customWidth="1"/>
    <col min="2588" max="2588" width="12.44140625" style="57" customWidth="1"/>
    <col min="2589" max="2589" width="11.5546875" style="57" customWidth="1"/>
    <col min="2590" max="2590" width="12.109375" style="57" customWidth="1"/>
    <col min="2591" max="2591" width="11.6640625" style="57" bestFit="1" customWidth="1"/>
    <col min="2592" max="2818" width="11.33203125" style="57"/>
    <col min="2819" max="2819" width="4" style="57" customWidth="1"/>
    <col min="2820" max="2820" width="3.5546875" style="57" customWidth="1"/>
    <col min="2821" max="2821" width="5.109375" style="57" customWidth="1"/>
    <col min="2822" max="2822" width="5.33203125" style="57" customWidth="1"/>
    <col min="2823" max="2823" width="6.88671875" style="57" customWidth="1"/>
    <col min="2824" max="2824" width="5.33203125" style="57" customWidth="1"/>
    <col min="2825" max="2825" width="6.33203125" style="57" customWidth="1"/>
    <col min="2826" max="2826" width="7.6640625" style="57" customWidth="1"/>
    <col min="2827" max="2828" width="0" style="57" hidden="1" customWidth="1"/>
    <col min="2829" max="2829" width="4" style="57" customWidth="1"/>
    <col min="2830" max="2834" width="4.33203125" style="57" customWidth="1"/>
    <col min="2835" max="2836" width="0" style="57" hidden="1" customWidth="1"/>
    <col min="2837" max="2839" width="4.33203125" style="57" customWidth="1"/>
    <col min="2840" max="2842" width="0" style="57" hidden="1" customWidth="1"/>
    <col min="2843" max="2843" width="11.6640625" style="57" bestFit="1" customWidth="1"/>
    <col min="2844" max="2844" width="12.44140625" style="57" customWidth="1"/>
    <col min="2845" max="2845" width="11.5546875" style="57" customWidth="1"/>
    <col min="2846" max="2846" width="12.109375" style="57" customWidth="1"/>
    <col min="2847" max="2847" width="11.6640625" style="57" bestFit="1" customWidth="1"/>
    <col min="2848" max="3074" width="11.33203125" style="57"/>
    <col min="3075" max="3075" width="4" style="57" customWidth="1"/>
    <col min="3076" max="3076" width="3.5546875" style="57" customWidth="1"/>
    <col min="3077" max="3077" width="5.109375" style="57" customWidth="1"/>
    <col min="3078" max="3078" width="5.33203125" style="57" customWidth="1"/>
    <col min="3079" max="3079" width="6.88671875" style="57" customWidth="1"/>
    <col min="3080" max="3080" width="5.33203125" style="57" customWidth="1"/>
    <col min="3081" max="3081" width="6.33203125" style="57" customWidth="1"/>
    <col min="3082" max="3082" width="7.6640625" style="57" customWidth="1"/>
    <col min="3083" max="3084" width="0" style="57" hidden="1" customWidth="1"/>
    <col min="3085" max="3085" width="4" style="57" customWidth="1"/>
    <col min="3086" max="3090" width="4.33203125" style="57" customWidth="1"/>
    <col min="3091" max="3092" width="0" style="57" hidden="1" customWidth="1"/>
    <col min="3093" max="3095" width="4.33203125" style="57" customWidth="1"/>
    <col min="3096" max="3098" width="0" style="57" hidden="1" customWidth="1"/>
    <col min="3099" max="3099" width="11.6640625" style="57" bestFit="1" customWidth="1"/>
    <col min="3100" max="3100" width="12.44140625" style="57" customWidth="1"/>
    <col min="3101" max="3101" width="11.5546875" style="57" customWidth="1"/>
    <col min="3102" max="3102" width="12.109375" style="57" customWidth="1"/>
    <col min="3103" max="3103" width="11.6640625" style="57" bestFit="1" customWidth="1"/>
    <col min="3104" max="3330" width="11.33203125" style="57"/>
    <col min="3331" max="3331" width="4" style="57" customWidth="1"/>
    <col min="3332" max="3332" width="3.5546875" style="57" customWidth="1"/>
    <col min="3333" max="3333" width="5.109375" style="57" customWidth="1"/>
    <col min="3334" max="3334" width="5.33203125" style="57" customWidth="1"/>
    <col min="3335" max="3335" width="6.88671875" style="57" customWidth="1"/>
    <col min="3336" max="3336" width="5.33203125" style="57" customWidth="1"/>
    <col min="3337" max="3337" width="6.33203125" style="57" customWidth="1"/>
    <col min="3338" max="3338" width="7.6640625" style="57" customWidth="1"/>
    <col min="3339" max="3340" width="0" style="57" hidden="1" customWidth="1"/>
    <col min="3341" max="3341" width="4" style="57" customWidth="1"/>
    <col min="3342" max="3346" width="4.33203125" style="57" customWidth="1"/>
    <col min="3347" max="3348" width="0" style="57" hidden="1" customWidth="1"/>
    <col min="3349" max="3351" width="4.33203125" style="57" customWidth="1"/>
    <col min="3352" max="3354" width="0" style="57" hidden="1" customWidth="1"/>
    <col min="3355" max="3355" width="11.6640625" style="57" bestFit="1" customWidth="1"/>
    <col min="3356" max="3356" width="12.44140625" style="57" customWidth="1"/>
    <col min="3357" max="3357" width="11.5546875" style="57" customWidth="1"/>
    <col min="3358" max="3358" width="12.109375" style="57" customWidth="1"/>
    <col min="3359" max="3359" width="11.6640625" style="57" bestFit="1" customWidth="1"/>
    <col min="3360" max="3586" width="11.33203125" style="57"/>
    <col min="3587" max="3587" width="4" style="57" customWidth="1"/>
    <col min="3588" max="3588" width="3.5546875" style="57" customWidth="1"/>
    <col min="3589" max="3589" width="5.109375" style="57" customWidth="1"/>
    <col min="3590" max="3590" width="5.33203125" style="57" customWidth="1"/>
    <col min="3591" max="3591" width="6.88671875" style="57" customWidth="1"/>
    <col min="3592" max="3592" width="5.33203125" style="57" customWidth="1"/>
    <col min="3593" max="3593" width="6.33203125" style="57" customWidth="1"/>
    <col min="3594" max="3594" width="7.6640625" style="57" customWidth="1"/>
    <col min="3595" max="3596" width="0" style="57" hidden="1" customWidth="1"/>
    <col min="3597" max="3597" width="4" style="57" customWidth="1"/>
    <col min="3598" max="3602" width="4.33203125" style="57" customWidth="1"/>
    <col min="3603" max="3604" width="0" style="57" hidden="1" customWidth="1"/>
    <col min="3605" max="3607" width="4.33203125" style="57" customWidth="1"/>
    <col min="3608" max="3610" width="0" style="57" hidden="1" customWidth="1"/>
    <col min="3611" max="3611" width="11.6640625" style="57" bestFit="1" customWidth="1"/>
    <col min="3612" max="3612" width="12.44140625" style="57" customWidth="1"/>
    <col min="3613" max="3613" width="11.5546875" style="57" customWidth="1"/>
    <col min="3614" max="3614" width="12.109375" style="57" customWidth="1"/>
    <col min="3615" max="3615" width="11.6640625" style="57" bestFit="1" customWidth="1"/>
    <col min="3616" max="3842" width="11.33203125" style="57"/>
    <col min="3843" max="3843" width="4" style="57" customWidth="1"/>
    <col min="3844" max="3844" width="3.5546875" style="57" customWidth="1"/>
    <col min="3845" max="3845" width="5.109375" style="57" customWidth="1"/>
    <col min="3846" max="3846" width="5.33203125" style="57" customWidth="1"/>
    <col min="3847" max="3847" width="6.88671875" style="57" customWidth="1"/>
    <col min="3848" max="3848" width="5.33203125" style="57" customWidth="1"/>
    <col min="3849" max="3849" width="6.33203125" style="57" customWidth="1"/>
    <col min="3850" max="3850" width="7.6640625" style="57" customWidth="1"/>
    <col min="3851" max="3852" width="0" style="57" hidden="1" customWidth="1"/>
    <col min="3853" max="3853" width="4" style="57" customWidth="1"/>
    <col min="3854" max="3858" width="4.33203125" style="57" customWidth="1"/>
    <col min="3859" max="3860" width="0" style="57" hidden="1" customWidth="1"/>
    <col min="3861" max="3863" width="4.33203125" style="57" customWidth="1"/>
    <col min="3864" max="3866" width="0" style="57" hidden="1" customWidth="1"/>
    <col min="3867" max="3867" width="11.6640625" style="57" bestFit="1" customWidth="1"/>
    <col min="3868" max="3868" width="12.44140625" style="57" customWidth="1"/>
    <col min="3869" max="3869" width="11.5546875" style="57" customWidth="1"/>
    <col min="3870" max="3870" width="12.109375" style="57" customWidth="1"/>
    <col min="3871" max="3871" width="11.6640625" style="57" bestFit="1" customWidth="1"/>
    <col min="3872" max="4098" width="11.33203125" style="57"/>
    <col min="4099" max="4099" width="4" style="57" customWidth="1"/>
    <col min="4100" max="4100" width="3.5546875" style="57" customWidth="1"/>
    <col min="4101" max="4101" width="5.109375" style="57" customWidth="1"/>
    <col min="4102" max="4102" width="5.33203125" style="57" customWidth="1"/>
    <col min="4103" max="4103" width="6.88671875" style="57" customWidth="1"/>
    <col min="4104" max="4104" width="5.33203125" style="57" customWidth="1"/>
    <col min="4105" max="4105" width="6.33203125" style="57" customWidth="1"/>
    <col min="4106" max="4106" width="7.6640625" style="57" customWidth="1"/>
    <col min="4107" max="4108" width="0" style="57" hidden="1" customWidth="1"/>
    <col min="4109" max="4109" width="4" style="57" customWidth="1"/>
    <col min="4110" max="4114" width="4.33203125" style="57" customWidth="1"/>
    <col min="4115" max="4116" width="0" style="57" hidden="1" customWidth="1"/>
    <col min="4117" max="4119" width="4.33203125" style="57" customWidth="1"/>
    <col min="4120" max="4122" width="0" style="57" hidden="1" customWidth="1"/>
    <col min="4123" max="4123" width="11.6640625" style="57" bestFit="1" customWidth="1"/>
    <col min="4124" max="4124" width="12.44140625" style="57" customWidth="1"/>
    <col min="4125" max="4125" width="11.5546875" style="57" customWidth="1"/>
    <col min="4126" max="4126" width="12.109375" style="57" customWidth="1"/>
    <col min="4127" max="4127" width="11.6640625" style="57" bestFit="1" customWidth="1"/>
    <col min="4128" max="4354" width="11.33203125" style="57"/>
    <col min="4355" max="4355" width="4" style="57" customWidth="1"/>
    <col min="4356" max="4356" width="3.5546875" style="57" customWidth="1"/>
    <col min="4357" max="4357" width="5.109375" style="57" customWidth="1"/>
    <col min="4358" max="4358" width="5.33203125" style="57" customWidth="1"/>
    <col min="4359" max="4359" width="6.88671875" style="57" customWidth="1"/>
    <col min="4360" max="4360" width="5.33203125" style="57" customWidth="1"/>
    <col min="4361" max="4361" width="6.33203125" style="57" customWidth="1"/>
    <col min="4362" max="4362" width="7.6640625" style="57" customWidth="1"/>
    <col min="4363" max="4364" width="0" style="57" hidden="1" customWidth="1"/>
    <col min="4365" max="4365" width="4" style="57" customWidth="1"/>
    <col min="4366" max="4370" width="4.33203125" style="57" customWidth="1"/>
    <col min="4371" max="4372" width="0" style="57" hidden="1" customWidth="1"/>
    <col min="4373" max="4375" width="4.33203125" style="57" customWidth="1"/>
    <col min="4376" max="4378" width="0" style="57" hidden="1" customWidth="1"/>
    <col min="4379" max="4379" width="11.6640625" style="57" bestFit="1" customWidth="1"/>
    <col min="4380" max="4380" width="12.44140625" style="57" customWidth="1"/>
    <col min="4381" max="4381" width="11.5546875" style="57" customWidth="1"/>
    <col min="4382" max="4382" width="12.109375" style="57" customWidth="1"/>
    <col min="4383" max="4383" width="11.6640625" style="57" bestFit="1" customWidth="1"/>
    <col min="4384" max="4610" width="11.33203125" style="57"/>
    <col min="4611" max="4611" width="4" style="57" customWidth="1"/>
    <col min="4612" max="4612" width="3.5546875" style="57" customWidth="1"/>
    <col min="4613" max="4613" width="5.109375" style="57" customWidth="1"/>
    <col min="4614" max="4614" width="5.33203125" style="57" customWidth="1"/>
    <col min="4615" max="4615" width="6.88671875" style="57" customWidth="1"/>
    <col min="4616" max="4616" width="5.33203125" style="57" customWidth="1"/>
    <col min="4617" max="4617" width="6.33203125" style="57" customWidth="1"/>
    <col min="4618" max="4618" width="7.6640625" style="57" customWidth="1"/>
    <col min="4619" max="4620" width="0" style="57" hidden="1" customWidth="1"/>
    <col min="4621" max="4621" width="4" style="57" customWidth="1"/>
    <col min="4622" max="4626" width="4.33203125" style="57" customWidth="1"/>
    <col min="4627" max="4628" width="0" style="57" hidden="1" customWidth="1"/>
    <col min="4629" max="4631" width="4.33203125" style="57" customWidth="1"/>
    <col min="4632" max="4634" width="0" style="57" hidden="1" customWidth="1"/>
    <col min="4635" max="4635" width="11.6640625" style="57" bestFit="1" customWidth="1"/>
    <col min="4636" max="4636" width="12.44140625" style="57" customWidth="1"/>
    <col min="4637" max="4637" width="11.5546875" style="57" customWidth="1"/>
    <col min="4638" max="4638" width="12.109375" style="57" customWidth="1"/>
    <col min="4639" max="4639" width="11.6640625" style="57" bestFit="1" customWidth="1"/>
    <col min="4640" max="4866" width="11.33203125" style="57"/>
    <col min="4867" max="4867" width="4" style="57" customWidth="1"/>
    <col min="4868" max="4868" width="3.5546875" style="57" customWidth="1"/>
    <col min="4869" max="4869" width="5.109375" style="57" customWidth="1"/>
    <col min="4870" max="4870" width="5.33203125" style="57" customWidth="1"/>
    <col min="4871" max="4871" width="6.88671875" style="57" customWidth="1"/>
    <col min="4872" max="4872" width="5.33203125" style="57" customWidth="1"/>
    <col min="4873" max="4873" width="6.33203125" style="57" customWidth="1"/>
    <col min="4874" max="4874" width="7.6640625" style="57" customWidth="1"/>
    <col min="4875" max="4876" width="0" style="57" hidden="1" customWidth="1"/>
    <col min="4877" max="4877" width="4" style="57" customWidth="1"/>
    <col min="4878" max="4882" width="4.33203125" style="57" customWidth="1"/>
    <col min="4883" max="4884" width="0" style="57" hidden="1" customWidth="1"/>
    <col min="4885" max="4887" width="4.33203125" style="57" customWidth="1"/>
    <col min="4888" max="4890" width="0" style="57" hidden="1" customWidth="1"/>
    <col min="4891" max="4891" width="11.6640625" style="57" bestFit="1" customWidth="1"/>
    <col min="4892" max="4892" width="12.44140625" style="57" customWidth="1"/>
    <col min="4893" max="4893" width="11.5546875" style="57" customWidth="1"/>
    <col min="4894" max="4894" width="12.109375" style="57" customWidth="1"/>
    <col min="4895" max="4895" width="11.6640625" style="57" bestFit="1" customWidth="1"/>
    <col min="4896" max="5122" width="11.33203125" style="57"/>
    <col min="5123" max="5123" width="4" style="57" customWidth="1"/>
    <col min="5124" max="5124" width="3.5546875" style="57" customWidth="1"/>
    <col min="5125" max="5125" width="5.109375" style="57" customWidth="1"/>
    <col min="5126" max="5126" width="5.33203125" style="57" customWidth="1"/>
    <col min="5127" max="5127" width="6.88671875" style="57" customWidth="1"/>
    <col min="5128" max="5128" width="5.33203125" style="57" customWidth="1"/>
    <col min="5129" max="5129" width="6.33203125" style="57" customWidth="1"/>
    <col min="5130" max="5130" width="7.6640625" style="57" customWidth="1"/>
    <col min="5131" max="5132" width="0" style="57" hidden="1" customWidth="1"/>
    <col min="5133" max="5133" width="4" style="57" customWidth="1"/>
    <col min="5134" max="5138" width="4.33203125" style="57" customWidth="1"/>
    <col min="5139" max="5140" width="0" style="57" hidden="1" customWidth="1"/>
    <col min="5141" max="5143" width="4.33203125" style="57" customWidth="1"/>
    <col min="5144" max="5146" width="0" style="57" hidden="1" customWidth="1"/>
    <col min="5147" max="5147" width="11.6640625" style="57" bestFit="1" customWidth="1"/>
    <col min="5148" max="5148" width="12.44140625" style="57" customWidth="1"/>
    <col min="5149" max="5149" width="11.5546875" style="57" customWidth="1"/>
    <col min="5150" max="5150" width="12.109375" style="57" customWidth="1"/>
    <col min="5151" max="5151" width="11.6640625" style="57" bestFit="1" customWidth="1"/>
    <col min="5152" max="5378" width="11.33203125" style="57"/>
    <col min="5379" max="5379" width="4" style="57" customWidth="1"/>
    <col min="5380" max="5380" width="3.5546875" style="57" customWidth="1"/>
    <col min="5381" max="5381" width="5.109375" style="57" customWidth="1"/>
    <col min="5382" max="5382" width="5.33203125" style="57" customWidth="1"/>
    <col min="5383" max="5383" width="6.88671875" style="57" customWidth="1"/>
    <col min="5384" max="5384" width="5.33203125" style="57" customWidth="1"/>
    <col min="5385" max="5385" width="6.33203125" style="57" customWidth="1"/>
    <col min="5386" max="5386" width="7.6640625" style="57" customWidth="1"/>
    <col min="5387" max="5388" width="0" style="57" hidden="1" customWidth="1"/>
    <col min="5389" max="5389" width="4" style="57" customWidth="1"/>
    <col min="5390" max="5394" width="4.33203125" style="57" customWidth="1"/>
    <col min="5395" max="5396" width="0" style="57" hidden="1" customWidth="1"/>
    <col min="5397" max="5399" width="4.33203125" style="57" customWidth="1"/>
    <col min="5400" max="5402" width="0" style="57" hidden="1" customWidth="1"/>
    <col min="5403" max="5403" width="11.6640625" style="57" bestFit="1" customWidth="1"/>
    <col min="5404" max="5404" width="12.44140625" style="57" customWidth="1"/>
    <col min="5405" max="5405" width="11.5546875" style="57" customWidth="1"/>
    <col min="5406" max="5406" width="12.109375" style="57" customWidth="1"/>
    <col min="5407" max="5407" width="11.6640625" style="57" bestFit="1" customWidth="1"/>
    <col min="5408" max="5634" width="11.33203125" style="57"/>
    <col min="5635" max="5635" width="4" style="57" customWidth="1"/>
    <col min="5636" max="5636" width="3.5546875" style="57" customWidth="1"/>
    <col min="5637" max="5637" width="5.109375" style="57" customWidth="1"/>
    <col min="5638" max="5638" width="5.33203125" style="57" customWidth="1"/>
    <col min="5639" max="5639" width="6.88671875" style="57" customWidth="1"/>
    <col min="5640" max="5640" width="5.33203125" style="57" customWidth="1"/>
    <col min="5641" max="5641" width="6.33203125" style="57" customWidth="1"/>
    <col min="5642" max="5642" width="7.6640625" style="57" customWidth="1"/>
    <col min="5643" max="5644" width="0" style="57" hidden="1" customWidth="1"/>
    <col min="5645" max="5645" width="4" style="57" customWidth="1"/>
    <col min="5646" max="5650" width="4.33203125" style="57" customWidth="1"/>
    <col min="5651" max="5652" width="0" style="57" hidden="1" customWidth="1"/>
    <col min="5653" max="5655" width="4.33203125" style="57" customWidth="1"/>
    <col min="5656" max="5658" width="0" style="57" hidden="1" customWidth="1"/>
    <col min="5659" max="5659" width="11.6640625" style="57" bestFit="1" customWidth="1"/>
    <col min="5660" max="5660" width="12.44140625" style="57" customWidth="1"/>
    <col min="5661" max="5661" width="11.5546875" style="57" customWidth="1"/>
    <col min="5662" max="5662" width="12.109375" style="57" customWidth="1"/>
    <col min="5663" max="5663" width="11.6640625" style="57" bestFit="1" customWidth="1"/>
    <col min="5664" max="5890" width="11.33203125" style="57"/>
    <col min="5891" max="5891" width="4" style="57" customWidth="1"/>
    <col min="5892" max="5892" width="3.5546875" style="57" customWidth="1"/>
    <col min="5893" max="5893" width="5.109375" style="57" customWidth="1"/>
    <col min="5894" max="5894" width="5.33203125" style="57" customWidth="1"/>
    <col min="5895" max="5895" width="6.88671875" style="57" customWidth="1"/>
    <col min="5896" max="5896" width="5.33203125" style="57" customWidth="1"/>
    <col min="5897" max="5897" width="6.33203125" style="57" customWidth="1"/>
    <col min="5898" max="5898" width="7.6640625" style="57" customWidth="1"/>
    <col min="5899" max="5900" width="0" style="57" hidden="1" customWidth="1"/>
    <col min="5901" max="5901" width="4" style="57" customWidth="1"/>
    <col min="5902" max="5906" width="4.33203125" style="57" customWidth="1"/>
    <col min="5907" max="5908" width="0" style="57" hidden="1" customWidth="1"/>
    <col min="5909" max="5911" width="4.33203125" style="57" customWidth="1"/>
    <col min="5912" max="5914" width="0" style="57" hidden="1" customWidth="1"/>
    <col min="5915" max="5915" width="11.6640625" style="57" bestFit="1" customWidth="1"/>
    <col min="5916" max="5916" width="12.44140625" style="57" customWidth="1"/>
    <col min="5917" max="5917" width="11.5546875" style="57" customWidth="1"/>
    <col min="5918" max="5918" width="12.109375" style="57" customWidth="1"/>
    <col min="5919" max="5919" width="11.6640625" style="57" bestFit="1" customWidth="1"/>
    <col min="5920" max="6146" width="11.33203125" style="57"/>
    <col min="6147" max="6147" width="4" style="57" customWidth="1"/>
    <col min="6148" max="6148" width="3.5546875" style="57" customWidth="1"/>
    <col min="6149" max="6149" width="5.109375" style="57" customWidth="1"/>
    <col min="6150" max="6150" width="5.33203125" style="57" customWidth="1"/>
    <col min="6151" max="6151" width="6.88671875" style="57" customWidth="1"/>
    <col min="6152" max="6152" width="5.33203125" style="57" customWidth="1"/>
    <col min="6153" max="6153" width="6.33203125" style="57" customWidth="1"/>
    <col min="6154" max="6154" width="7.6640625" style="57" customWidth="1"/>
    <col min="6155" max="6156" width="0" style="57" hidden="1" customWidth="1"/>
    <col min="6157" max="6157" width="4" style="57" customWidth="1"/>
    <col min="6158" max="6162" width="4.33203125" style="57" customWidth="1"/>
    <col min="6163" max="6164" width="0" style="57" hidden="1" customWidth="1"/>
    <col min="6165" max="6167" width="4.33203125" style="57" customWidth="1"/>
    <col min="6168" max="6170" width="0" style="57" hidden="1" customWidth="1"/>
    <col min="6171" max="6171" width="11.6640625" style="57" bestFit="1" customWidth="1"/>
    <col min="6172" max="6172" width="12.44140625" style="57" customWidth="1"/>
    <col min="6173" max="6173" width="11.5546875" style="57" customWidth="1"/>
    <col min="6174" max="6174" width="12.109375" style="57" customWidth="1"/>
    <col min="6175" max="6175" width="11.6640625" style="57" bestFit="1" customWidth="1"/>
    <col min="6176" max="6402" width="11.33203125" style="57"/>
    <col min="6403" max="6403" width="4" style="57" customWidth="1"/>
    <col min="6404" max="6404" width="3.5546875" style="57" customWidth="1"/>
    <col min="6405" max="6405" width="5.109375" style="57" customWidth="1"/>
    <col min="6406" max="6406" width="5.33203125" style="57" customWidth="1"/>
    <col min="6407" max="6407" width="6.88671875" style="57" customWidth="1"/>
    <col min="6408" max="6408" width="5.33203125" style="57" customWidth="1"/>
    <col min="6409" max="6409" width="6.33203125" style="57" customWidth="1"/>
    <col min="6410" max="6410" width="7.6640625" style="57" customWidth="1"/>
    <col min="6411" max="6412" width="0" style="57" hidden="1" customWidth="1"/>
    <col min="6413" max="6413" width="4" style="57" customWidth="1"/>
    <col min="6414" max="6418" width="4.33203125" style="57" customWidth="1"/>
    <col min="6419" max="6420" width="0" style="57" hidden="1" customWidth="1"/>
    <col min="6421" max="6423" width="4.33203125" style="57" customWidth="1"/>
    <col min="6424" max="6426" width="0" style="57" hidden="1" customWidth="1"/>
    <col min="6427" max="6427" width="11.6640625" style="57" bestFit="1" customWidth="1"/>
    <col min="6428" max="6428" width="12.44140625" style="57" customWidth="1"/>
    <col min="6429" max="6429" width="11.5546875" style="57" customWidth="1"/>
    <col min="6430" max="6430" width="12.109375" style="57" customWidth="1"/>
    <col min="6431" max="6431" width="11.6640625" style="57" bestFit="1" customWidth="1"/>
    <col min="6432" max="6658" width="11.33203125" style="57"/>
    <col min="6659" max="6659" width="4" style="57" customWidth="1"/>
    <col min="6660" max="6660" width="3.5546875" style="57" customWidth="1"/>
    <col min="6661" max="6661" width="5.109375" style="57" customWidth="1"/>
    <col min="6662" max="6662" width="5.33203125" style="57" customWidth="1"/>
    <col min="6663" max="6663" width="6.88671875" style="57" customWidth="1"/>
    <col min="6664" max="6664" width="5.33203125" style="57" customWidth="1"/>
    <col min="6665" max="6665" width="6.33203125" style="57" customWidth="1"/>
    <col min="6666" max="6666" width="7.6640625" style="57" customWidth="1"/>
    <col min="6667" max="6668" width="0" style="57" hidden="1" customWidth="1"/>
    <col min="6669" max="6669" width="4" style="57" customWidth="1"/>
    <col min="6670" max="6674" width="4.33203125" style="57" customWidth="1"/>
    <col min="6675" max="6676" width="0" style="57" hidden="1" customWidth="1"/>
    <col min="6677" max="6679" width="4.33203125" style="57" customWidth="1"/>
    <col min="6680" max="6682" width="0" style="57" hidden="1" customWidth="1"/>
    <col min="6683" max="6683" width="11.6640625" style="57" bestFit="1" customWidth="1"/>
    <col min="6684" max="6684" width="12.44140625" style="57" customWidth="1"/>
    <col min="6685" max="6685" width="11.5546875" style="57" customWidth="1"/>
    <col min="6686" max="6686" width="12.109375" style="57" customWidth="1"/>
    <col min="6687" max="6687" width="11.6640625" style="57" bestFit="1" customWidth="1"/>
    <col min="6688" max="6914" width="11.33203125" style="57"/>
    <col min="6915" max="6915" width="4" style="57" customWidth="1"/>
    <col min="6916" max="6916" width="3.5546875" style="57" customWidth="1"/>
    <col min="6917" max="6917" width="5.109375" style="57" customWidth="1"/>
    <col min="6918" max="6918" width="5.33203125" style="57" customWidth="1"/>
    <col min="6919" max="6919" width="6.88671875" style="57" customWidth="1"/>
    <col min="6920" max="6920" width="5.33203125" style="57" customWidth="1"/>
    <col min="6921" max="6921" width="6.33203125" style="57" customWidth="1"/>
    <col min="6922" max="6922" width="7.6640625" style="57" customWidth="1"/>
    <col min="6923" max="6924" width="0" style="57" hidden="1" customWidth="1"/>
    <col min="6925" max="6925" width="4" style="57" customWidth="1"/>
    <col min="6926" max="6930" width="4.33203125" style="57" customWidth="1"/>
    <col min="6931" max="6932" width="0" style="57" hidden="1" customWidth="1"/>
    <col min="6933" max="6935" width="4.33203125" style="57" customWidth="1"/>
    <col min="6936" max="6938" width="0" style="57" hidden="1" customWidth="1"/>
    <col min="6939" max="6939" width="11.6640625" style="57" bestFit="1" customWidth="1"/>
    <col min="6940" max="6940" width="12.44140625" style="57" customWidth="1"/>
    <col min="6941" max="6941" width="11.5546875" style="57" customWidth="1"/>
    <col min="6942" max="6942" width="12.109375" style="57" customWidth="1"/>
    <col min="6943" max="6943" width="11.6640625" style="57" bestFit="1" customWidth="1"/>
    <col min="6944" max="7170" width="11.33203125" style="57"/>
    <col min="7171" max="7171" width="4" style="57" customWidth="1"/>
    <col min="7172" max="7172" width="3.5546875" style="57" customWidth="1"/>
    <col min="7173" max="7173" width="5.109375" style="57" customWidth="1"/>
    <col min="7174" max="7174" width="5.33203125" style="57" customWidth="1"/>
    <col min="7175" max="7175" width="6.88671875" style="57" customWidth="1"/>
    <col min="7176" max="7176" width="5.33203125" style="57" customWidth="1"/>
    <col min="7177" max="7177" width="6.33203125" style="57" customWidth="1"/>
    <col min="7178" max="7178" width="7.6640625" style="57" customWidth="1"/>
    <col min="7179" max="7180" width="0" style="57" hidden="1" customWidth="1"/>
    <col min="7181" max="7181" width="4" style="57" customWidth="1"/>
    <col min="7182" max="7186" width="4.33203125" style="57" customWidth="1"/>
    <col min="7187" max="7188" width="0" style="57" hidden="1" customWidth="1"/>
    <col min="7189" max="7191" width="4.33203125" style="57" customWidth="1"/>
    <col min="7192" max="7194" width="0" style="57" hidden="1" customWidth="1"/>
    <col min="7195" max="7195" width="11.6640625" style="57" bestFit="1" customWidth="1"/>
    <col min="7196" max="7196" width="12.44140625" style="57" customWidth="1"/>
    <col min="7197" max="7197" width="11.5546875" style="57" customWidth="1"/>
    <col min="7198" max="7198" width="12.109375" style="57" customWidth="1"/>
    <col min="7199" max="7199" width="11.6640625" style="57" bestFit="1" customWidth="1"/>
    <col min="7200" max="7426" width="11.33203125" style="57"/>
    <col min="7427" max="7427" width="4" style="57" customWidth="1"/>
    <col min="7428" max="7428" width="3.5546875" style="57" customWidth="1"/>
    <col min="7429" max="7429" width="5.109375" style="57" customWidth="1"/>
    <col min="7430" max="7430" width="5.33203125" style="57" customWidth="1"/>
    <col min="7431" max="7431" width="6.88671875" style="57" customWidth="1"/>
    <col min="7432" max="7432" width="5.33203125" style="57" customWidth="1"/>
    <col min="7433" max="7433" width="6.33203125" style="57" customWidth="1"/>
    <col min="7434" max="7434" width="7.6640625" style="57" customWidth="1"/>
    <col min="7435" max="7436" width="0" style="57" hidden="1" customWidth="1"/>
    <col min="7437" max="7437" width="4" style="57" customWidth="1"/>
    <col min="7438" max="7442" width="4.33203125" style="57" customWidth="1"/>
    <col min="7443" max="7444" width="0" style="57" hidden="1" customWidth="1"/>
    <col min="7445" max="7447" width="4.33203125" style="57" customWidth="1"/>
    <col min="7448" max="7450" width="0" style="57" hidden="1" customWidth="1"/>
    <col min="7451" max="7451" width="11.6640625" style="57" bestFit="1" customWidth="1"/>
    <col min="7452" max="7452" width="12.44140625" style="57" customWidth="1"/>
    <col min="7453" max="7453" width="11.5546875" style="57" customWidth="1"/>
    <col min="7454" max="7454" width="12.109375" style="57" customWidth="1"/>
    <col min="7455" max="7455" width="11.6640625" style="57" bestFit="1" customWidth="1"/>
    <col min="7456" max="7682" width="11.33203125" style="57"/>
    <col min="7683" max="7683" width="4" style="57" customWidth="1"/>
    <col min="7684" max="7684" width="3.5546875" style="57" customWidth="1"/>
    <col min="7685" max="7685" width="5.109375" style="57" customWidth="1"/>
    <col min="7686" max="7686" width="5.33203125" style="57" customWidth="1"/>
    <col min="7687" max="7687" width="6.88671875" style="57" customWidth="1"/>
    <col min="7688" max="7688" width="5.33203125" style="57" customWidth="1"/>
    <col min="7689" max="7689" width="6.33203125" style="57" customWidth="1"/>
    <col min="7690" max="7690" width="7.6640625" style="57" customWidth="1"/>
    <col min="7691" max="7692" width="0" style="57" hidden="1" customWidth="1"/>
    <col min="7693" max="7693" width="4" style="57" customWidth="1"/>
    <col min="7694" max="7698" width="4.33203125" style="57" customWidth="1"/>
    <col min="7699" max="7700" width="0" style="57" hidden="1" customWidth="1"/>
    <col min="7701" max="7703" width="4.33203125" style="57" customWidth="1"/>
    <col min="7704" max="7706" width="0" style="57" hidden="1" customWidth="1"/>
    <col min="7707" max="7707" width="11.6640625" style="57" bestFit="1" customWidth="1"/>
    <col min="7708" max="7708" width="12.44140625" style="57" customWidth="1"/>
    <col min="7709" max="7709" width="11.5546875" style="57" customWidth="1"/>
    <col min="7710" max="7710" width="12.109375" style="57" customWidth="1"/>
    <col min="7711" max="7711" width="11.6640625" style="57" bestFit="1" customWidth="1"/>
    <col min="7712" max="7938" width="11.33203125" style="57"/>
    <col min="7939" max="7939" width="4" style="57" customWidth="1"/>
    <col min="7940" max="7940" width="3.5546875" style="57" customWidth="1"/>
    <col min="7941" max="7941" width="5.109375" style="57" customWidth="1"/>
    <col min="7942" max="7942" width="5.33203125" style="57" customWidth="1"/>
    <col min="7943" max="7943" width="6.88671875" style="57" customWidth="1"/>
    <col min="7944" max="7944" width="5.33203125" style="57" customWidth="1"/>
    <col min="7945" max="7945" width="6.33203125" style="57" customWidth="1"/>
    <col min="7946" max="7946" width="7.6640625" style="57" customWidth="1"/>
    <col min="7947" max="7948" width="0" style="57" hidden="1" customWidth="1"/>
    <col min="7949" max="7949" width="4" style="57" customWidth="1"/>
    <col min="7950" max="7954" width="4.33203125" style="57" customWidth="1"/>
    <col min="7955" max="7956" width="0" style="57" hidden="1" customWidth="1"/>
    <col min="7957" max="7959" width="4.33203125" style="57" customWidth="1"/>
    <col min="7960" max="7962" width="0" style="57" hidden="1" customWidth="1"/>
    <col min="7963" max="7963" width="11.6640625" style="57" bestFit="1" customWidth="1"/>
    <col min="7964" max="7964" width="12.44140625" style="57" customWidth="1"/>
    <col min="7965" max="7965" width="11.5546875" style="57" customWidth="1"/>
    <col min="7966" max="7966" width="12.109375" style="57" customWidth="1"/>
    <col min="7967" max="7967" width="11.6640625" style="57" bestFit="1" customWidth="1"/>
    <col min="7968" max="8194" width="11.33203125" style="57"/>
    <col min="8195" max="8195" width="4" style="57" customWidth="1"/>
    <col min="8196" max="8196" width="3.5546875" style="57" customWidth="1"/>
    <col min="8197" max="8197" width="5.109375" style="57" customWidth="1"/>
    <col min="8198" max="8198" width="5.33203125" style="57" customWidth="1"/>
    <col min="8199" max="8199" width="6.88671875" style="57" customWidth="1"/>
    <col min="8200" max="8200" width="5.33203125" style="57" customWidth="1"/>
    <col min="8201" max="8201" width="6.33203125" style="57" customWidth="1"/>
    <col min="8202" max="8202" width="7.6640625" style="57" customWidth="1"/>
    <col min="8203" max="8204" width="0" style="57" hidden="1" customWidth="1"/>
    <col min="8205" max="8205" width="4" style="57" customWidth="1"/>
    <col min="8206" max="8210" width="4.33203125" style="57" customWidth="1"/>
    <col min="8211" max="8212" width="0" style="57" hidden="1" customWidth="1"/>
    <col min="8213" max="8215" width="4.33203125" style="57" customWidth="1"/>
    <col min="8216" max="8218" width="0" style="57" hidden="1" customWidth="1"/>
    <col min="8219" max="8219" width="11.6640625" style="57" bestFit="1" customWidth="1"/>
    <col min="8220" max="8220" width="12.44140625" style="57" customWidth="1"/>
    <col min="8221" max="8221" width="11.5546875" style="57" customWidth="1"/>
    <col min="8222" max="8222" width="12.109375" style="57" customWidth="1"/>
    <col min="8223" max="8223" width="11.6640625" style="57" bestFit="1" customWidth="1"/>
    <col min="8224" max="8450" width="11.33203125" style="57"/>
    <col min="8451" max="8451" width="4" style="57" customWidth="1"/>
    <col min="8452" max="8452" width="3.5546875" style="57" customWidth="1"/>
    <col min="8453" max="8453" width="5.109375" style="57" customWidth="1"/>
    <col min="8454" max="8454" width="5.33203125" style="57" customWidth="1"/>
    <col min="8455" max="8455" width="6.88671875" style="57" customWidth="1"/>
    <col min="8456" max="8456" width="5.33203125" style="57" customWidth="1"/>
    <col min="8457" max="8457" width="6.33203125" style="57" customWidth="1"/>
    <col min="8458" max="8458" width="7.6640625" style="57" customWidth="1"/>
    <col min="8459" max="8460" width="0" style="57" hidden="1" customWidth="1"/>
    <col min="8461" max="8461" width="4" style="57" customWidth="1"/>
    <col min="8462" max="8466" width="4.33203125" style="57" customWidth="1"/>
    <col min="8467" max="8468" width="0" style="57" hidden="1" customWidth="1"/>
    <col min="8469" max="8471" width="4.33203125" style="57" customWidth="1"/>
    <col min="8472" max="8474" width="0" style="57" hidden="1" customWidth="1"/>
    <col min="8475" max="8475" width="11.6640625" style="57" bestFit="1" customWidth="1"/>
    <col min="8476" max="8476" width="12.44140625" style="57" customWidth="1"/>
    <col min="8477" max="8477" width="11.5546875" style="57" customWidth="1"/>
    <col min="8478" max="8478" width="12.109375" style="57" customWidth="1"/>
    <col min="8479" max="8479" width="11.6640625" style="57" bestFit="1" customWidth="1"/>
    <col min="8480" max="8706" width="11.33203125" style="57"/>
    <col min="8707" max="8707" width="4" style="57" customWidth="1"/>
    <col min="8708" max="8708" width="3.5546875" style="57" customWidth="1"/>
    <col min="8709" max="8709" width="5.109375" style="57" customWidth="1"/>
    <col min="8710" max="8710" width="5.33203125" style="57" customWidth="1"/>
    <col min="8711" max="8711" width="6.88671875" style="57" customWidth="1"/>
    <col min="8712" max="8712" width="5.33203125" style="57" customWidth="1"/>
    <col min="8713" max="8713" width="6.33203125" style="57" customWidth="1"/>
    <col min="8714" max="8714" width="7.6640625" style="57" customWidth="1"/>
    <col min="8715" max="8716" width="0" style="57" hidden="1" customWidth="1"/>
    <col min="8717" max="8717" width="4" style="57" customWidth="1"/>
    <col min="8718" max="8722" width="4.33203125" style="57" customWidth="1"/>
    <col min="8723" max="8724" width="0" style="57" hidden="1" customWidth="1"/>
    <col min="8725" max="8727" width="4.33203125" style="57" customWidth="1"/>
    <col min="8728" max="8730" width="0" style="57" hidden="1" customWidth="1"/>
    <col min="8731" max="8731" width="11.6640625" style="57" bestFit="1" customWidth="1"/>
    <col min="8732" max="8732" width="12.44140625" style="57" customWidth="1"/>
    <col min="8733" max="8733" width="11.5546875" style="57" customWidth="1"/>
    <col min="8734" max="8734" width="12.109375" style="57" customWidth="1"/>
    <col min="8735" max="8735" width="11.6640625" style="57" bestFit="1" customWidth="1"/>
    <col min="8736" max="8962" width="11.33203125" style="57"/>
    <col min="8963" max="8963" width="4" style="57" customWidth="1"/>
    <col min="8964" max="8964" width="3.5546875" style="57" customWidth="1"/>
    <col min="8965" max="8965" width="5.109375" style="57" customWidth="1"/>
    <col min="8966" max="8966" width="5.33203125" style="57" customWidth="1"/>
    <col min="8967" max="8967" width="6.88671875" style="57" customWidth="1"/>
    <col min="8968" max="8968" width="5.33203125" style="57" customWidth="1"/>
    <col min="8969" max="8969" width="6.33203125" style="57" customWidth="1"/>
    <col min="8970" max="8970" width="7.6640625" style="57" customWidth="1"/>
    <col min="8971" max="8972" width="0" style="57" hidden="1" customWidth="1"/>
    <col min="8973" max="8973" width="4" style="57" customWidth="1"/>
    <col min="8974" max="8978" width="4.33203125" style="57" customWidth="1"/>
    <col min="8979" max="8980" width="0" style="57" hidden="1" customWidth="1"/>
    <col min="8981" max="8983" width="4.33203125" style="57" customWidth="1"/>
    <col min="8984" max="8986" width="0" style="57" hidden="1" customWidth="1"/>
    <col min="8987" max="8987" width="11.6640625" style="57" bestFit="1" customWidth="1"/>
    <col min="8988" max="8988" width="12.44140625" style="57" customWidth="1"/>
    <col min="8989" max="8989" width="11.5546875" style="57" customWidth="1"/>
    <col min="8990" max="8990" width="12.109375" style="57" customWidth="1"/>
    <col min="8991" max="8991" width="11.6640625" style="57" bestFit="1" customWidth="1"/>
    <col min="8992" max="9218" width="11.33203125" style="57"/>
    <col min="9219" max="9219" width="4" style="57" customWidth="1"/>
    <col min="9220" max="9220" width="3.5546875" style="57" customWidth="1"/>
    <col min="9221" max="9221" width="5.109375" style="57" customWidth="1"/>
    <col min="9222" max="9222" width="5.33203125" style="57" customWidth="1"/>
    <col min="9223" max="9223" width="6.88671875" style="57" customWidth="1"/>
    <col min="9224" max="9224" width="5.33203125" style="57" customWidth="1"/>
    <col min="9225" max="9225" width="6.33203125" style="57" customWidth="1"/>
    <col min="9226" max="9226" width="7.6640625" style="57" customWidth="1"/>
    <col min="9227" max="9228" width="0" style="57" hidden="1" customWidth="1"/>
    <col min="9229" max="9229" width="4" style="57" customWidth="1"/>
    <col min="9230" max="9234" width="4.33203125" style="57" customWidth="1"/>
    <col min="9235" max="9236" width="0" style="57" hidden="1" customWidth="1"/>
    <col min="9237" max="9239" width="4.33203125" style="57" customWidth="1"/>
    <col min="9240" max="9242" width="0" style="57" hidden="1" customWidth="1"/>
    <col min="9243" max="9243" width="11.6640625" style="57" bestFit="1" customWidth="1"/>
    <col min="9244" max="9244" width="12.44140625" style="57" customWidth="1"/>
    <col min="9245" max="9245" width="11.5546875" style="57" customWidth="1"/>
    <col min="9246" max="9246" width="12.109375" style="57" customWidth="1"/>
    <col min="9247" max="9247" width="11.6640625" style="57" bestFit="1" customWidth="1"/>
    <col min="9248" max="9474" width="11.33203125" style="57"/>
    <col min="9475" max="9475" width="4" style="57" customWidth="1"/>
    <col min="9476" max="9476" width="3.5546875" style="57" customWidth="1"/>
    <col min="9477" max="9477" width="5.109375" style="57" customWidth="1"/>
    <col min="9478" max="9478" width="5.33203125" style="57" customWidth="1"/>
    <col min="9479" max="9479" width="6.88671875" style="57" customWidth="1"/>
    <col min="9480" max="9480" width="5.33203125" style="57" customWidth="1"/>
    <col min="9481" max="9481" width="6.33203125" style="57" customWidth="1"/>
    <col min="9482" max="9482" width="7.6640625" style="57" customWidth="1"/>
    <col min="9483" max="9484" width="0" style="57" hidden="1" customWidth="1"/>
    <col min="9485" max="9485" width="4" style="57" customWidth="1"/>
    <col min="9486" max="9490" width="4.33203125" style="57" customWidth="1"/>
    <col min="9491" max="9492" width="0" style="57" hidden="1" customWidth="1"/>
    <col min="9493" max="9495" width="4.33203125" style="57" customWidth="1"/>
    <col min="9496" max="9498" width="0" style="57" hidden="1" customWidth="1"/>
    <col min="9499" max="9499" width="11.6640625" style="57" bestFit="1" customWidth="1"/>
    <col min="9500" max="9500" width="12.44140625" style="57" customWidth="1"/>
    <col min="9501" max="9501" width="11.5546875" style="57" customWidth="1"/>
    <col min="9502" max="9502" width="12.109375" style="57" customWidth="1"/>
    <col min="9503" max="9503" width="11.6640625" style="57" bestFit="1" customWidth="1"/>
    <col min="9504" max="9730" width="11.33203125" style="57"/>
    <col min="9731" max="9731" width="4" style="57" customWidth="1"/>
    <col min="9732" max="9732" width="3.5546875" style="57" customWidth="1"/>
    <col min="9733" max="9733" width="5.109375" style="57" customWidth="1"/>
    <col min="9734" max="9734" width="5.33203125" style="57" customWidth="1"/>
    <col min="9735" max="9735" width="6.88671875" style="57" customWidth="1"/>
    <col min="9736" max="9736" width="5.33203125" style="57" customWidth="1"/>
    <col min="9737" max="9737" width="6.33203125" style="57" customWidth="1"/>
    <col min="9738" max="9738" width="7.6640625" style="57" customWidth="1"/>
    <col min="9739" max="9740" width="0" style="57" hidden="1" customWidth="1"/>
    <col min="9741" max="9741" width="4" style="57" customWidth="1"/>
    <col min="9742" max="9746" width="4.33203125" style="57" customWidth="1"/>
    <col min="9747" max="9748" width="0" style="57" hidden="1" customWidth="1"/>
    <col min="9749" max="9751" width="4.33203125" style="57" customWidth="1"/>
    <col min="9752" max="9754" width="0" style="57" hidden="1" customWidth="1"/>
    <col min="9755" max="9755" width="11.6640625" style="57" bestFit="1" customWidth="1"/>
    <col min="9756" max="9756" width="12.44140625" style="57" customWidth="1"/>
    <col min="9757" max="9757" width="11.5546875" style="57" customWidth="1"/>
    <col min="9758" max="9758" width="12.109375" style="57" customWidth="1"/>
    <col min="9759" max="9759" width="11.6640625" style="57" bestFit="1" customWidth="1"/>
    <col min="9760" max="9986" width="11.33203125" style="57"/>
    <col min="9987" max="9987" width="4" style="57" customWidth="1"/>
    <col min="9988" max="9988" width="3.5546875" style="57" customWidth="1"/>
    <col min="9989" max="9989" width="5.109375" style="57" customWidth="1"/>
    <col min="9990" max="9990" width="5.33203125" style="57" customWidth="1"/>
    <col min="9991" max="9991" width="6.88671875" style="57" customWidth="1"/>
    <col min="9992" max="9992" width="5.33203125" style="57" customWidth="1"/>
    <col min="9993" max="9993" width="6.33203125" style="57" customWidth="1"/>
    <col min="9994" max="9994" width="7.6640625" style="57" customWidth="1"/>
    <col min="9995" max="9996" width="0" style="57" hidden="1" customWidth="1"/>
    <col min="9997" max="9997" width="4" style="57" customWidth="1"/>
    <col min="9998" max="10002" width="4.33203125" style="57" customWidth="1"/>
    <col min="10003" max="10004" width="0" style="57" hidden="1" customWidth="1"/>
    <col min="10005" max="10007" width="4.33203125" style="57" customWidth="1"/>
    <col min="10008" max="10010" width="0" style="57" hidden="1" customWidth="1"/>
    <col min="10011" max="10011" width="11.6640625" style="57" bestFit="1" customWidth="1"/>
    <col min="10012" max="10012" width="12.44140625" style="57" customWidth="1"/>
    <col min="10013" max="10013" width="11.5546875" style="57" customWidth="1"/>
    <col min="10014" max="10014" width="12.109375" style="57" customWidth="1"/>
    <col min="10015" max="10015" width="11.6640625" style="57" bestFit="1" customWidth="1"/>
    <col min="10016" max="10242" width="11.33203125" style="57"/>
    <col min="10243" max="10243" width="4" style="57" customWidth="1"/>
    <col min="10244" max="10244" width="3.5546875" style="57" customWidth="1"/>
    <col min="10245" max="10245" width="5.109375" style="57" customWidth="1"/>
    <col min="10246" max="10246" width="5.33203125" style="57" customWidth="1"/>
    <col min="10247" max="10247" width="6.88671875" style="57" customWidth="1"/>
    <col min="10248" max="10248" width="5.33203125" style="57" customWidth="1"/>
    <col min="10249" max="10249" width="6.33203125" style="57" customWidth="1"/>
    <col min="10250" max="10250" width="7.6640625" style="57" customWidth="1"/>
    <col min="10251" max="10252" width="0" style="57" hidden="1" customWidth="1"/>
    <col min="10253" max="10253" width="4" style="57" customWidth="1"/>
    <col min="10254" max="10258" width="4.33203125" style="57" customWidth="1"/>
    <col min="10259" max="10260" width="0" style="57" hidden="1" customWidth="1"/>
    <col min="10261" max="10263" width="4.33203125" style="57" customWidth="1"/>
    <col min="10264" max="10266" width="0" style="57" hidden="1" customWidth="1"/>
    <col min="10267" max="10267" width="11.6640625" style="57" bestFit="1" customWidth="1"/>
    <col min="10268" max="10268" width="12.44140625" style="57" customWidth="1"/>
    <col min="10269" max="10269" width="11.5546875" style="57" customWidth="1"/>
    <col min="10270" max="10270" width="12.109375" style="57" customWidth="1"/>
    <col min="10271" max="10271" width="11.6640625" style="57" bestFit="1" customWidth="1"/>
    <col min="10272" max="10498" width="11.33203125" style="57"/>
    <col min="10499" max="10499" width="4" style="57" customWidth="1"/>
    <col min="10500" max="10500" width="3.5546875" style="57" customWidth="1"/>
    <col min="10501" max="10501" width="5.109375" style="57" customWidth="1"/>
    <col min="10502" max="10502" width="5.33203125" style="57" customWidth="1"/>
    <col min="10503" max="10503" width="6.88671875" style="57" customWidth="1"/>
    <col min="10504" max="10504" width="5.33203125" style="57" customWidth="1"/>
    <col min="10505" max="10505" width="6.33203125" style="57" customWidth="1"/>
    <col min="10506" max="10506" width="7.6640625" style="57" customWidth="1"/>
    <col min="10507" max="10508" width="0" style="57" hidden="1" customWidth="1"/>
    <col min="10509" max="10509" width="4" style="57" customWidth="1"/>
    <col min="10510" max="10514" width="4.33203125" style="57" customWidth="1"/>
    <col min="10515" max="10516" width="0" style="57" hidden="1" customWidth="1"/>
    <col min="10517" max="10519" width="4.33203125" style="57" customWidth="1"/>
    <col min="10520" max="10522" width="0" style="57" hidden="1" customWidth="1"/>
    <col min="10523" max="10523" width="11.6640625" style="57" bestFit="1" customWidth="1"/>
    <col min="10524" max="10524" width="12.44140625" style="57" customWidth="1"/>
    <col min="10525" max="10525" width="11.5546875" style="57" customWidth="1"/>
    <col min="10526" max="10526" width="12.109375" style="57" customWidth="1"/>
    <col min="10527" max="10527" width="11.6640625" style="57" bestFit="1" customWidth="1"/>
    <col min="10528" max="10754" width="11.33203125" style="57"/>
    <col min="10755" max="10755" width="4" style="57" customWidth="1"/>
    <col min="10756" max="10756" width="3.5546875" style="57" customWidth="1"/>
    <col min="10757" max="10757" width="5.109375" style="57" customWidth="1"/>
    <col min="10758" max="10758" width="5.33203125" style="57" customWidth="1"/>
    <col min="10759" max="10759" width="6.88671875" style="57" customWidth="1"/>
    <col min="10760" max="10760" width="5.33203125" style="57" customWidth="1"/>
    <col min="10761" max="10761" width="6.33203125" style="57" customWidth="1"/>
    <col min="10762" max="10762" width="7.6640625" style="57" customWidth="1"/>
    <col min="10763" max="10764" width="0" style="57" hidden="1" customWidth="1"/>
    <col min="10765" max="10765" width="4" style="57" customWidth="1"/>
    <col min="10766" max="10770" width="4.33203125" style="57" customWidth="1"/>
    <col min="10771" max="10772" width="0" style="57" hidden="1" customWidth="1"/>
    <col min="10773" max="10775" width="4.33203125" style="57" customWidth="1"/>
    <col min="10776" max="10778" width="0" style="57" hidden="1" customWidth="1"/>
    <col min="10779" max="10779" width="11.6640625" style="57" bestFit="1" customWidth="1"/>
    <col min="10780" max="10780" width="12.44140625" style="57" customWidth="1"/>
    <col min="10781" max="10781" width="11.5546875" style="57" customWidth="1"/>
    <col min="10782" max="10782" width="12.109375" style="57" customWidth="1"/>
    <col min="10783" max="10783" width="11.6640625" style="57" bestFit="1" customWidth="1"/>
    <col min="10784" max="11010" width="11.33203125" style="57"/>
    <col min="11011" max="11011" width="4" style="57" customWidth="1"/>
    <col min="11012" max="11012" width="3.5546875" style="57" customWidth="1"/>
    <col min="11013" max="11013" width="5.109375" style="57" customWidth="1"/>
    <col min="11014" max="11014" width="5.33203125" style="57" customWidth="1"/>
    <col min="11015" max="11015" width="6.88671875" style="57" customWidth="1"/>
    <col min="11016" max="11016" width="5.33203125" style="57" customWidth="1"/>
    <col min="11017" max="11017" width="6.33203125" style="57" customWidth="1"/>
    <col min="11018" max="11018" width="7.6640625" style="57" customWidth="1"/>
    <col min="11019" max="11020" width="0" style="57" hidden="1" customWidth="1"/>
    <col min="11021" max="11021" width="4" style="57" customWidth="1"/>
    <col min="11022" max="11026" width="4.33203125" style="57" customWidth="1"/>
    <col min="11027" max="11028" width="0" style="57" hidden="1" customWidth="1"/>
    <col min="11029" max="11031" width="4.33203125" style="57" customWidth="1"/>
    <col min="11032" max="11034" width="0" style="57" hidden="1" customWidth="1"/>
    <col min="11035" max="11035" width="11.6640625" style="57" bestFit="1" customWidth="1"/>
    <col min="11036" max="11036" width="12.44140625" style="57" customWidth="1"/>
    <col min="11037" max="11037" width="11.5546875" style="57" customWidth="1"/>
    <col min="11038" max="11038" width="12.109375" style="57" customWidth="1"/>
    <col min="11039" max="11039" width="11.6640625" style="57" bestFit="1" customWidth="1"/>
    <col min="11040" max="11266" width="11.33203125" style="57"/>
    <col min="11267" max="11267" width="4" style="57" customWidth="1"/>
    <col min="11268" max="11268" width="3.5546875" style="57" customWidth="1"/>
    <col min="11269" max="11269" width="5.109375" style="57" customWidth="1"/>
    <col min="11270" max="11270" width="5.33203125" style="57" customWidth="1"/>
    <col min="11271" max="11271" width="6.88671875" style="57" customWidth="1"/>
    <col min="11272" max="11272" width="5.33203125" style="57" customWidth="1"/>
    <col min="11273" max="11273" width="6.33203125" style="57" customWidth="1"/>
    <col min="11274" max="11274" width="7.6640625" style="57" customWidth="1"/>
    <col min="11275" max="11276" width="0" style="57" hidden="1" customWidth="1"/>
    <col min="11277" max="11277" width="4" style="57" customWidth="1"/>
    <col min="11278" max="11282" width="4.33203125" style="57" customWidth="1"/>
    <col min="11283" max="11284" width="0" style="57" hidden="1" customWidth="1"/>
    <col min="11285" max="11287" width="4.33203125" style="57" customWidth="1"/>
    <col min="11288" max="11290" width="0" style="57" hidden="1" customWidth="1"/>
    <col min="11291" max="11291" width="11.6640625" style="57" bestFit="1" customWidth="1"/>
    <col min="11292" max="11292" width="12.44140625" style="57" customWidth="1"/>
    <col min="11293" max="11293" width="11.5546875" style="57" customWidth="1"/>
    <col min="11294" max="11294" width="12.109375" style="57" customWidth="1"/>
    <col min="11295" max="11295" width="11.6640625" style="57" bestFit="1" customWidth="1"/>
    <col min="11296" max="11522" width="11.33203125" style="57"/>
    <col min="11523" max="11523" width="4" style="57" customWidth="1"/>
    <col min="11524" max="11524" width="3.5546875" style="57" customWidth="1"/>
    <col min="11525" max="11525" width="5.109375" style="57" customWidth="1"/>
    <col min="11526" max="11526" width="5.33203125" style="57" customWidth="1"/>
    <col min="11527" max="11527" width="6.88671875" style="57" customWidth="1"/>
    <col min="11528" max="11528" width="5.33203125" style="57" customWidth="1"/>
    <col min="11529" max="11529" width="6.33203125" style="57" customWidth="1"/>
    <col min="11530" max="11530" width="7.6640625" style="57" customWidth="1"/>
    <col min="11531" max="11532" width="0" style="57" hidden="1" customWidth="1"/>
    <col min="11533" max="11533" width="4" style="57" customWidth="1"/>
    <col min="11534" max="11538" width="4.33203125" style="57" customWidth="1"/>
    <col min="11539" max="11540" width="0" style="57" hidden="1" customWidth="1"/>
    <col min="11541" max="11543" width="4.33203125" style="57" customWidth="1"/>
    <col min="11544" max="11546" width="0" style="57" hidden="1" customWidth="1"/>
    <col min="11547" max="11547" width="11.6640625" style="57" bestFit="1" customWidth="1"/>
    <col min="11548" max="11548" width="12.44140625" style="57" customWidth="1"/>
    <col min="11549" max="11549" width="11.5546875" style="57" customWidth="1"/>
    <col min="11550" max="11550" width="12.109375" style="57" customWidth="1"/>
    <col min="11551" max="11551" width="11.6640625" style="57" bestFit="1" customWidth="1"/>
    <col min="11552" max="11778" width="11.33203125" style="57"/>
    <col min="11779" max="11779" width="4" style="57" customWidth="1"/>
    <col min="11780" max="11780" width="3.5546875" style="57" customWidth="1"/>
    <col min="11781" max="11781" width="5.109375" style="57" customWidth="1"/>
    <col min="11782" max="11782" width="5.33203125" style="57" customWidth="1"/>
    <col min="11783" max="11783" width="6.88671875" style="57" customWidth="1"/>
    <col min="11784" max="11784" width="5.33203125" style="57" customWidth="1"/>
    <col min="11785" max="11785" width="6.33203125" style="57" customWidth="1"/>
    <col min="11786" max="11786" width="7.6640625" style="57" customWidth="1"/>
    <col min="11787" max="11788" width="0" style="57" hidden="1" customWidth="1"/>
    <col min="11789" max="11789" width="4" style="57" customWidth="1"/>
    <col min="11790" max="11794" width="4.33203125" style="57" customWidth="1"/>
    <col min="11795" max="11796" width="0" style="57" hidden="1" customWidth="1"/>
    <col min="11797" max="11799" width="4.33203125" style="57" customWidth="1"/>
    <col min="11800" max="11802" width="0" style="57" hidden="1" customWidth="1"/>
    <col min="11803" max="11803" width="11.6640625" style="57" bestFit="1" customWidth="1"/>
    <col min="11804" max="11804" width="12.44140625" style="57" customWidth="1"/>
    <col min="11805" max="11805" width="11.5546875" style="57" customWidth="1"/>
    <col min="11806" max="11806" width="12.109375" style="57" customWidth="1"/>
    <col min="11807" max="11807" width="11.6640625" style="57" bestFit="1" customWidth="1"/>
    <col min="11808" max="12034" width="11.33203125" style="57"/>
    <col min="12035" max="12035" width="4" style="57" customWidth="1"/>
    <col min="12036" max="12036" width="3.5546875" style="57" customWidth="1"/>
    <col min="12037" max="12037" width="5.109375" style="57" customWidth="1"/>
    <col min="12038" max="12038" width="5.33203125" style="57" customWidth="1"/>
    <col min="12039" max="12039" width="6.88671875" style="57" customWidth="1"/>
    <col min="12040" max="12040" width="5.33203125" style="57" customWidth="1"/>
    <col min="12041" max="12041" width="6.33203125" style="57" customWidth="1"/>
    <col min="12042" max="12042" width="7.6640625" style="57" customWidth="1"/>
    <col min="12043" max="12044" width="0" style="57" hidden="1" customWidth="1"/>
    <col min="12045" max="12045" width="4" style="57" customWidth="1"/>
    <col min="12046" max="12050" width="4.33203125" style="57" customWidth="1"/>
    <col min="12051" max="12052" width="0" style="57" hidden="1" customWidth="1"/>
    <col min="12053" max="12055" width="4.33203125" style="57" customWidth="1"/>
    <col min="12056" max="12058" width="0" style="57" hidden="1" customWidth="1"/>
    <col min="12059" max="12059" width="11.6640625" style="57" bestFit="1" customWidth="1"/>
    <col min="12060" max="12060" width="12.44140625" style="57" customWidth="1"/>
    <col min="12061" max="12061" width="11.5546875" style="57" customWidth="1"/>
    <col min="12062" max="12062" width="12.109375" style="57" customWidth="1"/>
    <col min="12063" max="12063" width="11.6640625" style="57" bestFit="1" customWidth="1"/>
    <col min="12064" max="12290" width="11.33203125" style="57"/>
    <col min="12291" max="12291" width="4" style="57" customWidth="1"/>
    <col min="12292" max="12292" width="3.5546875" style="57" customWidth="1"/>
    <col min="12293" max="12293" width="5.109375" style="57" customWidth="1"/>
    <col min="12294" max="12294" width="5.33203125" style="57" customWidth="1"/>
    <col min="12295" max="12295" width="6.88671875" style="57" customWidth="1"/>
    <col min="12296" max="12296" width="5.33203125" style="57" customWidth="1"/>
    <col min="12297" max="12297" width="6.33203125" style="57" customWidth="1"/>
    <col min="12298" max="12298" width="7.6640625" style="57" customWidth="1"/>
    <col min="12299" max="12300" width="0" style="57" hidden="1" customWidth="1"/>
    <col min="12301" max="12301" width="4" style="57" customWidth="1"/>
    <col min="12302" max="12306" width="4.33203125" style="57" customWidth="1"/>
    <col min="12307" max="12308" width="0" style="57" hidden="1" customWidth="1"/>
    <col min="12309" max="12311" width="4.33203125" style="57" customWidth="1"/>
    <col min="12312" max="12314" width="0" style="57" hidden="1" customWidth="1"/>
    <col min="12315" max="12315" width="11.6640625" style="57" bestFit="1" customWidth="1"/>
    <col min="12316" max="12316" width="12.44140625" style="57" customWidth="1"/>
    <col min="12317" max="12317" width="11.5546875" style="57" customWidth="1"/>
    <col min="12318" max="12318" width="12.109375" style="57" customWidth="1"/>
    <col min="12319" max="12319" width="11.6640625" style="57" bestFit="1" customWidth="1"/>
    <col min="12320" max="12546" width="11.33203125" style="57"/>
    <col min="12547" max="12547" width="4" style="57" customWidth="1"/>
    <col min="12548" max="12548" width="3.5546875" style="57" customWidth="1"/>
    <col min="12549" max="12549" width="5.109375" style="57" customWidth="1"/>
    <col min="12550" max="12550" width="5.33203125" style="57" customWidth="1"/>
    <col min="12551" max="12551" width="6.88671875" style="57" customWidth="1"/>
    <col min="12552" max="12552" width="5.33203125" style="57" customWidth="1"/>
    <col min="12553" max="12553" width="6.33203125" style="57" customWidth="1"/>
    <col min="12554" max="12554" width="7.6640625" style="57" customWidth="1"/>
    <col min="12555" max="12556" width="0" style="57" hidden="1" customWidth="1"/>
    <col min="12557" max="12557" width="4" style="57" customWidth="1"/>
    <col min="12558" max="12562" width="4.33203125" style="57" customWidth="1"/>
    <col min="12563" max="12564" width="0" style="57" hidden="1" customWidth="1"/>
    <col min="12565" max="12567" width="4.33203125" style="57" customWidth="1"/>
    <col min="12568" max="12570" width="0" style="57" hidden="1" customWidth="1"/>
    <col min="12571" max="12571" width="11.6640625" style="57" bestFit="1" customWidth="1"/>
    <col min="12572" max="12572" width="12.44140625" style="57" customWidth="1"/>
    <col min="12573" max="12573" width="11.5546875" style="57" customWidth="1"/>
    <col min="12574" max="12574" width="12.109375" style="57" customWidth="1"/>
    <col min="12575" max="12575" width="11.6640625" style="57" bestFit="1" customWidth="1"/>
    <col min="12576" max="12802" width="11.33203125" style="57"/>
    <col min="12803" max="12803" width="4" style="57" customWidth="1"/>
    <col min="12804" max="12804" width="3.5546875" style="57" customWidth="1"/>
    <col min="12805" max="12805" width="5.109375" style="57" customWidth="1"/>
    <col min="12806" max="12806" width="5.33203125" style="57" customWidth="1"/>
    <col min="12807" max="12807" width="6.88671875" style="57" customWidth="1"/>
    <col min="12808" max="12808" width="5.33203125" style="57" customWidth="1"/>
    <col min="12809" max="12809" width="6.33203125" style="57" customWidth="1"/>
    <col min="12810" max="12810" width="7.6640625" style="57" customWidth="1"/>
    <col min="12811" max="12812" width="0" style="57" hidden="1" customWidth="1"/>
    <col min="12813" max="12813" width="4" style="57" customWidth="1"/>
    <col min="12814" max="12818" width="4.33203125" style="57" customWidth="1"/>
    <col min="12819" max="12820" width="0" style="57" hidden="1" customWidth="1"/>
    <col min="12821" max="12823" width="4.33203125" style="57" customWidth="1"/>
    <col min="12824" max="12826" width="0" style="57" hidden="1" customWidth="1"/>
    <col min="12827" max="12827" width="11.6640625" style="57" bestFit="1" customWidth="1"/>
    <col min="12828" max="12828" width="12.44140625" style="57" customWidth="1"/>
    <col min="12829" max="12829" width="11.5546875" style="57" customWidth="1"/>
    <col min="12830" max="12830" width="12.109375" style="57" customWidth="1"/>
    <col min="12831" max="12831" width="11.6640625" style="57" bestFit="1" customWidth="1"/>
    <col min="12832" max="13058" width="11.33203125" style="57"/>
    <col min="13059" max="13059" width="4" style="57" customWidth="1"/>
    <col min="13060" max="13060" width="3.5546875" style="57" customWidth="1"/>
    <col min="13061" max="13061" width="5.109375" style="57" customWidth="1"/>
    <col min="13062" max="13062" width="5.33203125" style="57" customWidth="1"/>
    <col min="13063" max="13063" width="6.88671875" style="57" customWidth="1"/>
    <col min="13064" max="13064" width="5.33203125" style="57" customWidth="1"/>
    <col min="13065" max="13065" width="6.33203125" style="57" customWidth="1"/>
    <col min="13066" max="13066" width="7.6640625" style="57" customWidth="1"/>
    <col min="13067" max="13068" width="0" style="57" hidden="1" customWidth="1"/>
    <col min="13069" max="13069" width="4" style="57" customWidth="1"/>
    <col min="13070" max="13074" width="4.33203125" style="57" customWidth="1"/>
    <col min="13075" max="13076" width="0" style="57" hidden="1" customWidth="1"/>
    <col min="13077" max="13079" width="4.33203125" style="57" customWidth="1"/>
    <col min="13080" max="13082" width="0" style="57" hidden="1" customWidth="1"/>
    <col min="13083" max="13083" width="11.6640625" style="57" bestFit="1" customWidth="1"/>
    <col min="13084" max="13084" width="12.44140625" style="57" customWidth="1"/>
    <col min="13085" max="13085" width="11.5546875" style="57" customWidth="1"/>
    <col min="13086" max="13086" width="12.109375" style="57" customWidth="1"/>
    <col min="13087" max="13087" width="11.6640625" style="57" bestFit="1" customWidth="1"/>
    <col min="13088" max="13314" width="11.33203125" style="57"/>
    <col min="13315" max="13315" width="4" style="57" customWidth="1"/>
    <col min="13316" max="13316" width="3.5546875" style="57" customWidth="1"/>
    <col min="13317" max="13317" width="5.109375" style="57" customWidth="1"/>
    <col min="13318" max="13318" width="5.33203125" style="57" customWidth="1"/>
    <col min="13319" max="13319" width="6.88671875" style="57" customWidth="1"/>
    <col min="13320" max="13320" width="5.33203125" style="57" customWidth="1"/>
    <col min="13321" max="13321" width="6.33203125" style="57" customWidth="1"/>
    <col min="13322" max="13322" width="7.6640625" style="57" customWidth="1"/>
    <col min="13323" max="13324" width="0" style="57" hidden="1" customWidth="1"/>
    <col min="13325" max="13325" width="4" style="57" customWidth="1"/>
    <col min="13326" max="13330" width="4.33203125" style="57" customWidth="1"/>
    <col min="13331" max="13332" width="0" style="57" hidden="1" customWidth="1"/>
    <col min="13333" max="13335" width="4.33203125" style="57" customWidth="1"/>
    <col min="13336" max="13338" width="0" style="57" hidden="1" customWidth="1"/>
    <col min="13339" max="13339" width="11.6640625" style="57" bestFit="1" customWidth="1"/>
    <col min="13340" max="13340" width="12.44140625" style="57" customWidth="1"/>
    <col min="13341" max="13341" width="11.5546875" style="57" customWidth="1"/>
    <col min="13342" max="13342" width="12.109375" style="57" customWidth="1"/>
    <col min="13343" max="13343" width="11.6640625" style="57" bestFit="1" customWidth="1"/>
    <col min="13344" max="13570" width="11.33203125" style="57"/>
    <col min="13571" max="13571" width="4" style="57" customWidth="1"/>
    <col min="13572" max="13572" width="3.5546875" style="57" customWidth="1"/>
    <col min="13573" max="13573" width="5.109375" style="57" customWidth="1"/>
    <col min="13574" max="13574" width="5.33203125" style="57" customWidth="1"/>
    <col min="13575" max="13575" width="6.88671875" style="57" customWidth="1"/>
    <col min="13576" max="13576" width="5.33203125" style="57" customWidth="1"/>
    <col min="13577" max="13577" width="6.33203125" style="57" customWidth="1"/>
    <col min="13578" max="13578" width="7.6640625" style="57" customWidth="1"/>
    <col min="13579" max="13580" width="0" style="57" hidden="1" customWidth="1"/>
    <col min="13581" max="13581" width="4" style="57" customWidth="1"/>
    <col min="13582" max="13586" width="4.33203125" style="57" customWidth="1"/>
    <col min="13587" max="13588" width="0" style="57" hidden="1" customWidth="1"/>
    <col min="13589" max="13591" width="4.33203125" style="57" customWidth="1"/>
    <col min="13592" max="13594" width="0" style="57" hidden="1" customWidth="1"/>
    <col min="13595" max="13595" width="11.6640625" style="57" bestFit="1" customWidth="1"/>
    <col min="13596" max="13596" width="12.44140625" style="57" customWidth="1"/>
    <col min="13597" max="13597" width="11.5546875" style="57" customWidth="1"/>
    <col min="13598" max="13598" width="12.109375" style="57" customWidth="1"/>
    <col min="13599" max="13599" width="11.6640625" style="57" bestFit="1" customWidth="1"/>
    <col min="13600" max="13826" width="11.33203125" style="57"/>
    <col min="13827" max="13827" width="4" style="57" customWidth="1"/>
    <col min="13828" max="13828" width="3.5546875" style="57" customWidth="1"/>
    <col min="13829" max="13829" width="5.109375" style="57" customWidth="1"/>
    <col min="13830" max="13830" width="5.33203125" style="57" customWidth="1"/>
    <col min="13831" max="13831" width="6.88671875" style="57" customWidth="1"/>
    <col min="13832" max="13832" width="5.33203125" style="57" customWidth="1"/>
    <col min="13833" max="13833" width="6.33203125" style="57" customWidth="1"/>
    <col min="13834" max="13834" width="7.6640625" style="57" customWidth="1"/>
    <col min="13835" max="13836" width="0" style="57" hidden="1" customWidth="1"/>
    <col min="13837" max="13837" width="4" style="57" customWidth="1"/>
    <col min="13838" max="13842" width="4.33203125" style="57" customWidth="1"/>
    <col min="13843" max="13844" width="0" style="57" hidden="1" customWidth="1"/>
    <col min="13845" max="13847" width="4.33203125" style="57" customWidth="1"/>
    <col min="13848" max="13850" width="0" style="57" hidden="1" customWidth="1"/>
    <col min="13851" max="13851" width="11.6640625" style="57" bestFit="1" customWidth="1"/>
    <col min="13852" max="13852" width="12.44140625" style="57" customWidth="1"/>
    <col min="13853" max="13853" width="11.5546875" style="57" customWidth="1"/>
    <col min="13854" max="13854" width="12.109375" style="57" customWidth="1"/>
    <col min="13855" max="13855" width="11.6640625" style="57" bestFit="1" customWidth="1"/>
    <col min="13856" max="14082" width="11.33203125" style="57"/>
    <col min="14083" max="14083" width="4" style="57" customWidth="1"/>
    <col min="14084" max="14084" width="3.5546875" style="57" customWidth="1"/>
    <col min="14085" max="14085" width="5.109375" style="57" customWidth="1"/>
    <col min="14086" max="14086" width="5.33203125" style="57" customWidth="1"/>
    <col min="14087" max="14087" width="6.88671875" style="57" customWidth="1"/>
    <col min="14088" max="14088" width="5.33203125" style="57" customWidth="1"/>
    <col min="14089" max="14089" width="6.33203125" style="57" customWidth="1"/>
    <col min="14090" max="14090" width="7.6640625" style="57" customWidth="1"/>
    <col min="14091" max="14092" width="0" style="57" hidden="1" customWidth="1"/>
    <col min="14093" max="14093" width="4" style="57" customWidth="1"/>
    <col min="14094" max="14098" width="4.33203125" style="57" customWidth="1"/>
    <col min="14099" max="14100" width="0" style="57" hidden="1" customWidth="1"/>
    <col min="14101" max="14103" width="4.33203125" style="57" customWidth="1"/>
    <col min="14104" max="14106" width="0" style="57" hidden="1" customWidth="1"/>
    <col min="14107" max="14107" width="11.6640625" style="57" bestFit="1" customWidth="1"/>
    <col min="14108" max="14108" width="12.44140625" style="57" customWidth="1"/>
    <col min="14109" max="14109" width="11.5546875" style="57" customWidth="1"/>
    <col min="14110" max="14110" width="12.109375" style="57" customWidth="1"/>
    <col min="14111" max="14111" width="11.6640625" style="57" bestFit="1" customWidth="1"/>
    <col min="14112" max="14338" width="11.33203125" style="57"/>
    <col min="14339" max="14339" width="4" style="57" customWidth="1"/>
    <col min="14340" max="14340" width="3.5546875" style="57" customWidth="1"/>
    <col min="14341" max="14341" width="5.109375" style="57" customWidth="1"/>
    <col min="14342" max="14342" width="5.33203125" style="57" customWidth="1"/>
    <col min="14343" max="14343" width="6.88671875" style="57" customWidth="1"/>
    <col min="14344" max="14344" width="5.33203125" style="57" customWidth="1"/>
    <col min="14345" max="14345" width="6.33203125" style="57" customWidth="1"/>
    <col min="14346" max="14346" width="7.6640625" style="57" customWidth="1"/>
    <col min="14347" max="14348" width="0" style="57" hidden="1" customWidth="1"/>
    <col min="14349" max="14349" width="4" style="57" customWidth="1"/>
    <col min="14350" max="14354" width="4.33203125" style="57" customWidth="1"/>
    <col min="14355" max="14356" width="0" style="57" hidden="1" customWidth="1"/>
    <col min="14357" max="14359" width="4.33203125" style="57" customWidth="1"/>
    <col min="14360" max="14362" width="0" style="57" hidden="1" customWidth="1"/>
    <col min="14363" max="14363" width="11.6640625" style="57" bestFit="1" customWidth="1"/>
    <col min="14364" max="14364" width="12.44140625" style="57" customWidth="1"/>
    <col min="14365" max="14365" width="11.5546875" style="57" customWidth="1"/>
    <col min="14366" max="14366" width="12.109375" style="57" customWidth="1"/>
    <col min="14367" max="14367" width="11.6640625" style="57" bestFit="1" customWidth="1"/>
    <col min="14368" max="14594" width="11.33203125" style="57"/>
    <col min="14595" max="14595" width="4" style="57" customWidth="1"/>
    <col min="14596" max="14596" width="3.5546875" style="57" customWidth="1"/>
    <col min="14597" max="14597" width="5.109375" style="57" customWidth="1"/>
    <col min="14598" max="14598" width="5.33203125" style="57" customWidth="1"/>
    <col min="14599" max="14599" width="6.88671875" style="57" customWidth="1"/>
    <col min="14600" max="14600" width="5.33203125" style="57" customWidth="1"/>
    <col min="14601" max="14601" width="6.33203125" style="57" customWidth="1"/>
    <col min="14602" max="14602" width="7.6640625" style="57" customWidth="1"/>
    <col min="14603" max="14604" width="0" style="57" hidden="1" customWidth="1"/>
    <col min="14605" max="14605" width="4" style="57" customWidth="1"/>
    <col min="14606" max="14610" width="4.33203125" style="57" customWidth="1"/>
    <col min="14611" max="14612" width="0" style="57" hidden="1" customWidth="1"/>
    <col min="14613" max="14615" width="4.33203125" style="57" customWidth="1"/>
    <col min="14616" max="14618" width="0" style="57" hidden="1" customWidth="1"/>
    <col min="14619" max="14619" width="11.6640625" style="57" bestFit="1" customWidth="1"/>
    <col min="14620" max="14620" width="12.44140625" style="57" customWidth="1"/>
    <col min="14621" max="14621" width="11.5546875" style="57" customWidth="1"/>
    <col min="14622" max="14622" width="12.109375" style="57" customWidth="1"/>
    <col min="14623" max="14623" width="11.6640625" style="57" bestFit="1" customWidth="1"/>
    <col min="14624" max="14850" width="11.33203125" style="57"/>
    <col min="14851" max="14851" width="4" style="57" customWidth="1"/>
    <col min="14852" max="14852" width="3.5546875" style="57" customWidth="1"/>
    <col min="14853" max="14853" width="5.109375" style="57" customWidth="1"/>
    <col min="14854" max="14854" width="5.33203125" style="57" customWidth="1"/>
    <col min="14855" max="14855" width="6.88671875" style="57" customWidth="1"/>
    <col min="14856" max="14856" width="5.33203125" style="57" customWidth="1"/>
    <col min="14857" max="14857" width="6.33203125" style="57" customWidth="1"/>
    <col min="14858" max="14858" width="7.6640625" style="57" customWidth="1"/>
    <col min="14859" max="14860" width="0" style="57" hidden="1" customWidth="1"/>
    <col min="14861" max="14861" width="4" style="57" customWidth="1"/>
    <col min="14862" max="14866" width="4.33203125" style="57" customWidth="1"/>
    <col min="14867" max="14868" width="0" style="57" hidden="1" customWidth="1"/>
    <col min="14869" max="14871" width="4.33203125" style="57" customWidth="1"/>
    <col min="14872" max="14874" width="0" style="57" hidden="1" customWidth="1"/>
    <col min="14875" max="14875" width="11.6640625" style="57" bestFit="1" customWidth="1"/>
    <col min="14876" max="14876" width="12.44140625" style="57" customWidth="1"/>
    <col min="14877" max="14877" width="11.5546875" style="57" customWidth="1"/>
    <col min="14878" max="14878" width="12.109375" style="57" customWidth="1"/>
    <col min="14879" max="14879" width="11.6640625" style="57" bestFit="1" customWidth="1"/>
    <col min="14880" max="15106" width="11.33203125" style="57"/>
    <col min="15107" max="15107" width="4" style="57" customWidth="1"/>
    <col min="15108" max="15108" width="3.5546875" style="57" customWidth="1"/>
    <col min="15109" max="15109" width="5.109375" style="57" customWidth="1"/>
    <col min="15110" max="15110" width="5.33203125" style="57" customWidth="1"/>
    <col min="15111" max="15111" width="6.88671875" style="57" customWidth="1"/>
    <col min="15112" max="15112" width="5.33203125" style="57" customWidth="1"/>
    <col min="15113" max="15113" width="6.33203125" style="57" customWidth="1"/>
    <col min="15114" max="15114" width="7.6640625" style="57" customWidth="1"/>
    <col min="15115" max="15116" width="0" style="57" hidden="1" customWidth="1"/>
    <col min="15117" max="15117" width="4" style="57" customWidth="1"/>
    <col min="15118" max="15122" width="4.33203125" style="57" customWidth="1"/>
    <col min="15123" max="15124" width="0" style="57" hidden="1" customWidth="1"/>
    <col min="15125" max="15127" width="4.33203125" style="57" customWidth="1"/>
    <col min="15128" max="15130" width="0" style="57" hidden="1" customWidth="1"/>
    <col min="15131" max="15131" width="11.6640625" style="57" bestFit="1" customWidth="1"/>
    <col min="15132" max="15132" width="12.44140625" style="57" customWidth="1"/>
    <col min="15133" max="15133" width="11.5546875" style="57" customWidth="1"/>
    <col min="15134" max="15134" width="12.109375" style="57" customWidth="1"/>
    <col min="15135" max="15135" width="11.6640625" style="57" bestFit="1" customWidth="1"/>
    <col min="15136" max="15362" width="11.33203125" style="57"/>
    <col min="15363" max="15363" width="4" style="57" customWidth="1"/>
    <col min="15364" max="15364" width="3.5546875" style="57" customWidth="1"/>
    <col min="15365" max="15365" width="5.109375" style="57" customWidth="1"/>
    <col min="15366" max="15366" width="5.33203125" style="57" customWidth="1"/>
    <col min="15367" max="15367" width="6.88671875" style="57" customWidth="1"/>
    <col min="15368" max="15368" width="5.33203125" style="57" customWidth="1"/>
    <col min="15369" max="15369" width="6.33203125" style="57" customWidth="1"/>
    <col min="15370" max="15370" width="7.6640625" style="57" customWidth="1"/>
    <col min="15371" max="15372" width="0" style="57" hidden="1" customWidth="1"/>
    <col min="15373" max="15373" width="4" style="57" customWidth="1"/>
    <col min="15374" max="15378" width="4.33203125" style="57" customWidth="1"/>
    <col min="15379" max="15380" width="0" style="57" hidden="1" customWidth="1"/>
    <col min="15381" max="15383" width="4.33203125" style="57" customWidth="1"/>
    <col min="15384" max="15386" width="0" style="57" hidden="1" customWidth="1"/>
    <col min="15387" max="15387" width="11.6640625" style="57" bestFit="1" customWidth="1"/>
    <col min="15388" max="15388" width="12.44140625" style="57" customWidth="1"/>
    <col min="15389" max="15389" width="11.5546875" style="57" customWidth="1"/>
    <col min="15390" max="15390" width="12.109375" style="57" customWidth="1"/>
    <col min="15391" max="15391" width="11.6640625" style="57" bestFit="1" customWidth="1"/>
    <col min="15392" max="15618" width="11.33203125" style="57"/>
    <col min="15619" max="15619" width="4" style="57" customWidth="1"/>
    <col min="15620" max="15620" width="3.5546875" style="57" customWidth="1"/>
    <col min="15621" max="15621" width="5.109375" style="57" customWidth="1"/>
    <col min="15622" max="15622" width="5.33203125" style="57" customWidth="1"/>
    <col min="15623" max="15623" width="6.88671875" style="57" customWidth="1"/>
    <col min="15624" max="15624" width="5.33203125" style="57" customWidth="1"/>
    <col min="15625" max="15625" width="6.33203125" style="57" customWidth="1"/>
    <col min="15626" max="15626" width="7.6640625" style="57" customWidth="1"/>
    <col min="15627" max="15628" width="0" style="57" hidden="1" customWidth="1"/>
    <col min="15629" max="15629" width="4" style="57" customWidth="1"/>
    <col min="15630" max="15634" width="4.33203125" style="57" customWidth="1"/>
    <col min="15635" max="15636" width="0" style="57" hidden="1" customWidth="1"/>
    <col min="15637" max="15639" width="4.33203125" style="57" customWidth="1"/>
    <col min="15640" max="15642" width="0" style="57" hidden="1" customWidth="1"/>
    <col min="15643" max="15643" width="11.6640625" style="57" bestFit="1" customWidth="1"/>
    <col min="15644" max="15644" width="12.44140625" style="57" customWidth="1"/>
    <col min="15645" max="15645" width="11.5546875" style="57" customWidth="1"/>
    <col min="15646" max="15646" width="12.109375" style="57" customWidth="1"/>
    <col min="15647" max="15647" width="11.6640625" style="57" bestFit="1" customWidth="1"/>
    <col min="15648" max="15874" width="11.33203125" style="57"/>
    <col min="15875" max="15875" width="4" style="57" customWidth="1"/>
    <col min="15876" max="15876" width="3.5546875" style="57" customWidth="1"/>
    <col min="15877" max="15877" width="5.109375" style="57" customWidth="1"/>
    <col min="15878" max="15878" width="5.33203125" style="57" customWidth="1"/>
    <col min="15879" max="15879" width="6.88671875" style="57" customWidth="1"/>
    <col min="15880" max="15880" width="5.33203125" style="57" customWidth="1"/>
    <col min="15881" max="15881" width="6.33203125" style="57" customWidth="1"/>
    <col min="15882" max="15882" width="7.6640625" style="57" customWidth="1"/>
    <col min="15883" max="15884" width="0" style="57" hidden="1" customWidth="1"/>
    <col min="15885" max="15885" width="4" style="57" customWidth="1"/>
    <col min="15886" max="15890" width="4.33203125" style="57" customWidth="1"/>
    <col min="15891" max="15892" width="0" style="57" hidden="1" customWidth="1"/>
    <col min="15893" max="15895" width="4.33203125" style="57" customWidth="1"/>
    <col min="15896" max="15898" width="0" style="57" hidden="1" customWidth="1"/>
    <col min="15899" max="15899" width="11.6640625" style="57" bestFit="1" customWidth="1"/>
    <col min="15900" max="15900" width="12.44140625" style="57" customWidth="1"/>
    <col min="15901" max="15901" width="11.5546875" style="57" customWidth="1"/>
    <col min="15902" max="15902" width="12.109375" style="57" customWidth="1"/>
    <col min="15903" max="15903" width="11.6640625" style="57" bestFit="1" customWidth="1"/>
    <col min="15904" max="16130" width="11.33203125" style="57"/>
    <col min="16131" max="16131" width="4" style="57" customWidth="1"/>
    <col min="16132" max="16132" width="3.5546875" style="57" customWidth="1"/>
    <col min="16133" max="16133" width="5.109375" style="57" customWidth="1"/>
    <col min="16134" max="16134" width="5.33203125" style="57" customWidth="1"/>
    <col min="16135" max="16135" width="6.88671875" style="57" customWidth="1"/>
    <col min="16136" max="16136" width="5.33203125" style="57" customWidth="1"/>
    <col min="16137" max="16137" width="6.33203125" style="57" customWidth="1"/>
    <col min="16138" max="16138" width="7.6640625" style="57" customWidth="1"/>
    <col min="16139" max="16140" width="0" style="57" hidden="1" customWidth="1"/>
    <col min="16141" max="16141" width="4" style="57" customWidth="1"/>
    <col min="16142" max="16146" width="4.33203125" style="57" customWidth="1"/>
    <col min="16147" max="16148" width="0" style="57" hidden="1" customWidth="1"/>
    <col min="16149" max="16151" width="4.33203125" style="57" customWidth="1"/>
    <col min="16152" max="16154" width="0" style="57" hidden="1" customWidth="1"/>
    <col min="16155" max="16155" width="11.6640625" style="57" bestFit="1" customWidth="1"/>
    <col min="16156" max="16156" width="12.44140625" style="57" customWidth="1"/>
    <col min="16157" max="16157" width="11.5546875" style="57" customWidth="1"/>
    <col min="16158" max="16158" width="12.109375" style="57" customWidth="1"/>
    <col min="16159" max="16159" width="11.6640625" style="57" bestFit="1" customWidth="1"/>
    <col min="16160" max="16384" width="11.33203125" style="57"/>
  </cols>
  <sheetData>
    <row r="6" spans="3:31" ht="18" customHeight="1"/>
    <row r="7" spans="3:31">
      <c r="C7" s="57" t="s">
        <v>355</v>
      </c>
      <c r="E7" s="367">
        <v>40000</v>
      </c>
      <c r="F7" s="367"/>
      <c r="G7" s="367"/>
      <c r="L7" s="165"/>
    </row>
    <row r="8" spans="3:31" ht="13.8">
      <c r="C8" s="57" t="s">
        <v>193</v>
      </c>
      <c r="E8" s="352">
        <v>0.05</v>
      </c>
      <c r="F8" s="352"/>
      <c r="G8" s="352"/>
      <c r="L8" s="368">
        <f>(E8*1.12)</f>
        <v>5.6000000000000008E-2</v>
      </c>
      <c r="M8" s="368"/>
      <c r="AA8" s="370" t="s">
        <v>356</v>
      </c>
      <c r="AB8" s="370"/>
      <c r="AC8" s="370"/>
    </row>
    <row r="9" spans="3:31">
      <c r="C9" s="57" t="s">
        <v>325</v>
      </c>
      <c r="E9" s="371">
        <v>36</v>
      </c>
      <c r="F9" s="371"/>
      <c r="G9" s="371"/>
      <c r="L9" s="165"/>
      <c r="AA9" s="220"/>
      <c r="AB9" s="221">
        <f>SUM(AD18:AD52)</f>
        <v>45570</v>
      </c>
      <c r="AC9" s="221"/>
    </row>
    <row r="10" spans="3:31" hidden="1">
      <c r="C10" s="57" t="s">
        <v>357</v>
      </c>
      <c r="E10" s="372">
        <f>G18+I18+E11+E12</f>
        <v>2904.5699999999997</v>
      </c>
      <c r="F10" s="372"/>
      <c r="G10" s="372"/>
      <c r="L10" s="165"/>
      <c r="U10" s="179"/>
      <c r="AD10" s="212"/>
    </row>
    <row r="11" spans="3:31">
      <c r="C11" s="57" t="s">
        <v>124</v>
      </c>
      <c r="E11" s="350">
        <v>516.37</v>
      </c>
      <c r="F11" s="350"/>
      <c r="G11" s="350"/>
      <c r="L11" s="165"/>
      <c r="U11" s="179"/>
      <c r="AD11" s="212"/>
    </row>
    <row r="12" spans="3:31">
      <c r="C12" s="57" t="s">
        <v>123</v>
      </c>
      <c r="E12" s="350">
        <v>148.19999999999999</v>
      </c>
      <c r="F12" s="350"/>
      <c r="G12" s="350"/>
      <c r="L12" s="165"/>
      <c r="T12" s="171"/>
      <c r="U12" s="179"/>
      <c r="AD12" s="212"/>
    </row>
    <row r="13" spans="3:31" hidden="1">
      <c r="C13" s="57" t="s">
        <v>333</v>
      </c>
      <c r="E13" s="373">
        <f>SUM(E10:G12)</f>
        <v>3569.1399999999994</v>
      </c>
      <c r="F13" s="373"/>
      <c r="G13" s="373"/>
      <c r="L13" s="165"/>
      <c r="T13" s="171"/>
      <c r="U13" s="179"/>
      <c r="AD13" s="171"/>
    </row>
    <row r="14" spans="3:31">
      <c r="C14" s="57" t="s">
        <v>276</v>
      </c>
      <c r="E14" s="374">
        <v>0.7</v>
      </c>
      <c r="F14" s="374"/>
      <c r="G14" s="177"/>
      <c r="L14" s="165"/>
      <c r="T14" s="171"/>
      <c r="U14" s="179"/>
      <c r="AA14" s="171"/>
      <c r="AD14" s="212"/>
    </row>
    <row r="15" spans="3:31">
      <c r="C15" s="57" t="s">
        <v>358</v>
      </c>
      <c r="E15" s="374">
        <v>0.3</v>
      </c>
      <c r="F15" s="374"/>
      <c r="G15" s="177"/>
      <c r="L15" s="165"/>
      <c r="T15" s="171"/>
      <c r="U15" s="179"/>
      <c r="V15" s="337"/>
      <c r="W15" s="337"/>
      <c r="X15" s="337"/>
      <c r="AA15" s="171"/>
      <c r="AD15" s="212"/>
    </row>
    <row r="16" spans="3:31">
      <c r="AB16" s="369" t="s">
        <v>359</v>
      </c>
      <c r="AC16" s="369"/>
      <c r="AD16" s="369" t="s">
        <v>360</v>
      </c>
      <c r="AE16" s="369"/>
    </row>
    <row r="17" spans="1:31" ht="27.75" customHeight="1">
      <c r="A17" s="172" t="s">
        <v>380</v>
      </c>
      <c r="B17" s="57" t="s">
        <v>327</v>
      </c>
      <c r="C17" s="172" t="s">
        <v>379</v>
      </c>
      <c r="D17" s="341" t="s">
        <v>328</v>
      </c>
      <c r="E17" s="341"/>
      <c r="F17" s="341"/>
      <c r="G17" s="341" t="s">
        <v>329</v>
      </c>
      <c r="H17" s="341"/>
      <c r="I17" s="341" t="s">
        <v>274</v>
      </c>
      <c r="J17" s="341"/>
      <c r="K17" s="341" t="s">
        <v>330</v>
      </c>
      <c r="L17" s="341"/>
      <c r="M17" s="341" t="s">
        <v>326</v>
      </c>
      <c r="N17" s="341"/>
      <c r="O17" s="341"/>
      <c r="P17" s="341" t="s">
        <v>331</v>
      </c>
      <c r="Q17" s="341"/>
      <c r="R17" s="341"/>
      <c r="S17" s="172" t="s">
        <v>124</v>
      </c>
      <c r="T17" s="172" t="s">
        <v>123</v>
      </c>
      <c r="U17" s="341" t="s">
        <v>332</v>
      </c>
      <c r="V17" s="341"/>
      <c r="W17" s="341"/>
      <c r="X17" s="342" t="s">
        <v>333</v>
      </c>
      <c r="Y17" s="342"/>
      <c r="Z17" s="342"/>
      <c r="AA17" s="176" t="s">
        <v>361</v>
      </c>
      <c r="AB17" s="176" t="s">
        <v>276</v>
      </c>
      <c r="AC17" s="176" t="s">
        <v>362</v>
      </c>
      <c r="AD17" s="176" t="s">
        <v>276</v>
      </c>
      <c r="AE17" s="176" t="s">
        <v>358</v>
      </c>
    </row>
    <row r="18" spans="1:31" ht="14.4">
      <c r="A18" s="173">
        <v>1</v>
      </c>
      <c r="C18" s="224">
        <v>43940</v>
      </c>
      <c r="D18" s="343">
        <f>E7</f>
        <v>40000</v>
      </c>
      <c r="E18" s="343"/>
      <c r="F18" s="343"/>
      <c r="G18" s="338">
        <f>D18*$E$8</f>
        <v>2000</v>
      </c>
      <c r="H18" s="338"/>
      <c r="I18" s="338">
        <f>G18*0.12</f>
        <v>240</v>
      </c>
      <c r="J18" s="338"/>
      <c r="K18" s="338">
        <f>G18+I18</f>
        <v>2240</v>
      </c>
      <c r="L18" s="338"/>
      <c r="M18" s="338">
        <f>G18+I18+$E$11+$E$12</f>
        <v>2904.5699999999997</v>
      </c>
      <c r="N18" s="338"/>
      <c r="O18" s="338"/>
      <c r="P18" s="340"/>
      <c r="Q18" s="340"/>
      <c r="R18" s="340"/>
      <c r="S18" s="174">
        <f>IF(D18="","",$E$11)</f>
        <v>516.37</v>
      </c>
      <c r="T18" s="174">
        <f>IF(D18="","",$E$12)</f>
        <v>148.19999999999999</v>
      </c>
      <c r="U18" s="338">
        <f>D18-P18</f>
        <v>40000</v>
      </c>
      <c r="V18" s="338"/>
      <c r="W18" s="338"/>
      <c r="X18" s="338">
        <f>IFERROR(M18+S18+T18,"")</f>
        <v>3569.1399999999994</v>
      </c>
      <c r="Y18" s="338"/>
      <c r="Z18" s="338"/>
      <c r="AA18" s="171">
        <f>G18*0.07</f>
        <v>140</v>
      </c>
      <c r="AB18" s="171">
        <f>(G18+I18)*$E$14</f>
        <v>1568</v>
      </c>
      <c r="AC18" s="171">
        <f>(G18+I18)*$E$15</f>
        <v>672</v>
      </c>
      <c r="AD18" s="171">
        <f>(G18-AA18)*$E$14</f>
        <v>1302</v>
      </c>
      <c r="AE18" s="139">
        <f>(G18-AA18)*$E$15</f>
        <v>558</v>
      </c>
    </row>
    <row r="19" spans="1:31">
      <c r="A19" s="173">
        <f>IF(D19="","",B19+1)</f>
        <v>2</v>
      </c>
      <c r="B19" s="57">
        <v>1</v>
      </c>
      <c r="C19" s="223">
        <f>IF(D19="","",EDATE(C18,B19))</f>
        <v>43970</v>
      </c>
      <c r="D19" s="337">
        <f t="shared" ref="D19:D34" si="0">IF(U18&lt;=0.1,"",U18)</f>
        <v>40000</v>
      </c>
      <c r="E19" s="337"/>
      <c r="F19" s="337"/>
      <c r="G19" s="338">
        <f t="shared" ref="G19:G33" si="1">IF(D19="","",(D19*$E$8))</f>
        <v>2000</v>
      </c>
      <c r="H19" s="338"/>
      <c r="I19" s="338">
        <f t="shared" ref="I19:I31" si="2">IF(G19="","",(G19*0.12))</f>
        <v>240</v>
      </c>
      <c r="J19" s="338"/>
      <c r="K19" s="338">
        <f t="shared" ref="K19:K31" si="3">IF(G19="","",G19+I19)</f>
        <v>2240</v>
      </c>
      <c r="L19" s="338"/>
      <c r="M19" s="338">
        <f t="shared" ref="M19:M33" si="4">IF(I19="","",G19+I19+$E$11+$E$12)</f>
        <v>2904.5699999999997</v>
      </c>
      <c r="N19" s="338"/>
      <c r="O19" s="338"/>
      <c r="P19" s="340">
        <v>0</v>
      </c>
      <c r="Q19" s="340"/>
      <c r="R19" s="340"/>
      <c r="S19" s="174">
        <f>IF(D19="","",$E$11)</f>
        <v>516.37</v>
      </c>
      <c r="T19" s="174">
        <f>IF(D19="","",$E$12)</f>
        <v>148.19999999999999</v>
      </c>
      <c r="U19" s="338">
        <f>IF(P19="","",D19-P19)</f>
        <v>40000</v>
      </c>
      <c r="V19" s="338"/>
      <c r="W19" s="338"/>
      <c r="X19" s="338">
        <f>IF(D19="","",$X$18)</f>
        <v>3569.1399999999994</v>
      </c>
      <c r="Y19" s="338"/>
      <c r="Z19" s="338"/>
      <c r="AA19" s="171">
        <f>IF(G19="","",(G19*0.07))</f>
        <v>140</v>
      </c>
      <c r="AB19" s="179">
        <f t="shared" ref="AB19:AB53" si="5">IF(G19="","",(G19+I19)*$E$14)</f>
        <v>1568</v>
      </c>
      <c r="AC19" s="179">
        <f t="shared" ref="AC19:AC53" si="6">IF(G19="","",(G19+I19)*$E$15)</f>
        <v>672</v>
      </c>
      <c r="AD19" s="179">
        <f t="shared" ref="AD19:AD53" si="7">IF(G19="","",(G19-AA19)*$E$14)</f>
        <v>1302</v>
      </c>
      <c r="AE19" s="179">
        <f t="shared" ref="AE19:AE53" si="8">IF(G19="","",(G19-AA19)*$E$15)</f>
        <v>558</v>
      </c>
    </row>
    <row r="20" spans="1:31">
      <c r="A20" s="173">
        <f t="shared" ref="A20:A53" si="9">IF(D20="","",B20+1)</f>
        <v>3</v>
      </c>
      <c r="B20" s="57">
        <v>2</v>
      </c>
      <c r="C20" s="223">
        <f t="shared" ref="C20:C53" si="10">IF(D20="","",EDATE(C19,B20))</f>
        <v>44031</v>
      </c>
      <c r="D20" s="337">
        <f t="shared" si="0"/>
        <v>40000</v>
      </c>
      <c r="E20" s="337"/>
      <c r="F20" s="337"/>
      <c r="G20" s="338">
        <f t="shared" si="1"/>
        <v>2000</v>
      </c>
      <c r="H20" s="338"/>
      <c r="I20" s="338">
        <f t="shared" si="2"/>
        <v>240</v>
      </c>
      <c r="J20" s="338"/>
      <c r="K20" s="338">
        <f t="shared" si="3"/>
        <v>2240</v>
      </c>
      <c r="L20" s="338"/>
      <c r="M20" s="338">
        <f t="shared" si="4"/>
        <v>2904.5699999999997</v>
      </c>
      <c r="N20" s="338"/>
      <c r="O20" s="338"/>
      <c r="P20" s="340">
        <v>0</v>
      </c>
      <c r="Q20" s="340"/>
      <c r="R20" s="340"/>
      <c r="S20" s="174">
        <f>IF(D20="","",$E$11)</f>
        <v>516.37</v>
      </c>
      <c r="T20" s="174">
        <f>IF(D20="","",$E$12)</f>
        <v>148.19999999999999</v>
      </c>
      <c r="U20" s="338">
        <f>IF(P20="","",D20-P20)</f>
        <v>40000</v>
      </c>
      <c r="V20" s="338"/>
      <c r="W20" s="338"/>
      <c r="X20" s="338">
        <f>IF(D20="","",$X$18)</f>
        <v>3569.1399999999994</v>
      </c>
      <c r="Y20" s="338"/>
      <c r="Z20" s="338"/>
      <c r="AA20" s="171">
        <f>IF(G20="","",(G20*0.07))</f>
        <v>140</v>
      </c>
      <c r="AB20" s="179">
        <f t="shared" si="5"/>
        <v>1568</v>
      </c>
      <c r="AC20" s="179">
        <f t="shared" si="6"/>
        <v>672</v>
      </c>
      <c r="AD20" s="179">
        <f t="shared" si="7"/>
        <v>1302</v>
      </c>
      <c r="AE20" s="179">
        <f t="shared" si="8"/>
        <v>558</v>
      </c>
    </row>
    <row r="21" spans="1:31">
      <c r="A21" s="173">
        <f t="shared" si="9"/>
        <v>4</v>
      </c>
      <c r="B21" s="57">
        <v>3</v>
      </c>
      <c r="C21" s="223">
        <f t="shared" si="10"/>
        <v>44123</v>
      </c>
      <c r="D21" s="337">
        <f t="shared" si="0"/>
        <v>40000</v>
      </c>
      <c r="E21" s="337"/>
      <c r="F21" s="337"/>
      <c r="G21" s="338">
        <f t="shared" si="1"/>
        <v>2000</v>
      </c>
      <c r="H21" s="338"/>
      <c r="I21" s="338">
        <f t="shared" si="2"/>
        <v>240</v>
      </c>
      <c r="J21" s="338"/>
      <c r="K21" s="338">
        <f t="shared" si="3"/>
        <v>2240</v>
      </c>
      <c r="L21" s="338"/>
      <c r="M21" s="338">
        <f t="shared" si="4"/>
        <v>2904.5699999999997</v>
      </c>
      <c r="N21" s="338"/>
      <c r="O21" s="338"/>
      <c r="P21" s="340">
        <v>0</v>
      </c>
      <c r="Q21" s="340"/>
      <c r="R21" s="340"/>
      <c r="S21" s="174">
        <f>IF(D21="","",$E$11)</f>
        <v>516.37</v>
      </c>
      <c r="T21" s="174">
        <f>IF(D21="","",$E$12)</f>
        <v>148.19999999999999</v>
      </c>
      <c r="U21" s="338">
        <f>IF(P21="","",D21-P21)</f>
        <v>40000</v>
      </c>
      <c r="V21" s="338"/>
      <c r="W21" s="338"/>
      <c r="X21" s="338">
        <f>IF(D21="","",$X$18)</f>
        <v>3569.1399999999994</v>
      </c>
      <c r="Y21" s="338"/>
      <c r="Z21" s="338"/>
      <c r="AA21" s="171">
        <f>IF(G21="","",(G21*0.07))</f>
        <v>140</v>
      </c>
      <c r="AB21" s="179">
        <f t="shared" si="5"/>
        <v>1568</v>
      </c>
      <c r="AC21" s="179">
        <f t="shared" si="6"/>
        <v>672</v>
      </c>
      <c r="AD21" s="179">
        <f t="shared" si="7"/>
        <v>1302</v>
      </c>
      <c r="AE21" s="179">
        <f t="shared" si="8"/>
        <v>558</v>
      </c>
    </row>
    <row r="22" spans="1:31">
      <c r="A22" s="173">
        <f t="shared" si="9"/>
        <v>5</v>
      </c>
      <c r="B22" s="57">
        <v>4</v>
      </c>
      <c r="C22" s="223">
        <f t="shared" si="10"/>
        <v>44246</v>
      </c>
      <c r="D22" s="337">
        <f t="shared" si="0"/>
        <v>40000</v>
      </c>
      <c r="E22" s="337"/>
      <c r="F22" s="337"/>
      <c r="G22" s="338">
        <f t="shared" si="1"/>
        <v>2000</v>
      </c>
      <c r="H22" s="338"/>
      <c r="I22" s="338">
        <f t="shared" si="2"/>
        <v>240</v>
      </c>
      <c r="J22" s="338"/>
      <c r="K22" s="338">
        <f t="shared" si="3"/>
        <v>2240</v>
      </c>
      <c r="L22" s="338"/>
      <c r="M22" s="338">
        <f t="shared" si="4"/>
        <v>2904.5699999999997</v>
      </c>
      <c r="N22" s="338"/>
      <c r="O22" s="338"/>
      <c r="P22" s="340">
        <v>0</v>
      </c>
      <c r="Q22" s="340"/>
      <c r="R22" s="340"/>
      <c r="S22" s="174">
        <f t="shared" ref="S22:S34" si="11">IF(P22="","",$E$11)</f>
        <v>516.37</v>
      </c>
      <c r="T22" s="174">
        <f t="shared" ref="T22:T35" si="12">IF(P22="","",$E$12)</f>
        <v>148.19999999999999</v>
      </c>
      <c r="U22" s="338">
        <f>IF(P22="","",D22-P22)</f>
        <v>40000</v>
      </c>
      <c r="V22" s="338"/>
      <c r="W22" s="338"/>
      <c r="X22" s="338">
        <f>IF(P22="","",$X$18)</f>
        <v>3569.1399999999994</v>
      </c>
      <c r="Y22" s="338"/>
      <c r="Z22" s="338"/>
      <c r="AA22" s="171">
        <f>IF(G22="","",(G22*0.07))</f>
        <v>140</v>
      </c>
      <c r="AB22" s="179">
        <f t="shared" si="5"/>
        <v>1568</v>
      </c>
      <c r="AC22" s="179">
        <f t="shared" si="6"/>
        <v>672</v>
      </c>
      <c r="AD22" s="179">
        <f t="shared" si="7"/>
        <v>1302</v>
      </c>
      <c r="AE22" s="179">
        <f t="shared" si="8"/>
        <v>558</v>
      </c>
    </row>
    <row r="23" spans="1:31">
      <c r="A23" s="173">
        <f t="shared" si="9"/>
        <v>6</v>
      </c>
      <c r="B23" s="57">
        <v>5</v>
      </c>
      <c r="C23" s="223">
        <f t="shared" si="10"/>
        <v>44396</v>
      </c>
      <c r="D23" s="337">
        <f t="shared" si="0"/>
        <v>40000</v>
      </c>
      <c r="E23" s="337"/>
      <c r="F23" s="337"/>
      <c r="G23" s="338">
        <f t="shared" si="1"/>
        <v>2000</v>
      </c>
      <c r="H23" s="338"/>
      <c r="I23" s="338">
        <f t="shared" si="2"/>
        <v>240</v>
      </c>
      <c r="J23" s="338"/>
      <c r="K23" s="338">
        <f t="shared" si="3"/>
        <v>2240</v>
      </c>
      <c r="L23" s="338"/>
      <c r="M23" s="338">
        <f t="shared" si="4"/>
        <v>2904.5699999999997</v>
      </c>
      <c r="N23" s="338"/>
      <c r="O23" s="338"/>
      <c r="P23" s="340">
        <v>0</v>
      </c>
      <c r="Q23" s="340"/>
      <c r="R23" s="340"/>
      <c r="S23" s="174">
        <f t="shared" si="11"/>
        <v>516.37</v>
      </c>
      <c r="T23" s="174">
        <f t="shared" si="12"/>
        <v>148.19999999999999</v>
      </c>
      <c r="U23" s="338">
        <f t="shared" ref="U23:U33" si="13">IF(P23="","",D23-P23)</f>
        <v>40000</v>
      </c>
      <c r="V23" s="338"/>
      <c r="W23" s="338"/>
      <c r="X23" s="338">
        <f t="shared" ref="X23:X35" si="14">IF(P23="","",$X$18)</f>
        <v>3569.1399999999994</v>
      </c>
      <c r="Y23" s="338"/>
      <c r="Z23" s="338"/>
      <c r="AA23" s="171">
        <f t="shared" ref="AA23:AA53" si="15">IF(G23="","",(G23*0.07))</f>
        <v>140</v>
      </c>
      <c r="AB23" s="179">
        <f t="shared" si="5"/>
        <v>1568</v>
      </c>
      <c r="AC23" s="179">
        <f t="shared" si="6"/>
        <v>672</v>
      </c>
      <c r="AD23" s="179">
        <f t="shared" si="7"/>
        <v>1302</v>
      </c>
      <c r="AE23" s="179">
        <f t="shared" si="8"/>
        <v>558</v>
      </c>
    </row>
    <row r="24" spans="1:31">
      <c r="A24" s="173">
        <f t="shared" si="9"/>
        <v>7</v>
      </c>
      <c r="B24" s="57">
        <v>6</v>
      </c>
      <c r="C24" s="223">
        <f t="shared" si="10"/>
        <v>44580</v>
      </c>
      <c r="D24" s="337">
        <f t="shared" si="0"/>
        <v>40000</v>
      </c>
      <c r="E24" s="337"/>
      <c r="F24" s="337"/>
      <c r="G24" s="338">
        <f t="shared" si="1"/>
        <v>2000</v>
      </c>
      <c r="H24" s="338"/>
      <c r="I24" s="338">
        <f t="shared" si="2"/>
        <v>240</v>
      </c>
      <c r="J24" s="338"/>
      <c r="K24" s="338">
        <f t="shared" si="3"/>
        <v>2240</v>
      </c>
      <c r="L24" s="338"/>
      <c r="M24" s="338">
        <f t="shared" si="4"/>
        <v>2904.5699999999997</v>
      </c>
      <c r="N24" s="338"/>
      <c r="O24" s="338"/>
      <c r="P24" s="340">
        <v>0</v>
      </c>
      <c r="Q24" s="340"/>
      <c r="R24" s="340"/>
      <c r="S24" s="174">
        <f t="shared" si="11"/>
        <v>516.37</v>
      </c>
      <c r="T24" s="174">
        <f t="shared" si="12"/>
        <v>148.19999999999999</v>
      </c>
      <c r="U24" s="338">
        <f t="shared" si="13"/>
        <v>40000</v>
      </c>
      <c r="V24" s="338"/>
      <c r="W24" s="338"/>
      <c r="X24" s="338">
        <f t="shared" si="14"/>
        <v>3569.1399999999994</v>
      </c>
      <c r="Y24" s="338"/>
      <c r="Z24" s="338"/>
      <c r="AA24" s="171">
        <f t="shared" si="15"/>
        <v>140</v>
      </c>
      <c r="AB24" s="179">
        <f t="shared" si="5"/>
        <v>1568</v>
      </c>
      <c r="AC24" s="179">
        <f t="shared" si="6"/>
        <v>672</v>
      </c>
      <c r="AD24" s="179">
        <f t="shared" si="7"/>
        <v>1302</v>
      </c>
      <c r="AE24" s="179">
        <f t="shared" si="8"/>
        <v>558</v>
      </c>
    </row>
    <row r="25" spans="1:31">
      <c r="A25" s="173">
        <f t="shared" si="9"/>
        <v>8</v>
      </c>
      <c r="B25" s="57">
        <v>7</v>
      </c>
      <c r="C25" s="223">
        <f t="shared" si="10"/>
        <v>44792</v>
      </c>
      <c r="D25" s="337">
        <f t="shared" si="0"/>
        <v>40000</v>
      </c>
      <c r="E25" s="337"/>
      <c r="F25" s="337"/>
      <c r="G25" s="338">
        <f t="shared" si="1"/>
        <v>2000</v>
      </c>
      <c r="H25" s="338"/>
      <c r="I25" s="338">
        <f t="shared" si="2"/>
        <v>240</v>
      </c>
      <c r="J25" s="338"/>
      <c r="K25" s="338">
        <f t="shared" si="3"/>
        <v>2240</v>
      </c>
      <c r="L25" s="338"/>
      <c r="M25" s="338">
        <f t="shared" si="4"/>
        <v>2904.5699999999997</v>
      </c>
      <c r="N25" s="338"/>
      <c r="O25" s="338"/>
      <c r="P25" s="340">
        <v>0</v>
      </c>
      <c r="Q25" s="340"/>
      <c r="R25" s="340"/>
      <c r="S25" s="174">
        <f t="shared" si="11"/>
        <v>516.37</v>
      </c>
      <c r="T25" s="174">
        <f t="shared" si="12"/>
        <v>148.19999999999999</v>
      </c>
      <c r="U25" s="338">
        <f t="shared" si="13"/>
        <v>40000</v>
      </c>
      <c r="V25" s="338"/>
      <c r="W25" s="338"/>
      <c r="X25" s="338">
        <f t="shared" si="14"/>
        <v>3569.1399999999994</v>
      </c>
      <c r="Y25" s="338"/>
      <c r="Z25" s="338"/>
      <c r="AA25" s="171">
        <f t="shared" si="15"/>
        <v>140</v>
      </c>
      <c r="AB25" s="179">
        <f t="shared" si="5"/>
        <v>1568</v>
      </c>
      <c r="AC25" s="179">
        <f t="shared" si="6"/>
        <v>672</v>
      </c>
      <c r="AD25" s="179">
        <f t="shared" si="7"/>
        <v>1302</v>
      </c>
      <c r="AE25" s="179">
        <f t="shared" si="8"/>
        <v>558</v>
      </c>
    </row>
    <row r="26" spans="1:31">
      <c r="A26" s="173">
        <f t="shared" si="9"/>
        <v>9</v>
      </c>
      <c r="B26" s="57">
        <v>8</v>
      </c>
      <c r="C26" s="223">
        <f t="shared" si="10"/>
        <v>45035</v>
      </c>
      <c r="D26" s="337">
        <f t="shared" si="0"/>
        <v>40000</v>
      </c>
      <c r="E26" s="337"/>
      <c r="F26" s="337"/>
      <c r="G26" s="338">
        <f t="shared" si="1"/>
        <v>2000</v>
      </c>
      <c r="H26" s="338"/>
      <c r="I26" s="338">
        <f t="shared" si="2"/>
        <v>240</v>
      </c>
      <c r="J26" s="338"/>
      <c r="K26" s="338">
        <f t="shared" si="3"/>
        <v>2240</v>
      </c>
      <c r="L26" s="338"/>
      <c r="M26" s="338">
        <f t="shared" si="4"/>
        <v>2904.5699999999997</v>
      </c>
      <c r="N26" s="338"/>
      <c r="O26" s="338"/>
      <c r="P26" s="340">
        <v>0</v>
      </c>
      <c r="Q26" s="340"/>
      <c r="R26" s="340"/>
      <c r="S26" s="174">
        <f t="shared" si="11"/>
        <v>516.37</v>
      </c>
      <c r="T26" s="174">
        <f t="shared" si="12"/>
        <v>148.19999999999999</v>
      </c>
      <c r="U26" s="338">
        <f t="shared" si="13"/>
        <v>40000</v>
      </c>
      <c r="V26" s="338"/>
      <c r="W26" s="338"/>
      <c r="X26" s="338">
        <f t="shared" si="14"/>
        <v>3569.1399999999994</v>
      </c>
      <c r="Y26" s="338"/>
      <c r="Z26" s="338"/>
      <c r="AA26" s="171">
        <f t="shared" si="15"/>
        <v>140</v>
      </c>
      <c r="AB26" s="179">
        <f t="shared" si="5"/>
        <v>1568</v>
      </c>
      <c r="AC26" s="179">
        <f t="shared" si="6"/>
        <v>672</v>
      </c>
      <c r="AD26" s="179">
        <f t="shared" si="7"/>
        <v>1302</v>
      </c>
      <c r="AE26" s="179">
        <f t="shared" si="8"/>
        <v>558</v>
      </c>
    </row>
    <row r="27" spans="1:31">
      <c r="A27" s="173">
        <f t="shared" si="9"/>
        <v>10</v>
      </c>
      <c r="B27" s="57">
        <v>9</v>
      </c>
      <c r="C27" s="223">
        <f t="shared" si="10"/>
        <v>45310</v>
      </c>
      <c r="D27" s="337">
        <f t="shared" si="0"/>
        <v>40000</v>
      </c>
      <c r="E27" s="337"/>
      <c r="F27" s="337"/>
      <c r="G27" s="338">
        <f t="shared" si="1"/>
        <v>2000</v>
      </c>
      <c r="H27" s="338"/>
      <c r="I27" s="338">
        <f t="shared" si="2"/>
        <v>240</v>
      </c>
      <c r="J27" s="338"/>
      <c r="K27" s="338">
        <f t="shared" si="3"/>
        <v>2240</v>
      </c>
      <c r="L27" s="338"/>
      <c r="M27" s="338">
        <f t="shared" si="4"/>
        <v>2904.5699999999997</v>
      </c>
      <c r="N27" s="338"/>
      <c r="O27" s="338"/>
      <c r="P27" s="340">
        <v>0</v>
      </c>
      <c r="Q27" s="340"/>
      <c r="R27" s="340"/>
      <c r="S27" s="174">
        <f t="shared" si="11"/>
        <v>516.37</v>
      </c>
      <c r="T27" s="174">
        <f t="shared" si="12"/>
        <v>148.19999999999999</v>
      </c>
      <c r="U27" s="338">
        <f t="shared" si="13"/>
        <v>40000</v>
      </c>
      <c r="V27" s="338"/>
      <c r="W27" s="338"/>
      <c r="X27" s="338">
        <f t="shared" si="14"/>
        <v>3569.1399999999994</v>
      </c>
      <c r="Y27" s="338"/>
      <c r="Z27" s="338"/>
      <c r="AA27" s="171">
        <f t="shared" si="15"/>
        <v>140</v>
      </c>
      <c r="AB27" s="179">
        <f t="shared" si="5"/>
        <v>1568</v>
      </c>
      <c r="AC27" s="179">
        <f t="shared" si="6"/>
        <v>672</v>
      </c>
      <c r="AD27" s="179">
        <f t="shared" si="7"/>
        <v>1302</v>
      </c>
      <c r="AE27" s="179">
        <f t="shared" si="8"/>
        <v>558</v>
      </c>
    </row>
    <row r="28" spans="1:31">
      <c r="A28" s="173">
        <f t="shared" si="9"/>
        <v>11</v>
      </c>
      <c r="B28" s="57">
        <v>10</v>
      </c>
      <c r="C28" s="223">
        <f t="shared" si="10"/>
        <v>45615</v>
      </c>
      <c r="D28" s="337">
        <f t="shared" si="0"/>
        <v>40000</v>
      </c>
      <c r="E28" s="337"/>
      <c r="F28" s="337"/>
      <c r="G28" s="338">
        <f t="shared" si="1"/>
        <v>2000</v>
      </c>
      <c r="H28" s="338"/>
      <c r="I28" s="338">
        <f t="shared" si="2"/>
        <v>240</v>
      </c>
      <c r="J28" s="338"/>
      <c r="K28" s="338">
        <f t="shared" si="3"/>
        <v>2240</v>
      </c>
      <c r="L28" s="338"/>
      <c r="M28" s="338">
        <f t="shared" si="4"/>
        <v>2904.5699999999997</v>
      </c>
      <c r="N28" s="338"/>
      <c r="O28" s="338"/>
      <c r="P28" s="366">
        <v>0</v>
      </c>
      <c r="Q28" s="366"/>
      <c r="R28" s="366"/>
      <c r="S28" s="174">
        <f t="shared" si="11"/>
        <v>516.37</v>
      </c>
      <c r="T28" s="174">
        <f t="shared" si="12"/>
        <v>148.19999999999999</v>
      </c>
      <c r="U28" s="338">
        <f t="shared" si="13"/>
        <v>40000</v>
      </c>
      <c r="V28" s="338"/>
      <c r="W28" s="338"/>
      <c r="X28" s="338">
        <f t="shared" si="14"/>
        <v>3569.1399999999994</v>
      </c>
      <c r="Y28" s="338"/>
      <c r="Z28" s="338"/>
      <c r="AA28" s="171">
        <f t="shared" si="15"/>
        <v>140</v>
      </c>
      <c r="AB28" s="179">
        <f t="shared" si="5"/>
        <v>1568</v>
      </c>
      <c r="AC28" s="179">
        <f t="shared" si="6"/>
        <v>672</v>
      </c>
      <c r="AD28" s="179">
        <f t="shared" si="7"/>
        <v>1302</v>
      </c>
      <c r="AE28" s="179">
        <f t="shared" si="8"/>
        <v>558</v>
      </c>
    </row>
    <row r="29" spans="1:31">
      <c r="A29" s="173">
        <f t="shared" si="9"/>
        <v>12</v>
      </c>
      <c r="B29" s="57">
        <v>11</v>
      </c>
      <c r="C29" s="223">
        <f t="shared" si="10"/>
        <v>45949</v>
      </c>
      <c r="D29" s="337">
        <f t="shared" si="0"/>
        <v>40000</v>
      </c>
      <c r="E29" s="337"/>
      <c r="F29" s="337"/>
      <c r="G29" s="338">
        <f t="shared" si="1"/>
        <v>2000</v>
      </c>
      <c r="H29" s="338"/>
      <c r="I29" s="338">
        <f t="shared" si="2"/>
        <v>240</v>
      </c>
      <c r="J29" s="338"/>
      <c r="K29" s="338">
        <f t="shared" si="3"/>
        <v>2240</v>
      </c>
      <c r="L29" s="338"/>
      <c r="M29" s="338">
        <f t="shared" si="4"/>
        <v>2904.5699999999997</v>
      </c>
      <c r="N29" s="338"/>
      <c r="O29" s="338"/>
      <c r="P29" s="366">
        <v>0</v>
      </c>
      <c r="Q29" s="366"/>
      <c r="R29" s="366"/>
      <c r="S29" s="174">
        <f t="shared" si="11"/>
        <v>516.37</v>
      </c>
      <c r="T29" s="174">
        <f t="shared" si="12"/>
        <v>148.19999999999999</v>
      </c>
      <c r="U29" s="338">
        <f t="shared" si="13"/>
        <v>40000</v>
      </c>
      <c r="V29" s="338"/>
      <c r="W29" s="338"/>
      <c r="X29" s="338">
        <f t="shared" si="14"/>
        <v>3569.1399999999994</v>
      </c>
      <c r="Y29" s="338"/>
      <c r="Z29" s="338"/>
      <c r="AA29" s="171">
        <f t="shared" si="15"/>
        <v>140</v>
      </c>
      <c r="AB29" s="179">
        <f t="shared" si="5"/>
        <v>1568</v>
      </c>
      <c r="AC29" s="179">
        <f t="shared" si="6"/>
        <v>672</v>
      </c>
      <c r="AD29" s="179">
        <f t="shared" si="7"/>
        <v>1302</v>
      </c>
      <c r="AE29" s="179">
        <f t="shared" si="8"/>
        <v>558</v>
      </c>
    </row>
    <row r="30" spans="1:31">
      <c r="A30" s="173">
        <f t="shared" si="9"/>
        <v>13</v>
      </c>
      <c r="B30" s="57">
        <v>12</v>
      </c>
      <c r="C30" s="223">
        <f t="shared" si="10"/>
        <v>46314</v>
      </c>
      <c r="D30" s="337">
        <f t="shared" si="0"/>
        <v>40000</v>
      </c>
      <c r="E30" s="337"/>
      <c r="F30" s="337"/>
      <c r="G30" s="338">
        <f t="shared" si="1"/>
        <v>2000</v>
      </c>
      <c r="H30" s="338"/>
      <c r="I30" s="338">
        <f t="shared" si="2"/>
        <v>240</v>
      </c>
      <c r="J30" s="338"/>
      <c r="K30" s="338">
        <f t="shared" si="3"/>
        <v>2240</v>
      </c>
      <c r="L30" s="338"/>
      <c r="M30" s="338">
        <f t="shared" si="4"/>
        <v>2904.5699999999997</v>
      </c>
      <c r="N30" s="338"/>
      <c r="O30" s="338"/>
      <c r="P30" s="340">
        <v>0</v>
      </c>
      <c r="Q30" s="340"/>
      <c r="R30" s="340"/>
      <c r="S30" s="174">
        <f t="shared" si="11"/>
        <v>516.37</v>
      </c>
      <c r="T30" s="174">
        <f t="shared" si="12"/>
        <v>148.19999999999999</v>
      </c>
      <c r="U30" s="338">
        <f t="shared" si="13"/>
        <v>40000</v>
      </c>
      <c r="V30" s="338"/>
      <c r="W30" s="338"/>
      <c r="X30" s="338">
        <f t="shared" si="14"/>
        <v>3569.1399999999994</v>
      </c>
      <c r="Y30" s="338"/>
      <c r="Z30" s="338"/>
      <c r="AA30" s="171">
        <f t="shared" si="15"/>
        <v>140</v>
      </c>
      <c r="AB30" s="179">
        <f t="shared" si="5"/>
        <v>1568</v>
      </c>
      <c r="AC30" s="179">
        <f t="shared" si="6"/>
        <v>672</v>
      </c>
      <c r="AD30" s="179">
        <f t="shared" si="7"/>
        <v>1302</v>
      </c>
      <c r="AE30" s="179">
        <f t="shared" si="8"/>
        <v>558</v>
      </c>
    </row>
    <row r="31" spans="1:31">
      <c r="A31" s="173">
        <f t="shared" si="9"/>
        <v>14</v>
      </c>
      <c r="B31" s="57">
        <v>13</v>
      </c>
      <c r="C31" s="223">
        <f t="shared" si="10"/>
        <v>46710</v>
      </c>
      <c r="D31" s="337">
        <f t="shared" si="0"/>
        <v>40000</v>
      </c>
      <c r="E31" s="337"/>
      <c r="F31" s="337"/>
      <c r="G31" s="338">
        <f t="shared" si="1"/>
        <v>2000</v>
      </c>
      <c r="H31" s="338"/>
      <c r="I31" s="338">
        <f t="shared" si="2"/>
        <v>240</v>
      </c>
      <c r="J31" s="338"/>
      <c r="K31" s="338">
        <f t="shared" si="3"/>
        <v>2240</v>
      </c>
      <c r="L31" s="338"/>
      <c r="M31" s="338">
        <f t="shared" si="4"/>
        <v>2904.5699999999997</v>
      </c>
      <c r="N31" s="338"/>
      <c r="O31" s="338"/>
      <c r="P31" s="340">
        <v>0</v>
      </c>
      <c r="Q31" s="340"/>
      <c r="R31" s="340"/>
      <c r="S31" s="174">
        <f t="shared" si="11"/>
        <v>516.37</v>
      </c>
      <c r="T31" s="174">
        <f t="shared" si="12"/>
        <v>148.19999999999999</v>
      </c>
      <c r="U31" s="338">
        <f t="shared" si="13"/>
        <v>40000</v>
      </c>
      <c r="V31" s="338"/>
      <c r="W31" s="338"/>
      <c r="X31" s="338">
        <f t="shared" si="14"/>
        <v>3569.1399999999994</v>
      </c>
      <c r="Y31" s="338"/>
      <c r="Z31" s="338"/>
      <c r="AA31" s="171">
        <f t="shared" si="15"/>
        <v>140</v>
      </c>
      <c r="AB31" s="179">
        <f t="shared" si="5"/>
        <v>1568</v>
      </c>
      <c r="AC31" s="179">
        <f t="shared" si="6"/>
        <v>672</v>
      </c>
      <c r="AD31" s="179">
        <f t="shared" si="7"/>
        <v>1302</v>
      </c>
      <c r="AE31" s="179">
        <f t="shared" si="8"/>
        <v>558</v>
      </c>
    </row>
    <row r="32" spans="1:31">
      <c r="A32" s="173">
        <f t="shared" si="9"/>
        <v>15</v>
      </c>
      <c r="B32" s="57">
        <v>14</v>
      </c>
      <c r="C32" s="223">
        <f t="shared" si="10"/>
        <v>47137</v>
      </c>
      <c r="D32" s="337">
        <f t="shared" si="0"/>
        <v>40000</v>
      </c>
      <c r="E32" s="337"/>
      <c r="F32" s="337"/>
      <c r="G32" s="338">
        <f t="shared" si="1"/>
        <v>2000</v>
      </c>
      <c r="H32" s="338"/>
      <c r="I32" s="338">
        <f>IF(G32="","",(G32*0.12))</f>
        <v>240</v>
      </c>
      <c r="J32" s="338"/>
      <c r="K32" s="338">
        <f>IF(G32="","",G32+I32)</f>
        <v>2240</v>
      </c>
      <c r="L32" s="338"/>
      <c r="M32" s="338">
        <f t="shared" si="4"/>
        <v>2904.5699999999997</v>
      </c>
      <c r="N32" s="338"/>
      <c r="O32" s="338"/>
      <c r="P32" s="340">
        <v>0</v>
      </c>
      <c r="Q32" s="340"/>
      <c r="R32" s="340"/>
      <c r="S32" s="174">
        <f t="shared" si="11"/>
        <v>516.37</v>
      </c>
      <c r="T32" s="174">
        <f t="shared" si="12"/>
        <v>148.19999999999999</v>
      </c>
      <c r="U32" s="338">
        <f t="shared" si="13"/>
        <v>40000</v>
      </c>
      <c r="V32" s="338"/>
      <c r="W32" s="338"/>
      <c r="X32" s="338">
        <f t="shared" si="14"/>
        <v>3569.1399999999994</v>
      </c>
      <c r="Y32" s="338"/>
      <c r="Z32" s="338"/>
      <c r="AA32" s="171">
        <f t="shared" si="15"/>
        <v>140</v>
      </c>
      <c r="AB32" s="179">
        <f t="shared" si="5"/>
        <v>1568</v>
      </c>
      <c r="AC32" s="179">
        <f t="shared" si="6"/>
        <v>672</v>
      </c>
      <c r="AD32" s="179">
        <f t="shared" si="7"/>
        <v>1302</v>
      </c>
      <c r="AE32" s="179">
        <f t="shared" si="8"/>
        <v>558</v>
      </c>
    </row>
    <row r="33" spans="1:31">
      <c r="A33" s="173">
        <f t="shared" si="9"/>
        <v>16</v>
      </c>
      <c r="B33" s="57">
        <v>15</v>
      </c>
      <c r="C33" s="223">
        <f t="shared" si="10"/>
        <v>47592</v>
      </c>
      <c r="D33" s="337">
        <f t="shared" si="0"/>
        <v>40000</v>
      </c>
      <c r="E33" s="337"/>
      <c r="F33" s="337"/>
      <c r="G33" s="338">
        <f t="shared" si="1"/>
        <v>2000</v>
      </c>
      <c r="H33" s="338"/>
      <c r="I33" s="338">
        <f>IF(G33="","",(G33*0.12))</f>
        <v>240</v>
      </c>
      <c r="J33" s="338"/>
      <c r="K33" s="338">
        <f>IF(G33="","",G33+I33)</f>
        <v>2240</v>
      </c>
      <c r="L33" s="338"/>
      <c r="M33" s="338">
        <f t="shared" si="4"/>
        <v>2904.5699999999997</v>
      </c>
      <c r="N33" s="338"/>
      <c r="O33" s="338"/>
      <c r="P33" s="340">
        <v>0</v>
      </c>
      <c r="Q33" s="340"/>
      <c r="R33" s="340"/>
      <c r="S33" s="174">
        <f t="shared" si="11"/>
        <v>516.37</v>
      </c>
      <c r="T33" s="174">
        <f t="shared" si="12"/>
        <v>148.19999999999999</v>
      </c>
      <c r="U33" s="338">
        <f t="shared" si="13"/>
        <v>40000</v>
      </c>
      <c r="V33" s="338"/>
      <c r="W33" s="338"/>
      <c r="X33" s="338">
        <f t="shared" si="14"/>
        <v>3569.1399999999994</v>
      </c>
      <c r="Y33" s="338"/>
      <c r="Z33" s="338"/>
      <c r="AA33" s="171">
        <f t="shared" si="15"/>
        <v>140</v>
      </c>
      <c r="AB33" s="179">
        <f t="shared" si="5"/>
        <v>1568</v>
      </c>
      <c r="AC33" s="179">
        <f t="shared" si="6"/>
        <v>672</v>
      </c>
      <c r="AD33" s="179">
        <f t="shared" si="7"/>
        <v>1302</v>
      </c>
      <c r="AE33" s="179">
        <f t="shared" si="8"/>
        <v>558</v>
      </c>
    </row>
    <row r="34" spans="1:31">
      <c r="A34" s="173">
        <f t="shared" si="9"/>
        <v>17</v>
      </c>
      <c r="B34" s="57">
        <v>16</v>
      </c>
      <c r="C34" s="223">
        <f t="shared" si="10"/>
        <v>48079</v>
      </c>
      <c r="D34" s="337">
        <f t="shared" si="0"/>
        <v>40000</v>
      </c>
      <c r="E34" s="337"/>
      <c r="F34" s="337"/>
      <c r="G34" s="338">
        <f t="shared" ref="G34:G46" si="16">IF(D34="","",(D34*$E$8))</f>
        <v>2000</v>
      </c>
      <c r="H34" s="338"/>
      <c r="I34" s="338">
        <f>IF(G34="","",(G34*0.12))</f>
        <v>240</v>
      </c>
      <c r="J34" s="338"/>
      <c r="K34" s="338">
        <f>IF(G34="","",G34+I34)</f>
        <v>2240</v>
      </c>
      <c r="L34" s="338"/>
      <c r="M34" s="338">
        <f t="shared" ref="M34:M53" si="17">IF(I34="","",G34+I34+$E$11+$E$12)</f>
        <v>2904.5699999999997</v>
      </c>
      <c r="N34" s="338"/>
      <c r="O34" s="338"/>
      <c r="P34" s="340">
        <v>0</v>
      </c>
      <c r="Q34" s="340"/>
      <c r="R34" s="340"/>
      <c r="S34" s="174">
        <f t="shared" si="11"/>
        <v>516.37</v>
      </c>
      <c r="T34" s="174">
        <f t="shared" si="12"/>
        <v>148.19999999999999</v>
      </c>
      <c r="U34" s="338">
        <f t="shared" ref="U34:U53" si="18">IF(P34="","",D34-P34)</f>
        <v>40000</v>
      </c>
      <c r="V34" s="338"/>
      <c r="W34" s="338"/>
      <c r="X34" s="338">
        <f t="shared" si="14"/>
        <v>3569.1399999999994</v>
      </c>
      <c r="Y34" s="338"/>
      <c r="Z34" s="338"/>
      <c r="AA34" s="171">
        <f t="shared" si="15"/>
        <v>140</v>
      </c>
      <c r="AB34" s="179">
        <f t="shared" si="5"/>
        <v>1568</v>
      </c>
      <c r="AC34" s="179">
        <f t="shared" si="6"/>
        <v>672</v>
      </c>
      <c r="AD34" s="179">
        <f t="shared" si="7"/>
        <v>1302</v>
      </c>
      <c r="AE34" s="179">
        <f t="shared" si="8"/>
        <v>558</v>
      </c>
    </row>
    <row r="35" spans="1:31">
      <c r="A35" s="173">
        <f t="shared" si="9"/>
        <v>18</v>
      </c>
      <c r="B35" s="57">
        <v>17</v>
      </c>
      <c r="C35" s="223">
        <f t="shared" si="10"/>
        <v>48598</v>
      </c>
      <c r="D35" s="337">
        <f t="shared" ref="D35:D53" si="19">IF(U34&lt;=0.1,"",U34)</f>
        <v>40000</v>
      </c>
      <c r="E35" s="337"/>
      <c r="F35" s="337"/>
      <c r="G35" s="338">
        <f t="shared" si="16"/>
        <v>2000</v>
      </c>
      <c r="H35" s="338"/>
      <c r="I35" s="338">
        <f t="shared" ref="I35:I47" si="20">IF(G35="","",(G35*0.12))</f>
        <v>240</v>
      </c>
      <c r="J35" s="338"/>
      <c r="K35" s="338">
        <f>IF(G35="","",G35+I35)</f>
        <v>2240</v>
      </c>
      <c r="L35" s="338"/>
      <c r="M35" s="338">
        <f t="shared" si="17"/>
        <v>2904.5699999999997</v>
      </c>
      <c r="N35" s="338"/>
      <c r="O35" s="338"/>
      <c r="P35" s="340">
        <v>0</v>
      </c>
      <c r="Q35" s="340"/>
      <c r="R35" s="340"/>
      <c r="S35" s="174">
        <f t="shared" ref="S35:S53" si="21">IF(D35="","",$E$11)</f>
        <v>516.37</v>
      </c>
      <c r="T35" s="174">
        <f t="shared" si="12"/>
        <v>148.19999999999999</v>
      </c>
      <c r="U35" s="338">
        <f t="shared" si="18"/>
        <v>40000</v>
      </c>
      <c r="V35" s="338"/>
      <c r="W35" s="338"/>
      <c r="X35" s="338">
        <f t="shared" si="14"/>
        <v>3569.1399999999994</v>
      </c>
      <c r="Y35" s="338"/>
      <c r="Z35" s="338"/>
      <c r="AA35" s="171">
        <f t="shared" si="15"/>
        <v>140</v>
      </c>
      <c r="AB35" s="179">
        <f t="shared" si="5"/>
        <v>1568</v>
      </c>
      <c r="AC35" s="179">
        <f t="shared" si="6"/>
        <v>672</v>
      </c>
      <c r="AD35" s="179">
        <f t="shared" si="7"/>
        <v>1302</v>
      </c>
      <c r="AE35" s="179">
        <f t="shared" si="8"/>
        <v>558</v>
      </c>
    </row>
    <row r="36" spans="1:31">
      <c r="A36" s="173">
        <f t="shared" si="9"/>
        <v>19</v>
      </c>
      <c r="B36" s="57">
        <v>18</v>
      </c>
      <c r="C36" s="223">
        <f t="shared" si="10"/>
        <v>49144</v>
      </c>
      <c r="D36" s="337">
        <f t="shared" si="19"/>
        <v>40000</v>
      </c>
      <c r="E36" s="337"/>
      <c r="F36" s="337"/>
      <c r="G36" s="338">
        <f t="shared" si="16"/>
        <v>2000</v>
      </c>
      <c r="H36" s="338"/>
      <c r="I36" s="338">
        <f t="shared" si="20"/>
        <v>240</v>
      </c>
      <c r="J36" s="338"/>
      <c r="K36" s="338">
        <f t="shared" ref="K36:K43" si="22">IF(G36="","",G36+I36)</f>
        <v>2240</v>
      </c>
      <c r="L36" s="338"/>
      <c r="M36" s="338">
        <f t="shared" si="17"/>
        <v>2904.5699999999997</v>
      </c>
      <c r="N36" s="338"/>
      <c r="O36" s="338"/>
      <c r="P36" s="340">
        <v>0</v>
      </c>
      <c r="Q36" s="340"/>
      <c r="R36" s="340"/>
      <c r="S36" s="174">
        <f t="shared" si="21"/>
        <v>516.37</v>
      </c>
      <c r="T36" s="174">
        <f t="shared" ref="T36:T53" si="23">IF(D36="","",$E$12)</f>
        <v>148.19999999999999</v>
      </c>
      <c r="U36" s="338">
        <f t="shared" si="18"/>
        <v>40000</v>
      </c>
      <c r="V36" s="338"/>
      <c r="W36" s="338"/>
      <c r="X36" s="338">
        <f>IF(D36="","",$X$18)</f>
        <v>3569.1399999999994</v>
      </c>
      <c r="Y36" s="338"/>
      <c r="Z36" s="338"/>
      <c r="AA36" s="171">
        <f t="shared" si="15"/>
        <v>140</v>
      </c>
      <c r="AB36" s="179">
        <f t="shared" si="5"/>
        <v>1568</v>
      </c>
      <c r="AC36" s="179">
        <f t="shared" si="6"/>
        <v>672</v>
      </c>
      <c r="AD36" s="179">
        <f t="shared" si="7"/>
        <v>1302</v>
      </c>
      <c r="AE36" s="179">
        <f t="shared" si="8"/>
        <v>558</v>
      </c>
    </row>
    <row r="37" spans="1:31">
      <c r="A37" s="173">
        <f t="shared" si="9"/>
        <v>20</v>
      </c>
      <c r="B37" s="57">
        <v>19</v>
      </c>
      <c r="C37" s="223">
        <f t="shared" si="10"/>
        <v>49724</v>
      </c>
      <c r="D37" s="337">
        <f t="shared" si="19"/>
        <v>40000</v>
      </c>
      <c r="E37" s="337"/>
      <c r="F37" s="337"/>
      <c r="G37" s="338">
        <f t="shared" si="16"/>
        <v>2000</v>
      </c>
      <c r="H37" s="338"/>
      <c r="I37" s="338">
        <f t="shared" si="20"/>
        <v>240</v>
      </c>
      <c r="J37" s="338"/>
      <c r="K37" s="338">
        <f t="shared" si="22"/>
        <v>2240</v>
      </c>
      <c r="L37" s="338"/>
      <c r="M37" s="338">
        <f t="shared" si="17"/>
        <v>2904.5699999999997</v>
      </c>
      <c r="N37" s="338"/>
      <c r="O37" s="338"/>
      <c r="P37" s="340">
        <v>0</v>
      </c>
      <c r="Q37" s="340"/>
      <c r="R37" s="340"/>
      <c r="S37" s="174">
        <f t="shared" si="21"/>
        <v>516.37</v>
      </c>
      <c r="T37" s="174">
        <f t="shared" si="23"/>
        <v>148.19999999999999</v>
      </c>
      <c r="U37" s="338">
        <f t="shared" si="18"/>
        <v>40000</v>
      </c>
      <c r="V37" s="338"/>
      <c r="W37" s="338"/>
      <c r="X37" s="338">
        <f t="shared" ref="X37:X44" si="24">IF(D37="","",$X$18)</f>
        <v>3569.1399999999994</v>
      </c>
      <c r="Y37" s="338"/>
      <c r="Z37" s="338"/>
      <c r="AA37" s="171">
        <f t="shared" si="15"/>
        <v>140</v>
      </c>
      <c r="AB37" s="179">
        <f t="shared" si="5"/>
        <v>1568</v>
      </c>
      <c r="AC37" s="179">
        <f t="shared" si="6"/>
        <v>672</v>
      </c>
      <c r="AD37" s="179">
        <f t="shared" si="7"/>
        <v>1302</v>
      </c>
      <c r="AE37" s="179">
        <f t="shared" si="8"/>
        <v>558</v>
      </c>
    </row>
    <row r="38" spans="1:31">
      <c r="A38" s="173">
        <f t="shared" si="9"/>
        <v>21</v>
      </c>
      <c r="B38" s="57">
        <v>20</v>
      </c>
      <c r="C38" s="223">
        <f t="shared" si="10"/>
        <v>50332</v>
      </c>
      <c r="D38" s="337">
        <f t="shared" si="19"/>
        <v>40000</v>
      </c>
      <c r="E38" s="337"/>
      <c r="F38" s="337"/>
      <c r="G38" s="338">
        <f t="shared" si="16"/>
        <v>2000</v>
      </c>
      <c r="H38" s="338"/>
      <c r="I38" s="338">
        <f t="shared" si="20"/>
        <v>240</v>
      </c>
      <c r="J38" s="338"/>
      <c r="K38" s="338">
        <f t="shared" si="22"/>
        <v>2240</v>
      </c>
      <c r="L38" s="338"/>
      <c r="M38" s="338">
        <f t="shared" si="17"/>
        <v>2904.5699999999997</v>
      </c>
      <c r="N38" s="338"/>
      <c r="O38" s="338"/>
      <c r="P38" s="340">
        <v>0</v>
      </c>
      <c r="Q38" s="340"/>
      <c r="R38" s="340"/>
      <c r="S38" s="174">
        <f t="shared" si="21"/>
        <v>516.37</v>
      </c>
      <c r="T38" s="174">
        <f t="shared" si="23"/>
        <v>148.19999999999999</v>
      </c>
      <c r="U38" s="338">
        <f t="shared" si="18"/>
        <v>40000</v>
      </c>
      <c r="V38" s="338"/>
      <c r="W38" s="338"/>
      <c r="X38" s="338">
        <f t="shared" si="24"/>
        <v>3569.1399999999994</v>
      </c>
      <c r="Y38" s="338"/>
      <c r="Z38" s="338"/>
      <c r="AA38" s="171">
        <f t="shared" si="15"/>
        <v>140</v>
      </c>
      <c r="AB38" s="179">
        <f t="shared" si="5"/>
        <v>1568</v>
      </c>
      <c r="AC38" s="179">
        <f t="shared" si="6"/>
        <v>672</v>
      </c>
      <c r="AD38" s="179">
        <f t="shared" si="7"/>
        <v>1302</v>
      </c>
      <c r="AE38" s="179">
        <f t="shared" si="8"/>
        <v>558</v>
      </c>
    </row>
    <row r="39" spans="1:31">
      <c r="A39" s="173">
        <f t="shared" si="9"/>
        <v>22</v>
      </c>
      <c r="B39" s="57">
        <v>21</v>
      </c>
      <c r="C39" s="223">
        <f t="shared" si="10"/>
        <v>50970</v>
      </c>
      <c r="D39" s="337">
        <f t="shared" si="19"/>
        <v>40000</v>
      </c>
      <c r="E39" s="337"/>
      <c r="F39" s="337"/>
      <c r="G39" s="338">
        <f t="shared" si="16"/>
        <v>2000</v>
      </c>
      <c r="H39" s="338"/>
      <c r="I39" s="338">
        <f t="shared" si="20"/>
        <v>240</v>
      </c>
      <c r="J39" s="338"/>
      <c r="K39" s="338">
        <f t="shared" si="22"/>
        <v>2240</v>
      </c>
      <c r="L39" s="338"/>
      <c r="M39" s="338">
        <f t="shared" si="17"/>
        <v>2904.5699999999997</v>
      </c>
      <c r="N39" s="338"/>
      <c r="O39" s="338"/>
      <c r="P39" s="340">
        <v>0</v>
      </c>
      <c r="Q39" s="340"/>
      <c r="R39" s="340"/>
      <c r="S39" s="174">
        <f t="shared" si="21"/>
        <v>516.37</v>
      </c>
      <c r="T39" s="174">
        <f t="shared" si="23"/>
        <v>148.19999999999999</v>
      </c>
      <c r="U39" s="338">
        <f t="shared" si="18"/>
        <v>40000</v>
      </c>
      <c r="V39" s="338"/>
      <c r="W39" s="338"/>
      <c r="X39" s="338">
        <f t="shared" si="24"/>
        <v>3569.1399999999994</v>
      </c>
      <c r="Y39" s="338"/>
      <c r="Z39" s="338"/>
      <c r="AA39" s="171">
        <f t="shared" si="15"/>
        <v>140</v>
      </c>
      <c r="AB39" s="179">
        <f t="shared" si="5"/>
        <v>1568</v>
      </c>
      <c r="AC39" s="179">
        <f t="shared" si="6"/>
        <v>672</v>
      </c>
      <c r="AD39" s="179">
        <f t="shared" si="7"/>
        <v>1302</v>
      </c>
      <c r="AE39" s="179">
        <f t="shared" si="8"/>
        <v>558</v>
      </c>
    </row>
    <row r="40" spans="1:31">
      <c r="A40" s="173">
        <f t="shared" si="9"/>
        <v>23</v>
      </c>
      <c r="B40" s="57">
        <v>22</v>
      </c>
      <c r="C40" s="223">
        <f t="shared" si="10"/>
        <v>51640</v>
      </c>
      <c r="D40" s="337">
        <f t="shared" si="19"/>
        <v>40000</v>
      </c>
      <c r="E40" s="337"/>
      <c r="F40" s="337"/>
      <c r="G40" s="338">
        <f t="shared" si="16"/>
        <v>2000</v>
      </c>
      <c r="H40" s="338"/>
      <c r="I40" s="338">
        <f t="shared" si="20"/>
        <v>240</v>
      </c>
      <c r="J40" s="338"/>
      <c r="K40" s="338">
        <f t="shared" si="22"/>
        <v>2240</v>
      </c>
      <c r="L40" s="338"/>
      <c r="M40" s="338">
        <f t="shared" si="17"/>
        <v>2904.5699999999997</v>
      </c>
      <c r="N40" s="338"/>
      <c r="O40" s="338"/>
      <c r="P40" s="340">
        <v>0</v>
      </c>
      <c r="Q40" s="340"/>
      <c r="R40" s="340"/>
      <c r="S40" s="174">
        <f t="shared" si="21"/>
        <v>516.37</v>
      </c>
      <c r="T40" s="174">
        <f t="shared" si="23"/>
        <v>148.19999999999999</v>
      </c>
      <c r="U40" s="338">
        <f t="shared" si="18"/>
        <v>40000</v>
      </c>
      <c r="V40" s="338"/>
      <c r="W40" s="338"/>
      <c r="X40" s="338">
        <f t="shared" si="24"/>
        <v>3569.1399999999994</v>
      </c>
      <c r="Y40" s="338"/>
      <c r="Z40" s="338"/>
      <c r="AA40" s="171">
        <f t="shared" si="15"/>
        <v>140</v>
      </c>
      <c r="AB40" s="179">
        <f t="shared" si="5"/>
        <v>1568</v>
      </c>
      <c r="AC40" s="179">
        <f t="shared" si="6"/>
        <v>672</v>
      </c>
      <c r="AD40" s="179">
        <f t="shared" si="7"/>
        <v>1302</v>
      </c>
      <c r="AE40" s="179">
        <f t="shared" si="8"/>
        <v>558</v>
      </c>
    </row>
    <row r="41" spans="1:31">
      <c r="A41" s="173">
        <f t="shared" si="9"/>
        <v>24</v>
      </c>
      <c r="B41" s="57">
        <v>23</v>
      </c>
      <c r="C41" s="223">
        <f t="shared" si="10"/>
        <v>52340</v>
      </c>
      <c r="D41" s="337">
        <f t="shared" si="19"/>
        <v>40000</v>
      </c>
      <c r="E41" s="337"/>
      <c r="F41" s="337"/>
      <c r="G41" s="338">
        <f t="shared" si="16"/>
        <v>2000</v>
      </c>
      <c r="H41" s="338"/>
      <c r="I41" s="338">
        <f t="shared" si="20"/>
        <v>240</v>
      </c>
      <c r="J41" s="338"/>
      <c r="K41" s="338">
        <f t="shared" si="22"/>
        <v>2240</v>
      </c>
      <c r="L41" s="338"/>
      <c r="M41" s="338">
        <f t="shared" si="17"/>
        <v>2904.5699999999997</v>
      </c>
      <c r="N41" s="338"/>
      <c r="O41" s="338"/>
      <c r="P41" s="340">
        <v>0</v>
      </c>
      <c r="Q41" s="340"/>
      <c r="R41" s="340"/>
      <c r="S41" s="174">
        <f t="shared" si="21"/>
        <v>516.37</v>
      </c>
      <c r="T41" s="174">
        <f t="shared" si="23"/>
        <v>148.19999999999999</v>
      </c>
      <c r="U41" s="338">
        <f t="shared" si="18"/>
        <v>40000</v>
      </c>
      <c r="V41" s="338"/>
      <c r="W41" s="338"/>
      <c r="X41" s="338">
        <f t="shared" si="24"/>
        <v>3569.1399999999994</v>
      </c>
      <c r="Y41" s="338"/>
      <c r="Z41" s="338"/>
      <c r="AA41" s="171">
        <f t="shared" si="15"/>
        <v>140</v>
      </c>
      <c r="AB41" s="179">
        <f t="shared" si="5"/>
        <v>1568</v>
      </c>
      <c r="AC41" s="179">
        <f t="shared" si="6"/>
        <v>672</v>
      </c>
      <c r="AD41" s="179">
        <f t="shared" si="7"/>
        <v>1302</v>
      </c>
      <c r="AE41" s="179">
        <f t="shared" si="8"/>
        <v>558</v>
      </c>
    </row>
    <row r="42" spans="1:31">
      <c r="A42" s="173">
        <f t="shared" si="9"/>
        <v>25</v>
      </c>
      <c r="B42" s="57">
        <v>24</v>
      </c>
      <c r="C42" s="223">
        <f t="shared" si="10"/>
        <v>53071</v>
      </c>
      <c r="D42" s="337">
        <f t="shared" si="19"/>
        <v>40000</v>
      </c>
      <c r="E42" s="337"/>
      <c r="F42" s="337"/>
      <c r="G42" s="338">
        <f t="shared" si="16"/>
        <v>2000</v>
      </c>
      <c r="H42" s="338"/>
      <c r="I42" s="338">
        <f t="shared" si="20"/>
        <v>240</v>
      </c>
      <c r="J42" s="338"/>
      <c r="K42" s="338">
        <f t="shared" si="22"/>
        <v>2240</v>
      </c>
      <c r="L42" s="338"/>
      <c r="M42" s="338">
        <f t="shared" si="17"/>
        <v>2904.5699999999997</v>
      </c>
      <c r="N42" s="338"/>
      <c r="O42" s="338"/>
      <c r="P42" s="340">
        <v>0</v>
      </c>
      <c r="Q42" s="340"/>
      <c r="R42" s="340"/>
      <c r="S42" s="174">
        <f t="shared" si="21"/>
        <v>516.37</v>
      </c>
      <c r="T42" s="174">
        <f t="shared" si="23"/>
        <v>148.19999999999999</v>
      </c>
      <c r="U42" s="338">
        <f t="shared" si="18"/>
        <v>40000</v>
      </c>
      <c r="V42" s="338"/>
      <c r="W42" s="338"/>
      <c r="X42" s="338">
        <f t="shared" si="24"/>
        <v>3569.1399999999994</v>
      </c>
      <c r="Y42" s="338"/>
      <c r="Z42" s="338"/>
      <c r="AA42" s="171">
        <f t="shared" si="15"/>
        <v>140</v>
      </c>
      <c r="AB42" s="179">
        <f t="shared" si="5"/>
        <v>1568</v>
      </c>
      <c r="AC42" s="179">
        <f t="shared" si="6"/>
        <v>672</v>
      </c>
      <c r="AD42" s="179">
        <f t="shared" si="7"/>
        <v>1302</v>
      </c>
      <c r="AE42" s="179">
        <f t="shared" si="8"/>
        <v>558</v>
      </c>
    </row>
    <row r="43" spans="1:31">
      <c r="A43" s="173">
        <f t="shared" si="9"/>
        <v>26</v>
      </c>
      <c r="B43" s="57">
        <v>25</v>
      </c>
      <c r="C43" s="223">
        <f t="shared" si="10"/>
        <v>53831</v>
      </c>
      <c r="D43" s="337">
        <f t="shared" si="19"/>
        <v>40000</v>
      </c>
      <c r="E43" s="337"/>
      <c r="F43" s="337"/>
      <c r="G43" s="338">
        <f t="shared" si="16"/>
        <v>2000</v>
      </c>
      <c r="H43" s="338"/>
      <c r="I43" s="338">
        <f t="shared" si="20"/>
        <v>240</v>
      </c>
      <c r="J43" s="338"/>
      <c r="K43" s="338">
        <f t="shared" si="22"/>
        <v>2240</v>
      </c>
      <c r="L43" s="338"/>
      <c r="M43" s="338">
        <f t="shared" si="17"/>
        <v>2904.5699999999997</v>
      </c>
      <c r="N43" s="338"/>
      <c r="O43" s="338"/>
      <c r="P43" s="340">
        <v>0</v>
      </c>
      <c r="Q43" s="340"/>
      <c r="R43" s="340"/>
      <c r="S43" s="174">
        <f t="shared" si="21"/>
        <v>516.37</v>
      </c>
      <c r="T43" s="174">
        <f t="shared" si="23"/>
        <v>148.19999999999999</v>
      </c>
      <c r="U43" s="338">
        <f t="shared" si="18"/>
        <v>40000</v>
      </c>
      <c r="V43" s="338"/>
      <c r="W43" s="338"/>
      <c r="X43" s="338">
        <f t="shared" si="24"/>
        <v>3569.1399999999994</v>
      </c>
      <c r="Y43" s="338"/>
      <c r="Z43" s="338"/>
      <c r="AA43" s="171">
        <f t="shared" si="15"/>
        <v>140</v>
      </c>
      <c r="AB43" s="179">
        <f t="shared" si="5"/>
        <v>1568</v>
      </c>
      <c r="AC43" s="179">
        <f t="shared" si="6"/>
        <v>672</v>
      </c>
      <c r="AD43" s="179">
        <f t="shared" si="7"/>
        <v>1302</v>
      </c>
      <c r="AE43" s="179">
        <f t="shared" si="8"/>
        <v>558</v>
      </c>
    </row>
    <row r="44" spans="1:31">
      <c r="A44" s="173">
        <f t="shared" si="9"/>
        <v>27</v>
      </c>
      <c r="B44" s="57">
        <v>26</v>
      </c>
      <c r="C44" s="223">
        <f t="shared" si="10"/>
        <v>54623</v>
      </c>
      <c r="D44" s="337">
        <f t="shared" si="19"/>
        <v>40000</v>
      </c>
      <c r="E44" s="337"/>
      <c r="F44" s="337"/>
      <c r="G44" s="338">
        <f t="shared" si="16"/>
        <v>2000</v>
      </c>
      <c r="H44" s="338"/>
      <c r="I44" s="338">
        <f t="shared" si="20"/>
        <v>240</v>
      </c>
      <c r="J44" s="338"/>
      <c r="K44" s="338">
        <f>IF(G44="","",G44+I44)</f>
        <v>2240</v>
      </c>
      <c r="L44" s="338"/>
      <c r="M44" s="338">
        <f t="shared" si="17"/>
        <v>2904.5699999999997</v>
      </c>
      <c r="N44" s="338"/>
      <c r="O44" s="338"/>
      <c r="P44" s="340">
        <v>0</v>
      </c>
      <c r="Q44" s="340"/>
      <c r="R44" s="340"/>
      <c r="S44" s="174">
        <f t="shared" si="21"/>
        <v>516.37</v>
      </c>
      <c r="T44" s="174">
        <f t="shared" si="23"/>
        <v>148.19999999999999</v>
      </c>
      <c r="U44" s="338">
        <f t="shared" si="18"/>
        <v>40000</v>
      </c>
      <c r="V44" s="338"/>
      <c r="W44" s="338"/>
      <c r="X44" s="338">
        <f t="shared" si="24"/>
        <v>3569.1399999999994</v>
      </c>
      <c r="Y44" s="338"/>
      <c r="Z44" s="338"/>
      <c r="AA44" s="171">
        <f t="shared" si="15"/>
        <v>140</v>
      </c>
      <c r="AB44" s="179">
        <f t="shared" si="5"/>
        <v>1568</v>
      </c>
      <c r="AC44" s="179">
        <f t="shared" si="6"/>
        <v>672</v>
      </c>
      <c r="AD44" s="179">
        <f t="shared" si="7"/>
        <v>1302</v>
      </c>
      <c r="AE44" s="179">
        <f t="shared" si="8"/>
        <v>558</v>
      </c>
    </row>
    <row r="45" spans="1:31">
      <c r="A45" s="173">
        <f t="shared" si="9"/>
        <v>28</v>
      </c>
      <c r="B45" s="57">
        <v>27</v>
      </c>
      <c r="C45" s="223">
        <f t="shared" si="10"/>
        <v>55445</v>
      </c>
      <c r="D45" s="337">
        <f t="shared" si="19"/>
        <v>40000</v>
      </c>
      <c r="E45" s="337"/>
      <c r="F45" s="337"/>
      <c r="G45" s="338">
        <f t="shared" si="16"/>
        <v>2000</v>
      </c>
      <c r="H45" s="338"/>
      <c r="I45" s="338">
        <f t="shared" si="20"/>
        <v>240</v>
      </c>
      <c r="J45" s="338"/>
      <c r="K45" s="338">
        <f>IF(G45="","",G45+I45)</f>
        <v>2240</v>
      </c>
      <c r="L45" s="338"/>
      <c r="M45" s="338">
        <f t="shared" si="17"/>
        <v>2904.5699999999997</v>
      </c>
      <c r="N45" s="338"/>
      <c r="O45" s="338"/>
      <c r="P45" s="340">
        <v>0</v>
      </c>
      <c r="Q45" s="340"/>
      <c r="R45" s="340"/>
      <c r="S45" s="174">
        <f t="shared" si="21"/>
        <v>516.37</v>
      </c>
      <c r="T45" s="174">
        <f t="shared" si="23"/>
        <v>148.19999999999999</v>
      </c>
      <c r="U45" s="338">
        <f t="shared" si="18"/>
        <v>40000</v>
      </c>
      <c r="V45" s="338"/>
      <c r="W45" s="338"/>
      <c r="X45" s="338">
        <f>IF(D45="","",$X$18)</f>
        <v>3569.1399999999994</v>
      </c>
      <c r="Y45" s="338"/>
      <c r="Z45" s="338"/>
      <c r="AA45" s="171">
        <f t="shared" si="15"/>
        <v>140</v>
      </c>
      <c r="AB45" s="179">
        <f t="shared" si="5"/>
        <v>1568</v>
      </c>
      <c r="AC45" s="179">
        <f t="shared" si="6"/>
        <v>672</v>
      </c>
      <c r="AD45" s="179">
        <f t="shared" si="7"/>
        <v>1302</v>
      </c>
      <c r="AE45" s="179">
        <f t="shared" si="8"/>
        <v>558</v>
      </c>
    </row>
    <row r="46" spans="1:31">
      <c r="A46" s="173">
        <f t="shared" si="9"/>
        <v>29</v>
      </c>
      <c r="B46" s="57">
        <v>28</v>
      </c>
      <c r="C46" s="223">
        <f t="shared" si="10"/>
        <v>56299</v>
      </c>
      <c r="D46" s="337">
        <f t="shared" si="19"/>
        <v>40000</v>
      </c>
      <c r="E46" s="337"/>
      <c r="F46" s="337"/>
      <c r="G46" s="338">
        <f t="shared" si="16"/>
        <v>2000</v>
      </c>
      <c r="H46" s="338"/>
      <c r="I46" s="338">
        <f t="shared" si="20"/>
        <v>240</v>
      </c>
      <c r="J46" s="338"/>
      <c r="K46" s="338">
        <f>IF(G46="","",G46+I46)</f>
        <v>2240</v>
      </c>
      <c r="L46" s="338"/>
      <c r="M46" s="338">
        <f t="shared" si="17"/>
        <v>2904.5699999999997</v>
      </c>
      <c r="N46" s="338"/>
      <c r="O46" s="338"/>
      <c r="P46" s="340">
        <v>0</v>
      </c>
      <c r="Q46" s="340"/>
      <c r="R46" s="340"/>
      <c r="S46" s="174">
        <f t="shared" si="21"/>
        <v>516.37</v>
      </c>
      <c r="T46" s="174">
        <f t="shared" si="23"/>
        <v>148.19999999999999</v>
      </c>
      <c r="U46" s="338">
        <f t="shared" si="18"/>
        <v>40000</v>
      </c>
      <c r="V46" s="338"/>
      <c r="W46" s="338"/>
      <c r="X46" s="338">
        <f t="shared" ref="X46:X53" si="25">IF(D46="","",$X$18)</f>
        <v>3569.1399999999994</v>
      </c>
      <c r="Y46" s="338"/>
      <c r="Z46" s="338"/>
      <c r="AA46" s="171">
        <f t="shared" si="15"/>
        <v>140</v>
      </c>
      <c r="AB46" s="179">
        <f t="shared" si="5"/>
        <v>1568</v>
      </c>
      <c r="AC46" s="179">
        <f t="shared" si="6"/>
        <v>672</v>
      </c>
      <c r="AD46" s="179">
        <f t="shared" si="7"/>
        <v>1302</v>
      </c>
      <c r="AE46" s="179">
        <f t="shared" si="8"/>
        <v>558</v>
      </c>
    </row>
    <row r="47" spans="1:31">
      <c r="A47" s="173">
        <f t="shared" si="9"/>
        <v>30</v>
      </c>
      <c r="B47" s="57">
        <v>29</v>
      </c>
      <c r="C47" s="223">
        <f t="shared" si="10"/>
        <v>57180</v>
      </c>
      <c r="D47" s="337">
        <f t="shared" si="19"/>
        <v>40000</v>
      </c>
      <c r="E47" s="337"/>
      <c r="F47" s="337"/>
      <c r="G47" s="338">
        <f>IF(D47="","",(D47*$E$8))</f>
        <v>2000</v>
      </c>
      <c r="H47" s="338"/>
      <c r="I47" s="338">
        <f t="shared" si="20"/>
        <v>240</v>
      </c>
      <c r="J47" s="338"/>
      <c r="K47" s="338">
        <f>IF(G47="","",G47+I47)</f>
        <v>2240</v>
      </c>
      <c r="L47" s="338"/>
      <c r="M47" s="338">
        <f t="shared" si="17"/>
        <v>2904.5699999999997</v>
      </c>
      <c r="N47" s="338"/>
      <c r="O47" s="338"/>
      <c r="P47" s="340">
        <v>0</v>
      </c>
      <c r="Q47" s="340"/>
      <c r="R47" s="340"/>
      <c r="S47" s="174">
        <f t="shared" si="21"/>
        <v>516.37</v>
      </c>
      <c r="T47" s="174">
        <f t="shared" si="23"/>
        <v>148.19999999999999</v>
      </c>
      <c r="U47" s="338">
        <f t="shared" si="18"/>
        <v>40000</v>
      </c>
      <c r="V47" s="338"/>
      <c r="W47" s="338"/>
      <c r="X47" s="338">
        <f t="shared" si="25"/>
        <v>3569.1399999999994</v>
      </c>
      <c r="Y47" s="338"/>
      <c r="Z47" s="338"/>
      <c r="AA47" s="171">
        <f t="shared" si="15"/>
        <v>140</v>
      </c>
      <c r="AB47" s="179">
        <f t="shared" si="5"/>
        <v>1568</v>
      </c>
      <c r="AC47" s="179">
        <f t="shared" si="6"/>
        <v>672</v>
      </c>
      <c r="AD47" s="179">
        <f t="shared" si="7"/>
        <v>1302</v>
      </c>
      <c r="AE47" s="179">
        <f t="shared" si="8"/>
        <v>558</v>
      </c>
    </row>
    <row r="48" spans="1:31">
      <c r="A48" s="173">
        <f t="shared" si="9"/>
        <v>31</v>
      </c>
      <c r="B48" s="57">
        <v>30</v>
      </c>
      <c r="C48" s="223">
        <f t="shared" si="10"/>
        <v>58094</v>
      </c>
      <c r="D48" s="337">
        <f t="shared" si="19"/>
        <v>40000</v>
      </c>
      <c r="E48" s="337"/>
      <c r="F48" s="337"/>
      <c r="G48" s="338">
        <f t="shared" ref="G48:G53" si="26">IF(D48="","",(D48*$E$8))</f>
        <v>2000</v>
      </c>
      <c r="H48" s="338"/>
      <c r="I48" s="338">
        <f>IF(G48="","",(G48*0.12))</f>
        <v>240</v>
      </c>
      <c r="J48" s="338"/>
      <c r="K48" s="338">
        <f t="shared" ref="K48:K53" si="27">IF(G48="","",G48+I48)</f>
        <v>2240</v>
      </c>
      <c r="L48" s="338"/>
      <c r="M48" s="338">
        <f t="shared" si="17"/>
        <v>2904.5699999999997</v>
      </c>
      <c r="N48" s="338"/>
      <c r="O48" s="338"/>
      <c r="P48" s="340">
        <v>0</v>
      </c>
      <c r="Q48" s="340"/>
      <c r="R48" s="340"/>
      <c r="S48" s="174">
        <f t="shared" si="21"/>
        <v>516.37</v>
      </c>
      <c r="T48" s="174">
        <f t="shared" si="23"/>
        <v>148.19999999999999</v>
      </c>
      <c r="U48" s="338">
        <f t="shared" si="18"/>
        <v>40000</v>
      </c>
      <c r="V48" s="338"/>
      <c r="W48" s="338"/>
      <c r="X48" s="338">
        <f t="shared" si="25"/>
        <v>3569.1399999999994</v>
      </c>
      <c r="Y48" s="338"/>
      <c r="Z48" s="338"/>
      <c r="AA48" s="171">
        <f t="shared" si="15"/>
        <v>140</v>
      </c>
      <c r="AB48" s="179">
        <f t="shared" si="5"/>
        <v>1568</v>
      </c>
      <c r="AC48" s="179">
        <f t="shared" si="6"/>
        <v>672</v>
      </c>
      <c r="AD48" s="179">
        <f t="shared" si="7"/>
        <v>1302</v>
      </c>
      <c r="AE48" s="179">
        <f t="shared" si="8"/>
        <v>558</v>
      </c>
    </row>
    <row r="49" spans="1:31">
      <c r="A49" s="173">
        <f t="shared" si="9"/>
        <v>32</v>
      </c>
      <c r="B49" s="57">
        <v>31</v>
      </c>
      <c r="C49" s="223">
        <f t="shared" si="10"/>
        <v>59037</v>
      </c>
      <c r="D49" s="337">
        <f t="shared" si="19"/>
        <v>40000</v>
      </c>
      <c r="E49" s="337"/>
      <c r="F49" s="337"/>
      <c r="G49" s="338">
        <f t="shared" si="26"/>
        <v>2000</v>
      </c>
      <c r="H49" s="338"/>
      <c r="I49" s="338">
        <f t="shared" ref="I49:I53" si="28">IF(G49="","",(G49*0.12))</f>
        <v>240</v>
      </c>
      <c r="J49" s="338"/>
      <c r="K49" s="338">
        <f t="shared" si="27"/>
        <v>2240</v>
      </c>
      <c r="L49" s="338"/>
      <c r="M49" s="338">
        <f t="shared" si="17"/>
        <v>2904.5699999999997</v>
      </c>
      <c r="N49" s="338"/>
      <c r="O49" s="338"/>
      <c r="P49" s="340">
        <v>0</v>
      </c>
      <c r="Q49" s="340"/>
      <c r="R49" s="340"/>
      <c r="S49" s="174">
        <f t="shared" si="21"/>
        <v>516.37</v>
      </c>
      <c r="T49" s="174">
        <f t="shared" si="23"/>
        <v>148.19999999999999</v>
      </c>
      <c r="U49" s="338">
        <f t="shared" si="18"/>
        <v>40000</v>
      </c>
      <c r="V49" s="338"/>
      <c r="W49" s="338"/>
      <c r="X49" s="338">
        <f t="shared" si="25"/>
        <v>3569.1399999999994</v>
      </c>
      <c r="Y49" s="338"/>
      <c r="Z49" s="338"/>
      <c r="AA49" s="171">
        <f t="shared" si="15"/>
        <v>140</v>
      </c>
      <c r="AB49" s="179">
        <f t="shared" si="5"/>
        <v>1568</v>
      </c>
      <c r="AC49" s="179">
        <f t="shared" si="6"/>
        <v>672</v>
      </c>
      <c r="AD49" s="179">
        <f t="shared" si="7"/>
        <v>1302</v>
      </c>
      <c r="AE49" s="179">
        <f t="shared" si="8"/>
        <v>558</v>
      </c>
    </row>
    <row r="50" spans="1:31">
      <c r="A50" s="173">
        <f t="shared" si="9"/>
        <v>33</v>
      </c>
      <c r="B50" s="57">
        <v>32</v>
      </c>
      <c r="C50" s="223">
        <f t="shared" si="10"/>
        <v>60011</v>
      </c>
      <c r="D50" s="337">
        <f t="shared" si="19"/>
        <v>40000</v>
      </c>
      <c r="E50" s="337"/>
      <c r="F50" s="337"/>
      <c r="G50" s="338">
        <f t="shared" si="26"/>
        <v>2000</v>
      </c>
      <c r="H50" s="338"/>
      <c r="I50" s="338">
        <f t="shared" si="28"/>
        <v>240</v>
      </c>
      <c r="J50" s="338"/>
      <c r="K50" s="338">
        <f t="shared" si="27"/>
        <v>2240</v>
      </c>
      <c r="L50" s="338"/>
      <c r="M50" s="338">
        <f t="shared" si="17"/>
        <v>2904.5699999999997</v>
      </c>
      <c r="N50" s="338"/>
      <c r="O50" s="338"/>
      <c r="P50" s="340">
        <v>0</v>
      </c>
      <c r="Q50" s="340"/>
      <c r="R50" s="340"/>
      <c r="S50" s="174">
        <f t="shared" si="21"/>
        <v>516.37</v>
      </c>
      <c r="T50" s="174">
        <f t="shared" si="23"/>
        <v>148.19999999999999</v>
      </c>
      <c r="U50" s="338">
        <f t="shared" si="18"/>
        <v>40000</v>
      </c>
      <c r="V50" s="338"/>
      <c r="W50" s="338"/>
      <c r="X50" s="338">
        <f t="shared" si="25"/>
        <v>3569.1399999999994</v>
      </c>
      <c r="Y50" s="338"/>
      <c r="Z50" s="338"/>
      <c r="AA50" s="171">
        <f t="shared" si="15"/>
        <v>140</v>
      </c>
      <c r="AB50" s="179">
        <f t="shared" si="5"/>
        <v>1568</v>
      </c>
      <c r="AC50" s="179">
        <f t="shared" si="6"/>
        <v>672</v>
      </c>
      <c r="AD50" s="179">
        <f t="shared" si="7"/>
        <v>1302</v>
      </c>
      <c r="AE50" s="179">
        <f t="shared" si="8"/>
        <v>558</v>
      </c>
    </row>
    <row r="51" spans="1:31">
      <c r="A51" s="173">
        <f t="shared" si="9"/>
        <v>34</v>
      </c>
      <c r="B51" s="57">
        <v>33</v>
      </c>
      <c r="C51" s="223">
        <f t="shared" si="10"/>
        <v>61016</v>
      </c>
      <c r="D51" s="337">
        <f t="shared" si="19"/>
        <v>40000</v>
      </c>
      <c r="E51" s="337"/>
      <c r="F51" s="337"/>
      <c r="G51" s="338">
        <f t="shared" si="26"/>
        <v>2000</v>
      </c>
      <c r="H51" s="338"/>
      <c r="I51" s="338">
        <f t="shared" si="28"/>
        <v>240</v>
      </c>
      <c r="J51" s="338"/>
      <c r="K51" s="338">
        <f t="shared" si="27"/>
        <v>2240</v>
      </c>
      <c r="L51" s="338"/>
      <c r="M51" s="338">
        <f t="shared" si="17"/>
        <v>2904.5699999999997</v>
      </c>
      <c r="N51" s="338"/>
      <c r="O51" s="338"/>
      <c r="P51" s="340">
        <v>0</v>
      </c>
      <c r="Q51" s="340"/>
      <c r="R51" s="340"/>
      <c r="S51" s="174">
        <f t="shared" si="21"/>
        <v>516.37</v>
      </c>
      <c r="T51" s="174">
        <f t="shared" si="23"/>
        <v>148.19999999999999</v>
      </c>
      <c r="U51" s="338">
        <f t="shared" si="18"/>
        <v>40000</v>
      </c>
      <c r="V51" s="338"/>
      <c r="W51" s="338"/>
      <c r="X51" s="338">
        <f t="shared" si="25"/>
        <v>3569.1399999999994</v>
      </c>
      <c r="Y51" s="338"/>
      <c r="Z51" s="338"/>
      <c r="AA51" s="171">
        <f t="shared" si="15"/>
        <v>140</v>
      </c>
      <c r="AB51" s="179">
        <f t="shared" si="5"/>
        <v>1568</v>
      </c>
      <c r="AC51" s="179">
        <f t="shared" si="6"/>
        <v>672</v>
      </c>
      <c r="AD51" s="179">
        <f t="shared" si="7"/>
        <v>1302</v>
      </c>
      <c r="AE51" s="179">
        <f t="shared" si="8"/>
        <v>558</v>
      </c>
    </row>
    <row r="52" spans="1:31">
      <c r="A52" s="173">
        <f t="shared" si="9"/>
        <v>35</v>
      </c>
      <c r="B52" s="57">
        <v>34</v>
      </c>
      <c r="C52" s="223">
        <f t="shared" si="10"/>
        <v>62051</v>
      </c>
      <c r="D52" s="337">
        <f t="shared" si="19"/>
        <v>40000</v>
      </c>
      <c r="E52" s="337"/>
      <c r="F52" s="337"/>
      <c r="G52" s="338">
        <f t="shared" si="26"/>
        <v>2000</v>
      </c>
      <c r="H52" s="338"/>
      <c r="I52" s="338">
        <f t="shared" si="28"/>
        <v>240</v>
      </c>
      <c r="J52" s="338"/>
      <c r="K52" s="338">
        <f t="shared" si="27"/>
        <v>2240</v>
      </c>
      <c r="L52" s="338"/>
      <c r="M52" s="338">
        <f t="shared" si="17"/>
        <v>2904.5699999999997</v>
      </c>
      <c r="N52" s="338"/>
      <c r="O52" s="338"/>
      <c r="P52" s="340">
        <v>0</v>
      </c>
      <c r="Q52" s="340"/>
      <c r="R52" s="340"/>
      <c r="S52" s="174">
        <f t="shared" si="21"/>
        <v>516.37</v>
      </c>
      <c r="T52" s="174">
        <f t="shared" si="23"/>
        <v>148.19999999999999</v>
      </c>
      <c r="U52" s="338">
        <f t="shared" si="18"/>
        <v>40000</v>
      </c>
      <c r="V52" s="338"/>
      <c r="W52" s="338"/>
      <c r="X52" s="338">
        <f t="shared" si="25"/>
        <v>3569.1399999999994</v>
      </c>
      <c r="Y52" s="338"/>
      <c r="Z52" s="338"/>
      <c r="AA52" s="171">
        <f t="shared" si="15"/>
        <v>140</v>
      </c>
      <c r="AB52" s="179">
        <f t="shared" si="5"/>
        <v>1568</v>
      </c>
      <c r="AC52" s="179">
        <f t="shared" si="6"/>
        <v>672</v>
      </c>
      <c r="AD52" s="179">
        <f t="shared" si="7"/>
        <v>1302</v>
      </c>
      <c r="AE52" s="179">
        <f t="shared" si="8"/>
        <v>558</v>
      </c>
    </row>
    <row r="53" spans="1:31">
      <c r="A53" s="173">
        <f t="shared" si="9"/>
        <v>36</v>
      </c>
      <c r="B53" s="57">
        <v>35</v>
      </c>
      <c r="C53" s="223">
        <f t="shared" si="10"/>
        <v>63116</v>
      </c>
      <c r="D53" s="337">
        <f t="shared" si="19"/>
        <v>40000</v>
      </c>
      <c r="E53" s="337"/>
      <c r="F53" s="337"/>
      <c r="G53" s="338">
        <f t="shared" si="26"/>
        <v>2000</v>
      </c>
      <c r="H53" s="338"/>
      <c r="I53" s="338">
        <f t="shared" si="28"/>
        <v>240</v>
      </c>
      <c r="J53" s="338"/>
      <c r="K53" s="338">
        <f t="shared" si="27"/>
        <v>2240</v>
      </c>
      <c r="L53" s="338"/>
      <c r="M53" s="338">
        <f t="shared" si="17"/>
        <v>2904.5699999999997</v>
      </c>
      <c r="N53" s="338"/>
      <c r="O53" s="338"/>
      <c r="P53" s="340">
        <v>40000</v>
      </c>
      <c r="Q53" s="340"/>
      <c r="R53" s="340"/>
      <c r="S53" s="174">
        <f t="shared" si="21"/>
        <v>516.37</v>
      </c>
      <c r="T53" s="174">
        <f t="shared" si="23"/>
        <v>148.19999999999999</v>
      </c>
      <c r="U53" s="338">
        <f t="shared" si="18"/>
        <v>0</v>
      </c>
      <c r="V53" s="338"/>
      <c r="W53" s="338"/>
      <c r="X53" s="338">
        <f t="shared" si="25"/>
        <v>3569.1399999999994</v>
      </c>
      <c r="Y53" s="338"/>
      <c r="Z53" s="338"/>
      <c r="AA53" s="171">
        <f t="shared" si="15"/>
        <v>140</v>
      </c>
      <c r="AB53" s="179">
        <f t="shared" si="5"/>
        <v>1568</v>
      </c>
      <c r="AC53" s="179">
        <f t="shared" si="6"/>
        <v>672</v>
      </c>
      <c r="AD53" s="179">
        <f t="shared" si="7"/>
        <v>1302</v>
      </c>
      <c r="AE53" s="179">
        <f t="shared" si="8"/>
        <v>558</v>
      </c>
    </row>
    <row r="54" spans="1:31">
      <c r="AD54" s="171"/>
    </row>
    <row r="55" spans="1:31" ht="14.4">
      <c r="G55" s="362"/>
      <c r="H55" s="363"/>
      <c r="I55" s="362"/>
      <c r="J55" s="362"/>
      <c r="K55" s="364"/>
      <c r="L55" s="364"/>
      <c r="M55" s="364"/>
      <c r="P55" s="343"/>
      <c r="Q55" s="365"/>
      <c r="R55" s="365"/>
      <c r="S55" s="139"/>
      <c r="T55" s="157"/>
      <c r="Y55" s="343"/>
      <c r="Z55" s="343"/>
      <c r="AA55" s="343"/>
    </row>
  </sheetData>
  <sheetProtection selectLockedCells="1"/>
  <mergeCells count="315">
    <mergeCell ref="E7:G7"/>
    <mergeCell ref="E8:G8"/>
    <mergeCell ref="L8:M8"/>
    <mergeCell ref="AB16:AC16"/>
    <mergeCell ref="AD16:AE16"/>
    <mergeCell ref="D17:F17"/>
    <mergeCell ref="G17:H17"/>
    <mergeCell ref="I17:J17"/>
    <mergeCell ref="K17:L17"/>
    <mergeCell ref="M17:O17"/>
    <mergeCell ref="P17:R17"/>
    <mergeCell ref="U17:W17"/>
    <mergeCell ref="X17:Z17"/>
    <mergeCell ref="AA8:AC8"/>
    <mergeCell ref="E9:G9"/>
    <mergeCell ref="E10:G10"/>
    <mergeCell ref="E11:G11"/>
    <mergeCell ref="E12:G12"/>
    <mergeCell ref="E13:G13"/>
    <mergeCell ref="E14:F14"/>
    <mergeCell ref="E15:F15"/>
    <mergeCell ref="V15:X15"/>
    <mergeCell ref="U18:W18"/>
    <mergeCell ref="X18:Z18"/>
    <mergeCell ref="D19:F19"/>
    <mergeCell ref="G19:H19"/>
    <mergeCell ref="I19:J19"/>
    <mergeCell ref="K19:L19"/>
    <mergeCell ref="M19:O19"/>
    <mergeCell ref="P19:R19"/>
    <mergeCell ref="U19:W19"/>
    <mergeCell ref="X19:Z19"/>
    <mergeCell ref="D18:F18"/>
    <mergeCell ref="G18:H18"/>
    <mergeCell ref="I18:J18"/>
    <mergeCell ref="K18:L18"/>
    <mergeCell ref="M18:O18"/>
    <mergeCell ref="P18:R18"/>
    <mergeCell ref="U20:W20"/>
    <mergeCell ref="X20:Z20"/>
    <mergeCell ref="D21:F21"/>
    <mergeCell ref="G21:H21"/>
    <mergeCell ref="I21:J21"/>
    <mergeCell ref="K21:L21"/>
    <mergeCell ref="M21:O21"/>
    <mergeCell ref="P21:R21"/>
    <mergeCell ref="U21:W21"/>
    <mergeCell ref="X21:Z21"/>
    <mergeCell ref="D20:F20"/>
    <mergeCell ref="G20:H20"/>
    <mergeCell ref="I20:J20"/>
    <mergeCell ref="K20:L20"/>
    <mergeCell ref="M20:O20"/>
    <mergeCell ref="P20:R20"/>
    <mergeCell ref="U22:W22"/>
    <mergeCell ref="X22:Z22"/>
    <mergeCell ref="D23:F23"/>
    <mergeCell ref="G23:H23"/>
    <mergeCell ref="I23:J23"/>
    <mergeCell ref="K23:L23"/>
    <mergeCell ref="M23:O23"/>
    <mergeCell ref="P23:R23"/>
    <mergeCell ref="U23:W23"/>
    <mergeCell ref="X23:Z23"/>
    <mergeCell ref="D22:F22"/>
    <mergeCell ref="G22:H22"/>
    <mergeCell ref="I22:J22"/>
    <mergeCell ref="K22:L22"/>
    <mergeCell ref="M22:O22"/>
    <mergeCell ref="P22:R22"/>
    <mergeCell ref="U24:W24"/>
    <mergeCell ref="X24:Z24"/>
    <mergeCell ref="D25:F25"/>
    <mergeCell ref="G25:H25"/>
    <mergeCell ref="I25:J25"/>
    <mergeCell ref="K25:L25"/>
    <mergeCell ref="M25:O25"/>
    <mergeCell ref="P25:R25"/>
    <mergeCell ref="U25:W25"/>
    <mergeCell ref="X25:Z25"/>
    <mergeCell ref="D24:F24"/>
    <mergeCell ref="G24:H24"/>
    <mergeCell ref="I24:J24"/>
    <mergeCell ref="K24:L24"/>
    <mergeCell ref="M24:O24"/>
    <mergeCell ref="P24:R24"/>
    <mergeCell ref="U26:W26"/>
    <mergeCell ref="X26:Z26"/>
    <mergeCell ref="D27:F27"/>
    <mergeCell ref="G27:H27"/>
    <mergeCell ref="I27:J27"/>
    <mergeCell ref="K27:L27"/>
    <mergeCell ref="M27:O27"/>
    <mergeCell ref="P27:R27"/>
    <mergeCell ref="U27:W27"/>
    <mergeCell ref="X27:Z27"/>
    <mergeCell ref="D26:F26"/>
    <mergeCell ref="G26:H26"/>
    <mergeCell ref="I26:J26"/>
    <mergeCell ref="K26:L26"/>
    <mergeCell ref="M26:O26"/>
    <mergeCell ref="P26:R26"/>
    <mergeCell ref="U28:W28"/>
    <mergeCell ref="X28:Z28"/>
    <mergeCell ref="D29:F29"/>
    <mergeCell ref="G29:H29"/>
    <mergeCell ref="I29:J29"/>
    <mergeCell ref="K29:L29"/>
    <mergeCell ref="M29:O29"/>
    <mergeCell ref="P29:R29"/>
    <mergeCell ref="U29:W29"/>
    <mergeCell ref="X29:Z29"/>
    <mergeCell ref="D28:F28"/>
    <mergeCell ref="G28:H28"/>
    <mergeCell ref="I28:J28"/>
    <mergeCell ref="K28:L28"/>
    <mergeCell ref="M28:O28"/>
    <mergeCell ref="P28:R28"/>
    <mergeCell ref="U30:W30"/>
    <mergeCell ref="X30:Z30"/>
    <mergeCell ref="D31:F31"/>
    <mergeCell ref="G31:H31"/>
    <mergeCell ref="I31:J31"/>
    <mergeCell ref="K31:L31"/>
    <mergeCell ref="M31:O31"/>
    <mergeCell ref="P31:R31"/>
    <mergeCell ref="U31:W31"/>
    <mergeCell ref="X31:Z31"/>
    <mergeCell ref="D30:F30"/>
    <mergeCell ref="G30:H30"/>
    <mergeCell ref="I30:J30"/>
    <mergeCell ref="K30:L30"/>
    <mergeCell ref="M30:O30"/>
    <mergeCell ref="P30:R30"/>
    <mergeCell ref="U32:W32"/>
    <mergeCell ref="X32:Z32"/>
    <mergeCell ref="D33:F33"/>
    <mergeCell ref="G33:H33"/>
    <mergeCell ref="I33:J33"/>
    <mergeCell ref="K33:L33"/>
    <mergeCell ref="M33:O33"/>
    <mergeCell ref="P33:R33"/>
    <mergeCell ref="U33:W33"/>
    <mergeCell ref="X33:Z33"/>
    <mergeCell ref="D32:F32"/>
    <mergeCell ref="G32:H32"/>
    <mergeCell ref="I32:J32"/>
    <mergeCell ref="K32:L32"/>
    <mergeCell ref="M32:O32"/>
    <mergeCell ref="P32:R32"/>
    <mergeCell ref="U34:W34"/>
    <mergeCell ref="X34:Z34"/>
    <mergeCell ref="D35:F35"/>
    <mergeCell ref="G35:H35"/>
    <mergeCell ref="I35:J35"/>
    <mergeCell ref="K35:L35"/>
    <mergeCell ref="M35:O35"/>
    <mergeCell ref="P35:R35"/>
    <mergeCell ref="U35:W35"/>
    <mergeCell ref="X35:Z35"/>
    <mergeCell ref="D34:F34"/>
    <mergeCell ref="G34:H34"/>
    <mergeCell ref="I34:J34"/>
    <mergeCell ref="K34:L34"/>
    <mergeCell ref="M34:O34"/>
    <mergeCell ref="P34:R34"/>
    <mergeCell ref="U36:W36"/>
    <mergeCell ref="X36:Z36"/>
    <mergeCell ref="D37:F37"/>
    <mergeCell ref="G37:H37"/>
    <mergeCell ref="I37:J37"/>
    <mergeCell ref="K37:L37"/>
    <mergeCell ref="M37:O37"/>
    <mergeCell ref="P37:R37"/>
    <mergeCell ref="U37:W37"/>
    <mergeCell ref="X37:Z37"/>
    <mergeCell ref="D36:F36"/>
    <mergeCell ref="G36:H36"/>
    <mergeCell ref="I36:J36"/>
    <mergeCell ref="K36:L36"/>
    <mergeCell ref="M36:O36"/>
    <mergeCell ref="P36:R36"/>
    <mergeCell ref="U38:W38"/>
    <mergeCell ref="X38:Z38"/>
    <mergeCell ref="D39:F39"/>
    <mergeCell ref="G39:H39"/>
    <mergeCell ref="I39:J39"/>
    <mergeCell ref="K39:L39"/>
    <mergeCell ref="M39:O39"/>
    <mergeCell ref="P39:R39"/>
    <mergeCell ref="U39:W39"/>
    <mergeCell ref="X39:Z39"/>
    <mergeCell ref="D38:F38"/>
    <mergeCell ref="G38:H38"/>
    <mergeCell ref="I38:J38"/>
    <mergeCell ref="K38:L38"/>
    <mergeCell ref="M38:O38"/>
    <mergeCell ref="P38:R38"/>
    <mergeCell ref="U40:W40"/>
    <mergeCell ref="X40:Z40"/>
    <mergeCell ref="D41:F41"/>
    <mergeCell ref="G41:H41"/>
    <mergeCell ref="I41:J41"/>
    <mergeCell ref="K41:L41"/>
    <mergeCell ref="M41:O41"/>
    <mergeCell ref="P41:R41"/>
    <mergeCell ref="U41:W41"/>
    <mergeCell ref="X41:Z41"/>
    <mergeCell ref="D40:F40"/>
    <mergeCell ref="G40:H40"/>
    <mergeCell ref="I40:J40"/>
    <mergeCell ref="K40:L40"/>
    <mergeCell ref="M40:O40"/>
    <mergeCell ref="P40:R40"/>
    <mergeCell ref="U42:W42"/>
    <mergeCell ref="X42:Z42"/>
    <mergeCell ref="D43:F43"/>
    <mergeCell ref="G43:H43"/>
    <mergeCell ref="I43:J43"/>
    <mergeCell ref="K43:L43"/>
    <mergeCell ref="M43:O43"/>
    <mergeCell ref="P43:R43"/>
    <mergeCell ref="U43:W43"/>
    <mergeCell ref="X43:Z43"/>
    <mergeCell ref="D42:F42"/>
    <mergeCell ref="G42:H42"/>
    <mergeCell ref="I42:J42"/>
    <mergeCell ref="K42:L42"/>
    <mergeCell ref="M42:O42"/>
    <mergeCell ref="P42:R42"/>
    <mergeCell ref="U44:W44"/>
    <mergeCell ref="X44:Z44"/>
    <mergeCell ref="D45:F45"/>
    <mergeCell ref="G45:H45"/>
    <mergeCell ref="I45:J45"/>
    <mergeCell ref="K45:L45"/>
    <mergeCell ref="M45:O45"/>
    <mergeCell ref="P45:R45"/>
    <mergeCell ref="U45:W45"/>
    <mergeCell ref="X45:Z45"/>
    <mergeCell ref="D44:F44"/>
    <mergeCell ref="G44:H44"/>
    <mergeCell ref="I44:J44"/>
    <mergeCell ref="K44:L44"/>
    <mergeCell ref="M44:O44"/>
    <mergeCell ref="P44:R44"/>
    <mergeCell ref="U46:W46"/>
    <mergeCell ref="X46:Z46"/>
    <mergeCell ref="D47:F47"/>
    <mergeCell ref="G47:H47"/>
    <mergeCell ref="I47:J47"/>
    <mergeCell ref="K47:L47"/>
    <mergeCell ref="M47:O47"/>
    <mergeCell ref="P47:R47"/>
    <mergeCell ref="U47:W47"/>
    <mergeCell ref="X47:Z47"/>
    <mergeCell ref="D46:F46"/>
    <mergeCell ref="G46:H46"/>
    <mergeCell ref="I46:J46"/>
    <mergeCell ref="K46:L46"/>
    <mergeCell ref="M46:O46"/>
    <mergeCell ref="P46:R46"/>
    <mergeCell ref="U48:W48"/>
    <mergeCell ref="X48:Z48"/>
    <mergeCell ref="D49:F49"/>
    <mergeCell ref="G49:H49"/>
    <mergeCell ref="I49:J49"/>
    <mergeCell ref="K49:L49"/>
    <mergeCell ref="M49:O49"/>
    <mergeCell ref="P49:R49"/>
    <mergeCell ref="U49:W49"/>
    <mergeCell ref="X49:Z49"/>
    <mergeCell ref="D48:F48"/>
    <mergeCell ref="G48:H48"/>
    <mergeCell ref="I48:J48"/>
    <mergeCell ref="K48:L48"/>
    <mergeCell ref="M48:O48"/>
    <mergeCell ref="P48:R48"/>
    <mergeCell ref="U50:W50"/>
    <mergeCell ref="X50:Z50"/>
    <mergeCell ref="D51:F51"/>
    <mergeCell ref="G51:H51"/>
    <mergeCell ref="I51:J51"/>
    <mergeCell ref="K51:L51"/>
    <mergeCell ref="M51:O51"/>
    <mergeCell ref="P51:R51"/>
    <mergeCell ref="U51:W51"/>
    <mergeCell ref="X51:Z51"/>
    <mergeCell ref="D50:F50"/>
    <mergeCell ref="G50:H50"/>
    <mergeCell ref="I50:J50"/>
    <mergeCell ref="K50:L50"/>
    <mergeCell ref="M50:O50"/>
    <mergeCell ref="P50:R50"/>
    <mergeCell ref="G55:H55"/>
    <mergeCell ref="I55:J55"/>
    <mergeCell ref="K55:M55"/>
    <mergeCell ref="P55:R55"/>
    <mergeCell ref="Y55:AA55"/>
    <mergeCell ref="U52:W52"/>
    <mergeCell ref="X52:Z52"/>
    <mergeCell ref="D53:F53"/>
    <mergeCell ref="G53:H53"/>
    <mergeCell ref="I53:J53"/>
    <mergeCell ref="K53:L53"/>
    <mergeCell ref="M53:O53"/>
    <mergeCell ref="P53:R53"/>
    <mergeCell ref="U53:W53"/>
    <mergeCell ref="X53:Z53"/>
    <mergeCell ref="D52:F52"/>
    <mergeCell ref="G52:H52"/>
    <mergeCell ref="I52:J52"/>
    <mergeCell ref="K52:L52"/>
    <mergeCell ref="M52:O52"/>
    <mergeCell ref="P52:R52"/>
  </mergeCells>
  <pageMargins left="0.59055118110236227" right="0.55118110236220474" top="1.05" bottom="0.83" header="0.31496062992125984" footer="0.18"/>
  <pageSetup paperSize="5" orientation="landscape" r:id="rId1"/>
  <headerFooter>
    <oddHeader>&amp;L&amp;G</oddHeader>
    <oddFooter>&amp;L&amp;G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/>
  <dimension ref="B2:J30"/>
  <sheetViews>
    <sheetView topLeftCell="A12" workbookViewId="0">
      <selection activeCell="D16" sqref="D16"/>
    </sheetView>
  </sheetViews>
  <sheetFormatPr baseColWidth="10" defaultRowHeight="14.4"/>
  <cols>
    <col min="2" max="2" width="35.88671875" bestFit="1" customWidth="1"/>
    <col min="3" max="3" width="14.5546875" bestFit="1" customWidth="1"/>
  </cols>
  <sheetData>
    <row r="2" spans="2:10">
      <c r="B2" t="s">
        <v>197</v>
      </c>
      <c r="C2" t="e">
        <f>#REF!</f>
        <v>#REF!</v>
      </c>
    </row>
    <row r="4" spans="2:10">
      <c r="B4" s="28" t="s">
        <v>86</v>
      </c>
      <c r="C4" s="28" t="e">
        <f>#REF!</f>
        <v>#REF!</v>
      </c>
      <c r="D4" s="41" t="str">
        <f>IFERROR(VLOOKUP(C4,'Datos - analisis de pago'!B4:C7,2,FALSE),"0")</f>
        <v>0</v>
      </c>
      <c r="E4" s="28">
        <v>1</v>
      </c>
      <c r="F4" s="28">
        <v>2</v>
      </c>
      <c r="G4" s="43"/>
    </row>
    <row r="5" spans="2:10" ht="15" thickBot="1">
      <c r="B5" s="28" t="s">
        <v>106</v>
      </c>
      <c r="C5" s="28" t="e">
        <f>#REF!</f>
        <v>#REF!</v>
      </c>
      <c r="D5" s="28">
        <f>IFERROR(VLOOKUP(C5,'Datos - analisis de pago'!E4:F20,2,FALSE),0)</f>
        <v>0</v>
      </c>
      <c r="E5" s="28">
        <v>1</v>
      </c>
      <c r="F5" s="28">
        <v>2</v>
      </c>
      <c r="G5" s="43"/>
      <c r="I5" s="25"/>
    </row>
    <row r="6" spans="2:10" ht="15" customHeight="1">
      <c r="B6" s="28" t="s">
        <v>240</v>
      </c>
      <c r="C6" s="28" t="e">
        <f>#REF!</f>
        <v>#REF!</v>
      </c>
      <c r="D6" s="28">
        <f>IFERROR(VLOOKUP(C6,'Datos - analisis de pago'!H5:I6,2,FALSE),0)</f>
        <v>0</v>
      </c>
      <c r="E6" s="28">
        <v>1</v>
      </c>
      <c r="F6" s="28">
        <v>4</v>
      </c>
      <c r="G6" s="43">
        <f>SUM(F4:F6)</f>
        <v>8</v>
      </c>
      <c r="I6" s="379" t="e">
        <f>IF(C2="Hipotecario",IF(D30=0,"",IF(D30&lt;=30,"A",IF(D30&lt;=50,"B",IF(D30&lt;=70,"C",IF(D30&lt;=340,"D",""))))),IF(D30=0,"",IF(D30&lt;=30,"A",IF(D30&lt;=50,"B",IF(D30&lt;=70,"C",IF(D30&lt;=340,"D",""))))))</f>
        <v>#REF!</v>
      </c>
      <c r="J6" s="380"/>
    </row>
    <row r="7" spans="2:10" ht="15" customHeight="1">
      <c r="B7" s="20" t="s">
        <v>98</v>
      </c>
      <c r="C7" s="20" t="e">
        <f>#REF!</f>
        <v>#REF!</v>
      </c>
      <c r="D7" s="20">
        <f>IFERROR(VLOOKUP(C7,'Datos - analisis de pago'!B24:C26,2,FALSE),0)</f>
        <v>0</v>
      </c>
      <c r="E7" s="20">
        <v>1</v>
      </c>
      <c r="F7" s="20">
        <v>4</v>
      </c>
      <c r="G7" s="43"/>
      <c r="I7" s="381"/>
      <c r="J7" s="382"/>
    </row>
    <row r="8" spans="2:10" ht="15.75" customHeight="1">
      <c r="B8" s="20" t="s">
        <v>111</v>
      </c>
      <c r="C8" s="20" t="e">
        <f>#REF!</f>
        <v>#REF!</v>
      </c>
      <c r="D8" s="20">
        <f>IFERROR(VLOOKUP(C8,'Datos - analisis de pago'!E24:F25,2,FALSE),0)</f>
        <v>0</v>
      </c>
      <c r="E8" s="20">
        <v>1</v>
      </c>
      <c r="F8" s="20">
        <v>4</v>
      </c>
      <c r="G8" s="43"/>
      <c r="I8" s="381"/>
      <c r="J8" s="382"/>
    </row>
    <row r="9" spans="2:10" ht="15.75" customHeight="1">
      <c r="B9" s="20" t="s">
        <v>116</v>
      </c>
      <c r="C9" s="20" t="e">
        <f>#REF!</f>
        <v>#REF!</v>
      </c>
      <c r="D9" s="20">
        <f>IFERROR(VLOOKUP(C9,'Datos - analisis de pago'!H24:I30,2,FALSE),0)</f>
        <v>0</v>
      </c>
      <c r="E9" s="20">
        <v>2</v>
      </c>
      <c r="F9" s="20">
        <v>4</v>
      </c>
      <c r="G9" s="43"/>
      <c r="I9" s="383" t="e">
        <f>IF(I6="","","Tasa a Ofrecer")</f>
        <v>#REF!</v>
      </c>
      <c r="J9" s="384"/>
    </row>
    <row r="10" spans="2:10" ht="15.75" customHeight="1">
      <c r="B10" s="35" t="s">
        <v>241</v>
      </c>
      <c r="C10" s="20" t="e">
        <f>#REF!</f>
        <v>#REF!</v>
      </c>
      <c r="D10" s="20">
        <f>IFERROR(VLOOKUP(C10,'Datos - analisis de pago'!O24:P25,2,FALSE),0)</f>
        <v>0</v>
      </c>
      <c r="E10" s="20">
        <v>1</v>
      </c>
      <c r="F10" s="20">
        <v>4</v>
      </c>
      <c r="G10" s="43"/>
      <c r="I10" s="375" t="e">
        <f>IF(I6="A","1% - 1.5%",IF(I6="B","1.6% - 2%",IF(I6="C","2.1% - 2.5%",IF(I6="D","3%",""))))</f>
        <v>#REF!</v>
      </c>
      <c r="J10" s="376"/>
    </row>
    <row r="11" spans="2:10" ht="15" customHeight="1">
      <c r="B11" s="20" t="s">
        <v>243</v>
      </c>
      <c r="C11" s="20" t="e">
        <f>#REF!</f>
        <v>#REF!</v>
      </c>
      <c r="D11" s="20">
        <f>IFERROR(VLOOKUP(C11,'Datos - analisis de pago'!L24:M25,2,FALSE),0)</f>
        <v>0</v>
      </c>
      <c r="E11" s="20">
        <v>1</v>
      </c>
      <c r="F11" s="20">
        <v>4</v>
      </c>
      <c r="G11" s="43">
        <f>SUM(F7:F11)</f>
        <v>20</v>
      </c>
      <c r="I11" s="375"/>
      <c r="J11" s="376"/>
    </row>
    <row r="12" spans="2:10" ht="15" customHeight="1" thickBot="1">
      <c r="B12" s="30" t="s">
        <v>234</v>
      </c>
      <c r="C12" s="37" t="e">
        <f>#REF!</f>
        <v>#REF!</v>
      </c>
      <c r="D12" s="30">
        <f>IFERROR(VLOOKUP(C12,'Datos - analisis de pago'!B33:C34,2,FALSE),0)</f>
        <v>0</v>
      </c>
      <c r="E12" s="30">
        <v>1</v>
      </c>
      <c r="F12" s="30">
        <v>3</v>
      </c>
      <c r="G12" s="43"/>
      <c r="I12" s="377"/>
      <c r="J12" s="378"/>
    </row>
    <row r="13" spans="2:10" ht="15.75" customHeight="1">
      <c r="B13" s="30" t="s">
        <v>235</v>
      </c>
      <c r="C13" s="37" t="e">
        <f>#REF!</f>
        <v>#REF!</v>
      </c>
      <c r="D13" s="30">
        <f>IFERROR(VLOOKUP(C13,'Datos - analisis de pago'!E33:F34,2,FALSE),0)</f>
        <v>0</v>
      </c>
      <c r="E13" s="30">
        <v>0.5</v>
      </c>
      <c r="F13" s="30">
        <v>3</v>
      </c>
      <c r="G13" s="43"/>
    </row>
    <row r="14" spans="2:10" ht="15.75" customHeight="1">
      <c r="B14" s="30" t="s">
        <v>244</v>
      </c>
      <c r="C14" s="37" t="e">
        <f>#REF!</f>
        <v>#REF!</v>
      </c>
      <c r="D14" s="30">
        <f>IFERROR(VLOOKUP(C14,'Datos - analisis de pago'!H33:I34,2,FALSE),0)</f>
        <v>0</v>
      </c>
      <c r="E14" s="30">
        <v>0.5</v>
      </c>
      <c r="F14" s="30">
        <v>7</v>
      </c>
      <c r="G14" s="43"/>
      <c r="I14" s="25"/>
    </row>
    <row r="15" spans="2:10" ht="15.75" customHeight="1">
      <c r="B15" s="30" t="s">
        <v>263</v>
      </c>
      <c r="C15" s="37" t="e">
        <f>#REF!</f>
        <v>#REF!</v>
      </c>
      <c r="D15" s="217">
        <f>IFERROR(VLOOKUP(C15,'Datos - analisis de pago'!N33:O38,2,FALSE),0)</f>
        <v>0</v>
      </c>
      <c r="E15" s="30">
        <v>0</v>
      </c>
      <c r="F15" s="30">
        <v>2</v>
      </c>
      <c r="G15" s="44"/>
      <c r="H15" s="39"/>
      <c r="I15" s="25"/>
    </row>
    <row r="16" spans="2:10" ht="15.75" customHeight="1">
      <c r="B16" s="30" t="s">
        <v>116</v>
      </c>
      <c r="C16" s="36" t="e">
        <f>#REF!</f>
        <v>#REF!</v>
      </c>
      <c r="D16" s="30" t="e">
        <f>IF(C16&lt;0,10,IFERROR(VLOOKUP(C16,'Datos - analisis de pago'!A51:C150,3,TRUE),0))</f>
        <v>#REF!</v>
      </c>
      <c r="E16" s="30">
        <v>0.5</v>
      </c>
      <c r="F16" s="30">
        <v>1</v>
      </c>
      <c r="G16" s="43"/>
      <c r="I16" s="38"/>
    </row>
    <row r="17" spans="2:9" ht="15.75" customHeight="1">
      <c r="B17" s="30" t="s">
        <v>246</v>
      </c>
      <c r="C17" s="37" t="e">
        <f>#REF!</f>
        <v>#REF!</v>
      </c>
      <c r="D17" s="30">
        <f>IFERROR(VLOOKUP(C17,'Datos - analisis de pago'!R33:S34,2,FALSE),0)</f>
        <v>0</v>
      </c>
      <c r="E17" s="30">
        <v>0.5</v>
      </c>
      <c r="F17" s="30">
        <v>5</v>
      </c>
      <c r="G17" s="43"/>
      <c r="I17" s="25"/>
    </row>
    <row r="18" spans="2:9" ht="15.75" customHeight="1">
      <c r="B18" s="30" t="s">
        <v>249</v>
      </c>
      <c r="C18" s="37" t="e">
        <f>#REF!</f>
        <v>#REF!</v>
      </c>
      <c r="D18" s="30">
        <f>IFERROR(VLOOKUP(C18,'Datos - analisis de pago'!V33:W38,2,FALSE),0)</f>
        <v>0</v>
      </c>
      <c r="E18" s="30">
        <v>0.5</v>
      </c>
      <c r="F18" s="30">
        <v>7</v>
      </c>
      <c r="G18" s="43"/>
      <c r="I18" s="25"/>
    </row>
    <row r="19" spans="2:9" ht="15.75" customHeight="1">
      <c r="B19" s="30" t="s">
        <v>245</v>
      </c>
      <c r="C19" s="37" t="e">
        <f>#REF!</f>
        <v>#REF!</v>
      </c>
      <c r="D19" s="30">
        <f>IFERROR(VLOOKUP(C19,'Datos - analisis de pago'!K33:L34,2,FALSE),0)</f>
        <v>0</v>
      </c>
      <c r="E19" s="30">
        <v>0.5</v>
      </c>
      <c r="F19" s="30">
        <v>7</v>
      </c>
      <c r="G19" s="43">
        <f>SUM(F12:F19)</f>
        <v>35</v>
      </c>
      <c r="I19" s="25"/>
    </row>
    <row r="20" spans="2:9">
      <c r="B20" s="19" t="s">
        <v>236</v>
      </c>
      <c r="C20" s="40" t="e">
        <f>#REF!</f>
        <v>#REF!</v>
      </c>
      <c r="D20" s="19">
        <f>IFERROR(VLOOKUP(C20,'Datos - analisis de pago'!E40:F41,2,FALSE),0)</f>
        <v>0</v>
      </c>
      <c r="E20" s="19">
        <v>0.5</v>
      </c>
      <c r="F20" s="19">
        <v>5</v>
      </c>
      <c r="G20" s="43"/>
      <c r="I20" s="25"/>
    </row>
    <row r="21" spans="2:9">
      <c r="B21" s="19" t="s">
        <v>253</v>
      </c>
      <c r="C21" s="40" t="e">
        <f>#REF!</f>
        <v>#REF!</v>
      </c>
      <c r="D21" s="19">
        <f>IFERROR(VLOOKUP(C21,'Datos - analisis de pago'!E45:F46,2,FALSE),0)</f>
        <v>0</v>
      </c>
      <c r="E21" s="19">
        <v>1</v>
      </c>
      <c r="F21" s="19">
        <v>5</v>
      </c>
      <c r="G21" s="43"/>
      <c r="I21" s="25"/>
    </row>
    <row r="22" spans="2:9">
      <c r="B22" s="19" t="s">
        <v>254</v>
      </c>
      <c r="C22" s="40" t="e">
        <f>#REF!</f>
        <v>#REF!</v>
      </c>
      <c r="D22" s="19">
        <f>IFERROR(VLOOKUP(C22,'Datos - analisis de pago'!H45:I48,2,FALSE),0)</f>
        <v>0</v>
      </c>
      <c r="E22" s="19">
        <v>0.5</v>
      </c>
      <c r="F22" s="19">
        <v>5</v>
      </c>
      <c r="G22" s="43"/>
      <c r="I22" s="25"/>
    </row>
    <row r="23" spans="2:9">
      <c r="B23" s="19" t="s">
        <v>256</v>
      </c>
      <c r="C23" s="40" t="e">
        <f>#REF!</f>
        <v>#REF!</v>
      </c>
      <c r="D23" s="19">
        <f>IFERROR(VLOOKUP(C23,'Datos - analisis de pago'!H40:I41,2,FALSE),0)</f>
        <v>0</v>
      </c>
      <c r="E23" s="19">
        <v>0.5</v>
      </c>
      <c r="F23" s="19">
        <v>5</v>
      </c>
      <c r="G23" s="43">
        <f>SUM(F20:F23)</f>
        <v>20</v>
      </c>
      <c r="I23" s="25"/>
    </row>
    <row r="24" spans="2:9">
      <c r="B24" s="42" t="s">
        <v>237</v>
      </c>
      <c r="C24" s="32" t="e">
        <f>#REF!</f>
        <v>#REF!</v>
      </c>
      <c r="D24" s="31" t="e">
        <f>IF(C24="",0,IF(C24&gt;1,10,(IFERROR(VLOOKUP(C24,'Datos - analisis de pago'!A51:B150,2,TRUE),IF(C24&lt;0,10,(IFERROR(VLOOKUP(C24,'Datos - analisis de pago'!A51:B150,2,TRUE),0)))))))</f>
        <v>#REF!</v>
      </c>
      <c r="E24" s="31">
        <v>1</v>
      </c>
      <c r="F24" s="31">
        <v>2.5</v>
      </c>
      <c r="G24" s="43"/>
      <c r="I24" s="25"/>
    </row>
    <row r="25" spans="2:9">
      <c r="B25" s="31" t="s">
        <v>238</v>
      </c>
      <c r="C25" s="33" t="e">
        <f>#REF!</f>
        <v>#REF!</v>
      </c>
      <c r="D25" s="31">
        <f>IFERROR(VLOOKUP(C25,'Datos - analisis de pago'!F51:G52,2,FALSE),0)</f>
        <v>0</v>
      </c>
      <c r="E25" s="31">
        <v>1</v>
      </c>
      <c r="F25" s="31">
        <v>2.5</v>
      </c>
      <c r="G25" s="43">
        <f>SUM(F24:F25)</f>
        <v>5</v>
      </c>
    </row>
    <row r="26" spans="2:9">
      <c r="B26" s="29" t="s">
        <v>257</v>
      </c>
      <c r="C26" s="34" t="e">
        <f>#REF!</f>
        <v>#REF!</v>
      </c>
      <c r="D26" s="29">
        <f>IFERROR(VLOOKUP(C26,'Datos - analisis de pago'!K45:L46,2,FALSE),0)</f>
        <v>0</v>
      </c>
      <c r="E26" s="29">
        <v>0.5</v>
      </c>
      <c r="F26" s="29">
        <v>5</v>
      </c>
      <c r="G26" s="43"/>
    </row>
    <row r="27" spans="2:9">
      <c r="B27" s="29" t="s">
        <v>258</v>
      </c>
      <c r="C27" s="34" t="e">
        <f>#REF!</f>
        <v>#REF!</v>
      </c>
      <c r="D27" s="29">
        <f>IFERROR(VLOOKUP(C27,'Datos - analisis de pago'!P45:Q47,2,FALSE),0)</f>
        <v>0</v>
      </c>
      <c r="E27" s="29">
        <v>0.5</v>
      </c>
      <c r="F27" s="29">
        <v>5</v>
      </c>
      <c r="G27" s="43"/>
    </row>
    <row r="28" spans="2:9">
      <c r="B28" s="29" t="s">
        <v>256</v>
      </c>
      <c r="C28" s="34" t="e">
        <f>#REF!</f>
        <v>#REF!</v>
      </c>
      <c r="D28" s="29">
        <f>IFERROR(VLOOKUP(C28,'Datos - analisis de pago'!O40:P41,2,FALSE),0)</f>
        <v>0</v>
      </c>
      <c r="E28" s="29">
        <v>0.5</v>
      </c>
      <c r="F28" s="29">
        <v>5</v>
      </c>
      <c r="G28" s="43">
        <f>SUM(F26:F28)</f>
        <v>15</v>
      </c>
    </row>
    <row r="29" spans="2:9">
      <c r="E29">
        <f>SUM(E4:E25)</f>
        <v>17.5</v>
      </c>
      <c r="F29">
        <f>SUM(F4:F25)</f>
        <v>88</v>
      </c>
      <c r="G29">
        <f>SUM(G5:G28)</f>
        <v>103</v>
      </c>
    </row>
    <row r="30" spans="2:9">
      <c r="D30" t="e">
        <f>IF(C2="Hipotecario",SUM(D4:D25),(SUM(D4:D19)+D24+D25+D26+D27+D28))</f>
        <v>#REF!</v>
      </c>
      <c r="E30" s="27"/>
    </row>
  </sheetData>
  <mergeCells count="3">
    <mergeCell ref="I10:J12"/>
    <mergeCell ref="I6:J8"/>
    <mergeCell ref="I9:J9"/>
  </mergeCells>
  <conditionalFormatting sqref="I6 I9:I10">
    <cfRule type="expression" dxfId="7" priority="1">
      <formula>$I$6="D"</formula>
    </cfRule>
    <cfRule type="expression" dxfId="6" priority="2">
      <formula>$I$6="C"</formula>
    </cfRule>
    <cfRule type="expression" dxfId="5" priority="3">
      <formula>$I$6="B"</formula>
    </cfRule>
    <cfRule type="expression" dxfId="4" priority="4">
      <formula>$I$6="A"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/>
  <dimension ref="A3:W150"/>
  <sheetViews>
    <sheetView topLeftCell="A50" workbookViewId="0">
      <selection activeCell="C50" sqref="C50"/>
    </sheetView>
  </sheetViews>
  <sheetFormatPr baseColWidth="10" defaultRowHeight="14.4"/>
  <cols>
    <col min="5" max="5" width="22.88671875" bestFit="1" customWidth="1"/>
    <col min="12" max="12" width="18" customWidth="1"/>
  </cols>
  <sheetData>
    <row r="3" spans="2:12">
      <c r="B3" s="52" t="s">
        <v>86</v>
      </c>
      <c r="C3" s="45"/>
      <c r="E3" s="52" t="s">
        <v>190</v>
      </c>
      <c r="F3" s="45"/>
      <c r="L3" s="53" t="s">
        <v>250</v>
      </c>
    </row>
    <row r="4" spans="2:12">
      <c r="B4" s="46" t="s">
        <v>87</v>
      </c>
      <c r="C4" s="47">
        <v>1</v>
      </c>
      <c r="E4" s="46" t="s">
        <v>203</v>
      </c>
      <c r="F4" s="50">
        <v>1</v>
      </c>
      <c r="H4" s="52" t="s">
        <v>261</v>
      </c>
      <c r="I4" s="45"/>
      <c r="L4" s="16" t="s">
        <v>251</v>
      </c>
    </row>
    <row r="5" spans="2:12">
      <c r="B5" s="46" t="s">
        <v>88</v>
      </c>
      <c r="C5" s="47">
        <v>1</v>
      </c>
      <c r="E5" s="46" t="s">
        <v>204</v>
      </c>
      <c r="F5" s="50">
        <v>1.5</v>
      </c>
      <c r="H5" s="46" t="s">
        <v>107</v>
      </c>
      <c r="I5" s="50">
        <v>1</v>
      </c>
      <c r="L5" s="17" t="s">
        <v>252</v>
      </c>
    </row>
    <row r="6" spans="2:12">
      <c r="B6" s="46" t="s">
        <v>89</v>
      </c>
      <c r="C6" s="47">
        <v>1.5</v>
      </c>
      <c r="E6" s="46" t="s">
        <v>205</v>
      </c>
      <c r="F6" s="50">
        <v>1.5</v>
      </c>
      <c r="H6" s="48" t="s">
        <v>108</v>
      </c>
      <c r="I6" s="51">
        <v>4</v>
      </c>
    </row>
    <row r="7" spans="2:12">
      <c r="B7" s="48" t="s">
        <v>90</v>
      </c>
      <c r="C7" s="49">
        <v>2</v>
      </c>
      <c r="E7" s="46" t="s">
        <v>206</v>
      </c>
      <c r="F7" s="50">
        <v>2</v>
      </c>
    </row>
    <row r="8" spans="2:12">
      <c r="E8" s="46" t="s">
        <v>207</v>
      </c>
      <c r="F8" s="50">
        <v>2</v>
      </c>
    </row>
    <row r="9" spans="2:12">
      <c r="E9" s="46" t="s">
        <v>208</v>
      </c>
      <c r="F9" s="50">
        <v>2</v>
      </c>
    </row>
    <row r="10" spans="2:12">
      <c r="E10" s="46" t="s">
        <v>209</v>
      </c>
      <c r="F10" s="50">
        <v>2</v>
      </c>
    </row>
    <row r="11" spans="2:12">
      <c r="E11" s="46" t="s">
        <v>210</v>
      </c>
      <c r="F11" s="50">
        <v>1</v>
      </c>
    </row>
    <row r="12" spans="2:12">
      <c r="E12" s="46" t="s">
        <v>211</v>
      </c>
      <c r="F12" s="50">
        <v>1.5</v>
      </c>
    </row>
    <row r="13" spans="2:12">
      <c r="E13" s="46" t="s">
        <v>212</v>
      </c>
      <c r="F13" s="50">
        <v>1.5</v>
      </c>
    </row>
    <row r="14" spans="2:12">
      <c r="E14" s="46" t="s">
        <v>213</v>
      </c>
      <c r="F14" s="50">
        <v>1.5</v>
      </c>
      <c r="I14" s="2" t="s">
        <v>233</v>
      </c>
      <c r="J14" s="2" t="s">
        <v>227</v>
      </c>
    </row>
    <row r="15" spans="2:12">
      <c r="E15" s="46" t="s">
        <v>214</v>
      </c>
      <c r="F15" s="50">
        <v>1.5</v>
      </c>
      <c r="I15" s="2">
        <f>(0.15*3)/0.15</f>
        <v>3</v>
      </c>
      <c r="J15" s="2">
        <f>(0.15*15)/0.15</f>
        <v>15</v>
      </c>
    </row>
    <row r="16" spans="2:12">
      <c r="E16" s="46" t="s">
        <v>215</v>
      </c>
      <c r="F16" s="50">
        <v>1</v>
      </c>
    </row>
    <row r="17" spans="2:22">
      <c r="E17" s="46" t="s">
        <v>216</v>
      </c>
      <c r="F17" s="50">
        <v>1.5</v>
      </c>
    </row>
    <row r="18" spans="2:22">
      <c r="E18" s="46" t="s">
        <v>217</v>
      </c>
      <c r="F18" s="50">
        <v>1</v>
      </c>
    </row>
    <row r="19" spans="2:22">
      <c r="E19" s="46" t="s">
        <v>218</v>
      </c>
      <c r="F19" s="50">
        <v>1.5</v>
      </c>
    </row>
    <row r="20" spans="2:22">
      <c r="E20" s="48" t="s">
        <v>219</v>
      </c>
      <c r="F20" s="51">
        <v>1.5</v>
      </c>
    </row>
    <row r="23" spans="2:22" s="3" customFormat="1">
      <c r="B23" s="52" t="s">
        <v>98</v>
      </c>
      <c r="C23" s="54"/>
      <c r="E23" s="52" t="s">
        <v>111</v>
      </c>
      <c r="F23" s="54"/>
      <c r="H23" s="3" t="s">
        <v>70</v>
      </c>
      <c r="L23" s="3" t="s">
        <v>242</v>
      </c>
      <c r="O23" s="385" t="s">
        <v>241</v>
      </c>
      <c r="P23" s="385"/>
      <c r="Q23" s="385"/>
      <c r="R23" s="385"/>
      <c r="S23" s="385"/>
    </row>
    <row r="24" spans="2:22">
      <c r="B24" s="46" t="s">
        <v>6</v>
      </c>
      <c r="C24" s="50">
        <v>1</v>
      </c>
      <c r="E24" s="46" t="s">
        <v>107</v>
      </c>
      <c r="F24" s="50">
        <v>4</v>
      </c>
      <c r="H24" t="s">
        <v>376</v>
      </c>
      <c r="I24">
        <v>10</v>
      </c>
      <c r="L24" t="s">
        <v>107</v>
      </c>
      <c r="M24">
        <v>1</v>
      </c>
      <c r="O24" t="s">
        <v>107</v>
      </c>
      <c r="P24">
        <v>4</v>
      </c>
    </row>
    <row r="25" spans="2:22">
      <c r="B25" s="46" t="s">
        <v>7</v>
      </c>
      <c r="C25" s="50">
        <v>4</v>
      </c>
      <c r="E25" s="48" t="s">
        <v>108</v>
      </c>
      <c r="F25" s="51">
        <v>1</v>
      </c>
      <c r="H25" t="s">
        <v>377</v>
      </c>
      <c r="I25">
        <v>4</v>
      </c>
      <c r="L25" t="s">
        <v>108</v>
      </c>
      <c r="M25">
        <v>4</v>
      </c>
      <c r="O25" t="s">
        <v>108</v>
      </c>
      <c r="P25">
        <v>1</v>
      </c>
    </row>
    <row r="26" spans="2:22">
      <c r="B26" s="48" t="s">
        <v>45</v>
      </c>
      <c r="C26" s="51">
        <v>3</v>
      </c>
      <c r="H26" t="s">
        <v>80</v>
      </c>
      <c r="I26">
        <v>3.5</v>
      </c>
    </row>
    <row r="27" spans="2:22">
      <c r="H27" t="s">
        <v>81</v>
      </c>
      <c r="I27">
        <v>3</v>
      </c>
    </row>
    <row r="28" spans="2:22">
      <c r="H28" t="s">
        <v>82</v>
      </c>
      <c r="I28">
        <v>2.5</v>
      </c>
    </row>
    <row r="29" spans="2:22">
      <c r="H29" t="s">
        <v>83</v>
      </c>
      <c r="I29">
        <v>2.5</v>
      </c>
    </row>
    <row r="30" spans="2:22">
      <c r="H30" t="s">
        <v>84</v>
      </c>
      <c r="I30">
        <v>2</v>
      </c>
    </row>
    <row r="32" spans="2:22" s="3" customFormat="1">
      <c r="B32" s="3" t="s">
        <v>0</v>
      </c>
      <c r="E32" s="3" t="s">
        <v>47</v>
      </c>
      <c r="H32" s="3" t="s">
        <v>244</v>
      </c>
      <c r="K32" s="3" t="s">
        <v>245</v>
      </c>
      <c r="N32" s="3" t="s">
        <v>263</v>
      </c>
      <c r="R32" s="3" t="s">
        <v>248</v>
      </c>
      <c r="V32" s="3" t="s">
        <v>249</v>
      </c>
    </row>
    <row r="33" spans="2:23">
      <c r="B33" t="s">
        <v>117</v>
      </c>
      <c r="C33">
        <v>1</v>
      </c>
      <c r="E33" t="s">
        <v>107</v>
      </c>
      <c r="F33">
        <v>0.5</v>
      </c>
      <c r="H33" t="s">
        <v>107</v>
      </c>
      <c r="I33">
        <v>0.5</v>
      </c>
      <c r="K33" t="s">
        <v>107</v>
      </c>
      <c r="L33">
        <v>0.5</v>
      </c>
      <c r="N33">
        <v>0</v>
      </c>
      <c r="O33">
        <v>0</v>
      </c>
      <c r="R33" t="s">
        <v>107</v>
      </c>
      <c r="S33">
        <v>5</v>
      </c>
      <c r="V33">
        <v>0</v>
      </c>
      <c r="W33">
        <v>0</v>
      </c>
    </row>
    <row r="34" spans="2:23">
      <c r="B34" t="s">
        <v>108</v>
      </c>
      <c r="C34">
        <v>3</v>
      </c>
      <c r="E34" t="s">
        <v>108</v>
      </c>
      <c r="F34">
        <v>3</v>
      </c>
      <c r="H34" t="s">
        <v>108</v>
      </c>
      <c r="I34">
        <v>7</v>
      </c>
      <c r="K34" t="s">
        <v>108</v>
      </c>
      <c r="L34">
        <v>7</v>
      </c>
      <c r="N34">
        <v>1</v>
      </c>
      <c r="O34">
        <v>0.5</v>
      </c>
      <c r="R34" t="s">
        <v>108</v>
      </c>
      <c r="S34">
        <v>0.5</v>
      </c>
      <c r="V34">
        <v>1</v>
      </c>
      <c r="W34">
        <v>0.5</v>
      </c>
    </row>
    <row r="35" spans="2:23">
      <c r="N35">
        <v>2</v>
      </c>
      <c r="O35">
        <v>0.5</v>
      </c>
      <c r="V35">
        <v>2</v>
      </c>
      <c r="W35">
        <v>3</v>
      </c>
    </row>
    <row r="36" spans="2:23">
      <c r="N36">
        <v>3</v>
      </c>
      <c r="O36">
        <v>1</v>
      </c>
      <c r="V36">
        <v>3</v>
      </c>
      <c r="W36">
        <v>4</v>
      </c>
    </row>
    <row r="37" spans="2:23">
      <c r="N37">
        <v>4</v>
      </c>
      <c r="O37">
        <v>1.5</v>
      </c>
      <c r="V37">
        <v>4</v>
      </c>
      <c r="W37">
        <v>6</v>
      </c>
    </row>
    <row r="38" spans="2:23">
      <c r="N38" s="14" t="s">
        <v>110</v>
      </c>
      <c r="O38">
        <v>2</v>
      </c>
      <c r="V38" s="14" t="s">
        <v>110</v>
      </c>
      <c r="W38">
        <v>7</v>
      </c>
    </row>
    <row r="39" spans="2:23" s="3" customFormat="1">
      <c r="B39" s="3" t="s">
        <v>239</v>
      </c>
      <c r="E39" s="3" t="s">
        <v>236</v>
      </c>
      <c r="H39" s="3" t="s">
        <v>256</v>
      </c>
      <c r="L39" s="3" t="s">
        <v>187</v>
      </c>
      <c r="O39" s="3" t="s">
        <v>256</v>
      </c>
    </row>
    <row r="40" spans="2:23">
      <c r="B40" t="s">
        <v>125</v>
      </c>
      <c r="C40">
        <v>0.5</v>
      </c>
      <c r="E40" t="s">
        <v>107</v>
      </c>
      <c r="F40">
        <v>5</v>
      </c>
      <c r="H40" t="s">
        <v>107</v>
      </c>
      <c r="I40">
        <v>0.5</v>
      </c>
      <c r="L40" t="s">
        <v>189</v>
      </c>
      <c r="M40">
        <v>2</v>
      </c>
      <c r="O40" t="s">
        <v>107</v>
      </c>
      <c r="P40">
        <v>0.5</v>
      </c>
    </row>
    <row r="41" spans="2:23">
      <c r="B41" t="s">
        <v>126</v>
      </c>
      <c r="C41">
        <v>2</v>
      </c>
      <c r="E41" t="s">
        <v>108</v>
      </c>
      <c r="F41">
        <v>0.5</v>
      </c>
      <c r="H41" t="s">
        <v>108</v>
      </c>
      <c r="I41">
        <v>5</v>
      </c>
      <c r="L41" t="s">
        <v>188</v>
      </c>
      <c r="M41">
        <v>0.5</v>
      </c>
      <c r="O41" t="s">
        <v>108</v>
      </c>
      <c r="P41">
        <v>5</v>
      </c>
    </row>
    <row r="42" spans="2:23">
      <c r="B42" t="s">
        <v>127</v>
      </c>
      <c r="C42">
        <v>0.5</v>
      </c>
    </row>
    <row r="43" spans="2:23">
      <c r="B43" t="s">
        <v>128</v>
      </c>
      <c r="C43">
        <v>0.5</v>
      </c>
    </row>
    <row r="44" spans="2:23">
      <c r="B44" t="s">
        <v>129</v>
      </c>
      <c r="C44">
        <v>3</v>
      </c>
      <c r="E44" s="3" t="s">
        <v>253</v>
      </c>
      <c r="H44" s="3" t="s">
        <v>254</v>
      </c>
      <c r="K44" s="3" t="s">
        <v>257</v>
      </c>
      <c r="P44" s="3" t="s">
        <v>259</v>
      </c>
    </row>
    <row r="45" spans="2:23">
      <c r="B45" t="s">
        <v>130</v>
      </c>
      <c r="C45">
        <v>5</v>
      </c>
      <c r="E45" t="s">
        <v>107</v>
      </c>
      <c r="F45">
        <v>1</v>
      </c>
      <c r="H45">
        <v>1</v>
      </c>
      <c r="I45">
        <v>0.5</v>
      </c>
      <c r="K45" t="s">
        <v>107</v>
      </c>
      <c r="L45">
        <v>0.5</v>
      </c>
      <c r="P45">
        <v>30</v>
      </c>
      <c r="Q45">
        <v>0.5</v>
      </c>
    </row>
    <row r="46" spans="2:23">
      <c r="B46" t="s">
        <v>131</v>
      </c>
      <c r="C46">
        <v>2</v>
      </c>
      <c r="E46" t="s">
        <v>108</v>
      </c>
      <c r="F46">
        <v>5</v>
      </c>
      <c r="H46">
        <v>2</v>
      </c>
      <c r="I46">
        <v>2</v>
      </c>
      <c r="K46" t="s">
        <v>108</v>
      </c>
      <c r="L46">
        <v>5</v>
      </c>
      <c r="P46">
        <v>60</v>
      </c>
      <c r="Q46">
        <v>3</v>
      </c>
    </row>
    <row r="47" spans="2:23">
      <c r="B47" t="s">
        <v>132</v>
      </c>
      <c r="C47">
        <v>5</v>
      </c>
      <c r="H47">
        <v>3</v>
      </c>
      <c r="I47">
        <v>4</v>
      </c>
      <c r="P47" s="14" t="s">
        <v>260</v>
      </c>
      <c r="Q47">
        <v>5</v>
      </c>
    </row>
    <row r="48" spans="2:23">
      <c r="H48" s="14" t="s">
        <v>255</v>
      </c>
      <c r="I48">
        <v>5</v>
      </c>
    </row>
    <row r="50" spans="1:10" s="3" customFormat="1">
      <c r="A50" s="3" t="s">
        <v>237</v>
      </c>
      <c r="C50" s="3" t="s">
        <v>247</v>
      </c>
      <c r="F50" s="3" t="s">
        <v>238</v>
      </c>
    </row>
    <row r="51" spans="1:10">
      <c r="A51" s="25">
        <v>0.01</v>
      </c>
      <c r="B51">
        <v>1</v>
      </c>
      <c r="C51">
        <v>1</v>
      </c>
      <c r="F51" t="s">
        <v>107</v>
      </c>
      <c r="G51">
        <v>1</v>
      </c>
      <c r="I51" s="3" t="s">
        <v>262</v>
      </c>
    </row>
    <row r="52" spans="1:10">
      <c r="A52" s="25">
        <v>0.02</v>
      </c>
      <c r="B52">
        <v>1</v>
      </c>
      <c r="C52">
        <v>1</v>
      </c>
      <c r="F52" t="s">
        <v>108</v>
      </c>
      <c r="G52">
        <v>2.5</v>
      </c>
      <c r="I52" t="s">
        <v>107</v>
      </c>
      <c r="J52">
        <v>0.5</v>
      </c>
    </row>
    <row r="53" spans="1:10">
      <c r="A53" s="25">
        <v>0.03</v>
      </c>
      <c r="B53">
        <v>1</v>
      </c>
      <c r="C53">
        <v>1</v>
      </c>
      <c r="I53" t="s">
        <v>108</v>
      </c>
      <c r="J53">
        <v>5</v>
      </c>
    </row>
    <row r="54" spans="1:10">
      <c r="A54" s="25">
        <v>0.04</v>
      </c>
      <c r="B54">
        <v>1</v>
      </c>
      <c r="C54">
        <v>1</v>
      </c>
    </row>
    <row r="55" spans="1:10">
      <c r="A55" s="25">
        <v>0.05</v>
      </c>
      <c r="B55">
        <v>1</v>
      </c>
      <c r="C55">
        <v>1</v>
      </c>
    </row>
    <row r="56" spans="1:10">
      <c r="A56" s="25">
        <v>0.06</v>
      </c>
      <c r="B56">
        <v>1</v>
      </c>
      <c r="C56">
        <v>1</v>
      </c>
    </row>
    <row r="57" spans="1:10">
      <c r="A57" s="25">
        <v>7.0000000000000007E-2</v>
      </c>
      <c r="B57">
        <v>1</v>
      </c>
      <c r="C57">
        <v>1</v>
      </c>
    </row>
    <row r="58" spans="1:10">
      <c r="A58" s="25">
        <v>0.08</v>
      </c>
      <c r="B58">
        <v>1</v>
      </c>
      <c r="C58">
        <v>1</v>
      </c>
    </row>
    <row r="59" spans="1:10">
      <c r="A59" s="25">
        <v>0.09</v>
      </c>
      <c r="B59">
        <v>1</v>
      </c>
      <c r="C59">
        <v>1</v>
      </c>
    </row>
    <row r="60" spans="1:10">
      <c r="A60" s="25">
        <v>0.1</v>
      </c>
      <c r="B60">
        <v>1</v>
      </c>
      <c r="C60">
        <v>1</v>
      </c>
    </row>
    <row r="61" spans="1:10">
      <c r="A61" s="25">
        <v>0.11</v>
      </c>
      <c r="B61">
        <v>1</v>
      </c>
      <c r="C61">
        <v>1</v>
      </c>
    </row>
    <row r="62" spans="1:10">
      <c r="A62" s="25">
        <v>0.12</v>
      </c>
      <c r="B62">
        <v>1</v>
      </c>
      <c r="C62">
        <v>1</v>
      </c>
    </row>
    <row r="63" spans="1:10">
      <c r="A63" s="25">
        <v>0.13</v>
      </c>
      <c r="B63">
        <v>1</v>
      </c>
      <c r="C63">
        <v>1</v>
      </c>
    </row>
    <row r="64" spans="1:10">
      <c r="A64" s="25">
        <v>0.14000000000000001</v>
      </c>
      <c r="B64">
        <v>1</v>
      </c>
      <c r="C64">
        <v>1</v>
      </c>
    </row>
    <row r="65" spans="1:3">
      <c r="A65" s="25">
        <v>0.15</v>
      </c>
      <c r="B65">
        <v>1</v>
      </c>
      <c r="C65">
        <v>1</v>
      </c>
    </row>
    <row r="66" spans="1:3">
      <c r="A66" s="25">
        <v>0.16</v>
      </c>
      <c r="B66">
        <v>1</v>
      </c>
      <c r="C66">
        <v>1</v>
      </c>
    </row>
    <row r="67" spans="1:3">
      <c r="A67" s="25">
        <v>0.17</v>
      </c>
      <c r="B67">
        <v>1</v>
      </c>
      <c r="C67">
        <v>1</v>
      </c>
    </row>
    <row r="68" spans="1:3">
      <c r="A68" s="25">
        <v>0.18</v>
      </c>
      <c r="B68">
        <v>1</v>
      </c>
      <c r="C68">
        <v>1</v>
      </c>
    </row>
    <row r="69" spans="1:3">
      <c r="A69" s="25">
        <v>0.19</v>
      </c>
      <c r="B69">
        <v>1</v>
      </c>
      <c r="C69">
        <v>1</v>
      </c>
    </row>
    <row r="70" spans="1:3">
      <c r="A70" s="25">
        <v>0.2</v>
      </c>
      <c r="B70">
        <v>1</v>
      </c>
      <c r="C70">
        <v>1</v>
      </c>
    </row>
    <row r="71" spans="1:3">
      <c r="A71" s="25">
        <v>0.21</v>
      </c>
      <c r="B71">
        <v>1.5</v>
      </c>
      <c r="C71">
        <v>1</v>
      </c>
    </row>
    <row r="72" spans="1:3">
      <c r="A72" s="25">
        <v>0.22</v>
      </c>
      <c r="B72">
        <v>1.5</v>
      </c>
      <c r="C72">
        <v>1</v>
      </c>
    </row>
    <row r="73" spans="1:3">
      <c r="A73" s="25">
        <v>0.23</v>
      </c>
      <c r="B73">
        <v>1.5</v>
      </c>
      <c r="C73">
        <v>1</v>
      </c>
    </row>
    <row r="74" spans="1:3">
      <c r="A74" s="25">
        <v>0.24</v>
      </c>
      <c r="B74">
        <v>1.5</v>
      </c>
      <c r="C74">
        <v>1</v>
      </c>
    </row>
    <row r="75" spans="1:3">
      <c r="A75" s="25">
        <v>0.25</v>
      </c>
      <c r="B75">
        <v>1.5</v>
      </c>
      <c r="C75">
        <v>1</v>
      </c>
    </row>
    <row r="76" spans="1:3">
      <c r="A76" s="25">
        <v>0.26</v>
      </c>
      <c r="B76">
        <v>1.5</v>
      </c>
      <c r="C76">
        <v>1</v>
      </c>
    </row>
    <row r="77" spans="1:3">
      <c r="A77" s="25">
        <v>0.27</v>
      </c>
      <c r="B77">
        <v>1.5</v>
      </c>
      <c r="C77">
        <v>1</v>
      </c>
    </row>
    <row r="78" spans="1:3">
      <c r="A78" s="25">
        <v>0.28000000000000003</v>
      </c>
      <c r="B78">
        <v>1.5</v>
      </c>
      <c r="C78">
        <v>1</v>
      </c>
    </row>
    <row r="79" spans="1:3">
      <c r="A79" s="25">
        <v>0.28999999999999998</v>
      </c>
      <c r="B79">
        <v>1.5</v>
      </c>
      <c r="C79">
        <v>1</v>
      </c>
    </row>
    <row r="80" spans="1:3">
      <c r="A80" s="25">
        <v>0.3</v>
      </c>
      <c r="B80">
        <v>1.5</v>
      </c>
      <c r="C80">
        <v>1</v>
      </c>
    </row>
    <row r="81" spans="1:3">
      <c r="A81" s="25">
        <v>0.31</v>
      </c>
      <c r="B81">
        <v>1.5</v>
      </c>
      <c r="C81">
        <v>0.8</v>
      </c>
    </row>
    <row r="82" spans="1:3">
      <c r="A82" s="25">
        <v>0.32</v>
      </c>
      <c r="B82">
        <v>1.5</v>
      </c>
      <c r="C82">
        <v>0.8</v>
      </c>
    </row>
    <row r="83" spans="1:3">
      <c r="A83" s="25">
        <v>0.33</v>
      </c>
      <c r="B83">
        <v>1.5</v>
      </c>
      <c r="C83">
        <v>0.8</v>
      </c>
    </row>
    <row r="84" spans="1:3">
      <c r="A84" s="25">
        <v>0.34</v>
      </c>
      <c r="B84">
        <v>1.5</v>
      </c>
      <c r="C84">
        <v>0.8</v>
      </c>
    </row>
    <row r="85" spans="1:3">
      <c r="A85" s="25">
        <v>0.35</v>
      </c>
      <c r="B85">
        <v>1.5</v>
      </c>
      <c r="C85">
        <v>0.8</v>
      </c>
    </row>
    <row r="86" spans="1:3">
      <c r="A86" s="25">
        <v>0.36</v>
      </c>
      <c r="B86">
        <v>1.5</v>
      </c>
      <c r="C86">
        <v>0.8</v>
      </c>
    </row>
    <row r="87" spans="1:3">
      <c r="A87" s="25">
        <v>0.37</v>
      </c>
      <c r="B87">
        <v>1.5</v>
      </c>
      <c r="C87">
        <v>0.8</v>
      </c>
    </row>
    <row r="88" spans="1:3">
      <c r="A88" s="25">
        <v>0.38</v>
      </c>
      <c r="B88">
        <v>1.5</v>
      </c>
      <c r="C88">
        <v>0.8</v>
      </c>
    </row>
    <row r="89" spans="1:3">
      <c r="A89" s="25">
        <v>0.39</v>
      </c>
      <c r="B89">
        <v>1.5</v>
      </c>
      <c r="C89">
        <v>0.8</v>
      </c>
    </row>
    <row r="90" spans="1:3">
      <c r="A90" s="25">
        <v>0.4</v>
      </c>
      <c r="B90">
        <v>1.5</v>
      </c>
      <c r="C90">
        <v>0.8</v>
      </c>
    </row>
    <row r="91" spans="1:3">
      <c r="A91" s="25">
        <v>0.41</v>
      </c>
      <c r="B91">
        <v>2</v>
      </c>
      <c r="C91">
        <v>0.8</v>
      </c>
    </row>
    <row r="92" spans="1:3">
      <c r="A92" s="25">
        <v>0.42</v>
      </c>
      <c r="B92">
        <v>2</v>
      </c>
      <c r="C92">
        <v>0.8</v>
      </c>
    </row>
    <row r="93" spans="1:3">
      <c r="A93" s="25">
        <v>0.43</v>
      </c>
      <c r="B93">
        <v>2</v>
      </c>
      <c r="C93">
        <v>0.8</v>
      </c>
    </row>
    <row r="94" spans="1:3">
      <c r="A94" s="25">
        <v>0.44</v>
      </c>
      <c r="B94">
        <v>2</v>
      </c>
      <c r="C94">
        <v>0.8</v>
      </c>
    </row>
    <row r="95" spans="1:3">
      <c r="A95" s="25">
        <v>0.45</v>
      </c>
      <c r="B95">
        <v>2</v>
      </c>
      <c r="C95">
        <v>0.8</v>
      </c>
    </row>
    <row r="96" spans="1:3">
      <c r="A96" s="25">
        <v>0.46</v>
      </c>
      <c r="B96">
        <v>2</v>
      </c>
      <c r="C96">
        <v>0.8</v>
      </c>
    </row>
    <row r="97" spans="1:3">
      <c r="A97" s="25">
        <v>0.47</v>
      </c>
      <c r="B97">
        <v>2</v>
      </c>
      <c r="C97">
        <v>0.8</v>
      </c>
    </row>
    <row r="98" spans="1:3">
      <c r="A98" s="25">
        <v>0.48</v>
      </c>
      <c r="B98">
        <v>2</v>
      </c>
      <c r="C98">
        <v>0.8</v>
      </c>
    </row>
    <row r="99" spans="1:3">
      <c r="A99" s="25">
        <v>0.49</v>
      </c>
      <c r="B99">
        <v>2</v>
      </c>
      <c r="C99">
        <v>0.8</v>
      </c>
    </row>
    <row r="100" spans="1:3">
      <c r="A100" s="25">
        <v>0.5</v>
      </c>
      <c r="B100">
        <v>2</v>
      </c>
      <c r="C100">
        <v>0.5</v>
      </c>
    </row>
    <row r="101" spans="1:3">
      <c r="A101" s="25">
        <v>0.51</v>
      </c>
      <c r="B101">
        <v>2</v>
      </c>
      <c r="C101">
        <v>0.5</v>
      </c>
    </row>
    <row r="102" spans="1:3">
      <c r="A102" s="25">
        <v>0.52</v>
      </c>
      <c r="B102">
        <v>2</v>
      </c>
      <c r="C102">
        <v>0.5</v>
      </c>
    </row>
    <row r="103" spans="1:3">
      <c r="A103" s="25">
        <v>0.53</v>
      </c>
      <c r="B103">
        <v>2</v>
      </c>
      <c r="C103">
        <v>0.5</v>
      </c>
    </row>
    <row r="104" spans="1:3">
      <c r="A104" s="25">
        <v>0.54</v>
      </c>
      <c r="B104">
        <v>2</v>
      </c>
      <c r="C104">
        <v>0.5</v>
      </c>
    </row>
    <row r="105" spans="1:3">
      <c r="A105" s="25">
        <v>0.55000000000000004</v>
      </c>
      <c r="B105">
        <v>2</v>
      </c>
      <c r="C105">
        <v>0.5</v>
      </c>
    </row>
    <row r="106" spans="1:3">
      <c r="A106" s="25">
        <v>0.56000000000000005</v>
      </c>
      <c r="B106">
        <v>2</v>
      </c>
      <c r="C106">
        <v>0.5</v>
      </c>
    </row>
    <row r="107" spans="1:3">
      <c r="A107" s="25">
        <v>0.56999999999999995</v>
      </c>
      <c r="B107">
        <v>2</v>
      </c>
      <c r="C107">
        <v>0.5</v>
      </c>
    </row>
    <row r="108" spans="1:3">
      <c r="A108" s="25">
        <v>0.57999999999999996</v>
      </c>
      <c r="B108">
        <v>2</v>
      </c>
      <c r="C108">
        <v>0.5</v>
      </c>
    </row>
    <row r="109" spans="1:3">
      <c r="A109" s="25">
        <v>0.59</v>
      </c>
      <c r="B109">
        <v>2</v>
      </c>
      <c r="C109">
        <v>0.5</v>
      </c>
    </row>
    <row r="110" spans="1:3">
      <c r="A110" s="25">
        <v>0.6</v>
      </c>
      <c r="B110">
        <v>2</v>
      </c>
      <c r="C110">
        <v>0.5</v>
      </c>
    </row>
    <row r="111" spans="1:3">
      <c r="A111" s="25">
        <v>0.61</v>
      </c>
      <c r="B111">
        <v>2</v>
      </c>
      <c r="C111">
        <v>0.5</v>
      </c>
    </row>
    <row r="112" spans="1:3">
      <c r="A112" s="25">
        <v>0.62</v>
      </c>
      <c r="B112">
        <v>2</v>
      </c>
      <c r="C112">
        <v>0.5</v>
      </c>
    </row>
    <row r="113" spans="1:3">
      <c r="A113" s="25">
        <v>0.63</v>
      </c>
      <c r="B113">
        <v>2</v>
      </c>
      <c r="C113">
        <v>0.5</v>
      </c>
    </row>
    <row r="114" spans="1:3">
      <c r="A114" s="25">
        <v>0.64</v>
      </c>
      <c r="B114">
        <v>2</v>
      </c>
      <c r="C114">
        <v>0.5</v>
      </c>
    </row>
    <row r="115" spans="1:3">
      <c r="A115" s="25">
        <v>0.65</v>
      </c>
      <c r="B115">
        <v>2</v>
      </c>
      <c r="C115">
        <v>0.5</v>
      </c>
    </row>
    <row r="116" spans="1:3">
      <c r="A116" s="25">
        <v>0.66</v>
      </c>
      <c r="B116">
        <v>2</v>
      </c>
      <c r="C116">
        <v>0.5</v>
      </c>
    </row>
    <row r="117" spans="1:3">
      <c r="A117" s="25">
        <v>0.67</v>
      </c>
      <c r="B117">
        <v>2</v>
      </c>
      <c r="C117">
        <v>0.5</v>
      </c>
    </row>
    <row r="118" spans="1:3">
      <c r="A118" s="25">
        <v>0.68</v>
      </c>
      <c r="B118">
        <v>2</v>
      </c>
      <c r="C118">
        <v>0.5</v>
      </c>
    </row>
    <row r="119" spans="1:3">
      <c r="A119" s="25">
        <v>0.69</v>
      </c>
      <c r="B119">
        <v>2</v>
      </c>
      <c r="C119">
        <v>0.5</v>
      </c>
    </row>
    <row r="120" spans="1:3">
      <c r="A120" s="25">
        <v>0.7</v>
      </c>
      <c r="B120">
        <v>2</v>
      </c>
      <c r="C120">
        <v>0.5</v>
      </c>
    </row>
    <row r="121" spans="1:3">
      <c r="A121" s="25">
        <v>0.71</v>
      </c>
      <c r="B121">
        <v>2</v>
      </c>
      <c r="C121">
        <v>0.5</v>
      </c>
    </row>
    <row r="122" spans="1:3">
      <c r="A122" s="25">
        <v>0.72</v>
      </c>
      <c r="B122">
        <v>2</v>
      </c>
      <c r="C122">
        <v>0.5</v>
      </c>
    </row>
    <row r="123" spans="1:3">
      <c r="A123" s="25">
        <v>0.73</v>
      </c>
      <c r="B123">
        <v>2</v>
      </c>
      <c r="C123">
        <v>0.5</v>
      </c>
    </row>
    <row r="124" spans="1:3">
      <c r="A124" s="25">
        <v>0.74</v>
      </c>
      <c r="B124">
        <v>2</v>
      </c>
      <c r="C124">
        <v>0.5</v>
      </c>
    </row>
    <row r="125" spans="1:3">
      <c r="A125" s="25">
        <v>0.75</v>
      </c>
      <c r="B125">
        <v>2.5</v>
      </c>
      <c r="C125">
        <v>0.5</v>
      </c>
    </row>
    <row r="126" spans="1:3">
      <c r="A126" s="25">
        <v>0.76</v>
      </c>
      <c r="B126">
        <v>2.5</v>
      </c>
      <c r="C126">
        <v>0.5</v>
      </c>
    </row>
    <row r="127" spans="1:3">
      <c r="A127" s="25">
        <v>0.77</v>
      </c>
      <c r="B127">
        <v>2.5</v>
      </c>
      <c r="C127">
        <v>0.5</v>
      </c>
    </row>
    <row r="128" spans="1:3">
      <c r="A128" s="25">
        <v>0.78</v>
      </c>
      <c r="B128">
        <v>2.5</v>
      </c>
      <c r="C128">
        <v>0.5</v>
      </c>
    </row>
    <row r="129" spans="1:3">
      <c r="A129" s="25">
        <v>0.79</v>
      </c>
      <c r="B129">
        <v>2.5</v>
      </c>
      <c r="C129">
        <v>0.5</v>
      </c>
    </row>
    <row r="130" spans="1:3">
      <c r="A130" s="25">
        <v>0.8</v>
      </c>
      <c r="B130">
        <v>2.5</v>
      </c>
      <c r="C130">
        <v>0.5</v>
      </c>
    </row>
    <row r="131" spans="1:3">
      <c r="A131" s="25">
        <v>0.81</v>
      </c>
      <c r="B131">
        <v>2.5</v>
      </c>
      <c r="C131">
        <v>0.5</v>
      </c>
    </row>
    <row r="132" spans="1:3">
      <c r="A132" s="25">
        <v>0.82</v>
      </c>
      <c r="B132">
        <v>2.5</v>
      </c>
      <c r="C132">
        <v>0.5</v>
      </c>
    </row>
    <row r="133" spans="1:3">
      <c r="A133" s="25">
        <v>0.83</v>
      </c>
      <c r="B133">
        <v>2.5</v>
      </c>
      <c r="C133">
        <v>0.5</v>
      </c>
    </row>
    <row r="134" spans="1:3">
      <c r="A134" s="25">
        <v>0.84</v>
      </c>
      <c r="B134">
        <v>2.5</v>
      </c>
      <c r="C134">
        <v>0.5</v>
      </c>
    </row>
    <row r="135" spans="1:3">
      <c r="A135" s="25">
        <v>0.85</v>
      </c>
      <c r="B135">
        <v>2.5</v>
      </c>
      <c r="C135">
        <v>0.5</v>
      </c>
    </row>
    <row r="136" spans="1:3">
      <c r="A136" s="25">
        <v>0.86</v>
      </c>
      <c r="B136">
        <v>2.5</v>
      </c>
      <c r="C136">
        <v>0.5</v>
      </c>
    </row>
    <row r="137" spans="1:3">
      <c r="A137" s="25">
        <v>0.87</v>
      </c>
      <c r="B137">
        <v>2.5</v>
      </c>
      <c r="C137">
        <v>0.5</v>
      </c>
    </row>
    <row r="138" spans="1:3">
      <c r="A138" s="25">
        <v>0.88</v>
      </c>
      <c r="B138">
        <v>2.5</v>
      </c>
      <c r="C138">
        <v>0.5</v>
      </c>
    </row>
    <row r="139" spans="1:3">
      <c r="A139" s="25">
        <v>0.89</v>
      </c>
      <c r="B139">
        <v>2.5</v>
      </c>
      <c r="C139">
        <v>0.5</v>
      </c>
    </row>
    <row r="140" spans="1:3">
      <c r="A140" s="25">
        <v>0.9</v>
      </c>
      <c r="B140">
        <v>2.5</v>
      </c>
      <c r="C140">
        <v>0.5</v>
      </c>
    </row>
    <row r="141" spans="1:3">
      <c r="A141" s="25">
        <v>0.91</v>
      </c>
      <c r="B141">
        <v>2.5</v>
      </c>
      <c r="C141">
        <v>0.5</v>
      </c>
    </row>
    <row r="142" spans="1:3">
      <c r="A142" s="25">
        <v>0.92</v>
      </c>
      <c r="B142">
        <v>2.5</v>
      </c>
      <c r="C142">
        <v>0.5</v>
      </c>
    </row>
    <row r="143" spans="1:3">
      <c r="A143" s="25">
        <v>0.93</v>
      </c>
      <c r="B143">
        <v>2.5</v>
      </c>
      <c r="C143">
        <v>0.5</v>
      </c>
    </row>
    <row r="144" spans="1:3">
      <c r="A144" s="25">
        <v>0.94</v>
      </c>
      <c r="B144">
        <v>2.5</v>
      </c>
      <c r="C144">
        <v>0.5</v>
      </c>
    </row>
    <row r="145" spans="1:3">
      <c r="A145" s="25">
        <v>0.95</v>
      </c>
      <c r="B145">
        <v>2.5</v>
      </c>
      <c r="C145">
        <v>0.5</v>
      </c>
    </row>
    <row r="146" spans="1:3">
      <c r="A146" s="25">
        <v>0.96</v>
      </c>
      <c r="B146">
        <v>2.5</v>
      </c>
      <c r="C146">
        <v>0.5</v>
      </c>
    </row>
    <row r="147" spans="1:3">
      <c r="A147" s="25">
        <v>0.97</v>
      </c>
      <c r="B147">
        <v>2.5</v>
      </c>
      <c r="C147">
        <v>0.5</v>
      </c>
    </row>
    <row r="148" spans="1:3">
      <c r="A148" s="25">
        <v>0.98</v>
      </c>
      <c r="B148">
        <v>2.5</v>
      </c>
      <c r="C148">
        <v>0.5</v>
      </c>
    </row>
    <row r="149" spans="1:3">
      <c r="A149" s="25">
        <v>0.99</v>
      </c>
      <c r="B149">
        <v>2.5</v>
      </c>
      <c r="C149">
        <v>0.5</v>
      </c>
    </row>
    <row r="150" spans="1:3">
      <c r="A150" s="25">
        <v>1</v>
      </c>
      <c r="B150">
        <v>2.5</v>
      </c>
      <c r="C150">
        <v>0.5</v>
      </c>
    </row>
  </sheetData>
  <mergeCells count="1">
    <mergeCell ref="O23:S23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F195"/>
  <sheetViews>
    <sheetView topLeftCell="A39" workbookViewId="0">
      <selection activeCell="F55" sqref="F55"/>
    </sheetView>
  </sheetViews>
  <sheetFormatPr baseColWidth="10" defaultRowHeight="14.4"/>
  <cols>
    <col min="1" max="1" width="14.6640625" customWidth="1"/>
    <col min="3" max="3" width="19.109375" bestFit="1" customWidth="1"/>
    <col min="6" max="6" width="14.88671875" bestFit="1" customWidth="1"/>
    <col min="26" max="26" width="19.109375" bestFit="1" customWidth="1"/>
    <col min="29" max="29" width="19.109375" bestFit="1" customWidth="1"/>
  </cols>
  <sheetData>
    <row r="1" spans="1:9">
      <c r="A1">
        <v>1</v>
      </c>
    </row>
    <row r="2" spans="1:9">
      <c r="A2">
        <v>2</v>
      </c>
    </row>
    <row r="3" spans="1:9">
      <c r="A3">
        <v>3</v>
      </c>
    </row>
    <row r="4" spans="1:9">
      <c r="A4">
        <v>4</v>
      </c>
    </row>
    <row r="5" spans="1:9">
      <c r="A5">
        <v>5</v>
      </c>
    </row>
    <row r="6" spans="1:9">
      <c r="A6">
        <v>6</v>
      </c>
    </row>
    <row r="7" spans="1:9">
      <c r="A7">
        <v>7</v>
      </c>
    </row>
    <row r="8" spans="1:9">
      <c r="A8">
        <v>8</v>
      </c>
    </row>
    <row r="9" spans="1:9">
      <c r="A9">
        <v>9</v>
      </c>
    </row>
    <row r="10" spans="1:9">
      <c r="A10">
        <v>10</v>
      </c>
    </row>
    <row r="11" spans="1:9">
      <c r="A11">
        <v>11</v>
      </c>
    </row>
    <row r="12" spans="1:9">
      <c r="A12">
        <v>12</v>
      </c>
    </row>
    <row r="13" spans="1:9">
      <c r="A13">
        <v>13</v>
      </c>
    </row>
    <row r="14" spans="1:9">
      <c r="A14">
        <v>14</v>
      </c>
      <c r="C14" s="3" t="s">
        <v>85</v>
      </c>
      <c r="D14" s="22">
        <f>SUM(L17:L18)</f>
        <v>88</v>
      </c>
    </row>
    <row r="15" spans="1:9">
      <c r="A15">
        <v>15</v>
      </c>
    </row>
    <row r="16" spans="1:9">
      <c r="A16">
        <v>16</v>
      </c>
      <c r="C16" s="3" t="s">
        <v>86</v>
      </c>
      <c r="F16" s="3" t="s">
        <v>95</v>
      </c>
      <c r="I16" s="3" t="s">
        <v>96</v>
      </c>
    </row>
    <row r="17" spans="1:32">
      <c r="A17">
        <v>17</v>
      </c>
      <c r="C17" t="s">
        <v>87</v>
      </c>
      <c r="D17" s="2">
        <v>5</v>
      </c>
      <c r="F17" t="s">
        <v>91</v>
      </c>
      <c r="G17" s="2">
        <v>3</v>
      </c>
      <c r="I17" t="s">
        <v>1</v>
      </c>
      <c r="L17">
        <f>SUM(D17:D20)</f>
        <v>65</v>
      </c>
      <c r="N17" s="386" t="s">
        <v>229</v>
      </c>
      <c r="O17" s="386"/>
    </row>
    <row r="18" spans="1:32">
      <c r="A18">
        <v>18</v>
      </c>
      <c r="C18" t="s">
        <v>88</v>
      </c>
      <c r="D18" s="2">
        <v>5</v>
      </c>
      <c r="F18" t="s">
        <v>92</v>
      </c>
      <c r="G18" s="2">
        <v>5</v>
      </c>
      <c r="I18" t="s">
        <v>2</v>
      </c>
      <c r="L18">
        <f>SUM(G17:G20)</f>
        <v>23</v>
      </c>
      <c r="N18" t="s">
        <v>107</v>
      </c>
      <c r="O18">
        <v>5</v>
      </c>
    </row>
    <row r="19" spans="1:32">
      <c r="A19">
        <v>19</v>
      </c>
      <c r="C19" t="s">
        <v>89</v>
      </c>
      <c r="D19" s="2">
        <v>20</v>
      </c>
      <c r="F19" t="s">
        <v>93</v>
      </c>
      <c r="G19" s="2">
        <v>7</v>
      </c>
      <c r="I19" t="s">
        <v>3</v>
      </c>
      <c r="N19" t="s">
        <v>108</v>
      </c>
      <c r="O19">
        <v>15</v>
      </c>
    </row>
    <row r="20" spans="1:32">
      <c r="A20">
        <v>20</v>
      </c>
      <c r="C20" t="s">
        <v>90</v>
      </c>
      <c r="D20" s="2">
        <v>35</v>
      </c>
      <c r="F20" t="s">
        <v>94</v>
      </c>
      <c r="G20" s="2">
        <v>8</v>
      </c>
      <c r="I20" t="s">
        <v>4</v>
      </c>
    </row>
    <row r="21" spans="1:32">
      <c r="A21">
        <v>21</v>
      </c>
      <c r="I21" t="s">
        <v>5</v>
      </c>
    </row>
    <row r="22" spans="1:32">
      <c r="A22">
        <v>22</v>
      </c>
      <c r="G22" s="2"/>
    </row>
    <row r="23" spans="1:32">
      <c r="A23">
        <v>23</v>
      </c>
      <c r="G23" s="2"/>
    </row>
    <row r="24" spans="1:32">
      <c r="A24">
        <v>24</v>
      </c>
      <c r="C24" s="3" t="s">
        <v>97</v>
      </c>
      <c r="D24" s="22">
        <f>D27+D28+D29+F27+F28+F31+F32+I27+I28+I29+I30+I31+I32+L27+L28+L29+L30+O27+O28+O29+R27+R28+R29+R30+R31+R32+U27+U28+U29+U30+U31+U32+X27+X28+AA28+AA29+AA30+AA31+AA32+AA33</f>
        <v>116</v>
      </c>
    </row>
    <row r="25" spans="1:32">
      <c r="A25">
        <v>25</v>
      </c>
    </row>
    <row r="26" spans="1:32">
      <c r="C26" s="3" t="s">
        <v>98</v>
      </c>
      <c r="E26" s="3" t="s">
        <v>42</v>
      </c>
      <c r="F26" s="3"/>
      <c r="H26" s="3" t="s">
        <v>43</v>
      </c>
      <c r="K26" s="3" t="s">
        <v>113</v>
      </c>
      <c r="N26" t="s">
        <v>114</v>
      </c>
      <c r="Q26" s="3" t="s">
        <v>78</v>
      </c>
      <c r="T26" s="3" t="s">
        <v>105</v>
      </c>
      <c r="W26" s="3" t="s">
        <v>115</v>
      </c>
      <c r="Z26" s="3" t="s">
        <v>70</v>
      </c>
      <c r="AC26" s="3" t="s">
        <v>76</v>
      </c>
      <c r="AE26" s="3" t="s">
        <v>228</v>
      </c>
      <c r="AF26" s="3"/>
    </row>
    <row r="27" spans="1:32">
      <c r="C27" t="s">
        <v>6</v>
      </c>
      <c r="D27">
        <v>1</v>
      </c>
      <c r="E27" t="s">
        <v>107</v>
      </c>
      <c r="F27">
        <v>5</v>
      </c>
      <c r="H27">
        <v>0</v>
      </c>
      <c r="I27">
        <v>0</v>
      </c>
      <c r="K27" t="s">
        <v>8</v>
      </c>
      <c r="L27">
        <v>3</v>
      </c>
      <c r="N27" t="s">
        <v>74</v>
      </c>
      <c r="O27">
        <v>5</v>
      </c>
      <c r="Q27" t="s">
        <v>79</v>
      </c>
      <c r="R27">
        <v>5</v>
      </c>
      <c r="T27" t="s">
        <v>79</v>
      </c>
      <c r="U27">
        <v>1</v>
      </c>
      <c r="W27" t="s">
        <v>107</v>
      </c>
      <c r="X27">
        <v>1</v>
      </c>
      <c r="Z27" t="s">
        <v>376</v>
      </c>
      <c r="AA27">
        <v>8</v>
      </c>
      <c r="AE27" t="s">
        <v>107</v>
      </c>
      <c r="AF27">
        <v>1</v>
      </c>
    </row>
    <row r="28" spans="1:32">
      <c r="A28">
        <v>1960</v>
      </c>
      <c r="C28" t="s">
        <v>7</v>
      </c>
      <c r="D28">
        <v>5</v>
      </c>
      <c r="E28" t="s">
        <v>108</v>
      </c>
      <c r="F28">
        <v>1</v>
      </c>
      <c r="H28">
        <v>1</v>
      </c>
      <c r="I28">
        <v>1</v>
      </c>
      <c r="K28" t="s">
        <v>9</v>
      </c>
      <c r="L28">
        <v>1</v>
      </c>
      <c r="N28" t="s">
        <v>73</v>
      </c>
      <c r="O28">
        <v>3</v>
      </c>
      <c r="Q28" t="s">
        <v>80</v>
      </c>
      <c r="R28">
        <v>4</v>
      </c>
      <c r="T28" t="s">
        <v>80</v>
      </c>
      <c r="U28">
        <v>2</v>
      </c>
      <c r="W28" t="s">
        <v>108</v>
      </c>
      <c r="X28">
        <v>5</v>
      </c>
      <c r="Z28" t="s">
        <v>377</v>
      </c>
      <c r="AA28">
        <v>5</v>
      </c>
      <c r="AE28" t="s">
        <v>108</v>
      </c>
      <c r="AF28">
        <v>5</v>
      </c>
    </row>
    <row r="29" spans="1:32">
      <c r="A29">
        <v>1961</v>
      </c>
      <c r="C29" t="s">
        <v>45</v>
      </c>
      <c r="D29">
        <v>3</v>
      </c>
      <c r="H29">
        <v>2</v>
      </c>
      <c r="I29">
        <v>2</v>
      </c>
      <c r="K29" t="s">
        <v>44</v>
      </c>
      <c r="L29">
        <v>5</v>
      </c>
      <c r="N29" t="s">
        <v>75</v>
      </c>
      <c r="O29">
        <v>1</v>
      </c>
      <c r="Q29" t="s">
        <v>81</v>
      </c>
      <c r="R29">
        <v>3</v>
      </c>
      <c r="T29" t="s">
        <v>81</v>
      </c>
      <c r="U29">
        <v>3</v>
      </c>
      <c r="Z29" t="s">
        <v>80</v>
      </c>
      <c r="AA29">
        <v>4</v>
      </c>
    </row>
    <row r="30" spans="1:32">
      <c r="A30">
        <v>1962</v>
      </c>
      <c r="E30" s="3" t="s">
        <v>109</v>
      </c>
      <c r="H30">
        <v>3</v>
      </c>
      <c r="I30">
        <v>3</v>
      </c>
      <c r="K30" t="s">
        <v>46</v>
      </c>
      <c r="L30">
        <v>3</v>
      </c>
      <c r="Q30" t="s">
        <v>82</v>
      </c>
      <c r="R30">
        <v>2</v>
      </c>
      <c r="T30" t="s">
        <v>82</v>
      </c>
      <c r="U30">
        <v>4</v>
      </c>
      <c r="Z30" t="s">
        <v>81</v>
      </c>
      <c r="AA30">
        <v>3</v>
      </c>
    </row>
    <row r="31" spans="1:32">
      <c r="A31">
        <v>1963</v>
      </c>
      <c r="E31" t="s">
        <v>107</v>
      </c>
      <c r="F31">
        <v>5</v>
      </c>
      <c r="H31">
        <v>4</v>
      </c>
      <c r="I31">
        <v>4</v>
      </c>
      <c r="Q31" t="s">
        <v>83</v>
      </c>
      <c r="R31">
        <v>1</v>
      </c>
      <c r="T31" t="s">
        <v>83</v>
      </c>
      <c r="U31">
        <v>5</v>
      </c>
      <c r="Z31" t="s">
        <v>82</v>
      </c>
      <c r="AA31">
        <v>2</v>
      </c>
    </row>
    <row r="32" spans="1:32">
      <c r="A32">
        <v>1964</v>
      </c>
      <c r="E32" t="s">
        <v>108</v>
      </c>
      <c r="F32">
        <v>1</v>
      </c>
      <c r="H32" s="14" t="s">
        <v>110</v>
      </c>
      <c r="I32">
        <v>5</v>
      </c>
      <c r="Q32" t="s">
        <v>84</v>
      </c>
      <c r="R32">
        <v>1</v>
      </c>
      <c r="T32" t="s">
        <v>84</v>
      </c>
      <c r="U32">
        <v>6</v>
      </c>
      <c r="Z32" t="s">
        <v>83</v>
      </c>
      <c r="AA32">
        <v>1</v>
      </c>
    </row>
    <row r="33" spans="1:29">
      <c r="A33">
        <v>1965</v>
      </c>
      <c r="Z33" t="s">
        <v>84</v>
      </c>
      <c r="AA33">
        <v>1</v>
      </c>
    </row>
    <row r="34" spans="1:29">
      <c r="A34">
        <v>1966</v>
      </c>
    </row>
    <row r="35" spans="1:29">
      <c r="A35">
        <v>1967</v>
      </c>
      <c r="C35" s="3" t="s">
        <v>20</v>
      </c>
    </row>
    <row r="36" spans="1:29">
      <c r="A36">
        <v>1968</v>
      </c>
    </row>
    <row r="37" spans="1:29">
      <c r="A37">
        <v>1969</v>
      </c>
      <c r="C37" t="s">
        <v>0</v>
      </c>
      <c r="F37" t="s">
        <v>118</v>
      </c>
      <c r="I37" t="s">
        <v>47</v>
      </c>
      <c r="L37" t="s">
        <v>77</v>
      </c>
      <c r="O37" t="s">
        <v>15</v>
      </c>
      <c r="S37" t="s">
        <v>24</v>
      </c>
      <c r="V37" t="s">
        <v>25</v>
      </c>
      <c r="Y37" t="s">
        <v>121</v>
      </c>
      <c r="AB37" t="s">
        <v>230</v>
      </c>
    </row>
    <row r="38" spans="1:29">
      <c r="A38">
        <v>1970</v>
      </c>
      <c r="C38" t="s">
        <v>117</v>
      </c>
      <c r="D38">
        <v>2</v>
      </c>
      <c r="F38" t="s">
        <v>107</v>
      </c>
      <c r="G38">
        <v>2</v>
      </c>
      <c r="I38" t="s">
        <v>107</v>
      </c>
      <c r="J38">
        <v>2</v>
      </c>
      <c r="L38" t="s">
        <v>107</v>
      </c>
      <c r="M38">
        <v>1</v>
      </c>
      <c r="O38" t="s">
        <v>10</v>
      </c>
      <c r="P38">
        <v>3</v>
      </c>
      <c r="S38" t="s">
        <v>21</v>
      </c>
      <c r="V38" t="s">
        <v>107</v>
      </c>
      <c r="W38">
        <v>2</v>
      </c>
      <c r="Y38" t="s">
        <v>107</v>
      </c>
      <c r="Z38">
        <v>2</v>
      </c>
      <c r="AB38" t="s">
        <v>107</v>
      </c>
      <c r="AC38">
        <v>1</v>
      </c>
    </row>
    <row r="39" spans="1:29">
      <c r="A39">
        <v>1971</v>
      </c>
      <c r="C39" t="s">
        <v>108</v>
      </c>
      <c r="D39">
        <v>10</v>
      </c>
      <c r="F39" t="s">
        <v>108</v>
      </c>
      <c r="G39">
        <v>10</v>
      </c>
      <c r="I39" t="s">
        <v>108</v>
      </c>
      <c r="J39">
        <v>10</v>
      </c>
      <c r="L39" t="s">
        <v>108</v>
      </c>
      <c r="M39">
        <v>10</v>
      </c>
      <c r="O39" t="s">
        <v>16</v>
      </c>
      <c r="P39">
        <v>15</v>
      </c>
      <c r="S39" t="s">
        <v>22</v>
      </c>
      <c r="V39" t="s">
        <v>108</v>
      </c>
      <c r="W39">
        <v>10</v>
      </c>
      <c r="Y39" t="s">
        <v>108</v>
      </c>
      <c r="Z39">
        <v>10</v>
      </c>
      <c r="AB39" t="s">
        <v>108</v>
      </c>
      <c r="AC39">
        <v>5</v>
      </c>
    </row>
    <row r="40" spans="1:29">
      <c r="A40">
        <v>1972</v>
      </c>
      <c r="O40" t="s">
        <v>17</v>
      </c>
      <c r="P40">
        <v>20</v>
      </c>
      <c r="S40" t="s">
        <v>12</v>
      </c>
    </row>
    <row r="41" spans="1:29">
      <c r="A41">
        <v>1973</v>
      </c>
      <c r="O41" t="s">
        <v>13</v>
      </c>
      <c r="P41">
        <v>3</v>
      </c>
      <c r="S41" t="s">
        <v>23</v>
      </c>
    </row>
    <row r="42" spans="1:29">
      <c r="A42">
        <v>1974</v>
      </c>
      <c r="O42" t="s">
        <v>11</v>
      </c>
      <c r="P42">
        <v>20</v>
      </c>
    </row>
    <row r="43" spans="1:29">
      <c r="A43">
        <v>1975</v>
      </c>
      <c r="O43" t="s">
        <v>14</v>
      </c>
      <c r="P43">
        <v>15</v>
      </c>
    </row>
    <row r="44" spans="1:29">
      <c r="A44">
        <v>1976</v>
      </c>
      <c r="O44" t="s">
        <v>18</v>
      </c>
      <c r="P44">
        <v>10</v>
      </c>
    </row>
    <row r="45" spans="1:29">
      <c r="A45">
        <v>1977</v>
      </c>
      <c r="O45" t="s">
        <v>19</v>
      </c>
      <c r="P45">
        <v>10</v>
      </c>
    </row>
    <row r="46" spans="1:29">
      <c r="A46">
        <v>1978</v>
      </c>
    </row>
    <row r="47" spans="1:29">
      <c r="A47">
        <v>1979</v>
      </c>
      <c r="C47" s="3" t="s">
        <v>35</v>
      </c>
    </row>
    <row r="48" spans="1:29">
      <c r="A48">
        <v>1980</v>
      </c>
    </row>
    <row r="49" spans="1:18">
      <c r="A49">
        <v>1981</v>
      </c>
      <c r="C49" s="3" t="s">
        <v>41</v>
      </c>
      <c r="F49" s="3" t="s">
        <v>27</v>
      </c>
      <c r="H49" s="3" t="s">
        <v>122</v>
      </c>
      <c r="K49" t="s">
        <v>29</v>
      </c>
      <c r="N49" t="s">
        <v>30</v>
      </c>
      <c r="P49" t="s">
        <v>69</v>
      </c>
      <c r="R49" t="s">
        <v>36</v>
      </c>
    </row>
    <row r="50" spans="1:18">
      <c r="A50">
        <v>1982</v>
      </c>
      <c r="C50" t="s">
        <v>72</v>
      </c>
      <c r="F50" t="s">
        <v>194</v>
      </c>
      <c r="H50" t="s">
        <v>107</v>
      </c>
      <c r="I50">
        <v>1</v>
      </c>
      <c r="K50" t="s">
        <v>107</v>
      </c>
      <c r="L50">
        <v>1</v>
      </c>
      <c r="N50" t="s">
        <v>31</v>
      </c>
      <c r="P50" t="s">
        <v>107</v>
      </c>
      <c r="R50" t="s">
        <v>107</v>
      </c>
    </row>
    <row r="51" spans="1:18">
      <c r="A51">
        <v>1983</v>
      </c>
      <c r="C51" t="s">
        <v>71</v>
      </c>
      <c r="F51" t="s">
        <v>378</v>
      </c>
      <c r="H51" t="s">
        <v>108</v>
      </c>
      <c r="I51">
        <v>5</v>
      </c>
      <c r="K51" t="s">
        <v>108</v>
      </c>
      <c r="L51">
        <v>5</v>
      </c>
      <c r="N51" t="s">
        <v>32</v>
      </c>
      <c r="P51" t="s">
        <v>108</v>
      </c>
      <c r="R51" t="s">
        <v>108</v>
      </c>
    </row>
    <row r="52" spans="1:18">
      <c r="A52">
        <v>1984</v>
      </c>
      <c r="C52" t="s">
        <v>40</v>
      </c>
      <c r="N52" t="s">
        <v>33</v>
      </c>
    </row>
    <row r="53" spans="1:18">
      <c r="A53">
        <v>1985</v>
      </c>
      <c r="C53" t="s">
        <v>38</v>
      </c>
      <c r="N53" t="s">
        <v>34</v>
      </c>
    </row>
    <row r="54" spans="1:18">
      <c r="A54">
        <v>1986</v>
      </c>
      <c r="C54" t="s">
        <v>28</v>
      </c>
      <c r="N54" t="s">
        <v>37</v>
      </c>
    </row>
    <row r="55" spans="1:18">
      <c r="A55">
        <v>1987</v>
      </c>
      <c r="C55" t="s">
        <v>39</v>
      </c>
    </row>
    <row r="56" spans="1:18">
      <c r="A56">
        <v>1988</v>
      </c>
    </row>
    <row r="57" spans="1:18">
      <c r="A57">
        <v>1989</v>
      </c>
    </row>
    <row r="58" spans="1:18">
      <c r="A58">
        <v>1990</v>
      </c>
      <c r="C58" s="3" t="s">
        <v>48</v>
      </c>
    </row>
    <row r="59" spans="1:18">
      <c r="A59">
        <v>1991</v>
      </c>
    </row>
    <row r="60" spans="1:18">
      <c r="A60">
        <v>1992</v>
      </c>
      <c r="C60" s="3" t="s">
        <v>49</v>
      </c>
      <c r="F60" t="s">
        <v>51</v>
      </c>
      <c r="J60" t="s">
        <v>50</v>
      </c>
      <c r="M60" s="3" t="s">
        <v>95</v>
      </c>
      <c r="P60" t="s">
        <v>231</v>
      </c>
    </row>
    <row r="61" spans="1:18">
      <c r="A61">
        <v>1993</v>
      </c>
      <c r="C61" t="s">
        <v>125</v>
      </c>
      <c r="D61">
        <v>5</v>
      </c>
      <c r="F61" t="s">
        <v>107</v>
      </c>
      <c r="G61">
        <v>30</v>
      </c>
      <c r="J61" t="s">
        <v>107</v>
      </c>
      <c r="K61">
        <v>1</v>
      </c>
      <c r="M61" t="s">
        <v>91</v>
      </c>
      <c r="N61" s="2">
        <v>3</v>
      </c>
      <c r="P61" t="s">
        <v>107</v>
      </c>
      <c r="Q61">
        <v>5</v>
      </c>
    </row>
    <row r="62" spans="1:18">
      <c r="A62">
        <v>1994</v>
      </c>
      <c r="C62" t="s">
        <v>126</v>
      </c>
      <c r="D62">
        <v>15</v>
      </c>
      <c r="F62" t="s">
        <v>108</v>
      </c>
      <c r="G62">
        <v>6</v>
      </c>
      <c r="J62" t="s">
        <v>108</v>
      </c>
      <c r="K62">
        <v>5</v>
      </c>
      <c r="M62" t="s">
        <v>92</v>
      </c>
      <c r="N62" s="2">
        <v>5</v>
      </c>
      <c r="P62" t="s">
        <v>108</v>
      </c>
      <c r="Q62">
        <v>9</v>
      </c>
    </row>
    <row r="63" spans="1:18">
      <c r="A63">
        <v>1995</v>
      </c>
      <c r="C63" t="s">
        <v>127</v>
      </c>
      <c r="D63">
        <v>5</v>
      </c>
      <c r="M63" t="s">
        <v>93</v>
      </c>
      <c r="N63" s="2">
        <v>7</v>
      </c>
    </row>
    <row r="64" spans="1:18">
      <c r="A64">
        <v>1996</v>
      </c>
      <c r="C64" t="s">
        <v>128</v>
      </c>
      <c r="D64">
        <v>5</v>
      </c>
      <c r="M64" t="s">
        <v>94</v>
      </c>
      <c r="N64" s="2">
        <v>8</v>
      </c>
    </row>
    <row r="65" spans="1:26">
      <c r="A65">
        <v>1997</v>
      </c>
      <c r="C65" t="s">
        <v>129</v>
      </c>
      <c r="D65">
        <v>20</v>
      </c>
    </row>
    <row r="66" spans="1:26">
      <c r="A66">
        <v>1998</v>
      </c>
      <c r="C66" t="s">
        <v>130</v>
      </c>
      <c r="D66">
        <v>40</v>
      </c>
    </row>
    <row r="67" spans="1:26">
      <c r="A67">
        <v>1999</v>
      </c>
      <c r="C67" t="s">
        <v>131</v>
      </c>
      <c r="D67">
        <v>15</v>
      </c>
    </row>
    <row r="68" spans="1:26">
      <c r="A68">
        <v>2000</v>
      </c>
      <c r="C68" t="s">
        <v>132</v>
      </c>
      <c r="D68">
        <v>40</v>
      </c>
    </row>
    <row r="69" spans="1:26">
      <c r="A69">
        <v>2001</v>
      </c>
    </row>
    <row r="70" spans="1:26">
      <c r="A70">
        <v>2002</v>
      </c>
    </row>
    <row r="71" spans="1:26">
      <c r="A71">
        <v>2003</v>
      </c>
      <c r="C71" t="s">
        <v>186</v>
      </c>
      <c r="F71" s="3" t="s">
        <v>187</v>
      </c>
      <c r="I71" s="18" t="s">
        <v>57</v>
      </c>
      <c r="L71" t="s">
        <v>58</v>
      </c>
      <c r="P71" t="s">
        <v>59</v>
      </c>
      <c r="U71" t="s">
        <v>192</v>
      </c>
      <c r="Y71" t="s">
        <v>232</v>
      </c>
    </row>
    <row r="72" spans="1:26">
      <c r="A72">
        <v>2004</v>
      </c>
      <c r="F72" t="s">
        <v>188</v>
      </c>
      <c r="G72">
        <v>3</v>
      </c>
      <c r="I72" t="s">
        <v>52</v>
      </c>
      <c r="J72">
        <v>3</v>
      </c>
      <c r="L72" t="s">
        <v>107</v>
      </c>
      <c r="M72">
        <v>5</v>
      </c>
      <c r="P72" t="s">
        <v>107</v>
      </c>
      <c r="Q72">
        <v>1</v>
      </c>
      <c r="U72" t="s">
        <v>107</v>
      </c>
      <c r="V72">
        <v>20</v>
      </c>
      <c r="Y72" t="s">
        <v>107</v>
      </c>
      <c r="Z72">
        <v>4</v>
      </c>
    </row>
    <row r="73" spans="1:26">
      <c r="A73">
        <v>2005</v>
      </c>
      <c r="F73" t="s">
        <v>189</v>
      </c>
      <c r="G73">
        <v>20</v>
      </c>
      <c r="I73" t="s">
        <v>53</v>
      </c>
      <c r="J73">
        <v>7</v>
      </c>
      <c r="L73" t="s">
        <v>108</v>
      </c>
      <c r="M73">
        <v>1</v>
      </c>
      <c r="P73" t="s">
        <v>108</v>
      </c>
      <c r="Q73">
        <v>3</v>
      </c>
      <c r="U73" t="s">
        <v>108</v>
      </c>
      <c r="V73">
        <v>3</v>
      </c>
      <c r="Y73" t="s">
        <v>108</v>
      </c>
      <c r="Z73">
        <v>19</v>
      </c>
    </row>
    <row r="74" spans="1:26">
      <c r="A74">
        <v>2006</v>
      </c>
      <c r="I74" t="s">
        <v>54</v>
      </c>
      <c r="J74">
        <v>10</v>
      </c>
    </row>
    <row r="75" spans="1:26">
      <c r="A75">
        <v>2007</v>
      </c>
      <c r="I75" t="s">
        <v>56</v>
      </c>
      <c r="J75">
        <v>15</v>
      </c>
    </row>
    <row r="76" spans="1:26">
      <c r="A76">
        <v>2008</v>
      </c>
      <c r="I76" t="s">
        <v>55</v>
      </c>
      <c r="J76">
        <v>20</v>
      </c>
    </row>
    <row r="77" spans="1:26">
      <c r="A77">
        <v>2009</v>
      </c>
    </row>
    <row r="78" spans="1:26">
      <c r="A78">
        <v>2010</v>
      </c>
    </row>
    <row r="79" spans="1:26">
      <c r="A79">
        <v>2011</v>
      </c>
    </row>
    <row r="80" spans="1:26">
      <c r="A80">
        <v>2012</v>
      </c>
    </row>
    <row r="81" spans="1:1">
      <c r="A81">
        <v>2013</v>
      </c>
    </row>
    <row r="82" spans="1:1">
      <c r="A82">
        <v>2014</v>
      </c>
    </row>
    <row r="83" spans="1:1">
      <c r="A83">
        <v>2015</v>
      </c>
    </row>
    <row r="84" spans="1:1">
      <c r="A84">
        <v>2016</v>
      </c>
    </row>
    <row r="85" spans="1:1">
      <c r="A85">
        <v>2017</v>
      </c>
    </row>
    <row r="86" spans="1:1">
      <c r="A86">
        <v>2018</v>
      </c>
    </row>
    <row r="87" spans="1:1">
      <c r="A87">
        <v>2019</v>
      </c>
    </row>
    <row r="89" spans="1:1">
      <c r="A89" t="s">
        <v>133</v>
      </c>
    </row>
    <row r="90" spans="1:1">
      <c r="A90" t="s">
        <v>134</v>
      </c>
    </row>
    <row r="91" spans="1:1">
      <c r="A91" t="s">
        <v>135</v>
      </c>
    </row>
    <row r="92" spans="1:1">
      <c r="A92" t="s">
        <v>136</v>
      </c>
    </row>
    <row r="93" spans="1:1">
      <c r="A93" t="s">
        <v>137</v>
      </c>
    </row>
    <row r="94" spans="1:1">
      <c r="A94" t="s">
        <v>138</v>
      </c>
    </row>
    <row r="95" spans="1:1">
      <c r="A95" t="s">
        <v>139</v>
      </c>
    </row>
    <row r="96" spans="1:1">
      <c r="A96" t="s">
        <v>140</v>
      </c>
    </row>
    <row r="97" spans="1:3">
      <c r="A97" t="s">
        <v>141</v>
      </c>
    </row>
    <row r="98" spans="1:3">
      <c r="A98" t="s">
        <v>142</v>
      </c>
    </row>
    <row r="99" spans="1:3">
      <c r="A99" t="s">
        <v>143</v>
      </c>
    </row>
    <row r="100" spans="1:3">
      <c r="A100" t="s">
        <v>144</v>
      </c>
    </row>
    <row r="101" spans="1:3">
      <c r="A101" t="s">
        <v>145</v>
      </c>
    </row>
    <row r="102" spans="1:3">
      <c r="A102" t="s">
        <v>146</v>
      </c>
    </row>
    <row r="103" spans="1:3">
      <c r="A103" t="s">
        <v>147</v>
      </c>
    </row>
    <row r="104" spans="1:3">
      <c r="A104" t="s">
        <v>148</v>
      </c>
    </row>
    <row r="105" spans="1:3">
      <c r="A105" t="s">
        <v>149</v>
      </c>
    </row>
    <row r="106" spans="1:3">
      <c r="A106" t="s">
        <v>150</v>
      </c>
    </row>
    <row r="107" spans="1:3">
      <c r="A107" t="s">
        <v>151</v>
      </c>
    </row>
    <row r="108" spans="1:3">
      <c r="A108" t="s">
        <v>152</v>
      </c>
    </row>
    <row r="109" spans="1:3">
      <c r="A109" t="s">
        <v>153</v>
      </c>
    </row>
    <row r="110" spans="1:3">
      <c r="A110" t="s">
        <v>154</v>
      </c>
    </row>
    <row r="112" spans="1:3">
      <c r="A112" s="16" t="s">
        <v>166</v>
      </c>
      <c r="B112">
        <v>20</v>
      </c>
      <c r="C112">
        <v>3</v>
      </c>
    </row>
    <row r="113" spans="1:3">
      <c r="A113" s="16" t="s">
        <v>177</v>
      </c>
      <c r="B113">
        <v>20</v>
      </c>
      <c r="C113">
        <v>3</v>
      </c>
    </row>
    <row r="114" spans="1:3">
      <c r="A114" s="16" t="s">
        <v>179</v>
      </c>
      <c r="B114">
        <v>20</v>
      </c>
      <c r="C114">
        <v>3</v>
      </c>
    </row>
    <row r="115" spans="1:3">
      <c r="A115" s="16" t="s">
        <v>173</v>
      </c>
      <c r="B115">
        <v>20</v>
      </c>
      <c r="C115">
        <v>3</v>
      </c>
    </row>
    <row r="116" spans="1:3">
      <c r="A116" s="16" t="s">
        <v>171</v>
      </c>
      <c r="B116">
        <v>5</v>
      </c>
      <c r="C116">
        <v>0.5</v>
      </c>
    </row>
    <row r="117" spans="1:3">
      <c r="A117" s="16" t="s">
        <v>174</v>
      </c>
      <c r="B117">
        <v>15</v>
      </c>
      <c r="C117">
        <v>2</v>
      </c>
    </row>
    <row r="118" spans="1:3">
      <c r="A118" s="17" t="s">
        <v>175</v>
      </c>
      <c r="B118">
        <v>10</v>
      </c>
      <c r="C118">
        <v>1</v>
      </c>
    </row>
    <row r="119" spans="1:3">
      <c r="A119" s="16" t="s">
        <v>167</v>
      </c>
      <c r="B119">
        <v>20</v>
      </c>
      <c r="C119">
        <v>3</v>
      </c>
    </row>
    <row r="120" spans="1:3">
      <c r="A120" s="16" t="s">
        <v>170</v>
      </c>
      <c r="B120">
        <v>20</v>
      </c>
      <c r="C120">
        <v>3</v>
      </c>
    </row>
    <row r="121" spans="1:3">
      <c r="A121" s="16" t="s">
        <v>172</v>
      </c>
      <c r="B121">
        <v>10</v>
      </c>
      <c r="C121">
        <v>1</v>
      </c>
    </row>
    <row r="122" spans="1:3">
      <c r="A122" s="16" t="s">
        <v>176</v>
      </c>
      <c r="B122">
        <v>10</v>
      </c>
      <c r="C122">
        <v>1</v>
      </c>
    </row>
    <row r="123" spans="1:3">
      <c r="A123" s="16" t="s">
        <v>165</v>
      </c>
      <c r="B123">
        <v>10</v>
      </c>
      <c r="C123">
        <v>1</v>
      </c>
    </row>
    <row r="124" spans="1:3">
      <c r="A124" s="16" t="s">
        <v>156</v>
      </c>
      <c r="B124">
        <v>5</v>
      </c>
      <c r="C124">
        <v>0.5</v>
      </c>
    </row>
    <row r="125" spans="1:3">
      <c r="A125" s="16" t="s">
        <v>162</v>
      </c>
      <c r="B125">
        <v>5</v>
      </c>
      <c r="C125">
        <v>0.5</v>
      </c>
    </row>
    <row r="126" spans="1:3">
      <c r="A126" s="16" t="s">
        <v>161</v>
      </c>
      <c r="B126">
        <v>5</v>
      </c>
      <c r="C126">
        <v>0.5</v>
      </c>
    </row>
    <row r="127" spans="1:3">
      <c r="A127" s="17" t="s">
        <v>164</v>
      </c>
      <c r="B127">
        <v>5</v>
      </c>
      <c r="C127">
        <v>0.5</v>
      </c>
    </row>
    <row r="128" spans="1:3">
      <c r="A128" s="16" t="s">
        <v>168</v>
      </c>
      <c r="B128">
        <v>20</v>
      </c>
      <c r="C128">
        <v>3</v>
      </c>
    </row>
    <row r="129" spans="1:3">
      <c r="A129" s="16" t="s">
        <v>183</v>
      </c>
      <c r="B129">
        <v>15</v>
      </c>
      <c r="C129">
        <v>2</v>
      </c>
    </row>
    <row r="130" spans="1:3">
      <c r="A130" s="16" t="s">
        <v>169</v>
      </c>
      <c r="B130">
        <v>20</v>
      </c>
      <c r="C130">
        <v>3</v>
      </c>
    </row>
    <row r="131" spans="1:3">
      <c r="A131" s="16" t="s">
        <v>158</v>
      </c>
      <c r="B131">
        <v>5</v>
      </c>
      <c r="C131">
        <v>0.5</v>
      </c>
    </row>
    <row r="132" spans="1:3">
      <c r="A132" s="16" t="s">
        <v>178</v>
      </c>
      <c r="B132">
        <v>20</v>
      </c>
      <c r="C132">
        <v>3</v>
      </c>
    </row>
    <row r="133" spans="1:3">
      <c r="A133" s="16" t="s">
        <v>184</v>
      </c>
      <c r="B133">
        <v>15</v>
      </c>
      <c r="C133">
        <v>2</v>
      </c>
    </row>
    <row r="134" spans="1:3">
      <c r="A134" s="16" t="s">
        <v>160</v>
      </c>
      <c r="B134">
        <v>5</v>
      </c>
      <c r="C134">
        <v>0.5</v>
      </c>
    </row>
    <row r="135" spans="1:3">
      <c r="A135" s="16" t="s">
        <v>159</v>
      </c>
      <c r="B135">
        <v>5</v>
      </c>
      <c r="C135">
        <v>0.5</v>
      </c>
    </row>
    <row r="136" spans="1:3">
      <c r="A136" s="16" t="s">
        <v>180</v>
      </c>
      <c r="B136">
        <v>20</v>
      </c>
      <c r="C136">
        <v>3</v>
      </c>
    </row>
    <row r="137" spans="1:3">
      <c r="A137" s="16" t="s">
        <v>163</v>
      </c>
      <c r="B137">
        <v>20</v>
      </c>
      <c r="C137">
        <v>3</v>
      </c>
    </row>
    <row r="138" spans="1:3">
      <c r="A138" s="16" t="s">
        <v>182</v>
      </c>
      <c r="B138">
        <v>20</v>
      </c>
      <c r="C138">
        <v>3</v>
      </c>
    </row>
    <row r="139" spans="1:3">
      <c r="A139" s="16" t="s">
        <v>157</v>
      </c>
      <c r="B139">
        <v>5</v>
      </c>
      <c r="C139">
        <v>0.5</v>
      </c>
    </row>
    <row r="140" spans="1:3">
      <c r="A140" s="16" t="s">
        <v>155</v>
      </c>
      <c r="B140">
        <v>5</v>
      </c>
      <c r="C140">
        <v>0.5</v>
      </c>
    </row>
    <row r="141" spans="1:3">
      <c r="A141" s="17" t="s">
        <v>181</v>
      </c>
      <c r="B141">
        <v>20</v>
      </c>
      <c r="C141">
        <v>3</v>
      </c>
    </row>
    <row r="142" spans="1:3">
      <c r="A142" s="16" t="s">
        <v>185</v>
      </c>
      <c r="B142">
        <v>20</v>
      </c>
      <c r="C142">
        <v>3</v>
      </c>
    </row>
    <row r="143" spans="1:3">
      <c r="A143" s="16"/>
    </row>
    <row r="144" spans="1:3">
      <c r="A144" s="1" t="s">
        <v>60</v>
      </c>
    </row>
    <row r="145" spans="1:3">
      <c r="A145" s="1" t="s">
        <v>61</v>
      </c>
    </row>
    <row r="146" spans="1:3">
      <c r="A146" s="1" t="s">
        <v>62</v>
      </c>
    </row>
    <row r="147" spans="1:3">
      <c r="A147" s="1" t="s">
        <v>63</v>
      </c>
    </row>
    <row r="148" spans="1:3">
      <c r="A148" s="1" t="s">
        <v>65</v>
      </c>
    </row>
    <row r="149" spans="1:3">
      <c r="A149" s="1" t="s">
        <v>66</v>
      </c>
    </row>
    <row r="150" spans="1:3">
      <c r="A150" s="1" t="s">
        <v>67</v>
      </c>
    </row>
    <row r="151" spans="1:3">
      <c r="A151" s="1" t="s">
        <v>64</v>
      </c>
    </row>
    <row r="152" spans="1:3">
      <c r="A152" s="1" t="s">
        <v>68</v>
      </c>
    </row>
    <row r="154" spans="1:3">
      <c r="A154">
        <v>2021</v>
      </c>
      <c r="B154">
        <v>3</v>
      </c>
      <c r="C154">
        <v>0.5</v>
      </c>
    </row>
    <row r="155" spans="1:3">
      <c r="A155">
        <v>2020</v>
      </c>
      <c r="B155">
        <v>3</v>
      </c>
      <c r="C155">
        <v>0.5</v>
      </c>
    </row>
    <row r="156" spans="1:3">
      <c r="A156">
        <v>2019</v>
      </c>
      <c r="B156">
        <v>3</v>
      </c>
      <c r="C156">
        <v>0.5</v>
      </c>
    </row>
    <row r="157" spans="1:3">
      <c r="A157">
        <v>2018</v>
      </c>
      <c r="B157">
        <v>7</v>
      </c>
      <c r="C157">
        <v>1</v>
      </c>
    </row>
    <row r="158" spans="1:3">
      <c r="A158">
        <v>2017</v>
      </c>
      <c r="B158">
        <v>7</v>
      </c>
      <c r="C158">
        <v>1</v>
      </c>
    </row>
    <row r="159" spans="1:3">
      <c r="A159">
        <v>2016</v>
      </c>
      <c r="B159">
        <v>7</v>
      </c>
      <c r="C159">
        <v>1</v>
      </c>
    </row>
    <row r="160" spans="1:3">
      <c r="A160">
        <v>2015</v>
      </c>
      <c r="B160">
        <v>7</v>
      </c>
      <c r="C160">
        <v>1</v>
      </c>
    </row>
    <row r="161" spans="1:3">
      <c r="A161">
        <v>2014</v>
      </c>
      <c r="B161">
        <v>10</v>
      </c>
      <c r="C161">
        <v>1.5</v>
      </c>
    </row>
    <row r="162" spans="1:3">
      <c r="A162">
        <v>2013</v>
      </c>
      <c r="B162">
        <v>10</v>
      </c>
      <c r="C162">
        <v>1.5</v>
      </c>
    </row>
    <row r="163" spans="1:3">
      <c r="A163">
        <v>2012</v>
      </c>
      <c r="B163">
        <v>10</v>
      </c>
      <c r="C163">
        <v>1.5</v>
      </c>
    </row>
    <row r="164" spans="1:3">
      <c r="A164">
        <v>2011</v>
      </c>
      <c r="B164">
        <v>10</v>
      </c>
      <c r="C164">
        <v>1.5</v>
      </c>
    </row>
    <row r="165" spans="1:3">
      <c r="A165">
        <v>2010</v>
      </c>
      <c r="B165">
        <v>10</v>
      </c>
      <c r="C165">
        <v>1.5</v>
      </c>
    </row>
    <row r="166" spans="1:3">
      <c r="A166">
        <v>2009</v>
      </c>
      <c r="B166">
        <v>15</v>
      </c>
      <c r="C166">
        <v>1.5</v>
      </c>
    </row>
    <row r="167" spans="1:3">
      <c r="A167">
        <v>2008</v>
      </c>
      <c r="B167">
        <v>15</v>
      </c>
      <c r="C167">
        <v>1.5</v>
      </c>
    </row>
    <row r="168" spans="1:3">
      <c r="A168">
        <v>2007</v>
      </c>
      <c r="B168">
        <v>15</v>
      </c>
      <c r="C168">
        <v>1.5</v>
      </c>
    </row>
    <row r="169" spans="1:3">
      <c r="A169">
        <v>2006</v>
      </c>
      <c r="B169">
        <v>15</v>
      </c>
      <c r="C169">
        <v>1.5</v>
      </c>
    </row>
    <row r="170" spans="1:3">
      <c r="A170">
        <v>2005</v>
      </c>
      <c r="B170">
        <v>15</v>
      </c>
      <c r="C170">
        <v>1.5</v>
      </c>
    </row>
    <row r="171" spans="1:3">
      <c r="A171">
        <v>2004</v>
      </c>
      <c r="B171">
        <v>20</v>
      </c>
      <c r="C171">
        <v>2</v>
      </c>
    </row>
    <row r="172" spans="1:3">
      <c r="A172">
        <v>2003</v>
      </c>
      <c r="B172">
        <v>20</v>
      </c>
      <c r="C172">
        <v>2</v>
      </c>
    </row>
    <row r="173" spans="1:3">
      <c r="A173">
        <v>2002</v>
      </c>
      <c r="B173">
        <v>20</v>
      </c>
      <c r="C173">
        <v>2</v>
      </c>
    </row>
    <row r="174" spans="1:3">
      <c r="A174">
        <v>2001</v>
      </c>
      <c r="B174">
        <v>20</v>
      </c>
      <c r="C174">
        <v>2</v>
      </c>
    </row>
    <row r="175" spans="1:3">
      <c r="A175">
        <v>2000</v>
      </c>
      <c r="B175">
        <v>20</v>
      </c>
      <c r="C175">
        <v>2</v>
      </c>
    </row>
    <row r="178" spans="1:5">
      <c r="A178" s="387" t="s">
        <v>194</v>
      </c>
      <c r="B178" s="387"/>
      <c r="D178" s="387" t="s">
        <v>106</v>
      </c>
      <c r="E178" s="387"/>
    </row>
    <row r="179" spans="1:5">
      <c r="A179" t="s">
        <v>203</v>
      </c>
      <c r="B179">
        <v>5</v>
      </c>
      <c r="D179" t="s">
        <v>203</v>
      </c>
      <c r="E179">
        <v>5</v>
      </c>
    </row>
    <row r="180" spans="1:5">
      <c r="A180" t="s">
        <v>204</v>
      </c>
      <c r="B180">
        <v>20</v>
      </c>
      <c r="D180" t="s">
        <v>204</v>
      </c>
      <c r="E180">
        <v>15</v>
      </c>
    </row>
    <row r="181" spans="1:5">
      <c r="A181" t="s">
        <v>205</v>
      </c>
      <c r="B181">
        <v>5</v>
      </c>
      <c r="D181" t="s">
        <v>205</v>
      </c>
      <c r="E181">
        <v>5</v>
      </c>
    </row>
    <row r="182" spans="1:5">
      <c r="A182" t="s">
        <v>206</v>
      </c>
      <c r="B182">
        <v>40</v>
      </c>
      <c r="D182" t="s">
        <v>206</v>
      </c>
      <c r="E182">
        <v>35</v>
      </c>
    </row>
    <row r="183" spans="1:5">
      <c r="A183" t="s">
        <v>207</v>
      </c>
      <c r="B183">
        <v>40</v>
      </c>
      <c r="D183" t="s">
        <v>207</v>
      </c>
      <c r="E183">
        <v>35</v>
      </c>
    </row>
    <row r="184" spans="1:5">
      <c r="A184" t="s">
        <v>208</v>
      </c>
      <c r="B184">
        <v>40</v>
      </c>
      <c r="D184" t="s">
        <v>208</v>
      </c>
      <c r="E184">
        <v>35</v>
      </c>
    </row>
    <row r="185" spans="1:5">
      <c r="A185" t="s">
        <v>209</v>
      </c>
      <c r="B185">
        <v>40</v>
      </c>
      <c r="D185" t="s">
        <v>209</v>
      </c>
      <c r="E185">
        <v>35</v>
      </c>
    </row>
    <row r="186" spans="1:5">
      <c r="A186" t="s">
        <v>210</v>
      </c>
      <c r="B186">
        <v>10</v>
      </c>
      <c r="D186" t="s">
        <v>210</v>
      </c>
      <c r="E186">
        <v>10</v>
      </c>
    </row>
    <row r="187" spans="1:5">
      <c r="A187" t="s">
        <v>211</v>
      </c>
      <c r="B187">
        <v>30</v>
      </c>
      <c r="D187" t="s">
        <v>211</v>
      </c>
      <c r="E187">
        <v>25</v>
      </c>
    </row>
    <row r="188" spans="1:5">
      <c r="A188" t="s">
        <v>212</v>
      </c>
      <c r="B188">
        <v>30</v>
      </c>
      <c r="D188" t="s">
        <v>212</v>
      </c>
      <c r="E188">
        <v>25</v>
      </c>
    </row>
    <row r="189" spans="1:5">
      <c r="A189" t="s">
        <v>213</v>
      </c>
      <c r="B189">
        <v>30</v>
      </c>
      <c r="D189" t="s">
        <v>213</v>
      </c>
      <c r="E189">
        <v>25</v>
      </c>
    </row>
    <row r="190" spans="1:5">
      <c r="A190" t="s">
        <v>214</v>
      </c>
      <c r="B190">
        <v>30</v>
      </c>
      <c r="D190" t="s">
        <v>214</v>
      </c>
      <c r="E190">
        <v>25</v>
      </c>
    </row>
    <row r="191" spans="1:5">
      <c r="A191" t="s">
        <v>215</v>
      </c>
      <c r="B191">
        <v>5</v>
      </c>
      <c r="D191" t="s">
        <v>215</v>
      </c>
      <c r="E191">
        <v>5</v>
      </c>
    </row>
    <row r="192" spans="1:5">
      <c r="A192" t="s">
        <v>216</v>
      </c>
      <c r="B192">
        <v>20</v>
      </c>
      <c r="D192" t="s">
        <v>216</v>
      </c>
      <c r="E192">
        <v>15</v>
      </c>
    </row>
    <row r="193" spans="1:5">
      <c r="A193" t="s">
        <v>217</v>
      </c>
      <c r="B193">
        <v>20</v>
      </c>
      <c r="D193" t="s">
        <v>217</v>
      </c>
      <c r="E193">
        <v>15</v>
      </c>
    </row>
    <row r="194" spans="1:5">
      <c r="A194" t="s">
        <v>218</v>
      </c>
      <c r="B194">
        <v>20</v>
      </c>
      <c r="D194" t="s">
        <v>218</v>
      </c>
      <c r="E194">
        <v>15</v>
      </c>
    </row>
    <row r="195" spans="1:5">
      <c r="A195" t="s">
        <v>219</v>
      </c>
      <c r="B195">
        <v>20</v>
      </c>
      <c r="D195" t="s">
        <v>219</v>
      </c>
      <c r="E195">
        <v>15</v>
      </c>
    </row>
  </sheetData>
  <sortState ref="A155:A175">
    <sortCondition descending="1" ref="A154"/>
  </sortState>
  <mergeCells count="3">
    <mergeCell ref="N17:O17"/>
    <mergeCell ref="D178:E178"/>
    <mergeCell ref="A178:B178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2:CZ53"/>
  <sheetViews>
    <sheetView showGridLines="0" topLeftCell="A11" zoomScaleNormal="100" zoomScaleSheetLayoutView="115" workbookViewId="0">
      <selection activeCell="AO23" sqref="AO23:AS23"/>
    </sheetView>
  </sheetViews>
  <sheetFormatPr baseColWidth="10" defaultRowHeight="14.4"/>
  <cols>
    <col min="1" max="19" width="1.6640625" customWidth="1"/>
    <col min="20" max="20" width="5.88671875" customWidth="1"/>
    <col min="21" max="115" width="1.6640625" customWidth="1"/>
  </cols>
  <sheetData>
    <row r="2" spans="2:104">
      <c r="J2" s="417" t="s">
        <v>99</v>
      </c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  <c r="AI2" s="417"/>
      <c r="AJ2" s="417"/>
      <c r="AK2" s="417"/>
      <c r="AL2" s="417"/>
      <c r="AM2" s="417"/>
      <c r="AN2" s="417"/>
      <c r="AO2" s="417"/>
      <c r="AP2" s="417"/>
      <c r="AQ2" s="417"/>
      <c r="AR2" s="417"/>
      <c r="AS2" s="417"/>
      <c r="AT2" s="417"/>
      <c r="AU2" s="417"/>
      <c r="AV2" s="417"/>
      <c r="AW2" s="417"/>
      <c r="AX2" s="417"/>
      <c r="AY2" s="417"/>
      <c r="AZ2" s="417"/>
      <c r="BA2" s="417"/>
      <c r="BB2" s="417"/>
      <c r="BC2" s="417"/>
      <c r="BD2" s="417"/>
      <c r="BE2" s="417"/>
      <c r="BF2" s="417"/>
      <c r="BG2" s="417"/>
    </row>
    <row r="3" spans="2:104"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7"/>
      <c r="AY3" s="417"/>
      <c r="AZ3" s="417"/>
      <c r="BA3" s="417"/>
      <c r="BB3" s="417"/>
      <c r="BC3" s="417"/>
      <c r="BD3" s="417"/>
      <c r="BE3" s="417"/>
      <c r="BF3" s="417"/>
      <c r="BG3" s="417"/>
    </row>
    <row r="4" spans="2:104"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417"/>
      <c r="AL4" s="417"/>
      <c r="AM4" s="417"/>
      <c r="AN4" s="417"/>
      <c r="AO4" s="417"/>
      <c r="AP4" s="417"/>
      <c r="AQ4" s="417"/>
      <c r="AR4" s="417"/>
      <c r="AS4" s="417"/>
      <c r="AT4" s="417"/>
      <c r="AU4" s="417"/>
      <c r="AV4" s="417"/>
      <c r="AW4" s="417"/>
      <c r="AX4" s="417"/>
      <c r="AY4" s="417"/>
      <c r="AZ4" s="417"/>
      <c r="BA4" s="417"/>
      <c r="BB4" s="417"/>
      <c r="BC4" s="417"/>
      <c r="BD4" s="417"/>
      <c r="BE4" s="417"/>
      <c r="BF4" s="417"/>
      <c r="BG4" s="417"/>
    </row>
    <row r="5" spans="2:104"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17"/>
      <c r="X5" s="417"/>
      <c r="Y5" s="417"/>
      <c r="Z5" s="417"/>
      <c r="AA5" s="417"/>
      <c r="AB5" s="417"/>
      <c r="AC5" s="417"/>
      <c r="AD5" s="417"/>
      <c r="AE5" s="417"/>
      <c r="AF5" s="417"/>
      <c r="AG5" s="417"/>
      <c r="AH5" s="417"/>
      <c r="AI5" s="417"/>
      <c r="AJ5" s="417"/>
      <c r="AK5" s="417"/>
      <c r="AL5" s="417"/>
      <c r="AM5" s="417"/>
      <c r="AN5" s="417"/>
      <c r="AO5" s="417"/>
      <c r="AP5" s="417"/>
      <c r="AQ5" s="417"/>
      <c r="AR5" s="417"/>
      <c r="AS5" s="417"/>
      <c r="AT5" s="417"/>
      <c r="AU5" s="417"/>
      <c r="AV5" s="417"/>
      <c r="AW5" s="417"/>
      <c r="AX5" s="417"/>
      <c r="AY5" s="417"/>
      <c r="AZ5" s="417"/>
      <c r="BA5" s="417"/>
      <c r="BB5" s="417"/>
      <c r="BC5" s="417"/>
      <c r="BD5" s="417"/>
      <c r="BE5" s="417"/>
      <c r="BF5" s="417"/>
      <c r="BG5" s="417"/>
    </row>
    <row r="7" spans="2:104">
      <c r="B7" t="s">
        <v>100</v>
      </c>
      <c r="G7" s="418"/>
      <c r="H7" s="418"/>
      <c r="I7" s="418"/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</row>
    <row r="8" spans="2:104">
      <c r="B8" t="s">
        <v>101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V8" t="s">
        <v>102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2:104" ht="15" thickBot="1">
      <c r="AT9" s="405" t="s">
        <v>226</v>
      </c>
      <c r="AU9" s="405"/>
      <c r="AV9" s="405"/>
      <c r="AW9" s="405"/>
      <c r="AX9" s="405"/>
      <c r="AY9" s="405" t="s">
        <v>227</v>
      </c>
      <c r="AZ9" s="405"/>
      <c r="BA9" s="405"/>
      <c r="BB9" s="405"/>
      <c r="BC9" s="405"/>
    </row>
    <row r="10" spans="2:104">
      <c r="B10" s="419" t="s">
        <v>103</v>
      </c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0"/>
      <c r="V10" s="419" t="e">
        <f>#REF!</f>
        <v>#REF!</v>
      </c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  <c r="AK10" s="420"/>
      <c r="AL10" s="420"/>
      <c r="AM10" s="420"/>
      <c r="AN10" s="421"/>
      <c r="AO10" s="405">
        <f>IFERROR(VLOOKUP(V10,'Datos - analisis garantia'!C17:D20,2,FALSE),0)</f>
        <v>0</v>
      </c>
      <c r="AP10" s="405"/>
      <c r="AQ10" s="405"/>
      <c r="AR10" s="405"/>
      <c r="AS10" s="405"/>
      <c r="AT10" s="405">
        <v>5</v>
      </c>
      <c r="AU10" s="405"/>
      <c r="AV10" s="405"/>
      <c r="AW10" s="405"/>
      <c r="AX10" s="405"/>
      <c r="AY10" s="405">
        <v>35</v>
      </c>
      <c r="AZ10" s="405"/>
      <c r="BA10" s="405"/>
      <c r="BB10" s="405"/>
      <c r="BC10" s="405"/>
    </row>
    <row r="11" spans="2:104">
      <c r="B11" s="422" t="s">
        <v>106</v>
      </c>
      <c r="C11" s="423"/>
      <c r="D11" s="423"/>
      <c r="E11" s="423"/>
      <c r="F11" s="423"/>
      <c r="G11" s="423"/>
      <c r="H11" s="423"/>
      <c r="I11" s="423"/>
      <c r="J11" s="423"/>
      <c r="K11" s="423"/>
      <c r="L11" s="423"/>
      <c r="M11" s="423"/>
      <c r="N11" s="423"/>
      <c r="O11" s="423"/>
      <c r="P11" s="423"/>
      <c r="Q11" s="423"/>
      <c r="R11" s="423"/>
      <c r="S11" s="423"/>
      <c r="T11" s="423"/>
      <c r="U11" s="423"/>
      <c r="V11" s="422" t="e">
        <f>#REF!</f>
        <v>#REF!</v>
      </c>
      <c r="W11" s="423"/>
      <c r="X11" s="423"/>
      <c r="Y11" s="423"/>
      <c r="Z11" s="423"/>
      <c r="AA11" s="423"/>
      <c r="AB11" s="423"/>
      <c r="AC11" s="423"/>
      <c r="AD11" s="423"/>
      <c r="AE11" s="423"/>
      <c r="AF11" s="423"/>
      <c r="AG11" s="423"/>
      <c r="AH11" s="423"/>
      <c r="AI11" s="423"/>
      <c r="AJ11" s="423"/>
      <c r="AK11" s="423"/>
      <c r="AL11" s="423"/>
      <c r="AM11" s="423"/>
      <c r="AN11" s="424"/>
      <c r="AO11" s="405">
        <f>IFERROR(VLOOKUP(V11,'Datos - analisis garantia'!D179:F195,2,FALSE),0)</f>
        <v>0</v>
      </c>
      <c r="AP11" s="405"/>
      <c r="AQ11" s="405"/>
      <c r="AR11" s="405"/>
      <c r="AS11" s="405"/>
      <c r="AT11" s="405">
        <v>5</v>
      </c>
      <c r="AU11" s="405"/>
      <c r="AV11" s="405"/>
      <c r="AW11" s="405"/>
      <c r="AX11" s="405"/>
      <c r="AY11" s="405">
        <v>35</v>
      </c>
      <c r="AZ11" s="405"/>
      <c r="BA11" s="405"/>
      <c r="BB11" s="405"/>
      <c r="BC11" s="405"/>
      <c r="CB11" t="s">
        <v>220</v>
      </c>
      <c r="CN11" s="387">
        <f>SUM(AO10:AS11)</f>
        <v>0</v>
      </c>
      <c r="CO11" s="387"/>
      <c r="CP11" s="387"/>
      <c r="CQ11" s="396">
        <v>0.25</v>
      </c>
      <c r="CR11" s="396"/>
      <c r="CS11" s="396"/>
      <c r="CT11" s="387">
        <f>CN11*CQ11</f>
        <v>0</v>
      </c>
      <c r="CU11" s="387"/>
      <c r="CV11" s="387"/>
    </row>
    <row r="12" spans="2:104">
      <c r="B12" s="422" t="s">
        <v>229</v>
      </c>
      <c r="C12" s="423"/>
      <c r="D12" s="423"/>
      <c r="E12" s="423"/>
      <c r="F12" s="423"/>
      <c r="G12" s="423"/>
      <c r="H12" s="423"/>
      <c r="I12" s="423"/>
      <c r="J12" s="423"/>
      <c r="K12" s="423"/>
      <c r="L12" s="423"/>
      <c r="M12" s="423"/>
      <c r="N12" s="423"/>
      <c r="O12" s="423"/>
      <c r="P12" s="423"/>
      <c r="Q12" s="423"/>
      <c r="R12" s="423"/>
      <c r="S12" s="423"/>
      <c r="T12" s="423"/>
      <c r="U12" s="423"/>
      <c r="V12" s="422" t="e">
        <f>#REF!</f>
        <v>#REF!</v>
      </c>
      <c r="W12" s="423"/>
      <c r="X12" s="423"/>
      <c r="Y12" s="423"/>
      <c r="Z12" s="423"/>
      <c r="AA12" s="423"/>
      <c r="AB12" s="423"/>
      <c r="AC12" s="423"/>
      <c r="AD12" s="423"/>
      <c r="AE12" s="423"/>
      <c r="AF12" s="423"/>
      <c r="AG12" s="423"/>
      <c r="AH12" s="423"/>
      <c r="AI12" s="423"/>
      <c r="AJ12" s="423"/>
      <c r="AK12" s="423"/>
      <c r="AL12" s="423"/>
      <c r="AM12" s="423"/>
      <c r="AN12" s="424"/>
      <c r="AO12" s="405">
        <f>IFERROR(VLOOKUP(V12,'Datos - analisis garantia'!N18:O19,2,FALSE),0)</f>
        <v>0</v>
      </c>
      <c r="AP12" s="405"/>
      <c r="AQ12" s="405"/>
      <c r="AR12" s="405"/>
      <c r="AS12" s="405"/>
      <c r="AT12" s="405">
        <v>5</v>
      </c>
      <c r="AU12" s="405"/>
      <c r="AV12" s="405"/>
      <c r="AW12" s="405"/>
      <c r="AX12" s="405"/>
      <c r="AY12" s="405">
        <v>15</v>
      </c>
      <c r="AZ12" s="405"/>
      <c r="BA12" s="405"/>
      <c r="BB12" s="405"/>
      <c r="BC12" s="405"/>
      <c r="CN12" s="2"/>
      <c r="CO12" s="2"/>
      <c r="CP12" s="2"/>
      <c r="CQ12" s="24"/>
      <c r="CR12" s="24"/>
      <c r="CS12" s="24"/>
      <c r="CT12" s="2"/>
      <c r="CU12" s="2"/>
      <c r="CV12" s="2"/>
    </row>
    <row r="13" spans="2:104" ht="15" thickBot="1">
      <c r="B13" s="425" t="s">
        <v>98</v>
      </c>
      <c r="C13" s="426"/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25" t="e">
        <f>#REF!</f>
        <v>#REF!</v>
      </c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7"/>
      <c r="AO13" s="406">
        <f>IFERROR(VLOOKUP(V13,'Datos - analisis garantia'!C27:D29,2,FALSE),0)</f>
        <v>0</v>
      </c>
      <c r="AP13" s="406"/>
      <c r="AQ13" s="406"/>
      <c r="AR13" s="406"/>
      <c r="AS13" s="406"/>
      <c r="AT13" s="406">
        <v>1</v>
      </c>
      <c r="AU13" s="406"/>
      <c r="AV13" s="406"/>
      <c r="AW13" s="406"/>
      <c r="AX13" s="406"/>
      <c r="AY13" s="406">
        <v>5</v>
      </c>
      <c r="AZ13" s="406"/>
      <c r="BA13" s="406"/>
      <c r="BB13" s="406"/>
      <c r="BC13" s="406"/>
      <c r="CB13" t="s">
        <v>221</v>
      </c>
      <c r="CN13" s="387" t="e">
        <f>SUM(AO13:AS23)</f>
        <v>#REF!</v>
      </c>
      <c r="CO13" s="387"/>
      <c r="CP13" s="387"/>
      <c r="CQ13" s="396">
        <v>0.15</v>
      </c>
      <c r="CR13" s="396"/>
      <c r="CS13" s="396"/>
      <c r="CT13" s="387" t="e">
        <f>CN13*CQ13</f>
        <v>#REF!</v>
      </c>
      <c r="CU13" s="387"/>
      <c r="CV13" s="387"/>
    </row>
    <row r="14" spans="2:104">
      <c r="B14" s="388" t="s">
        <v>111</v>
      </c>
      <c r="C14" s="389"/>
      <c r="D14" s="389"/>
      <c r="E14" s="389"/>
      <c r="F14" s="389"/>
      <c r="G14" s="389"/>
      <c r="H14" s="389"/>
      <c r="I14" s="389"/>
      <c r="J14" s="389"/>
      <c r="K14" s="389"/>
      <c r="L14" s="389"/>
      <c r="M14" s="389"/>
      <c r="N14" s="389"/>
      <c r="O14" s="389"/>
      <c r="P14" s="389"/>
      <c r="Q14" s="389"/>
      <c r="R14" s="389"/>
      <c r="S14" s="389"/>
      <c r="T14" s="389"/>
      <c r="U14" s="389"/>
      <c r="V14" s="388" t="e">
        <f>#REF!</f>
        <v>#REF!</v>
      </c>
      <c r="W14" s="389"/>
      <c r="X14" s="389"/>
      <c r="Y14" s="389"/>
      <c r="Z14" s="389"/>
      <c r="AA14" s="389"/>
      <c r="AB14" s="389"/>
      <c r="AC14" s="389"/>
      <c r="AD14" s="389"/>
      <c r="AE14" s="389"/>
      <c r="AF14" s="389"/>
      <c r="AG14" s="389"/>
      <c r="AH14" s="389"/>
      <c r="AI14" s="389"/>
      <c r="AJ14" s="389"/>
      <c r="AK14" s="389"/>
      <c r="AL14" s="389"/>
      <c r="AM14" s="389"/>
      <c r="AN14" s="390"/>
      <c r="AO14" s="401">
        <f>IFERROR(VLOOKUP(V14,'Datos - analisis garantia'!E27:F28,2,FALSE),0)</f>
        <v>0</v>
      </c>
      <c r="AP14" s="401"/>
      <c r="AQ14" s="401"/>
      <c r="AR14" s="401"/>
      <c r="AS14" s="401"/>
      <c r="AT14" s="406">
        <v>1</v>
      </c>
      <c r="AU14" s="406"/>
      <c r="AV14" s="406"/>
      <c r="AW14" s="406"/>
      <c r="AX14" s="406"/>
      <c r="AY14" s="406">
        <v>5</v>
      </c>
      <c r="AZ14" s="406"/>
      <c r="BA14" s="406"/>
      <c r="BB14" s="406"/>
      <c r="BC14" s="406"/>
      <c r="BF14" s="379" t="e">
        <f>IF(BR22="Hipotecario",IF(CA22=0,"",IF(CA22&lt;=100,"A",IF(CA22&lt;=160,"B",IF(CA22&lt;=240,"C",IF(CA22&lt;=340,"D",""))))),IF(CA22=0,"",IF(CA22&lt;=100,"A",IF(CA22&lt;=160,"B",IF(CA22&lt;=240,"C",IF(CA22&lt;=340,"D",""))))))</f>
        <v>#REF!</v>
      </c>
      <c r="BG14" s="428"/>
      <c r="BH14" s="428"/>
      <c r="BI14" s="428"/>
      <c r="BJ14" s="428"/>
      <c r="BK14" s="428"/>
      <c r="BL14" s="428"/>
      <c r="BM14" s="428"/>
      <c r="BN14" s="380"/>
      <c r="CB14" t="s">
        <v>222</v>
      </c>
      <c r="CN14" s="387">
        <f>SUM(AO24:AS30)</f>
        <v>0</v>
      </c>
      <c r="CO14" s="387"/>
      <c r="CP14" s="387"/>
      <c r="CQ14" s="396">
        <v>0.25</v>
      </c>
      <c r="CR14" s="396"/>
      <c r="CS14" s="396"/>
      <c r="CT14" s="387">
        <f>CN14*CQ14</f>
        <v>0</v>
      </c>
      <c r="CU14" s="387"/>
      <c r="CV14" s="387"/>
    </row>
    <row r="15" spans="2:104">
      <c r="B15" s="388" t="s">
        <v>228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23"/>
      <c r="V15" s="388" t="e">
        <f>#REF!</f>
        <v>#REF!</v>
      </c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  <c r="AM15" s="389"/>
      <c r="AN15" s="390"/>
      <c r="AO15" s="401">
        <f>IFERROR(VLOOKUP(V15,'Datos - analisis garantia'!AE27:AF28,2,FALSE),0)</f>
        <v>0</v>
      </c>
      <c r="AP15" s="401"/>
      <c r="AQ15" s="401"/>
      <c r="AR15" s="401"/>
      <c r="AS15" s="401"/>
      <c r="AT15" s="406">
        <v>1</v>
      </c>
      <c r="AU15" s="406"/>
      <c r="AV15" s="406"/>
      <c r="AW15" s="406"/>
      <c r="AX15" s="406"/>
      <c r="AY15" s="406">
        <v>5</v>
      </c>
      <c r="AZ15" s="406"/>
      <c r="BA15" s="406"/>
      <c r="BB15" s="406"/>
      <c r="BC15" s="406"/>
      <c r="BF15" s="381"/>
      <c r="BG15" s="429"/>
      <c r="BH15" s="429"/>
      <c r="BI15" s="429"/>
      <c r="BJ15" s="429"/>
      <c r="BK15" s="429"/>
      <c r="BL15" s="429"/>
      <c r="BM15" s="429"/>
      <c r="BN15" s="382"/>
      <c r="CB15" t="s">
        <v>194</v>
      </c>
      <c r="CN15" s="387">
        <f>SUM(AO32:AS34)</f>
        <v>0</v>
      </c>
      <c r="CO15" s="387"/>
      <c r="CP15" s="387"/>
      <c r="CQ15" s="396">
        <v>0.35</v>
      </c>
      <c r="CR15" s="396"/>
      <c r="CS15" s="396"/>
      <c r="CT15" s="387">
        <f>CN15*CQ15</f>
        <v>0</v>
      </c>
      <c r="CU15" s="387"/>
      <c r="CV15" s="387"/>
      <c r="CX15" s="387" t="e">
        <f>CT15+CT14+CT13+CT11</f>
        <v>#REF!</v>
      </c>
      <c r="CY15" s="387"/>
      <c r="CZ15" s="387"/>
    </row>
    <row r="16" spans="2:104">
      <c r="B16" s="388" t="s">
        <v>112</v>
      </c>
      <c r="C16" s="389"/>
      <c r="D16" s="389"/>
      <c r="E16" s="389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23"/>
      <c r="V16" s="388" t="e">
        <f>#REF!</f>
        <v>#REF!</v>
      </c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9"/>
      <c r="AM16" s="389"/>
      <c r="AN16" s="390"/>
      <c r="AO16" s="401" t="e">
        <f>VLOOKUP(V16,'Datos - analisis garantia'!H27:I32,2,FALSE)</f>
        <v>#REF!</v>
      </c>
      <c r="AP16" s="401"/>
      <c r="AQ16" s="401"/>
      <c r="AR16" s="401"/>
      <c r="AS16" s="401"/>
      <c r="AT16" s="406">
        <v>0</v>
      </c>
      <c r="AU16" s="406"/>
      <c r="AV16" s="406"/>
      <c r="AW16" s="406"/>
      <c r="AX16" s="406"/>
      <c r="AY16" s="406">
        <v>5</v>
      </c>
      <c r="AZ16" s="406"/>
      <c r="BA16" s="406"/>
      <c r="BB16" s="406"/>
      <c r="BC16" s="406"/>
      <c r="BF16" s="383" t="str">
        <f>IF(BF15="","","Tasa a Ofrecer")</f>
        <v/>
      </c>
      <c r="BG16" s="387"/>
      <c r="BH16" s="387"/>
      <c r="BI16" s="387"/>
      <c r="BJ16" s="387"/>
      <c r="BK16" s="387"/>
      <c r="BL16" s="387"/>
      <c r="BM16" s="387"/>
      <c r="BN16" s="384"/>
      <c r="CB16" t="s">
        <v>195</v>
      </c>
      <c r="CN16" s="387">
        <f>SUM(AO36:AS40)</f>
        <v>0</v>
      </c>
      <c r="CO16" s="387"/>
      <c r="CP16" s="387"/>
      <c r="CQ16" s="396">
        <v>0.35</v>
      </c>
      <c r="CR16" s="396"/>
      <c r="CS16" s="396"/>
      <c r="CT16" s="387">
        <f>CN16*CQ16</f>
        <v>0</v>
      </c>
      <c r="CU16" s="387"/>
      <c r="CV16" s="387"/>
      <c r="CX16" s="387" t="e">
        <f>CT16+CT14+CT13+CT11</f>
        <v>#REF!</v>
      </c>
      <c r="CY16" s="387"/>
      <c r="CZ16" s="387"/>
    </row>
    <row r="17" spans="2:102">
      <c r="B17" s="388" t="s">
        <v>113</v>
      </c>
      <c r="C17" s="389"/>
      <c r="D17" s="389"/>
      <c r="E17" s="389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23"/>
      <c r="V17" s="388" t="e">
        <f>#REF!</f>
        <v>#REF!</v>
      </c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  <c r="AM17" s="389"/>
      <c r="AN17" s="390"/>
      <c r="AO17" s="401">
        <f>IFERROR(VLOOKUP(V17,'Datos - analisis garantia'!K27:L30,2,FALSE),0)</f>
        <v>0</v>
      </c>
      <c r="AP17" s="401"/>
      <c r="AQ17" s="401"/>
      <c r="AR17" s="401"/>
      <c r="AS17" s="401"/>
      <c r="AT17" s="406">
        <v>1</v>
      </c>
      <c r="AU17" s="406"/>
      <c r="AV17" s="406"/>
      <c r="AW17" s="406"/>
      <c r="AX17" s="406"/>
      <c r="AY17" s="406">
        <v>5</v>
      </c>
      <c r="AZ17" s="406"/>
      <c r="BA17" s="406"/>
      <c r="BB17" s="406"/>
      <c r="BC17" s="406"/>
      <c r="BF17" s="383" t="e">
        <f>IF(BF14="","","Tasa a Ofrecer")</f>
        <v>#REF!</v>
      </c>
      <c r="BG17" s="387"/>
      <c r="BH17" s="387"/>
      <c r="BI17" s="387"/>
      <c r="BJ17" s="387"/>
      <c r="BK17" s="387"/>
      <c r="BL17" s="387"/>
      <c r="BM17" s="387"/>
      <c r="BN17" s="384"/>
      <c r="CN17" s="387" t="e">
        <f>SUM(CN11:CP15)</f>
        <v>#REF!</v>
      </c>
      <c r="CO17" s="387"/>
      <c r="CP17" s="387"/>
      <c r="CT17" s="387"/>
      <c r="CU17" s="387"/>
      <c r="CV17" s="387"/>
    </row>
    <row r="18" spans="2:102" ht="15.75" customHeight="1">
      <c r="B18" s="388" t="s">
        <v>114</v>
      </c>
      <c r="C18" s="389"/>
      <c r="D18" s="389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23"/>
      <c r="V18" s="388" t="e">
        <f>#REF!</f>
        <v>#REF!</v>
      </c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  <c r="AM18" s="389"/>
      <c r="AN18" s="390"/>
      <c r="AO18" s="401">
        <f>IFERROR(VLOOKUP(V18,'Datos - analisis garantia'!N27:O29,2,FALSE),0)</f>
        <v>0</v>
      </c>
      <c r="AP18" s="401"/>
      <c r="AQ18" s="401"/>
      <c r="AR18" s="401"/>
      <c r="AS18" s="401"/>
      <c r="AT18" s="406">
        <v>1</v>
      </c>
      <c r="AU18" s="406"/>
      <c r="AV18" s="406"/>
      <c r="AW18" s="406"/>
      <c r="AX18" s="406"/>
      <c r="AY18" s="406">
        <v>5</v>
      </c>
      <c r="AZ18" s="406"/>
      <c r="BA18" s="406"/>
      <c r="BB18" s="406"/>
      <c r="BC18" s="406"/>
      <c r="BF18" s="375" t="e">
        <f>IF(BR22="Hipotecario",IF(BF14="A","1% - 1.5%",IF(BF14="B","1.6% - 2%",IF(BF14="C","2.1% - 2.5%",IF(BF14="D","3%","")))),IF(BF14="A","2.5% - 3.5%",IF(BF14="B","3.6% - 5.9%",IF(BF14="C","6% - 6.9%",IF(BF14="D","7%","")))))</f>
        <v>#REF!</v>
      </c>
      <c r="BG18" s="430"/>
      <c r="BH18" s="430"/>
      <c r="BI18" s="430"/>
      <c r="BJ18" s="430"/>
      <c r="BK18" s="430"/>
      <c r="BL18" s="430"/>
      <c r="BM18" s="430"/>
      <c r="BN18" s="376"/>
      <c r="CN18" s="396" t="e">
        <f>CN11/CN17</f>
        <v>#REF!</v>
      </c>
      <c r="CO18" s="396"/>
      <c r="CP18" s="396"/>
      <c r="CS18" s="387"/>
      <c r="CT18" s="387"/>
      <c r="CU18" s="387"/>
      <c r="CV18" s="387"/>
      <c r="CW18" s="387"/>
      <c r="CX18" s="387"/>
    </row>
    <row r="19" spans="2:102" ht="14.25" customHeight="1">
      <c r="B19" s="388" t="s">
        <v>78</v>
      </c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23"/>
      <c r="V19" s="388" t="e">
        <f>#REF!</f>
        <v>#REF!</v>
      </c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  <c r="AM19" s="389"/>
      <c r="AN19" s="390"/>
      <c r="AO19" s="401">
        <f>IFERROR(VLOOKUP(V19,'Datos - analisis garantia'!Q27:R32,2,FALSE),0)</f>
        <v>0</v>
      </c>
      <c r="AP19" s="401"/>
      <c r="AQ19" s="401"/>
      <c r="AR19" s="401"/>
      <c r="AS19" s="401"/>
      <c r="AT19" s="406">
        <v>1</v>
      </c>
      <c r="AU19" s="406"/>
      <c r="AV19" s="406"/>
      <c r="AW19" s="406"/>
      <c r="AX19" s="406"/>
      <c r="AY19" s="406">
        <v>5</v>
      </c>
      <c r="AZ19" s="406"/>
      <c r="BA19" s="406"/>
      <c r="BB19" s="406"/>
      <c r="BC19" s="406"/>
      <c r="BF19" s="375"/>
      <c r="BG19" s="430"/>
      <c r="BH19" s="430"/>
      <c r="BI19" s="430"/>
      <c r="BJ19" s="430"/>
      <c r="BK19" s="430"/>
      <c r="BL19" s="430"/>
      <c r="BM19" s="430"/>
      <c r="BN19" s="376"/>
      <c r="CN19" s="396" t="e">
        <f>CN13/CN17</f>
        <v>#REF!</v>
      </c>
      <c r="CO19" s="396"/>
      <c r="CP19" s="396"/>
    </row>
    <row r="20" spans="2:102" ht="15" thickBot="1">
      <c r="B20" s="388" t="s">
        <v>105</v>
      </c>
      <c r="C20" s="389"/>
      <c r="D20" s="389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23"/>
      <c r="V20" s="388" t="e">
        <f>#REF!</f>
        <v>#REF!</v>
      </c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  <c r="AM20" s="389"/>
      <c r="AN20" s="390"/>
      <c r="AO20" s="401">
        <f>IFERROR(VLOOKUP(V20,'Datos - analisis garantia'!T27:U32,2,FALSE),0)</f>
        <v>0</v>
      </c>
      <c r="AP20" s="401"/>
      <c r="AQ20" s="401"/>
      <c r="AR20" s="401"/>
      <c r="AS20" s="401"/>
      <c r="AT20" s="406">
        <v>1</v>
      </c>
      <c r="AU20" s="406"/>
      <c r="AV20" s="406"/>
      <c r="AW20" s="406"/>
      <c r="AX20" s="406"/>
      <c r="AY20" s="406">
        <v>6</v>
      </c>
      <c r="AZ20" s="406"/>
      <c r="BA20" s="406"/>
      <c r="BB20" s="406"/>
      <c r="BC20" s="406"/>
      <c r="BF20" s="7"/>
      <c r="BG20" s="6"/>
      <c r="BH20" s="6"/>
      <c r="BI20" s="6"/>
      <c r="BJ20" s="6"/>
      <c r="BK20" s="6"/>
      <c r="BL20" s="6"/>
      <c r="BM20" s="6"/>
      <c r="BN20" s="8"/>
      <c r="CN20" s="396" t="e">
        <f>CN14/CN17</f>
        <v>#REF!</v>
      </c>
      <c r="CO20" s="396"/>
      <c r="CP20" s="396"/>
    </row>
    <row r="21" spans="2:102">
      <c r="B21" s="388" t="s">
        <v>115</v>
      </c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23"/>
      <c r="V21" s="388" t="e">
        <f>#REF!</f>
        <v>#REF!</v>
      </c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  <c r="AM21" s="389"/>
      <c r="AN21" s="390"/>
      <c r="AO21" s="401">
        <f>IFERROR(VLOOKUP(V21,'Datos - analisis garantia'!W27:X28,2,FALSE),0)</f>
        <v>0</v>
      </c>
      <c r="AP21" s="401"/>
      <c r="AQ21" s="401"/>
      <c r="AR21" s="401"/>
      <c r="AS21" s="401"/>
      <c r="AT21" s="406">
        <v>1</v>
      </c>
      <c r="AU21" s="406"/>
      <c r="AV21" s="406"/>
      <c r="AW21" s="406"/>
      <c r="AX21" s="406"/>
      <c r="AY21" s="406">
        <v>5</v>
      </c>
      <c r="AZ21" s="406"/>
      <c r="BA21" s="406"/>
      <c r="BB21" s="406"/>
      <c r="BC21" s="406"/>
      <c r="CN21" s="396" t="e">
        <f>CN15/CN17</f>
        <v>#REF!</v>
      </c>
      <c r="CO21" s="396"/>
      <c r="CP21" s="396"/>
    </row>
    <row r="22" spans="2:102">
      <c r="B22" s="388" t="s">
        <v>116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23"/>
      <c r="V22" s="388" t="e">
        <f>#REF!</f>
        <v>#REF!</v>
      </c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  <c r="AM22" s="389"/>
      <c r="AN22" s="390"/>
      <c r="AO22" s="401">
        <f>IFERROR(VLOOKUP(V22,'Datos - analisis garantia'!Z27:AA33,2,FALSE),0)</f>
        <v>0</v>
      </c>
      <c r="AP22" s="401"/>
      <c r="AQ22" s="401"/>
      <c r="AR22" s="401"/>
      <c r="AS22" s="401"/>
      <c r="AT22" s="406">
        <v>1</v>
      </c>
      <c r="AU22" s="406"/>
      <c r="AV22" s="406"/>
      <c r="AW22" s="406"/>
      <c r="AX22" s="406"/>
      <c r="AY22" s="406">
        <v>5</v>
      </c>
      <c r="AZ22" s="406"/>
      <c r="BA22" s="406"/>
      <c r="BB22" s="406"/>
      <c r="BC22" s="406"/>
      <c r="BG22" t="s">
        <v>197</v>
      </c>
      <c r="BR22" s="387" t="e">
        <f>#REF!</f>
        <v>#REF!</v>
      </c>
      <c r="BS22" s="387"/>
      <c r="BT22" s="387"/>
      <c r="BU22" s="387"/>
      <c r="BV22" s="387"/>
      <c r="BW22" s="387"/>
      <c r="CA22" s="387" t="e">
        <f>IF(BR22="Hipotecario",BO23+BO24,BO23+BO25)</f>
        <v>#REF!</v>
      </c>
      <c r="CB22" s="387"/>
      <c r="CC22" s="387"/>
      <c r="CD22" s="387"/>
      <c r="CN22" s="25"/>
      <c r="CO22" s="25"/>
      <c r="CP22" s="25"/>
    </row>
    <row r="23" spans="2:102">
      <c r="B23" s="388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23"/>
      <c r="V23" s="388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  <c r="AM23" s="389"/>
      <c r="AN23" s="390"/>
      <c r="AO23" s="401"/>
      <c r="AP23" s="401"/>
      <c r="AQ23" s="401"/>
      <c r="AR23" s="401"/>
      <c r="AS23" s="401"/>
      <c r="AT23" s="406"/>
      <c r="AU23" s="406"/>
      <c r="AV23" s="406"/>
      <c r="AW23" s="406"/>
      <c r="AX23" s="406"/>
      <c r="AY23" s="406"/>
      <c r="AZ23" s="406"/>
      <c r="BA23" s="406"/>
      <c r="BB23" s="406"/>
      <c r="BC23" s="406"/>
      <c r="BG23" t="s">
        <v>196</v>
      </c>
      <c r="BO23" s="387" t="e">
        <f>AO10+AO11+AO13+AO14+AO15+AO16+AO17+AO18+AO19+AO20+AO21+AO22+AO24+AO25+AO26+AO27+AO28+AO29+AO30+AO12+AO31</f>
        <v>#REF!</v>
      </c>
      <c r="BP23" s="387"/>
      <c r="BQ23" s="387"/>
      <c r="BR23" s="387"/>
    </row>
    <row r="24" spans="2:102">
      <c r="B24" s="414" t="s">
        <v>0</v>
      </c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21"/>
      <c r="V24" s="414" t="e">
        <f>#REF!</f>
        <v>#REF!</v>
      </c>
      <c r="W24" s="415"/>
      <c r="X24" s="415"/>
      <c r="Y24" s="415"/>
      <c r="Z24" s="415"/>
      <c r="AA24" s="415"/>
      <c r="AB24" s="415"/>
      <c r="AC24" s="415"/>
      <c r="AD24" s="415"/>
      <c r="AE24" s="415"/>
      <c r="AF24" s="415"/>
      <c r="AG24" s="415"/>
      <c r="AH24" s="415"/>
      <c r="AI24" s="415"/>
      <c r="AJ24" s="415"/>
      <c r="AK24" s="415"/>
      <c r="AL24" s="415"/>
      <c r="AM24" s="415"/>
      <c r="AN24" s="416"/>
      <c r="AO24" s="397">
        <f>IFERROR(VLOOKUP(V24,'Datos - analisis garantia'!C38:D39,2,FALSE),0)</f>
        <v>0</v>
      </c>
      <c r="AP24" s="397"/>
      <c r="AQ24" s="397"/>
      <c r="AR24" s="397"/>
      <c r="AS24" s="397"/>
      <c r="AT24" s="397">
        <v>2</v>
      </c>
      <c r="AU24" s="397"/>
      <c r="AV24" s="397"/>
      <c r="AW24" s="397"/>
      <c r="AX24" s="397"/>
      <c r="AY24" s="397">
        <v>10</v>
      </c>
      <c r="AZ24" s="397"/>
      <c r="BA24" s="397"/>
      <c r="BB24" s="397"/>
      <c r="BC24" s="397"/>
      <c r="BG24" t="s">
        <v>194</v>
      </c>
      <c r="BO24" s="387">
        <f>AO32+AO33+AO34+AO35</f>
        <v>0</v>
      </c>
      <c r="BP24" s="387"/>
      <c r="BQ24" s="387"/>
      <c r="BR24" s="387"/>
    </row>
    <row r="25" spans="2:102">
      <c r="B25" s="414" t="s">
        <v>118</v>
      </c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21"/>
      <c r="V25" s="414" t="e">
        <f>#REF!</f>
        <v>#REF!</v>
      </c>
      <c r="W25" s="415"/>
      <c r="X25" s="415"/>
      <c r="Y25" s="415"/>
      <c r="Z25" s="415"/>
      <c r="AA25" s="415"/>
      <c r="AB25" s="415"/>
      <c r="AC25" s="415"/>
      <c r="AD25" s="415"/>
      <c r="AE25" s="415"/>
      <c r="AF25" s="415"/>
      <c r="AG25" s="415"/>
      <c r="AH25" s="415"/>
      <c r="AI25" s="415"/>
      <c r="AJ25" s="415"/>
      <c r="AK25" s="415"/>
      <c r="AL25" s="415"/>
      <c r="AM25" s="415"/>
      <c r="AN25" s="416"/>
      <c r="AO25" s="397">
        <f>IFERROR(VLOOKUP(V25,'Datos - analisis garantia'!F38:G39,2,FALSE),0)</f>
        <v>0</v>
      </c>
      <c r="AP25" s="397"/>
      <c r="AQ25" s="397"/>
      <c r="AR25" s="397"/>
      <c r="AS25" s="397"/>
      <c r="AT25" s="397">
        <v>2</v>
      </c>
      <c r="AU25" s="397"/>
      <c r="AV25" s="397"/>
      <c r="AW25" s="397"/>
      <c r="AX25" s="397"/>
      <c r="AY25" s="397">
        <v>10</v>
      </c>
      <c r="AZ25" s="397"/>
      <c r="BA25" s="397"/>
      <c r="BB25" s="397"/>
      <c r="BC25" s="397"/>
      <c r="BG25" t="s">
        <v>195</v>
      </c>
      <c r="BO25" s="387">
        <f>AO38+AO39+AO40+AO37+AO36+AO41</f>
        <v>0</v>
      </c>
      <c r="BP25" s="387"/>
      <c r="BQ25" s="387"/>
      <c r="BR25" s="387"/>
    </row>
    <row r="26" spans="2:102">
      <c r="B26" s="414" t="s">
        <v>47</v>
      </c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21"/>
      <c r="V26" s="414" t="e">
        <f>#REF!</f>
        <v>#REF!</v>
      </c>
      <c r="W26" s="415"/>
      <c r="X26" s="415"/>
      <c r="Y26" s="415"/>
      <c r="Z26" s="415"/>
      <c r="AA26" s="415"/>
      <c r="AB26" s="415"/>
      <c r="AC26" s="415"/>
      <c r="AD26" s="415"/>
      <c r="AE26" s="415"/>
      <c r="AF26" s="415"/>
      <c r="AG26" s="415"/>
      <c r="AH26" s="415"/>
      <c r="AI26" s="415"/>
      <c r="AJ26" s="415"/>
      <c r="AK26" s="415"/>
      <c r="AL26" s="415"/>
      <c r="AM26" s="415"/>
      <c r="AN26" s="416"/>
      <c r="AO26" s="397">
        <f>IFERROR(VLOOKUP(V26,'Datos - analisis garantia'!I38:J39,2,FALSE),0)</f>
        <v>0</v>
      </c>
      <c r="AP26" s="397"/>
      <c r="AQ26" s="397"/>
      <c r="AR26" s="397"/>
      <c r="AS26" s="397"/>
      <c r="AT26" s="397">
        <v>2</v>
      </c>
      <c r="AU26" s="397"/>
      <c r="AV26" s="397"/>
      <c r="AW26" s="397"/>
      <c r="AX26" s="397"/>
      <c r="AY26" s="397">
        <v>10</v>
      </c>
      <c r="AZ26" s="397"/>
      <c r="BA26" s="397"/>
      <c r="BB26" s="397"/>
      <c r="BC26" s="397"/>
    </row>
    <row r="27" spans="2:102">
      <c r="B27" s="414" t="s">
        <v>119</v>
      </c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21"/>
      <c r="V27" s="414" t="e">
        <f>#REF!</f>
        <v>#REF!</v>
      </c>
      <c r="W27" s="415"/>
      <c r="X27" s="415"/>
      <c r="Y27" s="415"/>
      <c r="Z27" s="415"/>
      <c r="AA27" s="415"/>
      <c r="AB27" s="415"/>
      <c r="AC27" s="415"/>
      <c r="AD27" s="415"/>
      <c r="AE27" s="415"/>
      <c r="AF27" s="415"/>
      <c r="AG27" s="415"/>
      <c r="AH27" s="415"/>
      <c r="AI27" s="415"/>
      <c r="AJ27" s="415"/>
      <c r="AK27" s="415"/>
      <c r="AL27" s="415"/>
      <c r="AM27" s="415"/>
      <c r="AN27" s="416"/>
      <c r="AO27" s="397">
        <f>IFERROR(VLOOKUP(V27,'Datos - analisis garantia'!L38:M39,2,FALSE),0)</f>
        <v>0</v>
      </c>
      <c r="AP27" s="397"/>
      <c r="AQ27" s="397"/>
      <c r="AR27" s="397"/>
      <c r="AS27" s="397"/>
      <c r="AT27" s="397">
        <v>1</v>
      </c>
      <c r="AU27" s="397"/>
      <c r="AV27" s="397"/>
      <c r="AW27" s="397"/>
      <c r="AX27" s="397"/>
      <c r="AY27" s="397">
        <v>10</v>
      </c>
      <c r="AZ27" s="397"/>
      <c r="BA27" s="397"/>
      <c r="BB27" s="397"/>
      <c r="BC27" s="397"/>
    </row>
    <row r="28" spans="2:102">
      <c r="B28" s="414" t="s">
        <v>15</v>
      </c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21"/>
      <c r="V28" s="414" t="e">
        <f>#REF!</f>
        <v>#REF!</v>
      </c>
      <c r="W28" s="415"/>
      <c r="X28" s="415"/>
      <c r="Y28" s="415"/>
      <c r="Z28" s="415"/>
      <c r="AA28" s="415"/>
      <c r="AB28" s="415"/>
      <c r="AC28" s="415"/>
      <c r="AD28" s="415"/>
      <c r="AE28" s="415"/>
      <c r="AF28" s="415"/>
      <c r="AG28" s="415"/>
      <c r="AH28" s="415"/>
      <c r="AI28" s="415"/>
      <c r="AJ28" s="415"/>
      <c r="AK28" s="415"/>
      <c r="AL28" s="415"/>
      <c r="AM28" s="415"/>
      <c r="AN28" s="416"/>
      <c r="AO28" s="397">
        <f>IFERROR(VLOOKUP(V28,'Datos - analisis garantia'!O38:P45,2,FALSE),0)</f>
        <v>0</v>
      </c>
      <c r="AP28" s="397"/>
      <c r="AQ28" s="397"/>
      <c r="AR28" s="397"/>
      <c r="AS28" s="397"/>
      <c r="AT28" s="397">
        <v>3</v>
      </c>
      <c r="AU28" s="397"/>
      <c r="AV28" s="397"/>
      <c r="AW28" s="397"/>
      <c r="AX28" s="397"/>
      <c r="AY28" s="397">
        <v>20</v>
      </c>
      <c r="AZ28" s="397"/>
      <c r="BA28" s="397"/>
      <c r="BB28" s="397"/>
      <c r="BC28" s="397"/>
      <c r="BH28" t="s">
        <v>194</v>
      </c>
      <c r="BR28" t="s">
        <v>195</v>
      </c>
      <c r="CI28" s="387">
        <f>(0.35*51)/0.15</f>
        <v>118.99999999999999</v>
      </c>
      <c r="CJ28" s="387"/>
      <c r="CK28" s="387"/>
    </row>
    <row r="29" spans="2:102">
      <c r="B29" s="414" t="s">
        <v>120</v>
      </c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21"/>
      <c r="V29" s="414" t="e">
        <f>#REF!</f>
        <v>#REF!</v>
      </c>
      <c r="W29" s="415"/>
      <c r="X29" s="415"/>
      <c r="Y29" s="415"/>
      <c r="Z29" s="415"/>
      <c r="AA29" s="415"/>
      <c r="AB29" s="415"/>
      <c r="AC29" s="415"/>
      <c r="AD29" s="415"/>
      <c r="AE29" s="415"/>
      <c r="AF29" s="415"/>
      <c r="AG29" s="415"/>
      <c r="AH29" s="415"/>
      <c r="AI29" s="415"/>
      <c r="AJ29" s="415"/>
      <c r="AK29" s="415"/>
      <c r="AL29" s="415"/>
      <c r="AM29" s="415"/>
      <c r="AN29" s="416"/>
      <c r="AO29" s="397">
        <f>IFERROR(VLOOKUP(V29,'Datos - analisis garantia'!V38:W39,2,FALSE),0)</f>
        <v>0</v>
      </c>
      <c r="AP29" s="397"/>
      <c r="AQ29" s="397"/>
      <c r="AR29" s="397"/>
      <c r="AS29" s="397"/>
      <c r="AT29" s="397">
        <v>2</v>
      </c>
      <c r="AU29" s="397"/>
      <c r="AV29" s="397"/>
      <c r="AW29" s="397"/>
      <c r="AX29" s="397"/>
      <c r="AY29" s="397">
        <v>10</v>
      </c>
      <c r="AZ29" s="397"/>
      <c r="BA29" s="397"/>
      <c r="BB29" s="397"/>
      <c r="BC29" s="397"/>
      <c r="BH29" t="s">
        <v>198</v>
      </c>
      <c r="BI29" s="387">
        <v>25</v>
      </c>
      <c r="BJ29" s="387"/>
      <c r="BK29" s="387"/>
      <c r="BR29" s="387">
        <v>25</v>
      </c>
      <c r="BS29" s="387"/>
      <c r="BT29" s="387"/>
      <c r="CI29" s="387">
        <f>SUM(AT32:AW35)</f>
        <v>21</v>
      </c>
      <c r="CJ29" s="387"/>
      <c r="CK29" s="387"/>
    </row>
    <row r="30" spans="2:102">
      <c r="B30" s="414" t="s">
        <v>26</v>
      </c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21"/>
      <c r="V30" s="414" t="e">
        <f>#REF!</f>
        <v>#REF!</v>
      </c>
      <c r="W30" s="415"/>
      <c r="X30" s="415"/>
      <c r="Y30" s="415"/>
      <c r="Z30" s="415"/>
      <c r="AA30" s="415"/>
      <c r="AB30" s="415"/>
      <c r="AC30" s="415"/>
      <c r="AD30" s="415"/>
      <c r="AE30" s="415"/>
      <c r="AF30" s="415"/>
      <c r="AG30" s="415"/>
      <c r="AH30" s="415"/>
      <c r="AI30" s="415"/>
      <c r="AJ30" s="415"/>
      <c r="AK30" s="415"/>
      <c r="AL30" s="415"/>
      <c r="AM30" s="415"/>
      <c r="AN30" s="416"/>
      <c r="AO30" s="397">
        <f>IFERROR(VLOOKUP(V30,'Datos - analisis garantia'!Y38:Z39,2,FALSE),0)</f>
        <v>0</v>
      </c>
      <c r="AP30" s="397"/>
      <c r="AQ30" s="397"/>
      <c r="AR30" s="397"/>
      <c r="AS30" s="397"/>
      <c r="AT30" s="397">
        <v>2</v>
      </c>
      <c r="AU30" s="397"/>
      <c r="AV30" s="397"/>
      <c r="AW30" s="397"/>
      <c r="AX30" s="397"/>
      <c r="AY30" s="397">
        <v>10</v>
      </c>
      <c r="AZ30" s="397"/>
      <c r="BA30" s="397"/>
      <c r="BB30" s="397"/>
      <c r="BC30" s="397"/>
      <c r="BH30" t="s">
        <v>199</v>
      </c>
      <c r="BI30" s="387"/>
      <c r="BJ30" s="387"/>
      <c r="BK30" s="387"/>
      <c r="BR30" s="387"/>
      <c r="BS30" s="387"/>
      <c r="BT30" s="387"/>
    </row>
    <row r="31" spans="2:102">
      <c r="B31" s="414" t="s">
        <v>230</v>
      </c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21"/>
      <c r="V31" s="414" t="e">
        <f>#REF!</f>
        <v>#REF!</v>
      </c>
      <c r="W31" s="415"/>
      <c r="X31" s="415"/>
      <c r="Y31" s="415"/>
      <c r="Z31" s="415"/>
      <c r="AA31" s="415"/>
      <c r="AB31" s="415"/>
      <c r="AC31" s="415"/>
      <c r="AD31" s="415"/>
      <c r="AE31" s="415"/>
      <c r="AF31" s="415"/>
      <c r="AG31" s="415"/>
      <c r="AH31" s="415"/>
      <c r="AI31" s="415"/>
      <c r="AJ31" s="415"/>
      <c r="AK31" s="415"/>
      <c r="AL31" s="415"/>
      <c r="AM31" s="415"/>
      <c r="AN31" s="416"/>
      <c r="AO31" s="397">
        <f>IFERROR(VLOOKUP(V31,'Datos - analisis garantia'!AB38:AC39,2,FALSE),0)</f>
        <v>0</v>
      </c>
      <c r="AP31" s="397"/>
      <c r="AQ31" s="397"/>
      <c r="AR31" s="397"/>
      <c r="AS31" s="397"/>
      <c r="AT31" s="397">
        <v>1</v>
      </c>
      <c r="AU31" s="397"/>
      <c r="AV31" s="397"/>
      <c r="AW31" s="397"/>
      <c r="AX31" s="397"/>
      <c r="AY31" s="397">
        <v>5</v>
      </c>
      <c r="AZ31" s="397"/>
      <c r="BA31" s="397"/>
      <c r="BB31" s="397"/>
      <c r="BC31" s="397"/>
      <c r="BH31" t="s">
        <v>200</v>
      </c>
      <c r="BI31" s="387"/>
      <c r="BJ31" s="387"/>
      <c r="BK31" s="387"/>
      <c r="BR31" s="387"/>
      <c r="BS31" s="387"/>
      <c r="BT31" s="387"/>
    </row>
    <row r="32" spans="2:102">
      <c r="B32" s="398" t="s">
        <v>223</v>
      </c>
      <c r="C32" s="399"/>
      <c r="D32" s="399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20"/>
      <c r="V32" s="398" t="e">
        <f>#REF!</f>
        <v>#REF!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399"/>
      <c r="AI32" s="399"/>
      <c r="AJ32" s="399"/>
      <c r="AK32" s="399"/>
      <c r="AL32" s="399"/>
      <c r="AM32" s="399"/>
      <c r="AN32" s="400"/>
      <c r="AO32" s="407">
        <f>IFERROR(VLOOKUP(V32,'Datos - analisis garantia'!C61:D68,2,FALSE),0)</f>
        <v>0</v>
      </c>
      <c r="AP32" s="407"/>
      <c r="AQ32" s="407"/>
      <c r="AR32" s="407"/>
      <c r="AS32" s="407"/>
      <c r="AT32" s="407">
        <v>5</v>
      </c>
      <c r="AU32" s="407"/>
      <c r="AV32" s="407"/>
      <c r="AW32" s="407"/>
      <c r="AX32" s="407"/>
      <c r="AY32" s="407">
        <v>40</v>
      </c>
      <c r="AZ32" s="407"/>
      <c r="BA32" s="407"/>
      <c r="BB32" s="407"/>
      <c r="BC32" s="407"/>
      <c r="BH32" t="s">
        <v>201</v>
      </c>
      <c r="BI32" s="387">
        <v>118</v>
      </c>
      <c r="BJ32" s="387"/>
      <c r="BK32" s="387"/>
      <c r="BR32" s="387">
        <v>117</v>
      </c>
      <c r="BS32" s="387"/>
      <c r="BT32" s="387"/>
    </row>
    <row r="33" spans="2:97">
      <c r="B33" s="398" t="s">
        <v>190</v>
      </c>
      <c r="C33" s="399"/>
      <c r="D33" s="399"/>
      <c r="E33" s="399"/>
      <c r="F33" s="399"/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20"/>
      <c r="V33" s="398" t="e">
        <f>#REF!</f>
        <v>#REF!</v>
      </c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400"/>
      <c r="AO33" s="407">
        <f>IFERROR(VLOOKUP(V33,'Datos - analisis garantia'!A179:B195,2,FALSE),0)</f>
        <v>0</v>
      </c>
      <c r="AP33" s="407"/>
      <c r="AQ33" s="407"/>
      <c r="AR33" s="407"/>
      <c r="AS33" s="407"/>
      <c r="AT33" s="407">
        <v>5</v>
      </c>
      <c r="AU33" s="407"/>
      <c r="AV33" s="407"/>
      <c r="AW33" s="407"/>
      <c r="AX33" s="407"/>
      <c r="AY33" s="407">
        <v>40</v>
      </c>
      <c r="AZ33" s="407"/>
      <c r="BA33" s="407"/>
      <c r="BB33" s="407"/>
      <c r="BC33" s="407"/>
    </row>
    <row r="34" spans="2:97">
      <c r="B34" s="398" t="s">
        <v>224</v>
      </c>
      <c r="C34" s="399"/>
      <c r="D34" s="399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20"/>
      <c r="V34" s="398" t="e">
        <f>#REF!</f>
        <v>#REF!</v>
      </c>
      <c r="W34" s="399"/>
      <c r="X34" s="399"/>
      <c r="Y34" s="399"/>
      <c r="Z34" s="399"/>
      <c r="AA34" s="399"/>
      <c r="AB34" s="399"/>
      <c r="AC34" s="399"/>
      <c r="AD34" s="399"/>
      <c r="AE34" s="399"/>
      <c r="AF34" s="399"/>
      <c r="AG34" s="399"/>
      <c r="AH34" s="399"/>
      <c r="AI34" s="399"/>
      <c r="AJ34" s="399"/>
      <c r="AK34" s="399"/>
      <c r="AL34" s="399"/>
      <c r="AM34" s="399"/>
      <c r="AN34" s="400"/>
      <c r="AO34" s="407">
        <f>IFERROR(VLOOKUP(V34,'Datos - analisis garantia'!F61:G62,2,FALSE),0)</f>
        <v>0</v>
      </c>
      <c r="AP34" s="407"/>
      <c r="AQ34" s="407"/>
      <c r="AR34" s="407"/>
      <c r="AS34" s="407"/>
      <c r="AT34" s="407">
        <v>6</v>
      </c>
      <c r="AU34" s="407"/>
      <c r="AV34" s="407"/>
      <c r="AW34" s="407"/>
      <c r="AX34" s="407"/>
      <c r="AY34" s="407">
        <v>30</v>
      </c>
      <c r="AZ34" s="407"/>
      <c r="BA34" s="407"/>
      <c r="BB34" s="407"/>
      <c r="BC34" s="407"/>
      <c r="BI34" s="387"/>
      <c r="BJ34" s="387"/>
      <c r="BK34" s="387"/>
      <c r="BR34" s="387"/>
      <c r="BS34" s="387"/>
      <c r="BT34" s="387"/>
    </row>
    <row r="35" spans="2:97">
      <c r="B35" s="398" t="s">
        <v>231</v>
      </c>
      <c r="C35" s="399"/>
      <c r="D35" s="399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20"/>
      <c r="V35" s="398" t="e">
        <f>#REF!</f>
        <v>#REF!</v>
      </c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400"/>
      <c r="AO35" s="407">
        <f>IFERROR(VLOOKUP(V35,'Datos - analisis garantia'!P61:Q62,2,FALSE),0)</f>
        <v>0</v>
      </c>
      <c r="AP35" s="407"/>
      <c r="AQ35" s="407"/>
      <c r="AR35" s="407"/>
      <c r="AS35" s="407"/>
      <c r="AT35" s="407">
        <v>5</v>
      </c>
      <c r="AU35" s="407"/>
      <c r="AV35" s="407"/>
      <c r="AW35" s="407"/>
      <c r="AX35" s="407"/>
      <c r="AY35" s="407">
        <v>9</v>
      </c>
      <c r="AZ35" s="407"/>
      <c r="BA35" s="407"/>
      <c r="BB35" s="407"/>
      <c r="BC35" s="407"/>
      <c r="BI35" s="2"/>
      <c r="BJ35" s="2"/>
      <c r="BK35" s="2"/>
      <c r="BR35" s="2"/>
      <c r="BS35" s="2"/>
      <c r="BT35" s="2"/>
    </row>
    <row r="36" spans="2:97">
      <c r="B36" s="402" t="s">
        <v>186</v>
      </c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403"/>
      <c r="O36" s="403"/>
      <c r="P36" s="403"/>
      <c r="Q36" s="403"/>
      <c r="R36" s="403"/>
      <c r="S36" s="403"/>
      <c r="T36" s="403"/>
      <c r="U36" s="19"/>
      <c r="V36" s="402" t="e">
        <f>#REF!</f>
        <v>#REF!</v>
      </c>
      <c r="W36" s="403"/>
      <c r="X36" s="403"/>
      <c r="Y36" s="403"/>
      <c r="Z36" s="403"/>
      <c r="AA36" s="403"/>
      <c r="AB36" s="403"/>
      <c r="AC36" s="403"/>
      <c r="AD36" s="403"/>
      <c r="AE36" s="403"/>
      <c r="AF36" s="403"/>
      <c r="AG36" s="403"/>
      <c r="AH36" s="403"/>
      <c r="AI36" s="403"/>
      <c r="AJ36" s="403"/>
      <c r="AK36" s="403"/>
      <c r="AL36" s="403"/>
      <c r="AM36" s="403"/>
      <c r="AN36" s="404"/>
      <c r="AO36" s="394">
        <f>IFERROR(VLOOKUP(V36,'Datos - analisis garantia'!A112:B142,2,FALSE),0)</f>
        <v>0</v>
      </c>
      <c r="AP36" s="394"/>
      <c r="AQ36" s="394"/>
      <c r="AR36" s="394"/>
      <c r="AS36" s="394"/>
      <c r="AT36" s="394">
        <v>5</v>
      </c>
      <c r="AU36" s="394"/>
      <c r="AV36" s="394"/>
      <c r="AW36" s="394"/>
      <c r="AX36" s="394"/>
      <c r="AY36" s="394">
        <v>20</v>
      </c>
      <c r="AZ36" s="394"/>
      <c r="BA36" s="394"/>
      <c r="BB36" s="394"/>
      <c r="BC36" s="394"/>
      <c r="BI36" s="2"/>
      <c r="BJ36" s="2"/>
      <c r="BK36" s="2"/>
      <c r="BR36" s="2"/>
      <c r="BS36" s="2"/>
      <c r="BT36" s="2"/>
    </row>
    <row r="37" spans="2:97">
      <c r="B37" s="402" t="s">
        <v>202</v>
      </c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9"/>
      <c r="V37" s="402" t="e">
        <f>#REF!</f>
        <v>#REF!</v>
      </c>
      <c r="W37" s="403"/>
      <c r="X37" s="403"/>
      <c r="Y37" s="403"/>
      <c r="Z37" s="403"/>
      <c r="AA37" s="403"/>
      <c r="AB37" s="403"/>
      <c r="AC37" s="403"/>
      <c r="AD37" s="403"/>
      <c r="AE37" s="403"/>
      <c r="AF37" s="403"/>
      <c r="AG37" s="403"/>
      <c r="AH37" s="403"/>
      <c r="AI37" s="403"/>
      <c r="AJ37" s="403"/>
      <c r="AK37" s="403"/>
      <c r="AL37" s="403"/>
      <c r="AM37" s="403"/>
      <c r="AN37" s="404"/>
      <c r="AO37" s="394">
        <f>IFERROR(VLOOKUP(V37,'Datos - analisis garantia'!A154:B175,2,FALSE),0)</f>
        <v>0</v>
      </c>
      <c r="AP37" s="394"/>
      <c r="AQ37" s="394"/>
      <c r="AR37" s="394"/>
      <c r="AS37" s="394"/>
      <c r="AT37" s="394">
        <v>3</v>
      </c>
      <c r="AU37" s="394"/>
      <c r="AV37" s="394"/>
      <c r="AW37" s="394"/>
      <c r="AX37" s="394"/>
      <c r="AY37" s="394">
        <v>20</v>
      </c>
      <c r="AZ37" s="394"/>
      <c r="BA37" s="394"/>
      <c r="BB37" s="394"/>
      <c r="BC37" s="394"/>
      <c r="BI37" s="2"/>
      <c r="BJ37" s="2"/>
      <c r="BK37" s="2"/>
      <c r="BR37" s="2"/>
      <c r="BS37" s="2"/>
      <c r="BT37" s="2"/>
    </row>
    <row r="38" spans="2:97">
      <c r="B38" s="402" t="s">
        <v>191</v>
      </c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19"/>
      <c r="V38" s="402" t="e">
        <f>#REF!</f>
        <v>#REF!</v>
      </c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4"/>
      <c r="AO38" s="394">
        <f>IFERROR(VLOOKUP(V38,'Datos - analisis garantia'!F72:G73,2,FALSE),0)</f>
        <v>0</v>
      </c>
      <c r="AP38" s="394"/>
      <c r="AQ38" s="394"/>
      <c r="AR38" s="394"/>
      <c r="AS38" s="394"/>
      <c r="AT38" s="394">
        <v>3</v>
      </c>
      <c r="AU38" s="394"/>
      <c r="AV38" s="394"/>
      <c r="AW38" s="394"/>
      <c r="AX38" s="394"/>
      <c r="AY38" s="394">
        <v>20</v>
      </c>
      <c r="AZ38" s="394"/>
      <c r="BA38" s="394"/>
      <c r="BB38" s="394"/>
      <c r="BC38" s="394"/>
      <c r="BH38" t="s">
        <v>198</v>
      </c>
      <c r="BI38" s="387">
        <v>45</v>
      </c>
      <c r="BJ38" s="387"/>
      <c r="BK38" s="387"/>
      <c r="BR38" s="387">
        <v>43</v>
      </c>
      <c r="BS38" s="387"/>
      <c r="BT38" s="387"/>
    </row>
    <row r="39" spans="2:97">
      <c r="B39" s="402" t="s">
        <v>225</v>
      </c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03"/>
      <c r="P39" s="403"/>
      <c r="Q39" s="403"/>
      <c r="R39" s="403"/>
      <c r="S39" s="403"/>
      <c r="T39" s="403"/>
      <c r="U39" s="19"/>
      <c r="V39" s="402" t="e">
        <f>#REF!</f>
        <v>#REF!</v>
      </c>
      <c r="W39" s="403"/>
      <c r="X39" s="403"/>
      <c r="Y39" s="403"/>
      <c r="Z39" s="403"/>
      <c r="AA39" s="403"/>
      <c r="AB39" s="403"/>
      <c r="AC39" s="403"/>
      <c r="AD39" s="403"/>
      <c r="AE39" s="403"/>
      <c r="AF39" s="403"/>
      <c r="AG39" s="403"/>
      <c r="AH39" s="403"/>
      <c r="AI39" s="403"/>
      <c r="AJ39" s="403"/>
      <c r="AK39" s="403"/>
      <c r="AL39" s="403"/>
      <c r="AM39" s="403"/>
      <c r="AN39" s="404"/>
      <c r="AO39" s="394">
        <f>IFERROR(VLOOKUP(V39,'Datos - analisis garantia'!I72:J76,2,FALSE),0)</f>
        <v>0</v>
      </c>
      <c r="AP39" s="394"/>
      <c r="AQ39" s="394"/>
      <c r="AR39" s="394"/>
      <c r="AS39" s="394"/>
      <c r="AT39" s="394">
        <v>3</v>
      </c>
      <c r="AU39" s="394"/>
      <c r="AV39" s="394"/>
      <c r="AW39" s="394"/>
      <c r="AX39" s="394"/>
      <c r="AY39" s="394">
        <v>20</v>
      </c>
      <c r="AZ39" s="394"/>
      <c r="BA39" s="394"/>
      <c r="BB39" s="394"/>
      <c r="BC39" s="394"/>
      <c r="BH39" t="s">
        <v>199</v>
      </c>
      <c r="BI39" s="387">
        <v>65</v>
      </c>
      <c r="BJ39" s="387"/>
      <c r="BK39" s="387"/>
      <c r="BR39" s="387">
        <v>63</v>
      </c>
      <c r="BS39" s="387"/>
      <c r="BT39" s="387"/>
    </row>
    <row r="40" spans="2:97">
      <c r="B40" s="402" t="s">
        <v>192</v>
      </c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19"/>
      <c r="V40" s="402" t="e">
        <f>#REF!</f>
        <v>#REF!</v>
      </c>
      <c r="W40" s="403"/>
      <c r="X40" s="403"/>
      <c r="Y40" s="403"/>
      <c r="Z40" s="403"/>
      <c r="AA40" s="403"/>
      <c r="AB40" s="403"/>
      <c r="AC40" s="403"/>
      <c r="AD40" s="403"/>
      <c r="AE40" s="403"/>
      <c r="AF40" s="403"/>
      <c r="AG40" s="403"/>
      <c r="AH40" s="403"/>
      <c r="AI40" s="403"/>
      <c r="AJ40" s="403"/>
      <c r="AK40" s="403"/>
      <c r="AL40" s="403"/>
      <c r="AM40" s="403"/>
      <c r="AN40" s="404"/>
      <c r="AO40" s="394">
        <f>IFERROR(VLOOKUP(V40,'Datos - analisis garantia'!U72:V73,2,FALSE),0)</f>
        <v>0</v>
      </c>
      <c r="AP40" s="394"/>
      <c r="AQ40" s="394"/>
      <c r="AR40" s="394"/>
      <c r="AS40" s="394"/>
      <c r="AT40" s="394">
        <v>3</v>
      </c>
      <c r="AU40" s="394"/>
      <c r="AV40" s="394"/>
      <c r="AW40" s="394"/>
      <c r="AX40" s="394"/>
      <c r="AY40" s="394">
        <v>20</v>
      </c>
      <c r="AZ40" s="394"/>
      <c r="BA40" s="394"/>
      <c r="BB40" s="394"/>
      <c r="BC40" s="394"/>
      <c r="BH40" t="s">
        <v>200</v>
      </c>
      <c r="BI40" s="387">
        <v>85</v>
      </c>
      <c r="BJ40" s="387"/>
      <c r="BK40" s="387"/>
      <c r="BR40" s="387">
        <v>83</v>
      </c>
      <c r="BS40" s="387"/>
      <c r="BT40" s="387"/>
    </row>
    <row r="41" spans="2:97" ht="15" thickBot="1">
      <c r="B41" s="391" t="s">
        <v>232</v>
      </c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26"/>
      <c r="V41" s="391" t="e">
        <f>#REF!</f>
        <v>#REF!</v>
      </c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3"/>
      <c r="AO41" s="394">
        <f>IFERROR(VLOOKUP(V41,'Datos - analisis garantia'!Y72:Z73,2,FALSE),0)</f>
        <v>0</v>
      </c>
      <c r="AP41" s="394"/>
      <c r="AQ41" s="394"/>
      <c r="AR41" s="394"/>
      <c r="AS41" s="394"/>
      <c r="AT41" s="394">
        <v>4</v>
      </c>
      <c r="AU41" s="394"/>
      <c r="AV41" s="394"/>
      <c r="AW41" s="394"/>
      <c r="AX41" s="394"/>
      <c r="AY41" s="394">
        <v>19</v>
      </c>
      <c r="AZ41" s="394"/>
      <c r="BA41" s="394"/>
      <c r="BB41" s="394"/>
      <c r="BC41" s="394"/>
      <c r="BH41" t="s">
        <v>201</v>
      </c>
      <c r="BI41" s="387">
        <v>105</v>
      </c>
      <c r="BJ41" s="387"/>
      <c r="BK41" s="387"/>
      <c r="BR41" s="387">
        <v>103</v>
      </c>
      <c r="BS41" s="387"/>
      <c r="BT41" s="387"/>
    </row>
    <row r="42" spans="2:97"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386"/>
      <c r="P42" s="386"/>
      <c r="Q42" s="386"/>
      <c r="R42" s="386"/>
      <c r="S42" s="386"/>
      <c r="T42" s="386"/>
      <c r="V42" s="386"/>
      <c r="W42" s="386"/>
      <c r="X42" s="386"/>
      <c r="Y42" s="386"/>
      <c r="Z42" s="386"/>
      <c r="AA42" s="386"/>
      <c r="AB42" s="386"/>
      <c r="AC42" s="386"/>
      <c r="AD42" s="386"/>
      <c r="AE42" s="386"/>
      <c r="AF42" s="386"/>
      <c r="AG42" s="386"/>
      <c r="AH42" s="386"/>
      <c r="AI42" s="386"/>
      <c r="AJ42" s="386"/>
      <c r="AK42" s="386"/>
      <c r="AL42" s="386"/>
      <c r="AM42" s="386"/>
      <c r="AN42" s="386"/>
      <c r="AO42" s="395"/>
      <c r="AP42" s="395"/>
      <c r="AQ42" s="395"/>
      <c r="AR42" s="395"/>
      <c r="AS42" s="395"/>
      <c r="AT42" s="387"/>
      <c r="AU42" s="387"/>
      <c r="AV42" s="387"/>
      <c r="AW42" s="387"/>
      <c r="AY42" s="396"/>
      <c r="AZ42" s="396"/>
      <c r="BA42" s="396"/>
      <c r="BB42" s="396"/>
      <c r="BC42" s="396"/>
    </row>
    <row r="43" spans="2:97">
      <c r="B43" s="386"/>
      <c r="C43" s="386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6"/>
      <c r="O43" s="386"/>
      <c r="P43" s="386"/>
      <c r="Q43" s="386"/>
      <c r="R43" s="386"/>
      <c r="S43" s="386"/>
      <c r="T43" s="386"/>
      <c r="V43" s="386"/>
      <c r="W43" s="386"/>
      <c r="X43" s="386"/>
      <c r="Y43" s="386"/>
      <c r="Z43" s="386"/>
      <c r="AA43" s="386"/>
      <c r="AB43" s="386"/>
      <c r="AC43" s="386"/>
      <c r="AD43" s="386"/>
      <c r="AE43" s="386"/>
      <c r="AF43" s="386"/>
      <c r="AG43" s="386"/>
      <c r="AH43" s="386"/>
      <c r="AI43" s="386"/>
      <c r="AJ43" s="386"/>
      <c r="AK43" s="386"/>
      <c r="AL43" s="386"/>
      <c r="AM43" s="386"/>
      <c r="AN43" s="386"/>
      <c r="AO43" s="9"/>
      <c r="AP43" s="9"/>
      <c r="AQ43" s="9"/>
      <c r="AR43" s="9"/>
      <c r="AS43" s="9"/>
    </row>
    <row r="44" spans="2:97"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6"/>
      <c r="O44" s="386"/>
      <c r="P44" s="386"/>
      <c r="Q44" s="386"/>
      <c r="R44" s="386"/>
      <c r="S44" s="386"/>
      <c r="T44" s="386"/>
      <c r="V44" s="386"/>
      <c r="W44" s="386"/>
      <c r="X44" s="386"/>
      <c r="Y44" s="386"/>
      <c r="Z44" s="386"/>
      <c r="AA44" s="386"/>
      <c r="AB44" s="386"/>
      <c r="AC44" s="386"/>
      <c r="AD44" s="386"/>
      <c r="AE44" s="386"/>
      <c r="AF44" s="386"/>
      <c r="AG44" s="386"/>
      <c r="AH44" s="386"/>
      <c r="AI44" s="386"/>
      <c r="AJ44" s="386"/>
      <c r="AK44" s="386"/>
      <c r="AL44" s="386"/>
      <c r="AM44" s="386"/>
      <c r="AN44" s="386"/>
      <c r="AO44" s="9"/>
      <c r="AP44" s="9"/>
      <c r="AQ44" s="9"/>
      <c r="AR44" s="9"/>
      <c r="AS44" s="9"/>
      <c r="CH44" s="387"/>
      <c r="CI44" s="387"/>
      <c r="CJ44" s="387"/>
      <c r="CK44" s="387"/>
      <c r="CL44" s="387"/>
      <c r="CM44" s="387"/>
      <c r="CN44" s="387"/>
      <c r="CO44" s="387"/>
      <c r="CP44" s="387"/>
      <c r="CQ44" s="387"/>
      <c r="CR44" s="387"/>
      <c r="CS44" s="387"/>
    </row>
    <row r="45" spans="2:97">
      <c r="B45" s="386"/>
      <c r="C45" s="386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86"/>
      <c r="O45" s="386"/>
      <c r="P45" s="386"/>
      <c r="Q45" s="386"/>
      <c r="R45" s="386"/>
      <c r="S45" s="386"/>
      <c r="T45" s="386"/>
      <c r="V45" s="386"/>
      <c r="W45" s="386"/>
      <c r="X45" s="386"/>
      <c r="Y45" s="386"/>
      <c r="Z45" s="386"/>
      <c r="AA45" s="386"/>
      <c r="AB45" s="386"/>
      <c r="AC45" s="386"/>
      <c r="AD45" s="386"/>
      <c r="AE45" s="386"/>
      <c r="AF45" s="386"/>
      <c r="AG45" s="386"/>
      <c r="AH45" s="386"/>
      <c r="AI45" s="386"/>
      <c r="AJ45" s="386"/>
      <c r="AK45" s="386"/>
      <c r="AL45" s="386"/>
      <c r="AM45" s="386"/>
      <c r="AN45" s="386"/>
      <c r="AO45" s="9"/>
      <c r="AP45" s="9"/>
      <c r="AQ45" s="9"/>
      <c r="AR45" s="9"/>
      <c r="AS45" s="9"/>
      <c r="CH45" s="387"/>
      <c r="CI45" s="387"/>
      <c r="CJ45" s="387"/>
      <c r="CK45" s="387"/>
      <c r="CL45" s="387"/>
      <c r="CM45" s="387"/>
      <c r="CN45" s="387"/>
      <c r="CO45" s="387"/>
      <c r="CP45" s="387"/>
      <c r="CQ45" s="387"/>
      <c r="CR45" s="387"/>
      <c r="CS45" s="387"/>
    </row>
    <row r="46" spans="2:97">
      <c r="B46" s="386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6"/>
      <c r="V46" s="386"/>
      <c r="W46" s="386"/>
      <c r="X46" s="386"/>
      <c r="Y46" s="386"/>
      <c r="Z46" s="386"/>
      <c r="AA46" s="386"/>
      <c r="AB46" s="386"/>
      <c r="AC46" s="386"/>
      <c r="AD46" s="386"/>
      <c r="AE46" s="386"/>
      <c r="AF46" s="386"/>
      <c r="AG46" s="386"/>
      <c r="AH46" s="386"/>
      <c r="AI46" s="386"/>
      <c r="AJ46" s="386"/>
      <c r="AK46" s="386"/>
      <c r="AL46" s="386"/>
      <c r="AM46" s="386"/>
      <c r="AN46" s="386"/>
      <c r="AO46" s="9"/>
      <c r="AP46" s="9"/>
      <c r="AQ46" s="9"/>
      <c r="AR46" s="9"/>
      <c r="AS46" s="9"/>
      <c r="BH46" t="s">
        <v>198</v>
      </c>
      <c r="BI46" s="387">
        <v>50</v>
      </c>
      <c r="BJ46" s="387"/>
      <c r="BK46" s="387"/>
      <c r="BU46" t="s">
        <v>220</v>
      </c>
      <c r="CH46" s="387">
        <f>SUM(AT10:AX12)</f>
        <v>15</v>
      </c>
      <c r="CI46" s="387"/>
      <c r="CJ46" s="387"/>
      <c r="CK46" s="387">
        <f>SUM(AY10:BC12)</f>
        <v>85</v>
      </c>
      <c r="CL46" s="387"/>
      <c r="CM46" s="387"/>
      <c r="CN46" s="387"/>
      <c r="CO46" s="387"/>
      <c r="CP46" s="387"/>
      <c r="CQ46" s="387"/>
      <c r="CR46" s="387"/>
      <c r="CS46" s="387"/>
    </row>
    <row r="47" spans="2:97"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V47" s="386"/>
      <c r="W47" s="386"/>
      <c r="X47" s="386"/>
      <c r="Y47" s="386"/>
      <c r="Z47" s="386"/>
      <c r="AA47" s="386"/>
      <c r="AB47" s="386"/>
      <c r="AC47" s="386"/>
      <c r="AD47" s="386"/>
      <c r="AE47" s="386"/>
      <c r="AF47" s="386"/>
      <c r="AG47" s="386"/>
      <c r="AH47" s="386"/>
      <c r="AI47" s="386"/>
      <c r="AJ47" s="386"/>
      <c r="AK47" s="386"/>
      <c r="AL47" s="386"/>
      <c r="AM47" s="386"/>
      <c r="AN47" s="386"/>
      <c r="AO47" s="9"/>
      <c r="AP47" s="9"/>
      <c r="AQ47" s="9"/>
      <c r="AR47" s="9"/>
      <c r="AS47" s="9"/>
      <c r="BH47" t="s">
        <v>199</v>
      </c>
      <c r="BI47" s="387">
        <v>75</v>
      </c>
      <c r="BJ47" s="387"/>
      <c r="BK47" s="387"/>
      <c r="BU47" t="s">
        <v>221</v>
      </c>
      <c r="CH47" s="387">
        <f>SUM(AT13:AX23)</f>
        <v>9</v>
      </c>
      <c r="CI47" s="387"/>
      <c r="CJ47" s="387"/>
      <c r="CK47" s="387">
        <f>SUM(AY13:BC23)</f>
        <v>51</v>
      </c>
      <c r="CL47" s="387"/>
      <c r="CM47" s="387"/>
      <c r="CN47" s="387"/>
      <c r="CO47" s="387"/>
      <c r="CP47" s="387"/>
      <c r="CQ47" s="387"/>
      <c r="CR47" s="387"/>
      <c r="CS47" s="387"/>
    </row>
    <row r="48" spans="2:97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9"/>
      <c r="AP48" s="9"/>
      <c r="AQ48" s="9"/>
      <c r="AR48" s="9"/>
      <c r="AS48" s="9"/>
      <c r="BH48" t="s">
        <v>200</v>
      </c>
      <c r="BI48" s="387">
        <v>100</v>
      </c>
      <c r="BJ48" s="387"/>
      <c r="BK48" s="387"/>
      <c r="BU48" t="s">
        <v>222</v>
      </c>
      <c r="CH48" s="387">
        <f>SUM(AT24:AX30)</f>
        <v>14</v>
      </c>
      <c r="CI48" s="387"/>
      <c r="CJ48" s="387"/>
      <c r="CK48" s="387">
        <f>SUM(AY24:BC30)</f>
        <v>80</v>
      </c>
      <c r="CL48" s="387"/>
      <c r="CM48" s="387"/>
      <c r="CN48" s="387"/>
      <c r="CO48" s="387"/>
      <c r="CP48" s="387"/>
      <c r="CQ48" s="387"/>
      <c r="CR48" s="387"/>
      <c r="CS48" s="387"/>
    </row>
    <row r="49" spans="2:97">
      <c r="AO49" s="9"/>
      <c r="AP49" s="9"/>
      <c r="AQ49" s="9"/>
      <c r="AR49" s="9"/>
      <c r="AS49" s="9"/>
      <c r="BH49" t="s">
        <v>201</v>
      </c>
      <c r="BI49" s="387">
        <v>125</v>
      </c>
      <c r="BJ49" s="387"/>
      <c r="BK49" s="387"/>
      <c r="BU49" t="s">
        <v>194</v>
      </c>
      <c r="CH49" s="387">
        <f>SUM(AT32:AX34)</f>
        <v>16</v>
      </c>
      <c r="CI49" s="387"/>
      <c r="CJ49" s="387"/>
      <c r="CK49" s="387">
        <f>SUM(AY32:BC34)</f>
        <v>110</v>
      </c>
      <c r="CL49" s="387"/>
      <c r="CM49" s="387"/>
      <c r="CN49" s="387"/>
      <c r="CO49" s="387"/>
      <c r="CP49" s="387"/>
      <c r="CQ49" s="387"/>
      <c r="CR49" s="387"/>
      <c r="CS49" s="387"/>
    </row>
    <row r="50" spans="2:97" ht="15" thickBot="1">
      <c r="B50" s="409" t="s">
        <v>104</v>
      </c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O50" s="5"/>
      <c r="AP50" s="5"/>
      <c r="AQ50" s="5"/>
      <c r="AR50" s="5"/>
      <c r="AS50" s="5"/>
      <c r="BU50" t="s">
        <v>195</v>
      </c>
      <c r="CH50" s="387">
        <f>SUM(AT36:AX40)</f>
        <v>17</v>
      </c>
      <c r="CI50" s="387"/>
      <c r="CJ50" s="387"/>
      <c r="CK50" s="387">
        <f>SUM(AY36:BC40)</f>
        <v>100</v>
      </c>
      <c r="CL50" s="387"/>
      <c r="CM50" s="387"/>
      <c r="CN50" s="387"/>
      <c r="CO50" s="387"/>
      <c r="CP50" s="387"/>
      <c r="CQ50" s="387"/>
      <c r="CR50" s="387"/>
      <c r="CS50" s="387"/>
    </row>
    <row r="51" spans="2:97">
      <c r="B51" s="410" t="s">
        <v>78</v>
      </c>
      <c r="C51" s="411"/>
      <c r="D51" s="411"/>
      <c r="E51" s="411"/>
      <c r="F51" s="411"/>
      <c r="G51" s="412"/>
      <c r="H51" s="412"/>
      <c r="I51" s="412"/>
      <c r="J51" s="412"/>
      <c r="K51" s="412"/>
      <c r="L51" s="412"/>
      <c r="M51" s="412"/>
      <c r="N51" s="412"/>
      <c r="O51" s="10"/>
      <c r="P51" s="411" t="s">
        <v>105</v>
      </c>
      <c r="Q51" s="411"/>
      <c r="R51" s="411"/>
      <c r="S51" s="411"/>
      <c r="T51" s="411"/>
      <c r="U51" s="412"/>
      <c r="V51" s="412"/>
      <c r="W51" s="412"/>
      <c r="X51" s="412"/>
      <c r="Y51" s="412"/>
      <c r="Z51" s="412"/>
      <c r="AA51" s="412"/>
      <c r="AB51" s="413"/>
      <c r="CH51" s="387">
        <f>SUM(CH46:CJ49)</f>
        <v>54</v>
      </c>
      <c r="CI51" s="387"/>
      <c r="CJ51" s="387"/>
      <c r="CK51" s="387">
        <f>SUM(CK46:CM49)</f>
        <v>326</v>
      </c>
      <c r="CL51" s="387"/>
      <c r="CM51" s="387"/>
    </row>
    <row r="52" spans="2:97">
      <c r="B52" s="11"/>
      <c r="AB52" s="12"/>
      <c r="CH52" s="387">
        <f>CK51/3</f>
        <v>108.66666666666667</v>
      </c>
      <c r="CI52" s="387"/>
      <c r="CJ52" s="387"/>
    </row>
    <row r="53" spans="2:97" ht="15" thickBot="1">
      <c r="B53" s="7"/>
      <c r="C53" s="6"/>
      <c r="D53" s="6"/>
      <c r="E53" s="6"/>
      <c r="F53" s="6"/>
      <c r="G53" s="6"/>
      <c r="H53" s="6"/>
      <c r="I53" s="408" t="str">
        <f>IFERROR((G51-U51)/(G51),"")</f>
        <v/>
      </c>
      <c r="J53" s="408"/>
      <c r="K53" s="408"/>
      <c r="L53" s="408"/>
      <c r="M53" s="6" t="str">
        <f>IF(I53="","","Capacidad de endeudamiento")</f>
        <v/>
      </c>
      <c r="N53" s="13"/>
      <c r="O53" s="13"/>
      <c r="P53" s="13"/>
      <c r="Q53" s="13"/>
      <c r="R53" s="6"/>
      <c r="S53" s="6"/>
      <c r="T53" s="6"/>
      <c r="U53" s="6"/>
      <c r="V53" s="6"/>
      <c r="W53" s="6"/>
      <c r="X53" s="6"/>
      <c r="Y53" s="6"/>
      <c r="Z53" s="6"/>
      <c r="AA53" s="6"/>
      <c r="AB53" s="8"/>
    </row>
  </sheetData>
  <mergeCells count="274">
    <mergeCell ref="CT11:CV11"/>
    <mergeCell ref="CT13:CV13"/>
    <mergeCell ref="CT14:CV14"/>
    <mergeCell ref="CT15:CV15"/>
    <mergeCell ref="CT16:CV16"/>
    <mergeCell ref="CN17:CP17"/>
    <mergeCell ref="CT17:CV17"/>
    <mergeCell ref="CX15:CZ15"/>
    <mergeCell ref="CX16:CZ16"/>
    <mergeCell ref="CN11:CP11"/>
    <mergeCell ref="CN13:CP13"/>
    <mergeCell ref="CN14:CP14"/>
    <mergeCell ref="CN15:CP15"/>
    <mergeCell ref="CN16:CP16"/>
    <mergeCell ref="CQ11:CS11"/>
    <mergeCell ref="CQ13:CS13"/>
    <mergeCell ref="CQ14:CS14"/>
    <mergeCell ref="CQ15:CS15"/>
    <mergeCell ref="BR38:BT38"/>
    <mergeCell ref="BR39:BT39"/>
    <mergeCell ref="BR40:BT40"/>
    <mergeCell ref="BR41:BT41"/>
    <mergeCell ref="CS18:CU18"/>
    <mergeCell ref="CV18:CX18"/>
    <mergeCell ref="CN18:CP18"/>
    <mergeCell ref="CN19:CP19"/>
    <mergeCell ref="CN20:CP20"/>
    <mergeCell ref="CN21:CP21"/>
    <mergeCell ref="BO23:BR23"/>
    <mergeCell ref="BO24:BR24"/>
    <mergeCell ref="BO25:BR25"/>
    <mergeCell ref="CI28:CK28"/>
    <mergeCell ref="CI29:CK29"/>
    <mergeCell ref="CA22:CD22"/>
    <mergeCell ref="B47:T47"/>
    <mergeCell ref="V47:AN47"/>
    <mergeCell ref="AO28:AS28"/>
    <mergeCell ref="AO29:AS29"/>
    <mergeCell ref="AO30:AS30"/>
    <mergeCell ref="AO32:AS32"/>
    <mergeCell ref="AO33:AS33"/>
    <mergeCell ref="B44:T44"/>
    <mergeCell ref="V44:AN44"/>
    <mergeCell ref="B45:T45"/>
    <mergeCell ref="V45:AN45"/>
    <mergeCell ref="B46:T46"/>
    <mergeCell ref="V46:AN46"/>
    <mergeCell ref="B40:T40"/>
    <mergeCell ref="V40:AN40"/>
    <mergeCell ref="B42:T42"/>
    <mergeCell ref="B43:T43"/>
    <mergeCell ref="V43:AN43"/>
    <mergeCell ref="B34:T34"/>
    <mergeCell ref="V34:AN34"/>
    <mergeCell ref="B38:T38"/>
    <mergeCell ref="V38:AN38"/>
    <mergeCell ref="B39:T39"/>
    <mergeCell ref="V39:AN39"/>
    <mergeCell ref="AY21:BC21"/>
    <mergeCell ref="AY22:BC22"/>
    <mergeCell ref="AY23:BC23"/>
    <mergeCell ref="AY24:BC24"/>
    <mergeCell ref="AY33:BC33"/>
    <mergeCell ref="AY34:BC34"/>
    <mergeCell ref="AY30:BC30"/>
    <mergeCell ref="BI29:BK29"/>
    <mergeCell ref="BI30:BK30"/>
    <mergeCell ref="AO34:AS34"/>
    <mergeCell ref="BI32:BK32"/>
    <mergeCell ref="BI31:BK31"/>
    <mergeCell ref="BR32:BT32"/>
    <mergeCell ref="BR29:BT29"/>
    <mergeCell ref="BR30:BT30"/>
    <mergeCell ref="BR31:BT31"/>
    <mergeCell ref="BR22:BW22"/>
    <mergeCell ref="BI34:BK34"/>
    <mergeCell ref="BR34:BT34"/>
    <mergeCell ref="AO22:AS22"/>
    <mergeCell ref="AO23:AS23"/>
    <mergeCell ref="AO24:AS24"/>
    <mergeCell ref="AO25:AS25"/>
    <mergeCell ref="AO26:AS26"/>
    <mergeCell ref="AO27:AS27"/>
    <mergeCell ref="V37:AN37"/>
    <mergeCell ref="B27:T27"/>
    <mergeCell ref="V27:AN27"/>
    <mergeCell ref="B28:T28"/>
    <mergeCell ref="V28:AN28"/>
    <mergeCell ref="B29:T29"/>
    <mergeCell ref="V29:AN29"/>
    <mergeCell ref="B30:T30"/>
    <mergeCell ref="V30:AN30"/>
    <mergeCell ref="B32:T32"/>
    <mergeCell ref="BF17:BN17"/>
    <mergeCell ref="B18:T18"/>
    <mergeCell ref="V18:AN18"/>
    <mergeCell ref="AO18:AS18"/>
    <mergeCell ref="BF18:BN19"/>
    <mergeCell ref="B19:T19"/>
    <mergeCell ref="V19:AN19"/>
    <mergeCell ref="AY19:BC19"/>
    <mergeCell ref="B35:T35"/>
    <mergeCell ref="V35:AN35"/>
    <mergeCell ref="AO35:AS35"/>
    <mergeCell ref="B31:T31"/>
    <mergeCell ref="V31:AN31"/>
    <mergeCell ref="B25:T25"/>
    <mergeCell ref="V25:AN25"/>
    <mergeCell ref="B26:T26"/>
    <mergeCell ref="V26:AN26"/>
    <mergeCell ref="AY25:BC25"/>
    <mergeCell ref="AY26:BC26"/>
    <mergeCell ref="AY27:BC27"/>
    <mergeCell ref="AY28:BC28"/>
    <mergeCell ref="AY29:BC29"/>
    <mergeCell ref="AO19:AS19"/>
    <mergeCell ref="AY20:BC20"/>
    <mergeCell ref="J2:BG5"/>
    <mergeCell ref="G7:AJ7"/>
    <mergeCell ref="B10:U10"/>
    <mergeCell ref="V10:AN10"/>
    <mergeCell ref="B11:U11"/>
    <mergeCell ref="V11:AN11"/>
    <mergeCell ref="B13:U13"/>
    <mergeCell ref="V13:AN13"/>
    <mergeCell ref="B14:U14"/>
    <mergeCell ref="V14:AN14"/>
    <mergeCell ref="AO14:AS14"/>
    <mergeCell ref="BF14:BN15"/>
    <mergeCell ref="B15:T15"/>
    <mergeCell ref="V15:AN15"/>
    <mergeCell ref="AO15:AS15"/>
    <mergeCell ref="AO10:AS10"/>
    <mergeCell ref="AO11:AS11"/>
    <mergeCell ref="AO13:AS13"/>
    <mergeCell ref="AO12:AS12"/>
    <mergeCell ref="AT12:AX12"/>
    <mergeCell ref="AT9:AX9"/>
    <mergeCell ref="AY10:BC10"/>
    <mergeCell ref="B12:U12"/>
    <mergeCell ref="V12:AN12"/>
    <mergeCell ref="BF16:BN16"/>
    <mergeCell ref="AO36:AS36"/>
    <mergeCell ref="AO37:AS37"/>
    <mergeCell ref="I53:L53"/>
    <mergeCell ref="B20:T20"/>
    <mergeCell ref="V20:AN20"/>
    <mergeCell ref="AO20:AS20"/>
    <mergeCell ref="AO21:AS21"/>
    <mergeCell ref="B50:AB50"/>
    <mergeCell ref="B51:F51"/>
    <mergeCell ref="G51:N51"/>
    <mergeCell ref="P51:T51"/>
    <mergeCell ref="U51:AB51"/>
    <mergeCell ref="B21:T21"/>
    <mergeCell ref="V21:AN21"/>
    <mergeCell ref="B22:T22"/>
    <mergeCell ref="V22:AN22"/>
    <mergeCell ref="B23:T23"/>
    <mergeCell ref="V23:AN23"/>
    <mergeCell ref="B24:T24"/>
    <mergeCell ref="V24:AN24"/>
    <mergeCell ref="B17:T17"/>
    <mergeCell ref="V17:AN17"/>
    <mergeCell ref="V42:AN42"/>
    <mergeCell ref="BI47:BK47"/>
    <mergeCell ref="BI48:BK48"/>
    <mergeCell ref="BI49:BK49"/>
    <mergeCell ref="AT32:AX32"/>
    <mergeCell ref="AT33:AX33"/>
    <mergeCell ref="AT34:AX34"/>
    <mergeCell ref="AT36:AX36"/>
    <mergeCell ref="AT37:AX37"/>
    <mergeCell ref="AT38:AX38"/>
    <mergeCell ref="AT39:AX39"/>
    <mergeCell ref="AT40:AX40"/>
    <mergeCell ref="AY32:BC32"/>
    <mergeCell ref="AT35:AX35"/>
    <mergeCell ref="AY35:BC35"/>
    <mergeCell ref="BI40:BK40"/>
    <mergeCell ref="BI41:BK41"/>
    <mergeCell ref="CN45:CP45"/>
    <mergeCell ref="CQ45:CS45"/>
    <mergeCell ref="CH46:CJ46"/>
    <mergeCell ref="CK45:CM45"/>
    <mergeCell ref="CN46:CP46"/>
    <mergeCell ref="CQ46:CS46"/>
    <mergeCell ref="CH47:CJ47"/>
    <mergeCell ref="CK47:CM47"/>
    <mergeCell ref="CN47:CP47"/>
    <mergeCell ref="CQ47:CS47"/>
    <mergeCell ref="CK46:CM46"/>
    <mergeCell ref="CN48:CP48"/>
    <mergeCell ref="CQ48:CS48"/>
    <mergeCell ref="CH49:CJ49"/>
    <mergeCell ref="CK49:CM49"/>
    <mergeCell ref="CN49:CP49"/>
    <mergeCell ref="CQ49:CS49"/>
    <mergeCell ref="CH50:CJ50"/>
    <mergeCell ref="CK50:CM50"/>
    <mergeCell ref="CN50:CP50"/>
    <mergeCell ref="CQ50:CS50"/>
    <mergeCell ref="CN44:CP44"/>
    <mergeCell ref="CQ44:CS44"/>
    <mergeCell ref="AT10:AX10"/>
    <mergeCell ref="AT11:AX11"/>
    <mergeCell ref="AT13:AX13"/>
    <mergeCell ref="AT14:AX14"/>
    <mergeCell ref="AT15:AX15"/>
    <mergeCell ref="AT16:AX16"/>
    <mergeCell ref="AT17:AX17"/>
    <mergeCell ref="AT18:AX18"/>
    <mergeCell ref="AT19:AX19"/>
    <mergeCell ref="AT20:AX20"/>
    <mergeCell ref="AT21:AX21"/>
    <mergeCell ref="AT22:AX22"/>
    <mergeCell ref="AT23:AX23"/>
    <mergeCell ref="AT24:AX24"/>
    <mergeCell ref="AT25:AX25"/>
    <mergeCell ref="AT26:AX26"/>
    <mergeCell ref="AT27:AX27"/>
    <mergeCell ref="AT28:AX28"/>
    <mergeCell ref="AT29:AX29"/>
    <mergeCell ref="AT30:AX30"/>
    <mergeCell ref="CQ16:CS16"/>
    <mergeCell ref="BI38:BK38"/>
    <mergeCell ref="CK51:CM51"/>
    <mergeCell ref="AY36:BC36"/>
    <mergeCell ref="AY37:BC37"/>
    <mergeCell ref="AY38:BC38"/>
    <mergeCell ref="AY39:BC39"/>
    <mergeCell ref="AY40:BC40"/>
    <mergeCell ref="AY9:BC9"/>
    <mergeCell ref="CH51:CJ51"/>
    <mergeCell ref="CH52:CJ52"/>
    <mergeCell ref="AY11:BC11"/>
    <mergeCell ref="AY12:BC12"/>
    <mergeCell ref="AY13:BC13"/>
    <mergeCell ref="AY14:BC14"/>
    <mergeCell ref="AY15:BC15"/>
    <mergeCell ref="AY16:BC16"/>
    <mergeCell ref="AY17:BC17"/>
    <mergeCell ref="AY18:BC18"/>
    <mergeCell ref="CH44:CJ44"/>
    <mergeCell ref="CK44:CM44"/>
    <mergeCell ref="CH48:CJ48"/>
    <mergeCell ref="CK48:CM48"/>
    <mergeCell ref="CH45:CJ45"/>
    <mergeCell ref="BI39:BK39"/>
    <mergeCell ref="BI46:BK46"/>
    <mergeCell ref="B16:T16"/>
    <mergeCell ref="V16:AN16"/>
    <mergeCell ref="B41:T41"/>
    <mergeCell ref="V41:AN41"/>
    <mergeCell ref="AO41:AS41"/>
    <mergeCell ref="AT41:AX41"/>
    <mergeCell ref="AY41:BC41"/>
    <mergeCell ref="AO42:AS42"/>
    <mergeCell ref="AT42:AW42"/>
    <mergeCell ref="AY42:BC42"/>
    <mergeCell ref="AO31:AS31"/>
    <mergeCell ref="AT31:AX31"/>
    <mergeCell ref="AY31:BC31"/>
    <mergeCell ref="V32:AN32"/>
    <mergeCell ref="B33:T33"/>
    <mergeCell ref="V33:AN33"/>
    <mergeCell ref="AO38:AS38"/>
    <mergeCell ref="AO39:AS39"/>
    <mergeCell ref="AO40:AS40"/>
    <mergeCell ref="AO16:AS16"/>
    <mergeCell ref="AO17:AS17"/>
    <mergeCell ref="B36:T36"/>
    <mergeCell ref="B37:T37"/>
    <mergeCell ref="V36:AN36"/>
  </mergeCells>
  <conditionalFormatting sqref="BF20:BN20 BF18 BF14:BN17">
    <cfRule type="expression" dxfId="3" priority="1">
      <formula>$BF$14="D"</formula>
    </cfRule>
    <cfRule type="expression" dxfId="2" priority="2">
      <formula>$BF$14="C"</formula>
    </cfRule>
    <cfRule type="expression" dxfId="1" priority="3">
      <formula>$BF$14="B"</formula>
    </cfRule>
    <cfRule type="expression" dxfId="0" priority="4">
      <formula>$BF$14="A"</formula>
    </cfRule>
  </conditionalFormatting>
  <pageMargins left="0.7" right="0.7" top="0.75" bottom="0.75" header="0.3" footer="0.3"/>
  <pageSetup orientation="portrait" verticalDpi="0" r:id="rId1"/>
  <cellWatches>
    <cellWatch r="BF14"/>
    <cellWatch r="BF18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Hoja1</vt:lpstr>
      <vt:lpstr>Detalle vehiculo</vt:lpstr>
      <vt:lpstr>Detalle cliente vehiculo</vt:lpstr>
      <vt:lpstr>Detalle hipotecario</vt:lpstr>
      <vt:lpstr>Detalle cliente hipotecario</vt:lpstr>
      <vt:lpstr>Cálculo RGPI</vt:lpstr>
      <vt:lpstr>Emision de Cheques</vt:lpstr>
      <vt:lpstr>Cotizador cliente</vt:lpstr>
      <vt:lpstr>Hoja3</vt:lpstr>
      <vt:lpstr>Cotizador interno</vt:lpstr>
      <vt:lpstr>Costo de seguro</vt:lpstr>
      <vt:lpstr>Detalle Cuota especial</vt:lpstr>
      <vt:lpstr>Analisis de pago</vt:lpstr>
      <vt:lpstr>Datos - analisis de pago</vt:lpstr>
      <vt:lpstr>Datos - analisis garantia</vt:lpstr>
      <vt:lpstr>Analisis garantia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2023-12-30T17:39:56Z</cp:lastPrinted>
  <dcterms:created xsi:type="dcterms:W3CDTF">2019-06-07T18:53:26Z</dcterms:created>
  <dcterms:modified xsi:type="dcterms:W3CDTF">2025-11-21T15:14:14Z</dcterms:modified>
</cp:coreProperties>
</file>