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cturación" sheetId="1" r:id="rId4"/>
    <sheet state="visible" name="Costos 3" sheetId="2" r:id="rId5"/>
    <sheet state="visible" name="Ventas" sheetId="3" r:id="rId6"/>
    <sheet state="visible" name="Demandas" sheetId="4" r:id="rId7"/>
    <sheet state="visible" name="Costos" sheetId="5" r:id="rId8"/>
    <sheet state="visible" name="Capital" sheetId="6" r:id="rId9"/>
    <sheet state="visible" name="Costos 2" sheetId="7" r:id="rId10"/>
  </sheets>
  <definedNames>
    <definedName hidden="1" localSheetId="5" name="_xlnm._FilterDatabase">Capital!$A$1:$G$13</definedName>
  </definedNames>
  <calcPr/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54">
      <text>
        <t xml:space="preserve">avaluos que no pago el seguro Q3,360.00.     Q915.00 almuerzo despedida Brenda.
	-Floridalma de Garavito</t>
      </text>
    </comment>
    <comment authorId="0" ref="E152">
      <text>
        <t xml:space="preserve">para demandas que tenían atrasadas
	-Floridalma de Garavito</t>
      </text>
    </comment>
    <comment authorId="0" ref="E115">
      <text>
        <t xml:space="preserve">Paula y Giovani
	-Floridalma de Garavito</t>
      </text>
    </comment>
    <comment authorId="0" ref="E129">
      <text>
        <t xml:space="preserve">Q5592.00 oficina cobros
	-Floridalma de Garavito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92">
      <text>
        <t xml:space="preserve">inversionistas externos 5,399.32 ya descontado en el valor que refleja el cuadro
	-Floridalma de Garavito</t>
      </text>
    </comment>
  </commentList>
</comments>
</file>

<file path=xl/sharedStrings.xml><?xml version="1.0" encoding="utf-8"?>
<sst xmlns="http://schemas.openxmlformats.org/spreadsheetml/2006/main" count="1462" uniqueCount="204">
  <si>
    <t>Fecha</t>
  </si>
  <si>
    <t>Cap. Autocompras</t>
  </si>
  <si>
    <t>Cap. Sobre vehículo</t>
  </si>
  <si>
    <t>Nuevo Cap. Autocompras</t>
  </si>
  <si>
    <t>Cap. Hipotecario</t>
  </si>
  <si>
    <t>Cap. Extra financiamiento</t>
  </si>
  <si>
    <t>Cap. Reestructura</t>
  </si>
  <si>
    <t>Capital total</t>
  </si>
  <si>
    <t>Int. Autocompras</t>
  </si>
  <si>
    <t>Int. Sobre vehículo</t>
  </si>
  <si>
    <t>Nuevo Int. Autocompras</t>
  </si>
  <si>
    <t>Int. Hipotecario</t>
  </si>
  <si>
    <t>Int. Extra financiamiento</t>
  </si>
  <si>
    <t>Int. Reestructura</t>
  </si>
  <si>
    <t>Interes Cube</t>
  </si>
  <si>
    <t>Mem. Autocompras</t>
  </si>
  <si>
    <t>Mem. Sobre vehículo</t>
  </si>
  <si>
    <t>Nuevo Mem. Autocompras</t>
  </si>
  <si>
    <t>Mem. Hipotecario</t>
  </si>
  <si>
    <t>Mem. Extra financiamiento</t>
  </si>
  <si>
    <t>Mem. Reestructura</t>
  </si>
  <si>
    <t>Membresia</t>
  </si>
  <si>
    <t>OI. Autocompras</t>
  </si>
  <si>
    <t>OI. Sobre vehículo</t>
  </si>
  <si>
    <t>Nuevo OI. Autocompras</t>
  </si>
  <si>
    <t>OI. Hipotecario</t>
  </si>
  <si>
    <t>OI. Extra financiamiento</t>
  </si>
  <si>
    <t>OI. Reestructura</t>
  </si>
  <si>
    <t>Otros ingresos</t>
  </si>
  <si>
    <t>Otros ventas</t>
  </si>
  <si>
    <t>Otros cobros</t>
  </si>
  <si>
    <t>Mora Autocompras</t>
  </si>
  <si>
    <t>Mora Sobre vehículo</t>
  </si>
  <si>
    <t>Nuevo Mora Autocompras</t>
  </si>
  <si>
    <t>Mora Hipotecario</t>
  </si>
  <si>
    <t>Mora Extra financiamiento</t>
  </si>
  <si>
    <t>Mora Reestructura</t>
  </si>
  <si>
    <t>Mora Cube</t>
  </si>
  <si>
    <t>Roy. Autocompras</t>
  </si>
  <si>
    <t>Roy. Sobre vehículo</t>
  </si>
  <si>
    <t>Nuevo Roy. Autocompras</t>
  </si>
  <si>
    <t>Roy. Hipotecario</t>
  </si>
  <si>
    <t>Roy. Extra financiamiento</t>
  </si>
  <si>
    <t>Roy. Reestructura</t>
  </si>
  <si>
    <t>Royalty</t>
  </si>
  <si>
    <t>Facturacion</t>
  </si>
  <si>
    <t>Facturacion acumulado</t>
  </si>
  <si>
    <t>SERVICIOS SEGURO Y GPS</t>
  </si>
  <si>
    <t>ACUMULADO SERVICIOS SEGURO Y GPS</t>
  </si>
  <si>
    <t>FACTURACION + SERVICIOS</t>
  </si>
  <si>
    <t>ACUMULADO TOTAL</t>
  </si>
  <si>
    <t>Facturacion inversionistas</t>
  </si>
  <si>
    <t>Acumulado inversionistas</t>
  </si>
  <si>
    <t>Tendencia fin de mes</t>
  </si>
  <si>
    <t>Tendencia semanal</t>
  </si>
  <si>
    <t>RESERVA</t>
  </si>
  <si>
    <t>RESERVA ACUMULADA</t>
  </si>
  <si>
    <t>Semana</t>
  </si>
  <si>
    <t>Meta facturacion mensual</t>
  </si>
  <si>
    <t>Meta facturacion semanal</t>
  </si>
  <si>
    <t>Meta facturacion diaria</t>
  </si>
  <si>
    <t>% meta mensual</t>
  </si>
  <si>
    <t>Meta diaria</t>
  </si>
  <si>
    <t>Deuda Mensual</t>
  </si>
  <si>
    <t>Deuda Semanal</t>
  </si>
  <si>
    <t>Deuda Diaria</t>
  </si>
  <si>
    <t>Acumulado deuda diaria</t>
  </si>
  <si>
    <t xml:space="preserve"> </t>
  </si>
  <si>
    <t>Interes CUBE</t>
  </si>
  <si>
    <t>Mora CUBE</t>
  </si>
  <si>
    <t>Royalti</t>
  </si>
  <si>
    <t>Año</t>
  </si>
  <si>
    <t>Mes</t>
  </si>
  <si>
    <t>Orden</t>
  </si>
  <si>
    <t>9063,07</t>
  </si>
  <si>
    <t>AÑO</t>
  </si>
  <si>
    <t>MES</t>
  </si>
  <si>
    <t>RUBRO</t>
  </si>
  <si>
    <t>SUBRUBRO</t>
  </si>
  <si>
    <t>TOTAL</t>
  </si>
  <si>
    <t>META</t>
  </si>
  <si>
    <t>DISPONIBLE</t>
  </si>
  <si>
    <t>Mayo</t>
  </si>
  <si>
    <t>GASTOS DE OPERACION</t>
  </si>
  <si>
    <t>SUELDOS</t>
  </si>
  <si>
    <t>BONIFICACION DTO. 78/89</t>
  </si>
  <si>
    <t>COMISIONES</t>
  </si>
  <si>
    <t>PRESTACIONES LABORALES</t>
  </si>
  <si>
    <t>BONO 14</t>
  </si>
  <si>
    <t>AGUINALDO</t>
  </si>
  <si>
    <t>INDEMNIZACION</t>
  </si>
  <si>
    <t>VACACIONES</t>
  </si>
  <si>
    <t>CUOTA IGSS PATRONAL</t>
  </si>
  <si>
    <t>CUOTA IRTRA E INTEAP</t>
  </si>
  <si>
    <t xml:space="preserve">HORAS SABADOS </t>
  </si>
  <si>
    <t>SERVICIOS PUBLICOS</t>
  </si>
  <si>
    <t>ENERGIA ELECTRICA</t>
  </si>
  <si>
    <t>SERVICIO TELEFONOS FIJOS</t>
  </si>
  <si>
    <t>SERVICIO TELEFONOS CELULARES</t>
  </si>
  <si>
    <t>SERVICIO INTERNET</t>
  </si>
  <si>
    <t>SERVICIO DE AGUA</t>
  </si>
  <si>
    <t>MANTENIMIENTO</t>
  </si>
  <si>
    <t>REPACIONES Y MANTENIMIENTO VEHICULOS</t>
  </si>
  <si>
    <t>MANTENIMIENTO INSTALACIONES</t>
  </si>
  <si>
    <t>MANTENIMIENTO EQUIPO Y MOBILIARIO</t>
  </si>
  <si>
    <t>MANTENIMIENTO EQUIPO COMPUTO</t>
  </si>
  <si>
    <t>ALQUILERES</t>
  </si>
  <si>
    <t>ALQUILER INSTALACIONES</t>
  </si>
  <si>
    <t>RENTA MAQUINARIA Y EQUIPO OFICINA</t>
  </si>
  <si>
    <t>GASTOS DE PERSONAL</t>
  </si>
  <si>
    <t>UNIFORMES</t>
  </si>
  <si>
    <t>TRANSPORTE</t>
  </si>
  <si>
    <t>COMBUSTIBLE</t>
  </si>
  <si>
    <t>SEGUROS</t>
  </si>
  <si>
    <t>DEPRECIACIONES</t>
  </si>
  <si>
    <t>SERVICIOS PROFESIONALES</t>
  </si>
  <si>
    <t>HONORARIOS PROFESIONALES</t>
  </si>
  <si>
    <t>SERVICIOS LEGALES</t>
  </si>
  <si>
    <t>SERVICIOS DE AUDITORIA</t>
  </si>
  <si>
    <t>OTROS GASTOS</t>
  </si>
  <si>
    <t>CUOTAS Y SUSCRIPCIONES</t>
  </si>
  <si>
    <t>PUBLICIDAD Y PROPAGANDA</t>
  </si>
  <si>
    <t>GASTOS DE REPRESENTACION</t>
  </si>
  <si>
    <t>ATENCIONES A CLIENTES</t>
  </si>
  <si>
    <t>SERVICIO DE PARQUEO</t>
  </si>
  <si>
    <t>SEGURIDAD Y VIGILANCIA</t>
  </si>
  <si>
    <t>SERVICIO DE MENSAJERIA</t>
  </si>
  <si>
    <t>COMBUSTIBLE Y LUBRICANTES</t>
  </si>
  <si>
    <t>PAPELERIA Y UTILES</t>
  </si>
  <si>
    <t>SUMINISTROS LIMPIEZA</t>
  </si>
  <si>
    <t>TIMBRES</t>
  </si>
  <si>
    <t>LICENCIAS DE SOFTWARE</t>
  </si>
  <si>
    <t xml:space="preserve">VARIOS </t>
  </si>
  <si>
    <t>SUMINISTROS VARIOS</t>
  </si>
  <si>
    <t>GASTOS REPRESENTACION</t>
  </si>
  <si>
    <t>VIATICOS</t>
  </si>
  <si>
    <t>MENSAJERIA</t>
  </si>
  <si>
    <t>IUSI</t>
  </si>
  <si>
    <t>COSTO OPERATIVO</t>
  </si>
  <si>
    <t>COSTO FINANCIERO</t>
  </si>
  <si>
    <t>ISR</t>
  </si>
  <si>
    <t>IVA</t>
  </si>
  <si>
    <t>IMPUESTOS</t>
  </si>
  <si>
    <t>IMPUESTOS INVERSIONISTAS</t>
  </si>
  <si>
    <t>Junio</t>
  </si>
  <si>
    <t>Julio</t>
  </si>
  <si>
    <t xml:space="preserve">saldo a favor mes anterior </t>
  </si>
  <si>
    <t>Agosto</t>
  </si>
  <si>
    <t>Septiembre</t>
  </si>
  <si>
    <t xml:space="preserve">OCTUBRE </t>
  </si>
  <si>
    <t xml:space="preserve">SEPTIEMBRE </t>
  </si>
  <si>
    <t xml:space="preserve">AGOSTO </t>
  </si>
  <si>
    <t xml:space="preserve">JULIO </t>
  </si>
  <si>
    <t xml:space="preserve">JUNIO </t>
  </si>
  <si>
    <t xml:space="preserve">MAYO </t>
  </si>
  <si>
    <t>ABRIL</t>
  </si>
  <si>
    <t xml:space="preserve">MARZO </t>
  </si>
  <si>
    <t xml:space="preserve">FEBRERO </t>
  </si>
  <si>
    <t xml:space="preserve">ENERO </t>
  </si>
  <si>
    <t>total 2024</t>
  </si>
  <si>
    <t xml:space="preserve">Octubre </t>
  </si>
  <si>
    <t xml:space="preserve">NOVIEMBRE </t>
  </si>
  <si>
    <t xml:space="preserve">Noviembre </t>
  </si>
  <si>
    <t>Casos colocados</t>
  </si>
  <si>
    <t>Tendencia mensual</t>
  </si>
  <si>
    <t>Posibles cierres</t>
  </si>
  <si>
    <t>Logro meta</t>
  </si>
  <si>
    <t>Casos tentativos</t>
  </si>
  <si>
    <t>Monto tentativo</t>
  </si>
  <si>
    <t>2.56%</t>
  </si>
  <si>
    <t>43.58%</t>
  </si>
  <si>
    <t>0.00%</t>
  </si>
  <si>
    <t>20/02/0204</t>
  </si>
  <si>
    <t>---------</t>
  </si>
  <si>
    <t>17/03/0205</t>
  </si>
  <si>
    <t>--</t>
  </si>
  <si>
    <t>209.2281.66</t>
  </si>
  <si>
    <t>Costo financiero</t>
  </si>
  <si>
    <t>Impuestos</t>
  </si>
  <si>
    <t>Impuestos inversionistas</t>
  </si>
  <si>
    <t>Otros</t>
  </si>
  <si>
    <t>Costo operativo</t>
  </si>
  <si>
    <t>Costo acumulado</t>
  </si>
  <si>
    <t>Meta costo mensual</t>
  </si>
  <si>
    <t>Limite costo diario</t>
  </si>
  <si>
    <t>SUM de Cap. Reestructura</t>
  </si>
  <si>
    <t>abril</t>
  </si>
  <si>
    <t>agosto</t>
  </si>
  <si>
    <t>diciembre</t>
  </si>
  <si>
    <t>enero</t>
  </si>
  <si>
    <t>febrero</t>
  </si>
  <si>
    <t>julio</t>
  </si>
  <si>
    <t>junio</t>
  </si>
  <si>
    <t>marzo</t>
  </si>
  <si>
    <t>mayo</t>
  </si>
  <si>
    <t>noviembre</t>
  </si>
  <si>
    <t>octubre</t>
  </si>
  <si>
    <t>septiembre</t>
  </si>
  <si>
    <t>Suma total</t>
  </si>
  <si>
    <t>Cartera activa</t>
  </si>
  <si>
    <t>GASTOS DE OPERACIÓN</t>
  </si>
  <si>
    <t xml:space="preserve">DEPRECIACION VEHICULO </t>
  </si>
  <si>
    <t>Total</t>
  </si>
  <si>
    <t>Acumulado Costo Operativo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</si>
</sst>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Q]#,##0.00"/>
    <numFmt numFmtId="165" formatCode="d-mmm-yy"/>
    <numFmt numFmtId="166" formatCode="d/m/yyyy"/>
    <numFmt numFmtId="167" formatCode="dd/mm/yyyy"/>
    <numFmt numFmtId="168" formatCode="d-mmmm yy"/>
  </numFmts>
  <fonts count="15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sz val="9.0"/>
      <color rgb="FF000000"/>
      <name val="&quot;Google Sans Mono&quot;"/>
    </font>
    <font>
      <color theme="1"/>
      <name val="Arial"/>
    </font>
    <font>
      <sz val="10.0"/>
      <color theme="1"/>
      <name val="Arial"/>
    </font>
    <font>
      <sz val="12.0"/>
      <color theme="1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color rgb="FF000000"/>
      <name val="Arial"/>
      <scheme val="minor"/>
    </font>
    <font>
      <color rgb="FF000000"/>
      <name val="Calibri"/>
    </font>
    <font>
      <b/>
      <color rgb="FF00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F4C7C3"/>
        <bgColor rgb="FFF4C7C3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2" numFmtId="164" xfId="0" applyAlignment="1" applyFill="1" applyFont="1" applyNumberFormat="1">
      <alignment readingOrder="0" vertical="bottom"/>
    </xf>
    <xf borderId="0" fillId="2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3" fontId="3" numFmtId="0" xfId="0" applyAlignment="1" applyFill="1" applyFont="1">
      <alignment readingOrder="0"/>
    </xf>
    <xf borderId="0" fillId="0" fontId="4" numFmtId="165" xfId="0" applyAlignment="1" applyFont="1" applyNumberFormat="1">
      <alignment horizontal="right"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readingOrder="0" shrinkToFit="0" vertical="bottom" wrapText="0"/>
    </xf>
    <xf borderId="0" fillId="0" fontId="5" numFmtId="164" xfId="0" applyAlignment="1" applyFont="1" applyNumberFormat="1">
      <alignment horizontal="right" vertical="bottom"/>
    </xf>
    <xf borderId="0" fillId="0" fontId="3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10" xfId="0" applyFont="1" applyNumberFormat="1"/>
    <xf borderId="0" fillId="0" fontId="3" numFmtId="164" xfId="0" applyFont="1" applyNumberFormat="1"/>
    <xf borderId="0" fillId="0" fontId="5" numFmtId="164" xfId="0" applyAlignment="1" applyFont="1" applyNumberFormat="1">
      <alignment readingOrder="0"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4" fontId="6" numFmtId="164" xfId="0" applyAlignment="1" applyFill="1" applyFont="1" applyNumberFormat="1">
      <alignment readingOrder="0"/>
    </xf>
    <xf borderId="0" fillId="0" fontId="4" numFmtId="0" xfId="0" applyAlignment="1" applyFont="1">
      <alignment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4" numFmtId="49" xfId="0" applyAlignment="1" applyFont="1" applyNumberFormat="1">
      <alignment horizontal="right" readingOrder="0" shrinkToFit="0" vertical="bottom" wrapText="0"/>
    </xf>
    <xf borderId="0" fillId="5" fontId="7" numFmtId="164" xfId="0" applyAlignment="1" applyFill="1" applyFont="1" applyNumberFormat="1">
      <alignment readingOrder="0" vertical="bottom"/>
    </xf>
    <xf borderId="0" fillId="5" fontId="7" numFmtId="164" xfId="0" applyAlignment="1" applyFont="1" applyNumberFormat="1">
      <alignment horizontal="right" vertical="bottom"/>
    </xf>
    <xf borderId="0" fillId="5" fontId="7" numFmtId="164" xfId="0" applyAlignment="1" applyFont="1" applyNumberFormat="1">
      <alignment vertical="bottom"/>
    </xf>
    <xf borderId="0" fillId="5" fontId="7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shrinkToFit="0" vertical="bottom" wrapText="0"/>
    </xf>
    <xf borderId="0" fillId="0" fontId="8" numFmtId="164" xfId="0" applyFont="1" applyNumberFormat="1"/>
    <xf borderId="0" fillId="2" fontId="7" numFmtId="164" xfId="0" applyAlignment="1" applyFont="1" applyNumberFormat="1">
      <alignment readingOrder="0" vertical="bottom"/>
    </xf>
    <xf borderId="0" fillId="2" fontId="7" numFmtId="164" xfId="0" applyAlignment="1" applyFont="1" applyNumberFormat="1">
      <alignment horizontal="right" vertical="bottom"/>
    </xf>
    <xf borderId="0" fillId="2" fontId="7" numFmtId="164" xfId="0" applyAlignment="1" applyFont="1" applyNumberFormat="1">
      <alignment vertical="bottom"/>
    </xf>
    <xf borderId="0" fillId="2" fontId="7" numFmtId="164" xfId="0" applyAlignment="1" applyFont="1" applyNumberFormat="1">
      <alignment horizontal="right" vertical="bottom"/>
    </xf>
    <xf borderId="0" fillId="6" fontId="4" numFmtId="164" xfId="0" applyAlignment="1" applyFill="1" applyFont="1" applyNumberFormat="1">
      <alignment readingOrder="0" shrinkToFit="0" vertical="bottom" wrapText="0"/>
    </xf>
    <xf borderId="0" fillId="6" fontId="3" numFmtId="164" xfId="0" applyFont="1" applyNumberFormat="1"/>
    <xf borderId="0" fillId="6" fontId="3" numFmtId="0" xfId="0" applyFont="1"/>
    <xf borderId="0" fillId="2" fontId="7" numFmtId="164" xfId="0" applyAlignment="1" applyFont="1" applyNumberFormat="1">
      <alignment horizontal="right" readingOrder="0" vertical="bottom"/>
    </xf>
    <xf borderId="0" fillId="5" fontId="7" numFmtId="164" xfId="0" applyAlignment="1" applyFont="1" applyNumberFormat="1">
      <alignment horizontal="right" readingOrder="0" vertical="bottom"/>
    </xf>
    <xf borderId="0" fillId="6" fontId="3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3" numFmtId="3" xfId="0" applyAlignment="1" applyFont="1" applyNumberFormat="1">
      <alignment readingOrder="0"/>
    </xf>
    <xf borderId="0" fillId="6" fontId="3" numFmtId="164" xfId="0" applyAlignment="1" applyFont="1" applyNumberFormat="1">
      <alignment readingOrder="0"/>
    </xf>
    <xf borderId="0" fillId="6" fontId="3" numFmtId="164" xfId="0" applyFont="1" applyNumberFormat="1"/>
    <xf borderId="0" fillId="0" fontId="3" numFmtId="164" xfId="0" applyFont="1" applyNumberFormat="1"/>
    <xf borderId="0" fillId="7" fontId="9" numFmtId="164" xfId="0" applyAlignment="1" applyFill="1" applyFont="1" applyNumberFormat="1">
      <alignment readingOrder="0"/>
    </xf>
    <xf borderId="0" fillId="0" fontId="3" numFmtId="4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164" xfId="0" applyAlignment="1" applyFont="1" applyNumberFormat="1">
      <alignment horizontal="center" readingOrder="0"/>
    </xf>
    <xf borderId="0" fillId="6" fontId="4" numFmtId="0" xfId="0" applyAlignment="1" applyFont="1">
      <alignment readingOrder="0" shrinkToFit="0" vertical="bottom" wrapText="0"/>
    </xf>
    <xf borderId="0" fillId="6" fontId="3" numFmtId="0" xfId="0" applyAlignment="1" applyFont="1">
      <alignment readingOrder="0"/>
    </xf>
    <xf borderId="0" fillId="6" fontId="1" numFmtId="0" xfId="0" applyAlignment="1" applyFont="1">
      <alignment readingOrder="0" shrinkToFit="0" vertical="bottom" wrapText="0"/>
    </xf>
    <xf borderId="0" fillId="8" fontId="3" numFmtId="164" xfId="0" applyAlignment="1" applyFill="1" applyFont="1" applyNumberFormat="1">
      <alignment readingOrder="0"/>
    </xf>
    <xf borderId="0" fillId="9" fontId="3" numFmtId="164" xfId="0" applyAlignment="1" applyFill="1" applyFont="1" applyNumberFormat="1">
      <alignment readingOrder="0"/>
    </xf>
    <xf borderId="0" fillId="0" fontId="11" numFmtId="164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6" fontId="12" numFmtId="164" xfId="0" applyAlignment="1" applyFont="1" applyNumberFormat="1">
      <alignment readingOrder="0"/>
    </xf>
    <xf borderId="0" fillId="6" fontId="12" numFmtId="164" xfId="0" applyFont="1" applyNumberFormat="1"/>
    <xf borderId="0" fillId="6" fontId="12" numFmtId="0" xfId="0" applyFont="1"/>
    <xf borderId="0" fillId="0" fontId="10" numFmtId="164" xfId="0" applyFont="1" applyNumberFormat="1"/>
    <xf borderId="0" fillId="0" fontId="4" numFmtId="0" xfId="0" applyAlignment="1" applyFont="1">
      <alignment horizontal="center" readingOrder="0" shrinkToFit="0" vertical="bottom" wrapText="0"/>
    </xf>
    <xf borderId="0" fillId="0" fontId="13" numFmtId="166" xfId="0" applyAlignment="1" applyFont="1" applyNumberFormat="1">
      <alignment horizontal="center" readingOrder="0"/>
    </xf>
    <xf borderId="0" fillId="0" fontId="4" numFmtId="0" xfId="0" applyAlignment="1" applyFont="1">
      <alignment horizontal="center" shrinkToFit="0" vertical="bottom" wrapText="0"/>
    </xf>
    <xf borderId="0" fillId="0" fontId="14" numFmtId="0" xfId="0" applyAlignment="1" applyFont="1">
      <alignment horizontal="center"/>
    </xf>
    <xf borderId="0" fillId="0" fontId="1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167" xfId="0" applyAlignment="1" applyFont="1" applyNumberFormat="1">
      <alignment readingOrder="0"/>
    </xf>
    <xf borderId="0" fillId="0" fontId="3" numFmtId="10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/>
    </xf>
    <xf borderId="0" fillId="0" fontId="3" numFmtId="166" xfId="0" applyAlignment="1" applyFont="1" applyNumberFormat="1">
      <alignment horizontal="center" readingOrder="0"/>
    </xf>
    <xf borderId="0" fillId="0" fontId="3" numFmtId="167" xfId="0" applyAlignment="1" applyFont="1" applyNumberFormat="1">
      <alignment horizontal="center" readingOrder="0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center" readingOrder="0" vertical="bottom"/>
    </xf>
    <xf borderId="0" fillId="10" fontId="3" numFmtId="167" xfId="0" applyAlignment="1" applyFill="1" applyFont="1" applyNumberFormat="1">
      <alignment horizontal="center" readingOrder="0"/>
    </xf>
    <xf borderId="0" fillId="10" fontId="3" numFmtId="0" xfId="0" applyAlignment="1" applyFont="1">
      <alignment horizontal="center"/>
    </xf>
    <xf borderId="0" fillId="10" fontId="3" numFmtId="0" xfId="0" applyFont="1"/>
    <xf borderId="0" fillId="0" fontId="3" numFmtId="164" xfId="0" applyAlignment="1" applyFont="1" applyNumberFormat="1">
      <alignment horizontal="right" readingOrder="0"/>
    </xf>
    <xf borderId="0" fillId="0" fontId="1" numFmtId="0" xfId="0" applyAlignment="1" applyFont="1">
      <alignment horizontal="center" readingOrder="0" shrinkToFit="0" vertical="bottom" wrapText="0"/>
    </xf>
    <xf borderId="0" fillId="2" fontId="7" numFmtId="164" xfId="0" applyAlignment="1" applyFont="1" applyNumberFormat="1">
      <alignment vertical="bottom"/>
    </xf>
    <xf borderId="0" fillId="2" fontId="7" numFmtId="164" xfId="0" applyAlignment="1" applyFont="1" applyNumberFormat="1">
      <alignment horizontal="right" readingOrder="0" vertical="bottom"/>
    </xf>
    <xf borderId="0" fillId="2" fontId="7" numFmtId="164" xfId="0" applyAlignment="1" applyFont="1" applyNumberFormat="1">
      <alignment readingOrder="0" vertical="bottom"/>
    </xf>
    <xf borderId="0" fillId="0" fontId="3" numFmtId="168" xfId="0" applyAlignment="1" applyFont="1" applyNumberForma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/>
    </xf>
    <xf borderId="0" fillId="0" fontId="11" numFmtId="164" xfId="0" applyFont="1" applyNumberFormat="1"/>
    <xf borderId="0" fillId="11" fontId="4" numFmtId="0" xfId="0" applyAlignment="1" applyFill="1" applyFont="1">
      <alignment horizontal="right" readingOrder="0" shrinkToFit="0" vertical="bottom" wrapText="0"/>
    </xf>
    <xf borderId="0" fillId="11" fontId="4" numFmtId="0" xfId="0" applyAlignment="1" applyFont="1">
      <alignment readingOrder="0" shrinkToFit="0" vertical="bottom" wrapText="0"/>
    </xf>
    <xf borderId="0" fillId="11" fontId="4" numFmtId="165" xfId="0" applyAlignment="1" applyFont="1" applyNumberFormat="1">
      <alignment horizontal="right" readingOrder="0" shrinkToFit="0" vertical="bottom" wrapText="0"/>
    </xf>
    <xf borderId="0" fillId="11" fontId="12" numFmtId="164" xfId="0" applyFont="1" applyNumberFormat="1"/>
    <xf borderId="0" fillId="11" fontId="12" numFmtId="164" xfId="0" applyAlignment="1" applyFont="1" applyNumberFormat="1">
      <alignment readingOrder="0"/>
    </xf>
    <xf borderId="0" fillId="11" fontId="11" numFmtId="164" xfId="0" applyAlignment="1" applyFont="1" applyNumberFormat="1">
      <alignment readingOrder="0"/>
    </xf>
    <xf borderId="0" fillId="4" fontId="11" numFmtId="164" xfId="0" applyAlignment="1" applyFont="1" applyNumberFormat="1">
      <alignment readingOrder="0"/>
    </xf>
    <xf borderId="0" fillId="11" fontId="12" numFmtId="164" xfId="0" applyAlignment="1" applyFont="1" applyNumberFormat="1">
      <alignment horizontal="right"/>
    </xf>
    <xf borderId="0" fillId="11" fontId="11" numFmtId="164" xfId="0" applyFont="1" applyNumberFormat="1"/>
    <xf borderId="0" fillId="8" fontId="4" numFmtId="0" xfId="0" applyAlignment="1" applyFont="1">
      <alignment horizontal="right" readingOrder="0" shrinkToFit="0" vertical="bottom" wrapText="0"/>
    </xf>
    <xf borderId="0" fillId="8" fontId="4" numFmtId="0" xfId="0" applyAlignment="1" applyFont="1">
      <alignment readingOrder="0" shrinkToFit="0" vertical="bottom" wrapText="0"/>
    </xf>
    <xf borderId="0" fillId="8" fontId="4" numFmtId="165" xfId="0" applyAlignment="1" applyFont="1" applyNumberFormat="1">
      <alignment horizontal="right" readingOrder="0" shrinkToFit="0" vertical="bottom" wrapText="0"/>
    </xf>
    <xf borderId="0" fillId="8" fontId="3" numFmtId="164" xfId="0" applyFont="1" applyNumberFormat="1"/>
    <xf borderId="0" fillId="8" fontId="3" numFmtId="164" xfId="0" applyAlignment="1" applyFont="1" applyNumberForma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A653" sheet="Facturación"/>
  </cacheSource>
  <cacheFields>
    <cacheField name="Fecha" numFmtId="165">
      <sharedItems containsSemiMixedTypes="0" containsDate="1" containsString="0">
        <d v="2022-01-31T00:00:00Z"/>
        <d v="2022-02-28T00:00:00Z"/>
        <d v="2022-03-31T00:00:00Z"/>
        <d v="2022-04-30T00:00:00Z"/>
        <d v="2022-05-31T00:00:00Z"/>
        <d v="2022-06-30T00:00:00Z"/>
        <d v="2022-07-31T00:00:00Z"/>
        <d v="2022-08-31T00:00:00Z"/>
        <d v="2022-09-30T00:00:00Z"/>
        <d v="2022-10-31T00:00:00Z"/>
        <d v="2022-11-30T00:00:00Z"/>
        <d v="2022-12-31T00:00:00Z"/>
        <d v="2023-01-31T00:00:00Z"/>
        <d v="2023-02-28T00:00:00Z"/>
        <d v="2023-03-31T00:00:00Z"/>
        <d v="2023-04-30T00:00:00Z"/>
        <d v="2023-05-31T00:00:00Z"/>
        <d v="2023-06-30T00:00:00Z"/>
        <d v="2023-07-31T00:00:00Z"/>
        <d v="2023-08-31T00:00:00Z"/>
        <d v="2023-09-30T00:00:00Z"/>
        <d v="2023-10-31T00:00:00Z"/>
        <d v="2023-11-01T00:00:00Z"/>
        <d v="2023-11-02T00:00:00Z"/>
        <d v="2023-11-03T00:00:00Z"/>
        <d v="2023-11-04T00:00:00Z"/>
        <d v="2023-11-05T00:00:00Z"/>
        <d v="2023-11-06T00:00:00Z"/>
        <d v="2023-11-07T00:00:00Z"/>
        <d v="2023-11-08T00:00:00Z"/>
        <d v="2023-11-09T00:00:00Z"/>
        <d v="2023-11-10T00:00:00Z"/>
        <d v="2023-11-11T00:00:00Z"/>
        <d v="2023-11-12T00:00:00Z"/>
        <d v="2023-11-13T00:00:00Z"/>
        <d v="2023-11-14T00:00:00Z"/>
        <d v="2023-11-15T00:00:00Z"/>
        <d v="2023-11-16T00:00:00Z"/>
        <d v="2023-11-17T00:00:00Z"/>
        <d v="2023-11-18T00:00:00Z"/>
        <d v="2023-11-19T00:00:00Z"/>
        <d v="2023-11-20T00:00:00Z"/>
        <d v="2023-11-21T00:00:00Z"/>
        <d v="2023-11-22T00:00:00Z"/>
        <d v="2023-11-23T00:00:00Z"/>
        <d v="2023-11-24T00:00:00Z"/>
        <d v="2023-11-25T00:00:00Z"/>
        <d v="2023-11-26T00:00:00Z"/>
        <d v="2023-11-27T00:00:00Z"/>
        <d v="2023-11-28T00:00:00Z"/>
        <d v="2023-11-29T00:00:00Z"/>
        <d v="2023-11-30T00:00:00Z"/>
        <d v="2023-12-01T00:00:00Z"/>
        <d v="2023-12-02T00:00:00Z"/>
        <d v="2023-12-03T00:00:00Z"/>
        <d v="2023-12-04T00:00:00Z"/>
        <d v="2023-12-05T00:00:00Z"/>
        <d v="2023-12-06T00:00:00Z"/>
        <d v="2023-12-07T00:00:00Z"/>
        <d v="2023-12-08T00:00:00Z"/>
        <d v="2023-12-09T00:00:00Z"/>
        <d v="2023-12-10T00:00:00Z"/>
        <d v="2023-12-11T00:00:00Z"/>
        <d v="2023-12-12T00:00:00Z"/>
        <d v="2023-12-13T00:00:00Z"/>
        <d v="2023-12-14T00:00:00Z"/>
        <d v="2023-12-15T00:00:00Z"/>
        <d v="2023-12-16T00:00:00Z"/>
        <d v="2023-12-17T00:00:00Z"/>
        <d v="2023-12-18T00:00:00Z"/>
        <d v="2023-12-19T00:00:00Z"/>
        <d v="2023-12-20T00:00:00Z"/>
        <d v="2023-12-21T00:00:00Z"/>
        <d v="2023-12-22T00:00:00Z"/>
        <d v="2023-12-23T00:00:00Z"/>
        <d v="2023-12-24T00:00:00Z"/>
        <d v="2023-12-25T00:00:00Z"/>
        <d v="2023-12-26T00:00:00Z"/>
        <d v="2023-12-27T00:00:00Z"/>
        <d v="2023-12-28T00:00:00Z"/>
        <d v="2023-12-29T00:00:00Z"/>
        <d v="2023-12-30T00:00:00Z"/>
        <d v="2023-12-31T00:00:00Z"/>
        <d v="2024-01-01T00:00:00Z"/>
        <d v="2024-01-02T00:00:00Z"/>
        <d v="2024-01-03T00:00:00Z"/>
        <d v="2024-01-04T00:00:00Z"/>
        <d v="2024-01-05T00:00:00Z"/>
        <d v="2024-01-06T00:00:00Z"/>
        <d v="2024-01-07T00:00:00Z"/>
        <d v="2024-01-08T00:00:00Z"/>
        <d v="2024-01-09T00:00:00Z"/>
        <d v="2024-01-10T00:00:00Z"/>
        <d v="2024-01-11T00:00:00Z"/>
        <d v="2024-01-12T00:00:00Z"/>
        <d v="2024-01-13T00:00:00Z"/>
        <d v="2024-01-14T00:00:00Z"/>
        <d v="2024-01-15T00:00:00Z"/>
        <d v="2024-01-16T00:00:00Z"/>
        <d v="2024-01-17T00:00:00Z"/>
        <d v="2024-01-18T00:00:00Z"/>
        <d v="2024-01-19T00:00:00Z"/>
        <d v="2024-01-20T00:00:00Z"/>
        <d v="2024-01-21T00:00:00Z"/>
        <d v="2024-01-22T00:00:00Z"/>
        <d v="2024-01-23T00:00:00Z"/>
        <d v="2024-01-24T00:00:00Z"/>
        <d v="2024-01-25T00:00:00Z"/>
        <d v="2024-01-26T00:00:00Z"/>
        <d v="2024-01-27T00:00:00Z"/>
        <d v="2024-01-28T00:00:00Z"/>
        <d v="2024-01-29T00:00:00Z"/>
        <d v="2024-01-30T00:00:00Z"/>
        <d v="2024-01-31T00:00:00Z"/>
        <d v="2024-02-01T00:00:00Z"/>
        <d v="2024-02-02T00:00:00Z"/>
        <d v="2024-02-03T00:00:00Z"/>
        <d v="2024-02-04T00:00:00Z"/>
        <d v="2024-02-05T00:00:00Z"/>
        <d v="2024-02-06T00:00:00Z"/>
        <d v="2024-02-07T00:00:00Z"/>
        <d v="2024-02-08T00:00:00Z"/>
        <d v="2024-02-09T00:00:00Z"/>
        <d v="2024-02-10T00:00:00Z"/>
        <d v="2024-02-11T00:00:00Z"/>
        <d v="2024-02-12T00:00:00Z"/>
        <d v="2024-02-13T00:00:00Z"/>
        <d v="2024-02-14T00:00:00Z"/>
        <d v="2024-02-15T00:00:00Z"/>
        <d v="2024-02-16T00:00:00Z"/>
        <d v="2024-02-17T00:00:00Z"/>
        <d v="2024-02-18T00:00:00Z"/>
        <d v="2024-02-19T00:00:00Z"/>
        <d v="2024-02-20T00:00:00Z"/>
        <d v="2024-02-21T00:00:00Z"/>
        <d v="2024-02-22T00:00:00Z"/>
        <d v="2024-02-23T00:00:00Z"/>
        <d v="2024-02-24T00:00:00Z"/>
        <d v="2024-02-25T00:00:00Z"/>
        <d v="2024-02-26T00:00:00Z"/>
        <d v="2024-02-27T00:00:00Z"/>
        <d v="2024-02-28T00:00:00Z"/>
        <d v="2024-02-29T00:00:00Z"/>
        <d v="2024-03-01T00:00:00Z"/>
        <d v="2024-03-02T00:00:00Z"/>
        <d v="2024-03-03T00:00:00Z"/>
        <d v="2024-03-04T00:00:00Z"/>
        <d v="2024-03-05T00:00:00Z"/>
        <d v="2024-03-06T00:00:00Z"/>
        <d v="2024-03-07T00:00:00Z"/>
        <d v="2024-03-08T00:00:00Z"/>
        <d v="2024-03-09T00:00:00Z"/>
        <d v="2024-03-10T00:00:00Z"/>
        <d v="2024-03-11T00:00:00Z"/>
        <d v="2024-03-12T00:00:00Z"/>
        <d v="2024-03-13T00:00:00Z"/>
        <d v="2024-03-14T00:00:00Z"/>
        <d v="2024-03-15T00:00:00Z"/>
        <d v="2024-03-16T00:00:00Z"/>
        <d v="2024-03-17T00:00:00Z"/>
        <d v="2024-03-18T00:00:00Z"/>
        <d v="2024-03-19T00:00:00Z"/>
        <d v="2024-03-20T00:00:00Z"/>
        <d v="2024-03-21T00:00:00Z"/>
        <d v="2024-03-22T00:00:00Z"/>
        <d v="2024-03-23T00:00:00Z"/>
        <d v="2024-03-24T00:00:00Z"/>
        <d v="2024-03-25T00:00:00Z"/>
        <d v="2024-03-26T00:00:00Z"/>
        <d v="2024-03-27T00:00:00Z"/>
        <d v="2024-03-28T00:00:00Z"/>
        <d v="2024-03-29T00:00:00Z"/>
        <d v="2024-03-30T00:00:00Z"/>
        <d v="2024-03-31T00:00:00Z"/>
        <d v="2024-04-01T00:00:00Z"/>
        <d v="2024-04-02T00:00:00Z"/>
        <d v="2024-04-03T00:00:00Z"/>
        <d v="2024-04-04T00:00:00Z"/>
        <d v="2024-04-05T00:00:00Z"/>
        <d v="2024-04-06T00:00:00Z"/>
        <d v="2024-04-07T00:00:00Z"/>
        <d v="2024-04-08T00:00:00Z"/>
        <d v="2024-04-09T00:00:00Z"/>
        <d v="2024-04-10T00:00:00Z"/>
        <d v="2024-04-11T00:00:00Z"/>
        <d v="2024-04-12T00:00:00Z"/>
        <d v="2024-04-13T00:00:00Z"/>
        <d v="2024-04-14T00:00:00Z"/>
        <d v="2024-04-15T00:00:00Z"/>
        <d v="2024-04-16T00:00:00Z"/>
        <d v="2024-04-17T00:00:00Z"/>
        <d v="2024-04-18T00:00:00Z"/>
        <d v="2024-04-19T00:00:00Z"/>
        <d v="2024-04-20T00:00:00Z"/>
        <d v="2024-04-21T00:00:00Z"/>
        <d v="2024-04-22T00:00:00Z"/>
        <d v="2024-04-23T00:00:00Z"/>
        <d v="2024-04-24T00:00:00Z"/>
        <d v="2024-04-25T00:00:00Z"/>
        <d v="2024-04-26T00:00:00Z"/>
        <d v="2024-04-27T00:00:00Z"/>
        <d v="2024-04-28T00:00:00Z"/>
        <d v="2024-04-29T00:00:00Z"/>
        <d v="2024-04-30T00:00:00Z"/>
        <d v="2024-05-01T00:00:00Z"/>
        <d v="2024-05-02T00:00:00Z"/>
        <d v="2024-05-03T00:00:00Z"/>
        <d v="2024-05-04T00:00:00Z"/>
        <d v="2024-05-05T00:00:00Z"/>
        <d v="2024-05-06T00:00:00Z"/>
        <d v="2024-05-07T00:00:00Z"/>
        <d v="2024-05-08T00:00:00Z"/>
        <d v="2024-05-09T00:00:00Z"/>
        <d v="2024-05-10T00:00:00Z"/>
        <d v="2024-05-11T00:00:00Z"/>
        <d v="2024-05-12T00:00:00Z"/>
        <d v="2024-05-13T00:00:00Z"/>
        <d v="2024-05-14T00:00:00Z"/>
        <d v="2024-05-15T00:00:00Z"/>
        <d v="2024-05-16T00:00:00Z"/>
        <d v="2024-05-17T00:00:00Z"/>
        <d v="2024-05-18T00:00:00Z"/>
        <d v="2024-05-19T00:00:00Z"/>
        <d v="2024-05-20T00:00:00Z"/>
        <d v="2024-05-21T00:00:00Z"/>
        <d v="2024-05-22T00:00:00Z"/>
        <d v="2024-05-23T00:00:00Z"/>
        <d v="2024-05-24T00:00:00Z"/>
        <d v="2024-05-25T00:00:00Z"/>
        <d v="2024-05-26T00:00:00Z"/>
        <d v="2024-05-27T00:00:00Z"/>
        <d v="2024-05-28T00:00:00Z"/>
        <d v="2024-05-29T00:00:00Z"/>
        <d v="2024-05-30T00:00:00Z"/>
        <d v="2024-05-31T00:00:00Z"/>
        <d v="2024-06-01T00:00:00Z"/>
        <d v="2024-06-02T00:00:00Z"/>
        <d v="2024-06-03T00:00:00Z"/>
        <d v="2024-06-04T00:00:00Z"/>
        <d v="2024-06-05T00:00:00Z"/>
        <d v="2024-06-06T00:00:00Z"/>
        <d v="2024-06-07T00:00:00Z"/>
        <d v="2024-06-08T00:00:00Z"/>
        <d v="2024-06-09T00:00:00Z"/>
        <d v="2024-06-10T00:00:00Z"/>
        <d v="2024-06-11T00:00:00Z"/>
        <d v="2024-06-12T00:00:00Z"/>
        <d v="2024-06-13T00:00:00Z"/>
        <d v="2024-06-14T00:00:00Z"/>
        <d v="2024-06-15T00:00:00Z"/>
        <d v="2024-06-16T00:00:00Z"/>
        <d v="2024-06-17T00:00:00Z"/>
        <d v="2024-06-18T00:00:00Z"/>
        <d v="2024-06-19T00:00:00Z"/>
        <d v="2024-06-20T00:00:00Z"/>
        <d v="2024-06-21T00:00:00Z"/>
        <d v="2024-06-22T00:00:00Z"/>
        <d v="2024-06-23T00:00:00Z"/>
        <d v="2024-06-24T00:00:00Z"/>
        <d v="2024-06-25T00:00:00Z"/>
        <d v="2024-06-26T00:00:00Z"/>
        <d v="2024-06-27T00:00:00Z"/>
        <d v="2024-06-28T00:00:00Z"/>
        <d v="2024-06-29T00:00:00Z"/>
        <d v="2024-06-30T00:00:00Z"/>
        <d v="2024-07-01T00:00:00Z"/>
        <d v="2024-07-02T00:00:00Z"/>
        <d v="2024-07-03T00:00:00Z"/>
        <d v="2024-07-04T00:00:00Z"/>
        <d v="2024-07-05T00:00:00Z"/>
        <d v="2024-07-06T00:00:00Z"/>
        <d v="2024-07-07T00:00:00Z"/>
        <d v="2024-07-08T00:00:00Z"/>
        <d v="2024-07-09T00:00:00Z"/>
        <d v="2024-07-10T00:00:00Z"/>
        <d v="2024-07-11T00:00:00Z"/>
        <d v="2024-07-12T00:00:00Z"/>
        <d v="2024-07-13T00:00:00Z"/>
        <d v="2024-07-14T00:00:00Z"/>
        <d v="2024-07-15T00:00:00Z"/>
        <d v="2024-07-16T00:00:00Z"/>
        <d v="2024-07-17T00:00:00Z"/>
        <d v="2024-07-18T00:00:00Z"/>
        <d v="2024-07-19T00:00:00Z"/>
        <d v="2024-07-20T00:00:00Z"/>
        <d v="2024-07-21T00:00:00Z"/>
        <d v="2024-07-22T00:00:00Z"/>
        <d v="2024-07-23T00:00:00Z"/>
        <d v="2024-07-24T00:00:00Z"/>
        <d v="2024-07-25T00:00:00Z"/>
        <d v="2024-07-26T00:00:00Z"/>
        <d v="2024-07-27T00:00:00Z"/>
        <d v="2024-07-28T00:00:00Z"/>
        <d v="2024-07-29T00:00:00Z"/>
        <d v="2024-07-30T00:00:00Z"/>
        <d v="2024-07-31T00:00:00Z"/>
        <d v="2024-08-01T00:00:00Z"/>
        <d v="2024-08-02T00:00:00Z"/>
        <d v="2024-08-03T00:00:00Z"/>
        <d v="2024-08-04T00:00:00Z"/>
        <d v="2024-08-05T00:00:00Z"/>
        <d v="2024-08-06T00:00:00Z"/>
        <d v="2024-08-07T00:00:00Z"/>
        <d v="2024-08-08T00:00:00Z"/>
        <d v="2024-08-09T00:00:00Z"/>
        <d v="2024-08-10T00:00:00Z"/>
        <d v="2024-08-11T00:00:00Z"/>
        <d v="2024-08-12T00:00:00Z"/>
        <d v="2024-08-13T00:00:00Z"/>
        <d v="2024-08-14T00:00:00Z"/>
        <d v="2024-08-15T00:00:00Z"/>
        <d v="2024-08-16T00:00:00Z"/>
        <d v="2024-08-17T00:00:00Z"/>
        <d v="2024-08-18T00:00:00Z"/>
        <d v="2024-08-19T00:00:00Z"/>
        <d v="2024-08-20T00:00:00Z"/>
        <d v="2024-08-21T00:00:00Z"/>
        <d v="2024-08-22T00:00:00Z"/>
        <d v="2024-08-23T00:00:00Z"/>
        <d v="2024-08-24T00:00:00Z"/>
        <d v="2024-08-25T00:00:00Z"/>
        <d v="2024-08-26T00:00:00Z"/>
        <d v="2024-08-27T00:00:00Z"/>
        <d v="2024-08-28T00:00:00Z"/>
        <d v="2024-08-29T00:00:00Z"/>
        <d v="2024-08-30T00:00:00Z"/>
        <d v="2024-08-31T00:00:00Z"/>
        <d v="2024-09-01T00:00:00Z"/>
        <d v="2024-09-02T00:00:00Z"/>
        <d v="2024-09-03T00:00:00Z"/>
        <d v="2024-09-04T00:00:00Z"/>
        <d v="2024-09-05T00:00:00Z"/>
        <d v="2024-09-06T00:00:00Z"/>
        <d v="2024-09-07T00:00:00Z"/>
        <d v="2024-09-08T00:00:00Z"/>
        <d v="2024-09-09T00:00:00Z"/>
        <d v="2024-09-10T00:00:00Z"/>
        <d v="2024-09-11T00:00:00Z"/>
        <d v="2024-09-12T00:00:00Z"/>
        <d v="2024-09-13T00:00:00Z"/>
        <d v="2024-09-14T00:00:00Z"/>
        <d v="2024-09-15T00:00:00Z"/>
        <d v="2024-09-16T00:00:00Z"/>
        <d v="2024-09-17T00:00:00Z"/>
        <d v="2024-09-18T00:00:00Z"/>
        <d v="2024-09-19T00:00:00Z"/>
        <d v="2024-09-20T00:00:00Z"/>
        <d v="2024-09-21T00:00:00Z"/>
        <d v="2024-09-22T00:00:00Z"/>
        <d v="2024-09-23T00:00:00Z"/>
        <d v="2024-09-24T00:00:00Z"/>
        <d v="2024-09-25T00:00:00Z"/>
        <d v="2024-09-26T00:00:00Z"/>
        <d v="2024-09-27T00:00:00Z"/>
        <d v="2024-09-28T00:00:00Z"/>
        <d v="2024-09-29T00:00:00Z"/>
        <d v="2024-09-30T00:00:00Z"/>
        <d v="2024-10-01T00:00:00Z"/>
        <d v="2024-10-02T00:00:00Z"/>
        <d v="2024-10-03T00:00:00Z"/>
        <d v="2024-10-04T00:00:00Z"/>
        <d v="2024-10-05T00:00:00Z"/>
        <d v="2024-10-06T00:00:00Z"/>
        <d v="2024-10-07T00:00:00Z"/>
        <d v="2024-10-08T00:00:00Z"/>
        <d v="2024-10-09T00:00:00Z"/>
        <d v="2024-10-10T00:00:00Z"/>
        <d v="2024-10-11T00:00:00Z"/>
        <d v="2024-10-12T00:00:00Z"/>
        <d v="2024-10-13T00:00:00Z"/>
        <d v="2024-10-14T00:00:00Z"/>
        <d v="2024-10-15T00:00:00Z"/>
        <d v="2024-10-16T00:00:00Z"/>
        <d v="2024-10-17T00:00:00Z"/>
        <d v="2024-10-18T00:00:00Z"/>
        <d v="2024-10-19T00:00:00Z"/>
        <d v="2024-10-20T00:00:00Z"/>
        <d v="2024-10-21T00:00:00Z"/>
        <d v="2024-10-22T00:00:00Z"/>
        <d v="2024-10-23T00:00:00Z"/>
        <d v="2024-10-24T00:00:00Z"/>
        <d v="2024-10-25T00:00:00Z"/>
        <d v="2024-10-26T00:00:00Z"/>
        <d v="2024-10-27T00:00:00Z"/>
        <d v="2024-10-28T00:00:00Z"/>
        <d v="2024-10-29T00:00:00Z"/>
        <d v="2024-10-30T00:00:00Z"/>
        <d v="2024-10-31T00:00:00Z"/>
        <d v="2024-11-01T00:00:00Z"/>
        <d v="2024-11-02T00:00:00Z"/>
        <d v="2024-11-03T00:00:00Z"/>
        <d v="2024-11-04T00:00:00Z"/>
        <d v="2024-11-05T00:00:00Z"/>
        <d v="2024-11-06T00:00:00Z"/>
        <d v="2024-11-07T00:00:00Z"/>
        <d v="2024-11-08T00:00:00Z"/>
        <d v="2024-11-09T00:00:00Z"/>
        <d v="2024-11-10T00:00:00Z"/>
        <d v="2024-11-11T00:00:00Z"/>
        <d v="2024-11-12T00:00:00Z"/>
        <d v="2024-11-13T00:00:00Z"/>
        <d v="2024-11-14T00:00:00Z"/>
        <d v="2024-11-15T00:00:00Z"/>
        <d v="2024-11-16T00:00:00Z"/>
        <d v="2024-11-17T00:00:00Z"/>
        <d v="2024-11-18T00:00:00Z"/>
        <d v="2024-11-19T00:00:00Z"/>
        <d v="2024-11-20T00:00:00Z"/>
        <d v="2024-11-21T00:00:00Z"/>
        <d v="2024-11-22T00:00:00Z"/>
        <d v="2024-11-23T00:00:00Z"/>
        <d v="2024-11-24T00:00:00Z"/>
        <d v="2024-11-25T00:00:00Z"/>
        <d v="2024-11-26T00:00:00Z"/>
        <d v="2024-11-27T00:00:00Z"/>
        <d v="2024-11-28T00:00:00Z"/>
        <d v="2024-11-29T00:00:00Z"/>
        <d v="2024-11-30T00:00:00Z"/>
        <d v="2024-12-01T00:00:00Z"/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7T00:00:00Z"/>
        <d v="2024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d v="2025-01-02T00:00:00Z"/>
        <d v="2025-01-03T00:00:00Z"/>
        <d v="2025-01-04T00:00:00Z"/>
        <d v="2025-01-05T00:00:00Z"/>
        <d v="2025-01-06T00:00:00Z"/>
        <d v="2025-01-07T00:00:00Z"/>
        <d v="2025-01-08T00:00:00Z"/>
        <d v="2025-01-09T00:00:00Z"/>
        <d v="2025-01-10T00:00:00Z"/>
        <d v="2025-01-11T00:00:00Z"/>
        <d v="2025-01-12T00:00:00Z"/>
        <d v="2025-01-13T00:00:00Z"/>
        <d v="2025-01-14T00:00:00Z"/>
        <d v="2025-01-15T00:00:00Z"/>
        <d v="2025-01-16T00:00:00Z"/>
        <d v="2025-01-17T00:00:00Z"/>
        <d v="2025-01-18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25-01-29T00:00:00Z"/>
        <d v="2025-01-30T00:00:00Z"/>
        <d v="2025-01-31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3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7T00:00:00Z"/>
        <d v="2025-03-18T00:00:00Z"/>
        <d v="2025-03-19T00:00:00Z"/>
        <d v="2025-03-20T00:00:00Z"/>
        <d v="2025-03-21T00:00:00Z"/>
        <d v="2025-03-22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  <d v="2025-04-01T00:00:00Z"/>
        <d v="2025-04-02T00:00:00Z"/>
        <d v="2025-04-03T00:00:00Z"/>
        <d v="2025-04-04T00:00:00Z"/>
        <d v="2025-04-05T00:00:00Z"/>
        <d v="2025-04-06T00:00:00Z"/>
        <d v="2025-04-07T00:00:00Z"/>
        <d v="2025-04-08T00:00:00Z"/>
        <d v="2025-04-09T00:00:00Z"/>
        <d v="2025-04-10T00:00:00Z"/>
        <d v="2025-04-11T00:00:00Z"/>
        <d v="2025-04-12T00:00:00Z"/>
        <d v="2025-04-13T00:00:00Z"/>
        <d v="2025-04-14T00:00:00Z"/>
        <d v="2025-04-15T00:00:00Z"/>
        <d v="2025-04-16T00:00:00Z"/>
        <d v="2025-04-17T00:00:00Z"/>
        <d v="2025-04-18T00:00:00Z"/>
        <d v="2025-04-19T00:00:00Z"/>
        <d v="2025-04-20T00:00:00Z"/>
        <d v="2025-04-21T00:00:00Z"/>
        <d v="2025-04-22T00:00:00Z"/>
        <d v="2025-04-23T00:00:00Z"/>
        <d v="2025-04-24T00:00:00Z"/>
        <d v="2025-04-25T00:00:00Z"/>
        <d v="2025-04-26T00:00:00Z"/>
        <d v="2025-04-27T00:00:00Z"/>
        <d v="2025-04-28T00:00:00Z"/>
        <d v="2025-04-29T00:00:00Z"/>
        <d v="2025-04-30T00:00:00Z"/>
        <d v="2025-05-01T00:00:00Z"/>
        <d v="2025-05-02T00:00:00Z"/>
        <d v="2025-05-03T00:00:00Z"/>
        <d v="2025-05-04T00:00:00Z"/>
        <d v="2025-05-05T00:00:00Z"/>
        <d v="2025-05-06T00:00:00Z"/>
        <d v="2025-05-07T00:00:00Z"/>
        <d v="2025-05-08T00:00:00Z"/>
        <d v="2025-05-09T00:00:00Z"/>
        <d v="2025-05-10T00:00:00Z"/>
        <d v="2025-05-11T00:00:00Z"/>
        <d v="2025-05-12T00:00:00Z"/>
        <d v="2025-05-13T00:00:00Z"/>
        <d v="2025-05-14T00:00:00Z"/>
        <d v="2025-05-15T00:00:00Z"/>
        <d v="2025-05-16T00:00:00Z"/>
        <d v="2025-05-17T00:00:00Z"/>
        <d v="2025-05-18T00:00:00Z"/>
        <d v="2025-05-19T00:00:00Z"/>
        <d v="2025-05-20T00:00:00Z"/>
        <d v="2025-05-21T00:00:00Z"/>
        <d v="2025-05-22T00:00:00Z"/>
        <d v="2025-05-23T00:00:00Z"/>
        <d v="2025-05-24T00:00:00Z"/>
        <d v="2025-05-25T00:00:00Z"/>
        <d v="2025-05-26T00:00:00Z"/>
        <d v="2025-05-27T00:00:00Z"/>
        <d v="2025-05-28T00:00:00Z"/>
        <d v="2025-05-29T00:00:00Z"/>
        <d v="2025-05-30T00:00:00Z"/>
        <d v="2025-05-31T00:00:00Z"/>
        <d v="2025-06-01T00:00:00Z"/>
        <d v="2025-06-02T00:00:00Z"/>
        <d v="2025-06-03T00:00:00Z"/>
        <d v="2025-06-04T00:00:00Z"/>
        <d v="2025-06-05T00:00:00Z"/>
        <d v="2025-06-06T00:00:00Z"/>
        <d v="2025-06-07T00:00:00Z"/>
        <d v="2025-06-08T00:00:00Z"/>
        <d v="2025-06-09T00:00:00Z"/>
        <d v="2025-06-10T00:00:00Z"/>
        <d v="2025-06-11T00:00:00Z"/>
        <d v="2025-06-12T00:00:00Z"/>
        <d v="2025-06-13T00:00:00Z"/>
        <d v="2025-06-14T00:00:00Z"/>
        <d v="2025-06-15T00:00:00Z"/>
        <d v="2025-06-16T00:00:00Z"/>
        <d v="2025-06-17T00:00:00Z"/>
        <d v="2025-06-18T00:00:00Z"/>
        <d v="2025-06-19T00:00:00Z"/>
        <d v="2025-06-20T00:00:00Z"/>
        <d v="2025-06-21T00:00:00Z"/>
        <d v="2025-06-22T00:00:00Z"/>
        <d v="2025-06-23T00:00:00Z"/>
        <d v="2025-06-24T00:00:00Z"/>
        <d v="2025-06-25T00:00:00Z"/>
        <d v="2025-06-26T00:00:00Z"/>
        <d v="2025-06-27T00:00:00Z"/>
        <d v="2025-06-28T00:00:00Z"/>
        <d v="2025-06-29T00:00:00Z"/>
        <d v="2025-06-30T00:00:00Z"/>
        <d v="2025-07-01T00:00:00Z"/>
        <d v="2025-07-02T00:00:00Z"/>
        <d v="2025-07-03T00:00:00Z"/>
        <d v="2025-07-04T00:00:00Z"/>
        <d v="2025-07-05T00:00:00Z"/>
        <d v="2025-07-06T00:00:00Z"/>
        <d v="2025-07-07T00:00:00Z"/>
        <d v="2025-07-08T00:00:00Z"/>
        <d v="2025-07-09T00:00:00Z"/>
        <d v="2025-07-10T00:00:00Z"/>
        <d v="2025-07-11T00:00:00Z"/>
        <d v="2025-07-12T00:00:00Z"/>
        <d v="2025-07-13T00:00:00Z"/>
        <d v="2025-07-14T00:00:00Z"/>
        <d v="2025-07-15T00:00:00Z"/>
        <d v="2025-07-16T00:00:00Z"/>
        <d v="2025-07-17T00:00:00Z"/>
        <d v="2025-07-18T00:00:00Z"/>
        <d v="2025-07-19T00:00:00Z"/>
        <d v="2025-07-20T00:00:00Z"/>
        <d v="2025-07-21T00:00:00Z"/>
        <d v="2025-07-22T00:00:00Z"/>
      </sharedItems>
    </cacheField>
    <cacheField name="Cap. Autocompras" numFmtId="0">
      <sharedItems containsString="0" containsBlank="1" containsNumber="1">
        <m/>
        <n v="28168.0"/>
        <n v="984.87"/>
        <n v="0.0"/>
        <n v="8500.0"/>
        <n v="4265.32"/>
        <n v="7910.27"/>
        <n v="3500.0"/>
        <n v="3800.0"/>
        <n v="132352.84"/>
        <n v="7874.38"/>
        <n v="40059.39"/>
        <n v="2769.47"/>
        <n v="6368.54"/>
        <n v="22305.99"/>
        <n v="16068.6"/>
        <n v="5410.8"/>
        <n v="10633.25"/>
        <n v="7101.39"/>
        <n v="18020.14"/>
        <n v="89760.08"/>
        <n v="39222.19"/>
        <n v="1876.0"/>
        <n v="1370.63"/>
        <n v="1609.0"/>
        <n v="1359.0"/>
        <n v="1200.0"/>
        <n v="41824.04"/>
        <n v="932.47"/>
        <n v="23171.7"/>
        <n v="28433.5"/>
        <n v="4211.29"/>
        <n v="2784.48"/>
        <n v="17658.53"/>
        <n v="10604.36"/>
        <n v="5611.7"/>
        <n v="13128.46"/>
        <n v="20652.45"/>
        <n v="49733.35"/>
        <n v="4851.81"/>
        <n v="16106.12"/>
        <n v="9330.28"/>
        <n v="21726.13"/>
        <n v="91864.01000000001"/>
        <n v="2400.0"/>
        <n v="2100.0"/>
        <n v="1500.0"/>
        <n v="28297.19"/>
        <n v="8287.6"/>
        <n v="103304.44"/>
        <n v="55054.03"/>
        <n v="14313.29"/>
        <n v="35876.87"/>
        <n v="55624.22"/>
        <n v="20342.04"/>
        <n v="7002.47"/>
        <n v="29233.4"/>
        <n v="22211.24"/>
        <n v="15783.48"/>
        <n v="22587.75"/>
        <n v="17235.13"/>
        <n v="120045.54"/>
        <n v="84402.73"/>
        <n v="11722.58"/>
        <n v="14580.41"/>
        <n v="29046.17"/>
        <n v="45995.98"/>
        <n v="2500.0"/>
        <n v="2000.0"/>
        <n v="84891.7"/>
        <n v="16138.69"/>
        <n v="56708.4"/>
        <n v="4800.95"/>
        <n v="5794.1"/>
        <n v="7241.98"/>
        <n v="7788.5"/>
        <n v="54149.26"/>
        <n v="63268.44"/>
        <n v="11559.64"/>
        <n v="38649.65"/>
        <n v="19842.49"/>
        <n v="45075.090000000004"/>
        <n v="7621.06"/>
        <n v="14420.24"/>
        <n v="22907.86"/>
        <n v="48895.67"/>
        <n v="2300.0"/>
        <n v="1300.0"/>
        <n v="1260.0"/>
        <n v="54062.34"/>
        <n v="13300.94"/>
        <n v="20548.4"/>
        <n v="11395.98"/>
        <n v="4193.64"/>
        <n v="13673.85"/>
        <n v="26216.97"/>
        <n v="12857.9"/>
        <n v="13457.35"/>
        <n v="60158.92"/>
        <n v="11240.39"/>
        <n v="142897.85"/>
        <n v="10330.82"/>
        <n v="11502.34"/>
        <n v="7176.39"/>
        <n v="9524.81"/>
        <n v="21617.46"/>
        <n v="36942.17"/>
        <n v="50606.299999999996"/>
        <n v="2123.12"/>
        <n v="1253.0"/>
        <n v="1231.0"/>
        <n v="43111.74"/>
        <n v="20047.84"/>
        <n v="9732.35"/>
        <n v="14525.03"/>
        <n v="22805.65"/>
        <n v="11454.53"/>
        <n v="2769.04"/>
        <n v="24830.13"/>
        <n v="98076.38"/>
        <n v="18369.13"/>
        <n v="11044.68"/>
        <n v="231900.58"/>
        <n v="78535.04"/>
        <n v="19486.32"/>
        <n v="157964.92"/>
        <n v="6769.21"/>
        <n v="9393.6"/>
        <n v="37472.66"/>
        <n v="66736.44"/>
        <n v="1269.2"/>
        <n v="1000.0"/>
        <n v="83550.95"/>
        <n v="69595.0"/>
        <n v="31217.95"/>
        <n v="6033.09"/>
        <n v="3287.81"/>
        <n v="9000.28"/>
        <n v="19085.84"/>
        <n v="46005.32"/>
        <n v="27965.79"/>
        <n v="9944.99"/>
        <n v="10645.55"/>
        <n v="5100.8"/>
        <n v="20242.74"/>
        <n v="13103.21"/>
        <n v="18997.78"/>
        <n v="10327.76"/>
        <n v="13143.18"/>
        <n v="6470.42"/>
        <n v="197712.89"/>
        <n v="5000.0"/>
        <n v="4000.0"/>
        <n v="47702.94"/>
        <n v="35981.43"/>
        <n v="18902.45"/>
        <n v="70107.86"/>
        <n v="4666.93"/>
        <n v="20775.25"/>
        <n v="19834.15"/>
        <n v="18953.06"/>
        <n v="16153.18"/>
        <n v="9615.23"/>
        <n v="29463.09"/>
        <n v="59113.34"/>
        <n v="11626.31"/>
        <n v="23526.55"/>
        <n v="17091.41"/>
        <n v="32580.48"/>
        <n v="34047.92"/>
        <n v="42435.04"/>
        <n v="77877.91"/>
        <n v="41779.28"/>
        <n v="31080.45"/>
        <n v="101918.37"/>
        <n v="7924.51"/>
        <n v="20371.79"/>
        <n v="154476.99"/>
        <n v="49533.71"/>
        <n v="15184.6"/>
        <n v="24655.27"/>
        <n v="39529.94"/>
        <n v="11621.74"/>
        <n v="15225.29"/>
        <n v="5658.87"/>
        <n v="11409.05"/>
        <n v="187496.31"/>
        <n v="5813.32"/>
        <n v="23410.1"/>
        <n v="15536.34"/>
        <n v="27241.96"/>
        <n v="82246.68"/>
        <n v="1256.0"/>
        <n v="1105.0"/>
        <n v="1523.0"/>
        <n v="1254.0"/>
        <n v="42548.47"/>
        <n v="80147.17"/>
        <n v="52312.19"/>
        <n v="19562.35"/>
        <n v="2637.12"/>
        <n v="19282.19"/>
        <n v="21334.81"/>
        <n v="33113.92"/>
        <n v="25878.83"/>
        <n v="18398.37"/>
        <n v="13383.96"/>
        <n v="8425.78"/>
        <n v="7865.96"/>
        <n v="41908.96"/>
        <n v="173210.47999999998"/>
        <n v="1259.0"/>
        <n v="1423.0"/>
        <n v="956.0"/>
        <n v="34448.12"/>
        <n v="28988.1"/>
        <n v="27796.34"/>
        <n v="25939.08"/>
        <n v="20112.07"/>
        <n v="11716.82"/>
        <n v="22018.23"/>
        <n v="29211.05"/>
        <n v="20100.07"/>
        <n v="21962.85"/>
        <n v="19895.44"/>
        <n v="15310.72"/>
        <n v="19965.98"/>
        <n v="23660.28"/>
        <n v="12474.97"/>
        <n v="51325.41"/>
        <n v="115851.87"/>
        <n v="7581.17"/>
        <n v="34713.75"/>
        <n v="112244.04"/>
        <n v="3612.0"/>
        <n v="1574.0"/>
        <n v="1322.0"/>
        <n v="55729.46"/>
        <n v="44620.46"/>
        <n v="29684.98"/>
        <n v="22464.55"/>
        <n v="17748.53"/>
        <n v="85299.86"/>
        <n v="24089.12"/>
        <n v="28679.31"/>
        <n v="21802.93"/>
        <n v="19929.11"/>
        <n v="38895.17"/>
        <n v="20188.01"/>
        <n v="15722.29"/>
        <n v="10252.21"/>
        <n v="23793.74"/>
        <n v="17192.51"/>
        <n v="425797.47"/>
        <n v="10236.0"/>
        <n v="4125.0"/>
        <n v="1400.0"/>
        <n v="14893.02"/>
        <n v="26281.05"/>
        <n v="33688.88"/>
        <n v="21202.7"/>
        <n v="13633.13"/>
        <n v="33067.12"/>
        <n v="32804.07"/>
        <n v="30188.94"/>
        <n v="30131.74"/>
        <n v="13037.83"/>
        <n v="25290.3"/>
        <n v="16734.68"/>
        <n v="26384.52"/>
        <n v="21084.66"/>
        <n v="53587.8"/>
        <n v="13548.72"/>
        <n v="102725.0"/>
        <n v="1348700.2000000002"/>
        <n v="14652.0"/>
        <n v="1234.0"/>
        <n v="1278.0"/>
        <n v="28820.29"/>
        <n v="43377.69"/>
        <n v="13341.5"/>
        <n v="35127.59"/>
        <n v="23889.91"/>
        <n v="128222.58"/>
        <n v="36723.82"/>
        <n v="48463.48"/>
        <n v="47326.88"/>
        <n v="41408.21"/>
        <n v="44833.81"/>
        <n v="77282.17"/>
        <n v="36556.19"/>
        <n v="26012.3"/>
        <n v="153226.36"/>
        <n v="27176.85"/>
        <n v="54084.58"/>
        <n v="39438.04"/>
        <n v="54136.0"/>
        <n v="25436.0"/>
        <n v="14777.0"/>
        <n v="8745.0"/>
        <n v="58779.0"/>
        <n v="187477.05"/>
        <n v="28774.0"/>
        <n v="17444.0"/>
        <n v="65899.0"/>
        <n v="100999.0"/>
        <n v="35999.0"/>
        <n v="25778.3"/>
        <n v="15786.2"/>
        <n v="200000.0"/>
        <n v="100000.3"/>
        <n v="43999.0"/>
        <n v="941120.5"/>
        <n v="1800.0"/>
        <n v="1433.0"/>
        <n v="1110.0"/>
        <n v="91990.03"/>
        <n v="28755.0"/>
        <n v="42163.0"/>
        <n v="27456.0"/>
        <n v="15896.3"/>
        <n v="17453.2"/>
        <n v="84666.0"/>
        <n v="10766.0"/>
        <n v="20445.0"/>
        <n v="17845.0"/>
        <n v="10745.0"/>
        <n v="16807.72"/>
        <n v="7456.0"/>
        <n v="10762.0"/>
        <n v="11456.0"/>
        <n v="45122.0"/>
        <n v="269166.0"/>
        <n v="1236.0"/>
        <n v="21427.0"/>
        <n v="16596.21"/>
        <n v="32465.0"/>
        <n v="70123.0"/>
        <n v="15476.0"/>
        <n v="10469.0"/>
        <n v="15469.0"/>
        <n v="45763.0"/>
        <n v="94563.0"/>
        <n v="25761.74"/>
        <n v="30412.0"/>
        <n v="15466.0"/>
        <n v="17719.99"/>
      </sharedItems>
    </cacheField>
    <cacheField name="Cap. Sobre vehículo" numFmtId="0">
      <sharedItems containsString="0" containsBlank="1" containsNumber="1">
        <m/>
        <n v="17543.53"/>
        <n v="1517.74"/>
        <n v="0.0"/>
        <n v="2798.0"/>
        <n v="3067.26"/>
        <n v="4558.31"/>
        <n v="2489.0"/>
        <n v="3000.0"/>
        <n v="405.09"/>
        <n v="10155.3"/>
        <n v="95063.39"/>
        <n v="2946.75"/>
        <n v="109.71"/>
        <n v="2295.67"/>
        <n v="1345.18"/>
        <n v="1292.42"/>
        <n v="4741.14"/>
        <n v="2644.08"/>
        <n v="14487.01"/>
        <n v="30460.51"/>
        <n v="2963.0"/>
        <n v="3716.38"/>
        <n v="1000.0"/>
        <n v="1800.0"/>
        <n v="1002.0"/>
        <n v="16533.09"/>
        <n v="3482.72"/>
        <n v="7025.95"/>
        <n v="65814.88"/>
        <n v="280.12"/>
        <n v="8818.23"/>
        <n v="3008.16"/>
        <n v="140089.93"/>
        <n v="1376.72"/>
        <n v="1529.38"/>
        <n v="852.69"/>
        <n v="392.99"/>
        <n v="734.94"/>
        <n v="1436.04"/>
        <n v="33926.08"/>
        <n v="12196.400000000001"/>
        <n v="650.0"/>
        <n v="850.0"/>
        <n v="630.0"/>
        <n v="225.93"/>
        <n v="7647.29"/>
        <n v="44021.25"/>
        <n v="477.91"/>
        <n v="2276.16"/>
        <n v="1047.09"/>
        <n v="208.78"/>
        <n v="1726.09"/>
        <n v="851.08"/>
        <n v="50475.14"/>
        <n v="1229.47"/>
        <n v="478.6"/>
        <n v="929.0"/>
        <n v="1516.46"/>
        <n v="485.94"/>
        <n v="4549.73"/>
        <n v="11788.5"/>
        <n v="6737.0"/>
        <n v="1200.0"/>
        <n v="980.0"/>
        <n v="300.0"/>
        <n v="89.59"/>
        <n v="535.69"/>
        <n v="651.58"/>
        <n v="1254.58"/>
        <n v="1658.36"/>
        <n v="798.0"/>
        <n v="178.75"/>
        <n v="331.53"/>
        <n v="1715.83"/>
        <n v="419.84"/>
        <n v="3962.28"/>
        <n v="3383.59"/>
        <n v="28285.579999999998"/>
        <n v="10762.18"/>
        <n v="1500.0"/>
        <n v="400.0"/>
        <n v="800.0"/>
        <n v="10427.42"/>
        <n v="460.49"/>
        <n v="663.69"/>
        <n v="900.1"/>
        <n v="673.47"/>
        <n v="419.02"/>
        <n v="1586.12"/>
        <n v="845.46"/>
        <n v="618.78"/>
        <n v="301.54"/>
        <n v="871.38"/>
        <n v="1674.69"/>
        <n v="308.02"/>
        <n v="402.77"/>
        <n v="1419.61"/>
        <n v="1769.06"/>
        <n v="5679.54"/>
        <n v="956.0"/>
        <n v="51220.63"/>
        <n v="1556.09"/>
        <n v="3312.43"/>
        <n v="719.49"/>
        <n v="1603.0"/>
        <n v="794.11"/>
        <n v="167.09"/>
        <n v="235.29"/>
        <n v="1270.96"/>
        <n v="770.64"/>
        <n v="2514.32"/>
        <n v="4266.12"/>
        <n v="171075.53"/>
        <n v="23288.1"/>
        <n v="38837.81"/>
        <n v="950.0"/>
        <n v="600.0"/>
        <n v="130.0"/>
        <n v="1946.38"/>
        <n v="448.52"/>
        <n v="412.33"/>
        <n v="1938.75"/>
        <n v="907.3"/>
        <n v="1901.24"/>
        <n v="22198.03"/>
        <n v="322.15"/>
        <n v="3028.03"/>
        <n v="300.93"/>
        <n v="2534.69"/>
        <n v="703.39"/>
        <n v="412.36"/>
        <n v="135013.33000000002"/>
        <n v="1300.0"/>
        <n v="1957.96"/>
        <n v="1721.77"/>
        <n v="1944.54"/>
        <n v="146.6"/>
        <n v="477.78"/>
        <n v="898.81"/>
        <n v="1717.44"/>
        <n v="1125.15"/>
        <n v="503.93"/>
        <n v="790.21"/>
        <n v="1885.31"/>
        <n v="1771.29"/>
        <n v="3045.18"/>
        <n v="695.14"/>
        <n v="500.0"/>
        <n v="22074.58"/>
        <n v="971.26"/>
        <n v="27764.2"/>
        <n v="1956.07"/>
        <n v="592.07"/>
        <n v="507.37"/>
        <n v="1480.1"/>
        <n v="1940.59"/>
        <n v="250.64"/>
        <n v="795.77"/>
        <n v="1524.99"/>
        <n v="498.31"/>
        <n v="1935.98"/>
        <n v="1370.97"/>
        <n v="2244.26"/>
        <n v="61.22"/>
        <n v="13104.359999999999"/>
        <n v="260.0"/>
        <n v="176.0"/>
        <n v="505.0"/>
        <n v="631.2"/>
        <n v="716.94"/>
        <n v="3416.54"/>
        <n v="1331.52"/>
        <n v="1911.62"/>
        <n v="523.38"/>
        <n v="189.9"/>
        <n v="471.77"/>
        <n v="1889.81"/>
        <n v="573.67"/>
        <n v="1542.44"/>
        <n v="2200.27"/>
        <n v="1865.31"/>
        <n v="4745.86"/>
        <n v="263.0"/>
        <n v="356.0"/>
        <n v="4533.0"/>
        <n v="2038.5"/>
        <n v="239.19"/>
        <n v="375.5"/>
        <n v="2286.31"/>
        <n v="3003.81"/>
        <n v="1479.52"/>
        <n v="3209.48"/>
        <n v="832.3"/>
        <n v="592.96"/>
        <n v="14463.47"/>
        <n v="2074.71"/>
        <n v="329.72"/>
        <n v="1579.6"/>
        <n v="529.11"/>
        <n v="682.08"/>
        <n v="2461.65"/>
        <n v="25280.329999999998"/>
        <n v="2451.0"/>
        <n v="1347.0"/>
        <n v="1345.0"/>
        <n v="1456.0"/>
        <n v="1803.1"/>
        <n v="340.8"/>
        <n v="15452.48"/>
        <n v="2831.53"/>
        <n v="2238.96"/>
        <n v="167.32"/>
        <n v="1518.49"/>
        <n v="1020.38"/>
        <n v="339.02"/>
        <n v="2318.14"/>
        <n v="960.18"/>
        <n v="170.21"/>
        <n v="13789.63"/>
        <n v="212.15"/>
        <n v="40661.39"/>
        <n v="1420.0"/>
        <n v="691.17"/>
        <n v="817.76"/>
        <n v="355.0"/>
        <n v="357.0"/>
        <n v="1630.44"/>
        <n v="639.16"/>
        <n v="5057.18"/>
        <n v="2688.93"/>
        <n v="438.33"/>
        <n v="1388.12"/>
        <n v="1975.51"/>
        <n v="240.67"/>
        <n v="9452.64"/>
        <n v="2221.99"/>
        <n v="95.37"/>
        <n v="488.16"/>
        <n v="231105.03999999998"/>
        <n v="1110.0"/>
        <n v="1111.0"/>
        <n v="1562.0"/>
        <n v="1189.0"/>
        <n v="4123.0"/>
        <n v="911.26"/>
        <n v="22702.74"/>
        <n v="80337.2"/>
        <n v="2710.46"/>
        <n v="2627.25"/>
        <n v="3949.29"/>
        <n v="406.48"/>
        <n v="2275.91"/>
        <n v="978.87"/>
        <n v="1617.3"/>
        <n v="5915.96"/>
        <n v="520.0"/>
        <n v="100.0"/>
        <n v="104.95"/>
        <n v="5062.86"/>
        <n v="1757.83"/>
        <n v="7704.98"/>
        <n v="8490.12"/>
        <n v="5605.33"/>
        <n v="4508.94"/>
        <n v="2745.95"/>
        <n v="14779.0"/>
        <n v="2222.0"/>
        <n v="3111.2"/>
        <n v="7440.11"/>
        <n v="12745.0"/>
        <n v="6430.23"/>
        <n v="3477.0"/>
        <n v="3333.3"/>
        <n v="1844.0"/>
        <n v="49113.2"/>
        <n v="1100.0"/>
        <n v="1233.3"/>
        <n v="944.2"/>
        <n v="32223.0"/>
        <n v="3744.0"/>
        <n v="2411.0"/>
        <n v="1220.0"/>
        <n v="1852.18"/>
        <n v="3221.0"/>
        <n v="4759.0"/>
        <n v="4519.83"/>
        <n v="5125.71"/>
        <n v="3485.51"/>
        <n v="2348.09"/>
        <n v="1999.0"/>
        <n v="4823.99"/>
        <n v="9466.0"/>
        <n v="10132.0"/>
        <n v="1102.0"/>
        <n v="986.0"/>
        <n v="2656.0"/>
        <n v="2415.0"/>
        <n v="5981.87"/>
        <n v="2223.2"/>
        <n v="4777.0"/>
        <n v="5332.2"/>
        <n v="5799.0"/>
        <n v="10457.0"/>
        <n v="3412.0"/>
        <n v="2836.58"/>
        <n v="2666.0"/>
      </sharedItems>
    </cacheField>
    <cacheField name="Nuevo Cap. Autocompras" numFmtId="0">
      <sharedItems containsString="0" containsBlank="1" containsNumber="1">
        <m/>
        <n v="3856.47"/>
        <n v="0.0"/>
        <n v="1193.6"/>
        <n v="2700.84"/>
        <n v="1732.52"/>
        <n v="1673.88"/>
        <n v="3048.27"/>
        <n v="4313.55"/>
        <n v="10544.24"/>
        <n v="795.352"/>
        <n v="2387.86"/>
        <n v="1638.89"/>
        <n v="1115.81"/>
        <n v="2575.05"/>
        <n v="1666.43"/>
        <n v="1384.55"/>
        <n v="1761.63"/>
        <n v="2154.06"/>
        <n v="4594.27"/>
        <n v="2417.46"/>
        <n v="21440.420000000002"/>
        <n v="808.71"/>
        <n v="1362.65"/>
        <n v="1059.16"/>
        <n v="2618.31"/>
        <n v="1407.81"/>
        <n v="3251.03"/>
        <n v="3127.15"/>
        <n v="14921.59"/>
        <n v="3396.66"/>
        <n v="6363.5"/>
        <n v="1385.54"/>
        <n v="1791.22"/>
        <n v="2755.89"/>
        <n v="790.34"/>
        <n v="4129.25"/>
        <n v="5169.14"/>
        <n v="3071.5"/>
        <n v="3236.35"/>
        <n v="9256.64"/>
        <n v="20610.3"/>
        <n v="5634.29"/>
        <n v="3372.04"/>
        <n v="5763.0"/>
        <n v="5463.0"/>
        <n v="1111.0"/>
        <n v="2678.0"/>
        <n v="2994.53"/>
        <n v="3871.71"/>
        <n v="3584.65"/>
        <n v="1844.19"/>
        <n v="5472.23"/>
        <n v="5777.0"/>
        <n v="3582.53"/>
        <n v="3315.89"/>
        <n v="3452.8"/>
        <n v="1423.98"/>
        <n v="34625.21"/>
        <n v="20922.0"/>
        <n v="1462.63"/>
        <n v="1847.34"/>
        <n v="1607.01"/>
        <n v="2770.35"/>
        <n v="2777.0"/>
        <n v="3239.23"/>
        <n v="2411.0"/>
        <n v="2966.0"/>
        <n v="2477.0"/>
        <n v="1300.0"/>
        <n v="1594.32"/>
        <n v="3821.71"/>
        <n v="14876.619999999999"/>
        <n v="2568.11"/>
        <n v="13456.0"/>
        <n v="10453.0"/>
        <n v="10456.0"/>
        <n v="2454.16"/>
        <n v="3827.72"/>
        <n v="4993.54"/>
        <n v="3713.39"/>
        <n v="10222.0"/>
        <n v="1986.0"/>
      </sharedItems>
    </cacheField>
    <cacheField name="Cap. Hipotecario" numFmtId="0">
      <sharedItems containsString="0" containsBlank="1" containsNumber="1">
        <m/>
        <n v="0.0"/>
        <n v="1497.74"/>
        <n v="15517.3"/>
        <n v="84.8"/>
        <n v="36.0"/>
        <n v="2910.95"/>
        <n v="1966.29"/>
        <n v="780.0"/>
        <n v="751.29"/>
        <n v="971.91"/>
        <n v="36.6"/>
        <n v="86.23"/>
        <n v="2959.85"/>
        <n v="2004.84"/>
        <n v="988.23"/>
        <n v="2852.25"/>
        <n v="1501.9"/>
        <n v="37.23"/>
        <n v="1948.24"/>
        <n v="87.67"/>
        <n v="34962.56"/>
        <n v="2044.13"/>
        <n v="1535.55"/>
        <n v="4019.71"/>
        <n v="2018.82"/>
        <n v="16447.72"/>
        <n v="90.65"/>
        <n v="3060.14"/>
        <n v="2084.2"/>
        <n v="1021.72"/>
        <n v="38.49"/>
        <n v="2014.25"/>
        <n v="3001.08"/>
        <n v="1572.83"/>
        <n v="3111.5"/>
        <n v="2125.05"/>
        <n v="1771.75"/>
        <n v="1038.88"/>
        <n v="3078.38"/>
        <n v="39.13"/>
        <n v="2048.09"/>
        <n v="2166.7"/>
        <n v="2757.25"/>
        <n v="185.89"/>
        <n v="1647.75"/>
        <n v="4214.02"/>
        <n v="33868.87"/>
        <n v="3216.97"/>
        <n v="2209.17"/>
        <n v="3902.24"/>
        <n v="1074.08"/>
        <n v="3239.01"/>
        <n v="2157.94"/>
        <n v="96.89"/>
        <n v="3271.02"/>
        <n v="1722.39"/>
        <n v="2194.2"/>
        <n v="3322.44"/>
        <n v="1190.65"/>
        <n v="3325.97"/>
        <n v="2688.61"/>
        <n v="1824.66"/>
        <n v="2231.06"/>
        <n v="3408.03"/>
        <n v="100.18"/>
        <n v="3381.85"/>
        <n v="1110.47"/>
        <n v="5361.35"/>
        <n v="2268.54"/>
        <n v="101.86"/>
        <n v="3438.66"/>
        <n v="309747.59"/>
        <n v="1172.38"/>
        <n v="458247.1"/>
        <n v="1907.32"/>
        <n v="3585.86"/>
        <n v="103.57"/>
        <n v="1148.1"/>
        <n v="3496.43"/>
        <n v="517239.51"/>
        <n v="1930.05"/>
        <n v="3678.22"/>
        <n v="50750.0"/>
        <n v="105.31"/>
        <n v="3555.17"/>
        <n v="43.97"/>
        <n v="5566.25"/>
        <n v="107.08"/>
        <n v="3614.9"/>
        <n v="90.17"/>
        <n v="1167.39"/>
        <n v="9888.0"/>
        <n v="2223.3"/>
        <n v="1100.0"/>
        <n v="2094.46"/>
        <n v="4057.67"/>
        <n v="3335.12"/>
        <n v="3256.0"/>
        <n v="3076.72"/>
        <n v="1715.76"/>
      </sharedItems>
    </cacheField>
    <cacheField name="Cap. Extra financiamiento" numFmtId="0">
      <sharedItems containsString="0" containsBlank="1" containsNumber="1">
        <m/>
        <n v="0.0"/>
        <n v="1115.46"/>
        <n v="35000.0"/>
        <n v="1202.02"/>
        <n v="431.16"/>
        <n v="3432.64"/>
        <n v="438.41"/>
        <n v="1628.95"/>
        <n v="453.26"/>
        <n v="4780.83"/>
        <n v="976.54"/>
        <n v="2100.75"/>
        <n v="1287.31"/>
        <n v="590.84"/>
        <n v="1983.62"/>
        <n v="1148.1"/>
      </sharedItems>
    </cacheField>
    <cacheField name="Cap. Reestructura" numFmtId="0">
      <sharedItems containsString="0" containsBlank="1" containsNumber="1" containsInteger="1">
        <m/>
        <n v="0.0"/>
      </sharedItems>
    </cacheField>
    <cacheField name="Capital total" numFmtId="0">
      <sharedItems containsString="0" containsBlank="1" containsNumber="1">
        <m/>
        <n v="0.0"/>
        <n v="45711.53"/>
        <n v="2502.61"/>
        <n v="11298.0"/>
        <n v="7332.58"/>
        <n v="13966.320000000002"/>
        <n v="5989.0"/>
        <n v="6800.0"/>
        <n v="132757.93"/>
        <n v="19145.14"/>
        <n v="170122.78"/>
        <n v="5716.219999999999"/>
        <n v="21995.55"/>
        <n v="24601.660000000003"/>
        <n v="17498.579999999998"/>
        <n v="7905.24"/>
        <n v="15374.39"/>
        <n v="9745.470000000001"/>
        <n v="18487.3"/>
        <n v="107158.04"/>
        <n v="71648.98999999999"/>
        <n v="5619.0"/>
        <n v="5838.3"/>
        <n v="2609.0"/>
        <n v="3159.0"/>
        <n v="2202.0"/>
        <n v="61789.770000000004"/>
        <n v="4415.19"/>
        <n v="31607.97"/>
        <n v="94284.98000000001"/>
        <n v="4491.41"/>
        <n v="11602.71"/>
        <n v="20666.69"/>
        <n v="150780.52"/>
        <n v="6988.42"/>
        <n v="14657.84"/>
        <n v="21505.14"/>
        <n v="49733.35"/>
        <n v="8204.65"/>
        <n v="16841.06"/>
        <n v="10766.32"/>
        <n v="57281.16"/>
        <n v="106065.25"/>
        <n v="3050.0"/>
        <n v="2950.0"/>
        <n v="2130.0"/>
        <n v="28523.12"/>
        <n v="9275.83"/>
        <n v="113803.98"/>
        <n v="100577.18"/>
        <n v="14828.43"/>
        <n v="37825.11"/>
        <n v="57900.380000000005"/>
        <n v="21389.13"/>
        <n v="7298.92"/>
        <n v="30959.49"/>
        <n v="23062.320000000003"/>
        <n v="101674.43999999999"/>
        <n v="23817.22"/>
        <n v="17713.73"/>
        <n v="120974.54"/>
        <n v="85919.19"/>
        <n v="12208.52"/>
        <n v="25955.1"/>
        <n v="43346.76"/>
        <n v="52732.98"/>
        <n v="3700.0"/>
        <n v="2980.0"/>
        <n v="1800.0"/>
        <n v="87082.04"/>
        <n v="20694.09"/>
        <n v="57359.98"/>
        <n v="9361.66"/>
        <n v="22241.82"/>
        <n v="7241.98"/>
        <n v="9446.86"/>
        <n v="1998.0"/>
        <n v="54328.01"/>
        <n v="63690.62"/>
        <n v="13275.47"/>
        <n v="39069.49"/>
        <n v="26864.91"/>
        <n v="48458.68000000001"/>
        <n v="7621.06"/>
        <n v="42705.82"/>
        <n v="22907.86"/>
        <n v="62332.88999999999"/>
        <n v="3800.0"/>
        <n v="1700.0"/>
        <n v="2060.0"/>
        <n v="66473.37999999999"/>
        <n v="14783.15"/>
        <n v="21250.58"/>
        <n v="14310.33"/>
        <n v="7868.1900000000005"/>
        <n v="14092.87"/>
        <n v="27803.09"/>
        <n v="13703.36"/>
        <n v="13457.35"/>
        <n v="61731.75"/>
        <n v="11859.17"/>
        <n v="143199.39"/>
        <n v="14313.699999999999"/>
        <n v="15302.080000000002"/>
        <n v="7484.41"/>
        <n v="9927.58"/>
        <n v="24808.82"/>
        <n v="38711.229999999996"/>
        <n v="56285.84"/>
        <n v="3123.12"/>
        <n v="2209.0"/>
        <n v="1881.0"/>
        <n v="94332.37"/>
        <n v="22642.81"/>
        <n v="12810.73"/>
        <n v="14564.16"/>
        <n v="26118.08"/>
        <n v="12174.02"/>
        <n v="4372.04"/>
        <n v="27672.33"/>
        <n v="100410.17"/>
        <n v="18604.420000000002"/>
        <n v="15072.89"/>
        <n v="231900.58"/>
        <n v="79305.68"/>
        <n v="22000.64"/>
        <n v="162231.04"/>
        <n v="177844.74"/>
        <n v="9579.49"/>
        <n v="60760.76"/>
        <n v="105574.25"/>
        <n v="2219.2"/>
        <n v="2100.0"/>
        <n v="1330.0"/>
        <n v="88198.7"/>
        <n v="75755.40000000001"/>
        <n v="31666.47"/>
        <n v="6445.42"/>
        <n v="5226.5599999999995"/>
        <n v="9907.58"/>
        <n v="52954.71000000001"/>
        <n v="47906.56"/>
        <n v="27965.79"/>
        <n v="32143.019999999997"/>
        <n v="10967.699999999999"/>
        <n v="5100.8"/>
        <n v="23270.77"/>
        <n v="16621.11"/>
        <n v="21532.469999999998"/>
        <n v="11031.15"/>
        <n v="13555.54"/>
        <n v="8679.59"/>
        <n v="336628.46"/>
        <n v="6200.0"/>
        <n v="5300.0"/>
        <n v="4500.0"/>
        <n v="3450.0"/>
        <n v="49660.9"/>
        <n v="38777.28"/>
        <n v="20846.99"/>
        <n v="70107.86"/>
        <n v="8052.540000000001"/>
        <n v="23410.969999999998"/>
        <n v="20732.960000000003"/>
        <n v="20767.39"/>
        <n v="16153.18"/>
        <n v="9615.23"/>
        <n v="33859.26"/>
        <n v="59617.27"/>
        <n v="12416.52"/>
        <n v="25411.86"/>
        <n v="17091.41"/>
        <n v="32580.48"/>
        <n v="35819.21"/>
        <n v="45480.22"/>
        <n v="78573.05"/>
        <n v="63853.86"/>
        <n v="32051.71"/>
        <n v="129682.56999999999"/>
        <n v="9646.9"/>
        <n v="22327.86"/>
        <n v="157263.26"/>
        <n v="53363.520000000004"/>
        <n v="16664.7"/>
        <n v="26595.86"/>
        <n v="40971.23"/>
        <n v="15743.48"/>
        <n v="16750.280000000002"/>
        <n v="5658.87"/>
        <n v="11907.359999999999"/>
        <n v="189432.29"/>
        <n v="7184.29"/>
        <n v="25654.36"/>
        <n v="15597.56"/>
        <n v="29930.57"/>
        <n v="95351.04"/>
        <n v="1756.0"/>
        <n v="1365.0"/>
        <n v="1699.0"/>
        <n v="1759.0"/>
        <n v="43179.67"/>
        <n v="80864.11"/>
        <n v="57553.39000000001"/>
        <n v="23124.93"/>
        <n v="2637.12"/>
        <n v="24601.839999999997"/>
        <n v="21858.190000000002"/>
        <n v="33404.0"/>
        <n v="26350.600000000002"/>
        <n v="20288.18"/>
        <n v="13957.63"/>
        <n v="9968.220000000001"/>
        <n v="10066.23"/>
        <n v="47156.119999999995"/>
        <n v="179066.80999999997"/>
        <n v="1686.0"/>
        <n v="1312.0"/>
        <n v="38981.12"/>
        <n v="32844.57"/>
        <n v="29834.84"/>
        <n v="26178.27"/>
        <n v="25848.92"/>
        <n v="14003.13"/>
        <n v="25480.37"/>
        <n v="32214.86"/>
        <n v="21579.59"/>
        <n v="27975.03"/>
        <n v="20727.739999999998"/>
        <n v="17636.2"/>
        <n v="36103.329999999994"/>
        <n v="29173.649999999998"/>
        <n v="322552.28"/>
        <n v="55953.28"/>
        <n v="116380.98"/>
        <n v="8263.25"/>
        <n v="41488.950000000004"/>
        <n v="148068.61"/>
        <n v="7451.0"/>
        <n v="4959.0"/>
        <n v="2919.0"/>
        <n v="2778.0"/>
        <n v="59500.291999999994"/>
        <n v="47349.12"/>
        <n v="505023.45"/>
        <n v="25296.079999999998"/>
        <n v="21894.809999999998"/>
        <n v="85299.86"/>
        <n v="28958.11"/>
        <n v="32772.850000000006"/>
        <n v="24593.31"/>
        <n v="21652.68"/>
        <n v="42974.939999999995"/>
        <n v="23444.389999999996"/>
        <n v="21542.99"/>
        <n v="10252.21"/>
        <n v="42177.64"/>
        <n v="19822.12"/>
        <n v="1005138.79"/>
        <n v="11656.0"/>
        <n v="5325.0"/>
        <n v="2700.0"/>
        <n v="16392.9"/>
        <n v="27098.809999999998"/>
        <n v="34043.88"/>
        <n v="21559.7"/>
        <n v="15263.57"/>
        <n v="35068.93000000001"/>
        <n v="39791.3"/>
        <n v="37615.25"/>
        <n v="83938.38"/>
        <n v="13037.83"/>
        <n v="26783.73"/>
        <n v="18710.19"/>
        <n v="26625.19"/>
        <n v="31945.11"/>
        <n v="62615.99"/>
        <n v="13644.09"/>
        <n v="106340.31"/>
        <n v="1594770.8000000003"/>
        <n v="2310.0"/>
        <n v="2611.0"/>
        <n v="14952.0"/>
        <n v="2796.0"/>
        <n v="2467.0"/>
        <n v="32943.29"/>
        <n v="47685.61"/>
        <n v="13341.5"/>
        <n v="64193.83"/>
        <n v="105612.65"/>
        <n v="132724.26"/>
        <n v="47673.21"/>
        <n v="53203.11"/>
        <n v="51969.69"/>
        <n v="48853.259999999995"/>
        <n v="52499.08"/>
        <n v="78989.64"/>
        <n v="39792.54"/>
        <n v="35268.94"/>
        <n v="179752.61999999997"/>
        <n v="1720.0"/>
        <n v="1422.0"/>
        <n v="27281.8"/>
        <n v="65949.12"/>
        <n v="44567.91"/>
        <n v="67603.98"/>
        <n v="39389.12"/>
        <n v="20382.33"/>
        <n v="13253.939999999999"/>
        <n v="62635.95"/>
        <n v="214822.05"/>
        <n v="33990.53"/>
        <n v="24426.91"/>
        <n v="79147.06"/>
        <n v="115588.19"/>
        <n v="41471.229999999996"/>
        <n v="37985.53"/>
        <n v="22845.73"/>
        <n v="206649.19"/>
        <n v="103453.1"/>
        <n v="47266.98"/>
        <n v="1024858.9099999999"/>
        <n v="2900.0"/>
        <n v="2544.0"/>
        <n v="2433.3"/>
        <n v="2054.2"/>
        <n v="145135.03"/>
        <n v="33961.63"/>
        <n v="47521.34"/>
        <n v="30283.01"/>
        <n v="18666.649999999998"/>
        <n v="22082.38"/>
        <n v="91126.23"/>
        <n v="20030.46"/>
        <n v="24964.83"/>
        <n v="25936.71"/>
        <n v="16707.510000000002"/>
        <n v="16807.72"/>
        <n v="11104.09"/>
        <n v="14355.32"/>
        <n v="16279.99"/>
        <n v="58409.71"/>
        <n v="298232.29"/>
        <n v="2102.0"/>
        <n v="2236.0"/>
        <n v="1986.0"/>
        <n v="26651.11"/>
        <n v="30052.21"/>
        <n v="48668.12"/>
        <n v="86560.87"/>
        <n v="20153.36"/>
        <n v="19073.72"/>
        <n v="25794.74"/>
        <n v="58531.39"/>
        <n v="118318.72"/>
        <n v="29173.74"/>
        <n v="33248.58"/>
        <n v="21833.76"/>
        <n v="17719.99"/>
      </sharedItems>
    </cacheField>
    <cacheField name="Int. Autocompras" numFmtId="0">
      <sharedItems containsString="0" containsBlank="1" containsNumber="1">
        <m/>
        <n v="0.0"/>
        <n v="3600.0"/>
        <n v="3562.0"/>
        <n v="4580.0"/>
        <n v="2600.0"/>
        <n v="2300.0"/>
        <n v="14560.0"/>
        <n v="22689.0"/>
        <n v="844.0"/>
        <n v="12645.0"/>
        <n v="8456.0"/>
        <n v="13563.0"/>
        <n v="14893.0"/>
        <n v="11563.0"/>
        <n v="7890.0"/>
        <n v="4623.0"/>
        <n v="1365.0"/>
        <n v="3896.0"/>
        <n v="6432.0"/>
        <n v="25798.0"/>
        <n v="7800.0"/>
        <n v="8000.0"/>
        <n v="2500.0"/>
        <n v="5247.31"/>
        <n v="1835.77"/>
        <n v="10223.98"/>
        <n v="8499.64"/>
        <n v="7580.0"/>
        <n v="7345.62"/>
        <n v="7053.41"/>
        <n v="1922.01"/>
        <n v="10033.1"/>
        <n v="1327.25"/>
        <n v="19063.16"/>
        <n v="14655.58"/>
        <n v="14322.24"/>
        <n v="6283.28"/>
        <n v="4803.48"/>
        <n v="4853.25"/>
        <n v="21595.82"/>
        <n v="338.25"/>
        <n v="4987.0"/>
        <n v="2468.88"/>
        <n v="5934.78"/>
        <n v="5200.0"/>
        <n v="922.91"/>
        <n v="4327.77"/>
        <n v="15339.7"/>
        <n v="3832.32"/>
        <n v="4140.86"/>
        <n v="13795.63"/>
        <n v="13274.96"/>
        <n v="2502.24"/>
        <n v="6225.08"/>
        <n v="4482.36"/>
        <n v="21548.91"/>
        <n v="26916.21"/>
        <n v="27304.789999999997"/>
        <n v="780.0"/>
        <n v="771.21"/>
        <n v="1000.0"/>
        <n v="2360.0"/>
        <n v="27498.7"/>
        <n v="307.54"/>
        <n v="17487.98"/>
        <n v="14815.57"/>
        <n v="1076.47"/>
        <n v="1253.66"/>
        <n v="9425.27"/>
        <n v="9672.61"/>
        <n v="10334.46"/>
        <n v="8228.94"/>
        <n v="14356.02"/>
        <n v="8416.38"/>
        <n v="3011.16"/>
        <n v="7501.87"/>
        <n v="5829.25"/>
        <n v="13712.04"/>
        <n v="50905.14"/>
        <n v="1652.0"/>
        <n v="1800.0"/>
        <n v="850.0"/>
        <n v="14951.01"/>
        <n v="9599.91"/>
        <n v="5749.3"/>
        <n v="12496.98"/>
        <n v="6354.89"/>
        <n v="5561.49"/>
        <n v="6330.37"/>
        <n v="12147.06"/>
        <n v="3625.49"/>
        <n v="8028.61"/>
        <n v="16631.09"/>
        <n v="12103.49"/>
        <n v="17569.04"/>
        <n v="19504.84"/>
        <n v="2384.69"/>
        <n v="14571.23"/>
        <n v="5049.99"/>
        <n v="11661.02"/>
        <n v="16688.17"/>
        <n v="24207.12"/>
        <n v="1536.0"/>
        <n v="1900.0"/>
        <n v="13455.26"/>
        <n v="13483.58"/>
        <n v="11090.94"/>
        <n v="4624.32"/>
        <n v="3779.92"/>
        <n v="37680.82"/>
        <n v="5045.61"/>
        <n v="6500.0"/>
        <n v="12925.38"/>
        <n v="11327.99"/>
        <n v="6458.72"/>
        <n v="4624.16"/>
        <n v="10619.34"/>
        <n v="4961.65"/>
        <n v="2527.18"/>
        <n v="9591.32"/>
        <n v="21013.59"/>
        <n v="35112.94"/>
        <n v="3000.0"/>
        <n v="2381.0"/>
        <n v="4460.0"/>
        <n v="33760.0"/>
        <n v="10121.27"/>
        <n v="11714.86"/>
        <n v="4690.0"/>
        <n v="4947.51"/>
        <n v="4117.4"/>
        <n v="14521.6"/>
        <n v="7952.89"/>
        <n v="10657.65"/>
        <n v="6701.75"/>
        <n v="4111.2"/>
        <n v="12895.33"/>
        <n v="4562.12"/>
        <n v="4063.01"/>
        <n v="3261.0"/>
        <n v="11213.0"/>
        <n v="3126.1"/>
        <n v="32459.0"/>
        <n v="31050.13"/>
        <n v="745.0"/>
        <n v="1250.0"/>
        <n v="10884.74"/>
        <n v="13286.0"/>
        <n v="4635.19"/>
        <n v="7506.0"/>
        <n v="16500.3"/>
        <n v="8255.03"/>
        <n v="1495.0"/>
        <n v="13245.8"/>
        <n v="12795.87"/>
        <n v="13659.3"/>
        <n v="6789.35"/>
        <n v="20855.33"/>
        <n v="11759.11"/>
        <n v="10996.3"/>
        <n v="23875.35"/>
        <n v="6254.37"/>
        <n v="20514.15"/>
        <n v="32786.3"/>
        <n v="51198.25"/>
        <n v="2450.0"/>
        <n v="1450.0"/>
        <n v="2540.0"/>
        <n v="2000.0"/>
        <n v="40256.12"/>
        <n v="27947.3"/>
        <n v="5720.93"/>
        <n v="1207.01"/>
        <n v="3002.99"/>
        <n v="1036.0"/>
        <n v="36558.3"/>
        <n v="9675.97"/>
        <n v="35237.48"/>
        <n v="5596.2"/>
        <n v="2554.2"/>
        <n v="2552.87"/>
        <n v="7855.39"/>
        <n v="2985.45"/>
        <n v="15765.0"/>
        <n v="9632.2"/>
        <n v="2986.3"/>
        <n v="5624.38"/>
        <n v="109405.89"/>
        <n v="400.0"/>
        <n v="200.0"/>
        <n v="320.0"/>
        <n v="263.0"/>
        <n v="45789.0"/>
        <n v="21755.33"/>
        <n v="7889.3"/>
        <n v="5091.72"/>
        <n v="3556.9"/>
        <n v="9563.2"/>
        <n v="8630.2"/>
        <n v="14520.3"/>
        <n v="20556.0"/>
        <n v="4913.45"/>
        <n v="16556.3"/>
        <n v="13556.0"/>
        <n v="3998.3"/>
        <n v="3200.0"/>
        <n v="9075.69"/>
        <n v="17614.62"/>
        <n v="24556.0"/>
        <n v="38996.0"/>
        <n v="55294.03"/>
        <n v="13000.0"/>
        <n v="8520.0"/>
        <n v="17996.0"/>
        <n v="9650.0"/>
        <n v="4480.63"/>
        <n v="12599.0"/>
        <n v="9885.3"/>
        <n v="3655.0"/>
        <n v="6100.0"/>
        <n v="14889.0"/>
        <n v="14556.0"/>
        <n v="18999.0"/>
        <n v="23556.0"/>
        <n v="6698.62"/>
        <n v="3800.0"/>
        <n v="12556.0"/>
        <n v="5223.0"/>
        <n v="18556.0"/>
        <n v="9800.0"/>
        <n v="35387.58"/>
        <n v="70427.36"/>
        <n v="3263.0"/>
        <n v="2563.0"/>
        <n v="1236.0"/>
        <n v="2963.0"/>
        <n v="8068.43"/>
        <n v="49663.0"/>
        <n v="15236.0"/>
        <n v="6999.0"/>
        <n v="1363.55"/>
        <n v="6559.0"/>
        <n v="28475.0"/>
        <n v="22500.0"/>
        <n v="16556.0"/>
        <n v="7889.0"/>
        <n v="4669.0"/>
        <n v="8456.9"/>
        <n v="23956.0"/>
        <n v="127175.69"/>
        <n v="1500.0"/>
        <n v="1623.0"/>
        <n v="1423.0"/>
        <n v="15796.2"/>
        <n v="15805.71"/>
        <n v="14852.0"/>
        <n v="10699.0"/>
        <n v="5421.0"/>
        <n v="12356.0"/>
        <n v="8963.0"/>
        <n v="16879.0"/>
        <n v="16523.0"/>
        <n v="6799.38"/>
        <n v="10975.0"/>
        <n v="9452.0"/>
        <n v="45612.9"/>
        <n v="14875.0"/>
        <n v="27822.89"/>
        <n v="38995.0"/>
        <n v="8956.0"/>
        <n v="3574.0"/>
        <n v="34756.0"/>
        <n v="78068.06999999999"/>
        <n v="10243.0"/>
        <n v="5476.0"/>
        <n v="4194.0"/>
        <n v="3469.0"/>
        <n v="15586.0"/>
        <n v="30412.0"/>
        <n v="18997.0"/>
        <n v="10017.0"/>
        <n v="11745.0"/>
        <n v="9151.63"/>
        <n v="18745.0"/>
        <n v="12745.0"/>
        <n v="10245.0"/>
        <n v="16889.0"/>
        <n v="25476.0"/>
        <n v="7548.0"/>
        <n v="9754.0"/>
        <n v="3960.71"/>
        <n v="13491.0"/>
        <n v="126877.0"/>
        <n v="1425.0"/>
        <n v="1251.0"/>
        <n v="1110.0"/>
        <n v="14477.0"/>
        <n v="20742.0"/>
        <n v="17456.0"/>
        <n v="9456.0"/>
        <n v="23745.0"/>
        <n v="20456.0"/>
        <n v="35745.0"/>
        <n v="15730.72"/>
        <n v="16796.0"/>
        <n v="14986.0"/>
        <n v="15020.9"/>
        <n v="35746.0"/>
        <n v="25746.0"/>
        <n v="20451.0"/>
        <n v="11400.0"/>
        <n v="111609.02"/>
        <n v="1100.0"/>
        <n v="2001.0"/>
        <n v="1570.0"/>
        <n v="980.0"/>
        <n v="4796.0"/>
        <n v="24796.0"/>
        <n v="9899.87"/>
        <n v="20745.0"/>
        <n v="1579.03"/>
        <n v="20749.0"/>
        <n v="48357.85"/>
        <n v="20554.0"/>
        <n v="28456.0"/>
        <n v="9455.0"/>
        <n v="23954.0"/>
        <n v="14796.0"/>
        <n v="16935.27"/>
        <n v="129738.07"/>
        <n v="1114.0"/>
        <n v="15964.0"/>
        <n v="50114.0"/>
        <n v="29179.21"/>
        <n v="14777.0"/>
        <n v="20779.0"/>
        <n v="10889.0"/>
        <n v="56877.22"/>
        <n v="32881.0"/>
        <n v="24111.0"/>
        <n v="29641.0"/>
        <n v="8777.2"/>
        <n v="4799.0"/>
        <n v="6124.2"/>
        <n v="17999.2"/>
        <n v="9487.0"/>
        <n v="30744.0"/>
        <n v="22745.0"/>
        <n v="68475.2"/>
        <n v="114843.81000000001"/>
        <n v="1200.0"/>
        <n v="1122.3"/>
        <n v="33733.03"/>
        <n v="30213.0"/>
        <n v="19745.0"/>
        <n v="9555.0"/>
        <n v="14451.210000000001"/>
        <n v="79888.0"/>
        <n v="11475.0"/>
        <n v="20119.1"/>
        <n v="4789.0"/>
        <n v="6000.08"/>
        <n v="5200.19"/>
        <n v="7648.0"/>
        <n v="7456.3"/>
        <n v="7866.0"/>
        <n v="30998.0"/>
        <n v="163606.45"/>
        <n v="1543.0"/>
        <n v="18841.0"/>
        <n v="25469.0"/>
        <n v="30000.0"/>
        <n v="40123.0"/>
        <n v="10114.0"/>
        <n v="9111.0"/>
        <n v="20469.0"/>
        <n v="57222.0"/>
        <n v="47555.0"/>
        <n v="13699.0"/>
        <n v="8322.0"/>
        <n v="10777.0"/>
        <n v="7434.72"/>
      </sharedItems>
    </cacheField>
    <cacheField name="Int. Sobre vehículo">
      <sharedItems containsBlank="1" containsMixedTypes="1" containsNumber="1">
        <m/>
        <n v="0.0"/>
        <n v="2664.7"/>
        <n v="3164.7"/>
        <n v="3807.0"/>
        <n v="4420.0"/>
        <n v="2000.0"/>
        <n v="1688.57"/>
        <n v="3282.56"/>
        <n v="10896.59"/>
        <s v="9063,07"/>
        <n v="7786.18"/>
        <n v="2280.12"/>
        <n v="3300.95"/>
        <n v="4430.09"/>
        <n v="3861.94"/>
        <n v="3964.39"/>
        <n v="3543.6"/>
        <n v="3100.47"/>
        <n v="2351.56"/>
        <n v="2747.25"/>
        <n v="3587.99"/>
        <n v="7135.5"/>
        <n v="6500.0"/>
        <n v="3500.0"/>
        <n v="6245.36"/>
        <n v="1488.54"/>
        <n v="2995.22"/>
        <n v="425.94"/>
        <n v="3229.93"/>
        <n v="4910.84"/>
        <n v="4574.75"/>
        <n v="786.73"/>
        <n v="4012.16"/>
        <n v="2740.07"/>
        <n v="1550.48"/>
        <n v="10199.31"/>
        <n v="944.51"/>
        <n v="1886.95"/>
        <n v="2459.0"/>
        <n v="19629.64"/>
        <n v="91.57"/>
        <n v="580.0"/>
        <n v="1026.1"/>
        <n v="3499.45"/>
        <n v="700.0"/>
        <n v="650.0"/>
        <n v="1115.0"/>
        <n v="11192.48"/>
        <n v="5200.94"/>
        <n v="1975.38"/>
        <n v="325.12"/>
        <n v="1633.08"/>
        <n v="270.3"/>
        <n v="1509.32"/>
        <n v="3482.27"/>
        <n v="1458.06"/>
        <n v="14009.65"/>
        <n v="11398.21"/>
        <n v="1960.0"/>
        <n v="2259.84"/>
        <n v="2800.0"/>
        <n v="1560.0"/>
        <n v="11806.47"/>
        <n v="2070.26"/>
        <n v="6390.8"/>
        <n v="1065.09"/>
        <n v="395.23"/>
        <n v="4520.89"/>
        <n v="2678.79"/>
        <n v="3316.11"/>
        <n v="221.18"/>
        <n v="1480.05"/>
        <n v="192.84"/>
        <n v="68.67"/>
        <n v="788.15"/>
        <n v="1040.27"/>
        <n v="3219.34"/>
        <n v="17151.34"/>
        <n v="75.0"/>
        <n v="900.0"/>
        <n v="2586.71"/>
        <n v="3553.74"/>
        <n v="8577.32"/>
        <n v="175.62"/>
        <n v="1686.27"/>
        <n v="3276.72"/>
        <n v="258.81"/>
        <n v="1972.8"/>
        <n v="1449.26"/>
        <n v="639.08"/>
        <n v="486.2"/>
        <n v="513.15"/>
        <n v="106.8"/>
        <n v="959.85"/>
        <n v="173.21"/>
        <n v="14301.17"/>
        <n v="1419.66"/>
        <n v="3181.21"/>
        <n v="1500.0"/>
        <n v="1000.0"/>
        <n v="780.0"/>
        <n v="3069.75"/>
        <n v="1786.46"/>
        <n v="809.13"/>
        <n v="964.86"/>
        <n v="733.98"/>
        <n v="5000.0"/>
        <n v="561.49"/>
        <n v="403.15"/>
        <n v="1221.36"/>
        <n v="63.3"/>
        <n v="796.65"/>
        <n v="5344.8"/>
        <n v="1017.21"/>
        <n v="15629.359999999999"/>
        <n v="3200.0"/>
        <n v="520.0"/>
        <n v="17478.25"/>
        <n v="2927.76"/>
        <n v="2981.33"/>
        <n v="2131.14"/>
        <n v="722.52"/>
        <n v="1187.26"/>
        <n v="3640.14"/>
        <n v="1872.03"/>
        <n v="1254.39"/>
        <n v="1734.2"/>
        <n v="2169.67"/>
        <n v="1584.08"/>
        <n v="1542.41"/>
        <n v="1859.78"/>
        <n v="1707.92"/>
        <n v="708.68"/>
        <n v="11519.869999999999"/>
        <n v="600.0"/>
        <n v="500.0"/>
        <n v="6956.78"/>
        <n v="2648.71"/>
        <n v="2912.68"/>
        <n v="2693.79"/>
        <n v="1403.87"/>
        <n v="1755.62"/>
        <n v="2910.65"/>
        <n v="1749.94"/>
        <n v="2577.08"/>
        <n v="2832.77"/>
        <n v="1680.85"/>
        <n v="2232.83"/>
        <n v="2150.18"/>
        <n v="7962.26"/>
        <n v="1250.0"/>
        <n v="920.0"/>
        <n v="800.0"/>
        <n v="190.0"/>
        <n v="5893.27"/>
        <n v="3719.97"/>
        <n v="1006.5"/>
        <n v="1516.19"/>
        <n v="1561.18"/>
        <n v="990.19"/>
        <n v="1070.01"/>
        <n v="1599.31"/>
        <n v="1448.16"/>
        <n v="2053.18"/>
        <n v="1619.1"/>
        <n v="2586.9"/>
        <n v="1646.46"/>
        <n v="1126.9"/>
        <n v="28360.65"/>
        <n v="152.0"/>
        <n v="120.0"/>
        <n v="110.0"/>
        <n v="100.0"/>
        <n v="13528.85"/>
        <n v="2116.7"/>
        <n v="2465.1"/>
        <n v="1538.48"/>
        <n v="1462.55"/>
        <n v="1482.29"/>
        <n v="1824.22"/>
        <n v="3102.35"/>
        <n v="1904.02"/>
        <n v="1808.17"/>
        <n v="2099.28"/>
        <n v="4084.2"/>
        <n v="2907.99"/>
        <n v="3702.35"/>
        <n v="2530.0"/>
        <n v="3000.0"/>
        <n v="1601.63"/>
        <n v="1473.72"/>
        <n v="1448.57"/>
        <n v="2341.84"/>
        <n v="1960.82"/>
        <n v="1883.98"/>
        <n v="1344.18"/>
        <n v="1834.68"/>
        <n v="2264.76"/>
        <n v="1390.65"/>
        <n v="1802.08"/>
        <n v="540.14"/>
        <n v="1532.53"/>
        <n v="1804.43"/>
        <n v="2018.58"/>
        <n v="1846.54"/>
        <n v="6032.1900000000005"/>
        <n v="1544.0"/>
        <n v="1489.0"/>
        <n v="965.0"/>
        <n v="1236.0"/>
        <n v="1480.86"/>
        <n v="1643.58"/>
        <n v="2652.32"/>
        <n v="1401.38"/>
        <n v="2176.64"/>
        <n v="5619.26"/>
        <n v="2866.32"/>
        <n v="3210.36"/>
        <n v="2240.7"/>
        <n v="985.03"/>
        <n v="2326.94"/>
        <n v="1757.91"/>
        <n v="1956.81"/>
        <n v="23639.98"/>
        <n v="1200.0"/>
        <n v="1320.0"/>
        <n v="11262.9"/>
        <n v="3754.54"/>
        <n v="3247.75"/>
        <n v="2504.85"/>
        <n v="2667.63"/>
        <n v="2366.56"/>
        <n v="1924.9"/>
        <n v="2301.14"/>
        <n v="1290.09"/>
        <n v="1745.0"/>
        <n v="6012.66"/>
        <n v="1894.81"/>
        <n v="3760.12"/>
        <n v="1751.29"/>
        <n v="1076.12"/>
        <n v="1757.87"/>
        <n v="2463.0"/>
        <n v="8773.06"/>
        <n v="2543.0"/>
        <n v="1402.0"/>
        <n v="1243.0"/>
        <n v="2469.0"/>
        <n v="1656.92"/>
        <n v="2169.47"/>
        <n v="1432.0"/>
        <n v="1678.04"/>
        <n v="1891.41"/>
        <n v="1554.04"/>
        <n v="1425.0"/>
        <n v="1532.0"/>
        <n v="4856.0"/>
        <n v="1111.3"/>
        <n v="1363.23"/>
        <n v="2381.16"/>
        <n v="2164.78"/>
        <n v="26695.91"/>
        <n v="1633.0"/>
        <n v="1300.0"/>
        <n v="849.52"/>
        <n v="2504.31"/>
        <n v="2116.58"/>
        <n v="2161.12"/>
        <n v="1232.16"/>
        <n v="3456.0"/>
        <n v="2461.0"/>
        <n v="2313.43"/>
        <n v="1166.17"/>
        <n v="1287.41"/>
        <n v="1060.0"/>
        <n v="5410.0"/>
        <n v="4947.95"/>
        <n v="12599.89"/>
        <n v="1111.0"/>
        <n v="1844.0"/>
        <n v="2785.0"/>
        <n v="2876.09"/>
        <n v="3745.0"/>
        <n v="1255.0"/>
        <n v="1500.22"/>
        <n v="2416.0"/>
        <n v="2745.0"/>
        <n v="2114.0"/>
        <n v="4178.0"/>
        <n v="1100.0"/>
        <n v="4658.28"/>
        <n v="1233.2"/>
        <n v="3415.0"/>
        <n v="2413.0"/>
        <n v="2478.0"/>
        <n v="7883.04"/>
        <n v="3281.17"/>
        <n v="2778.23"/>
        <n v="1200.3"/>
        <n v="2578.2"/>
        <n v="1477.0"/>
        <n v="1405.74"/>
        <n v="1478.3"/>
        <n v="1503.09"/>
        <n v="1110.2"/>
        <n v="2133.0"/>
        <n v="7335.93"/>
        <n v="985.0"/>
        <n v="184.0"/>
        <n v="28981.0"/>
        <n v="2412.0"/>
        <n v="1475.0"/>
        <n v="2475.0"/>
        <n v="3466.0"/>
        <n v="1533.16"/>
        <n v="1702.91"/>
        <n v="1444.2"/>
        <n v="1042.29"/>
        <n v="1462.79"/>
        <n v="1395.24"/>
        <n v="4133.0"/>
        <n v="16209.869999999999"/>
        <n v="1543.0"/>
        <n v="2744.61"/>
        <n v="1436.0"/>
        <n v="3469.0"/>
        <n v="2111.0"/>
        <n v="2280.82"/>
        <n v="2515.16"/>
        <n v="1446.0"/>
        <n v="1740.03"/>
        <n v="1507.68"/>
      </sharedItems>
    </cacheField>
    <cacheField name="Nuevo Int. Autocompras" numFmtId="0">
      <sharedItems containsString="0" containsBlank="1" containsNumber="1">
        <m/>
        <n v="5489.0"/>
        <n v="0.0"/>
        <n v="1457.19"/>
        <n v="1265.0"/>
        <n v="1236.0"/>
        <n v="2412.2"/>
        <n v="1542.0"/>
        <n v="2044.47"/>
        <n v="10325.279999999999"/>
        <n v="1475.0"/>
        <n v="1723.78"/>
        <n v="1281.17"/>
        <n v="1115.81"/>
        <n v="605.13"/>
        <n v="1563.0"/>
        <n v="1462.0"/>
        <n v="12092.130000000001"/>
        <n v="836.11"/>
        <n v="1456.0"/>
        <n v="2076.014"/>
        <n v="1496.0"/>
        <n v="1200.0"/>
        <n v="3685.11"/>
        <n v="1600.0"/>
        <n v="1839.36"/>
        <n v="11420.939999999999"/>
        <n v="3166.41"/>
        <n v="2618.07"/>
        <n v="1789.0"/>
        <n v="1474.21"/>
        <n v="1772.43"/>
        <n v="3796.69"/>
        <n v="2133.0"/>
        <n v="2031.34"/>
        <n v="1000.94"/>
        <n v="3185.03"/>
        <n v="1679.44"/>
        <n v="7309.59"/>
        <n v="1445.0"/>
        <n v="1777.0"/>
        <n v="2211.13"/>
        <n v="2621.88"/>
        <n v="2629.19"/>
        <n v="1000.0"/>
        <n v="2468.77"/>
        <n v="1225.56"/>
        <n v="1287.21"/>
        <n v="2113.18"/>
        <n v="1499.0"/>
        <n v="1768.25"/>
        <n v="1340.83"/>
        <n v="2501.94"/>
        <n v="8861.82"/>
        <n v="18282.0"/>
        <n v="1749.97"/>
        <n v="1999.0"/>
        <n v="1093.99"/>
        <n v="2443.54"/>
        <n v="1840.48"/>
        <n v="2728.55"/>
        <n v="2467.04"/>
        <n v="1110.2"/>
        <n v="3721.31"/>
        <n v="18054.0"/>
        <n v="4344.81"/>
        <n v="2906.72"/>
        <n v="5827.73"/>
        <n v="3456.0"/>
        <n v="1556.3"/>
        <n v="4769.0"/>
        <n v="1309.19"/>
        <n v="2603.34"/>
      </sharedItems>
    </cacheField>
    <cacheField name="Int. Hipotecario" numFmtId="0">
      <sharedItems containsString="0" containsBlank="1" containsNumber="1">
        <m/>
        <n v="0.0"/>
        <n v="355.98"/>
        <n v="13355.3"/>
        <n v="6659.75"/>
        <n v="9.91"/>
        <n v="14270.03"/>
        <n v="6659.99"/>
        <n v="480.68"/>
        <n v="700.0"/>
        <n v="650.0"/>
        <n v="6160.94"/>
        <n v="7789.69"/>
        <n v="10642.63"/>
        <n v="1511.47"/>
        <n v="626.72"/>
        <n v="466.11"/>
        <n v="470.61"/>
        <n v="10179.88"/>
        <n v="3805.92"/>
        <n v="1511.29"/>
        <n v="3272.4"/>
        <n v="612.05"/>
        <n v="1499.4"/>
        <n v="454.55"/>
        <n v="341.52"/>
        <n v="644.33"/>
        <n v="460.32"/>
        <n v="3696.51"/>
        <n v="11509.27"/>
        <n v="3271.97"/>
        <n v="28726.64"/>
        <n v="2940.0"/>
        <n v="442.76"/>
        <n v="450.23"/>
        <n v="2882.93"/>
        <n v="4230.34"/>
        <n v="2185.4"/>
        <n v="12987.46"/>
        <n v="13937.05"/>
        <n v="3271.07"/>
        <n v="581.96"/>
        <n v="430.74"/>
        <n v="331.48"/>
        <n v="1450.0"/>
        <n v="11443.26"/>
        <n v="599.68"/>
        <n v="439.04"/>
        <n v="566.54"/>
        <n v="1917.89"/>
        <n v="428.48"/>
        <n v="326.33"/>
        <n v="1230.15"/>
        <n v="2455.49"/>
        <n v="11409.42"/>
        <n v="405.99"/>
        <n v="550.85"/>
        <n v="6540.77"/>
        <n v="3567.27"/>
        <n v="416.57"/>
        <n v="873.79"/>
        <n v="1693.88"/>
        <n v="534.91"/>
        <n v="1351.65"/>
        <n v="1052.56"/>
        <n v="16373.82"/>
        <n v="35985.28"/>
        <n v="2018.09"/>
        <n v="1555.64"/>
        <n v="1722.39"/>
        <n v="16337.56"/>
        <n v="3322.44"/>
        <n v="11930.21"/>
        <n v="3325.97"/>
        <n v="4998.0"/>
        <n v="831.4"/>
        <n v="3460.74"/>
        <n v="16300.7"/>
        <n v="1591.97"/>
        <n v="100.18"/>
        <n v="1618.15"/>
        <n v="1016.17"/>
        <n v="2738.65"/>
        <n v="16263.22"/>
        <n v="10892.36"/>
        <n v="1176.06"/>
        <n v="3438.66"/>
        <n v="2412.0"/>
        <n v="1414.14"/>
        <n v="1277.29"/>
        <n v="1841.04"/>
        <n v="971.39"/>
        <n v="2456.0"/>
        <n v="3179.96"/>
        <n v="1262.0"/>
        <n v="4756.0"/>
        <n v="3412.0"/>
        <n v="1089.24"/>
        <n v="1774.0"/>
        <n v="1987.84"/>
        <n v="2105.98"/>
        <n v="941.83"/>
        <n v="1444.0"/>
        <n v="3448.0"/>
        <n v="1366.34"/>
        <n v="853.91"/>
        <n v="1456.0"/>
        <n v="2014.37"/>
        <n v="2415.0"/>
        <n v="1852.0"/>
        <n v="2271.53"/>
        <n v="1208.0"/>
        <n v="1908.0"/>
      </sharedItems>
    </cacheField>
    <cacheField name="Int. Extra financiamiento" numFmtId="0">
      <sharedItems containsString="0" containsBlank="1" containsNumber="1">
        <m/>
        <n v="0.0"/>
        <n v="1314.81"/>
        <n v="784.0"/>
        <n v="11.24"/>
        <n v="197.98"/>
        <n v="840.0"/>
        <n v="646.78"/>
        <n v="2875.67"/>
        <n v="620.85"/>
        <n v="3834.47"/>
        <n v="639.53"/>
        <n v="632.17"/>
        <n v="171.05"/>
        <n v="446.46"/>
        <n v="1464.68"/>
        <n v="61.89"/>
        <n v="134.57"/>
        <n v="1899.25"/>
        <n v="112.69"/>
        <n v="444.46"/>
      </sharedItems>
    </cacheField>
    <cacheField name="Int. Reestructura" numFmtId="0">
      <sharedItems containsString="0" containsBlank="1" containsNumber="1" containsInteger="1">
        <m/>
        <n v="0.0"/>
      </sharedItems>
    </cacheField>
    <cacheField name="Interes Cube" numFmtId="164">
      <sharedItems containsString="0" containsBlank="1" containsNumber="1">
        <n v="123866.75"/>
        <n v="105441.09"/>
        <n v="119734.75"/>
        <n v="164886.35"/>
        <n v="385262.6"/>
        <n v="220070.22"/>
        <n v="162574.63"/>
        <n v="178044.8"/>
        <n v="170329.25"/>
        <n v="320718.36"/>
        <n v="221150.62"/>
        <n v="247030.77"/>
        <m/>
        <n v="17243.87"/>
        <n v="8451.68"/>
        <n v="0.0"/>
        <n v="12722.44"/>
        <n v="29114.26"/>
        <n v="7632.29"/>
        <n v="10044.54"/>
        <n v="13993.62"/>
        <n v="8674.94"/>
        <n v="8088.02"/>
        <n v="27632.21"/>
        <n v="13190.05"/>
        <n v="70672.2"/>
        <n v="6264.7"/>
        <n v="6764.7"/>
        <n v="7369.0"/>
        <n v="9000.0"/>
        <n v="4600.0"/>
        <n v="3988.5699999999997"/>
        <n v="17842.56"/>
        <n v="33585.59"/>
        <n v="9907.07"/>
        <n v="20431.18"/>
        <n v="5880.12"/>
        <n v="11756.95"/>
        <n v="17993.09"/>
        <n v="18754.94"/>
        <n v="15527.39"/>
        <n v="11433.6"/>
        <n v="7723.469999999999"/>
        <n v="3716.56"/>
        <n v="6643.25"/>
        <n v="10019.99"/>
        <n v="32933.5"/>
        <n v="14300.0"/>
        <n v="14500.0"/>
        <n v="6000.0"/>
        <n v="11848.65"/>
        <n v="3324.31"/>
        <n v="26574.5"/>
        <n v="8925.58"/>
        <n v="10809.93"/>
        <n v="12256.46"/>
        <n v="19602.72"/>
        <n v="2708.74"/>
        <n v="14045.26"/>
        <n v="1327.25"/>
        <n v="21813.14"/>
        <n v="16206.06"/>
        <n v="24521.55"/>
        <n v="21497.82"/>
        <n v="13350.42"/>
        <n v="7312.25"/>
        <n v="41225.46"/>
        <n v="429.82"/>
        <n v="5567.0"/>
        <n v="3494.98"/>
        <n v="10698.91"/>
        <n v="3900.0"/>
        <n v="6500.0"/>
        <n v="8198.85"/>
        <n v="15531.49"/>
        <n v="20540.64"/>
        <n v="5807.700000000001"/>
        <n v="12255.669999999998"/>
        <n v="15428.71"/>
        <n v="24187.89"/>
        <n v="4209.54"/>
        <n v="10547.35"/>
        <n v="5940.42"/>
        <n v="23707.16"/>
        <n v="44428.25"/>
        <n v="39169.11"/>
        <n v="2740.0"/>
        <n v="3501.6600000000003"/>
        <n v="3000.0"/>
        <n v="5160.0"/>
        <n v="3860.0"/>
        <n v="50105.899999999994"/>
        <n v="6212.2699999999995"/>
        <n v="28324.23"/>
        <n v="17391.95"/>
        <n v="1471.7"/>
        <n v="5774.55"/>
        <n v="12104.060000000001"/>
        <n v="16893.29"/>
        <n v="10555.64"/>
        <n v="9708.99"/>
        <n v="14548.86"/>
        <n v="8416.38"/>
        <n v="3691.8799999999997"/>
        <n v="9789.42"/>
        <n v="6869.52"/>
        <n v="17102.43"/>
        <n v="68957.48999999999"/>
        <n v="2302.0"/>
        <n v="1875.0"/>
        <n v="1750.0"/>
        <n v="17537.72"/>
        <n v="9941.43"/>
        <n v="9947.369999999999"/>
        <n v="21534.62"/>
        <n v="11067.02"/>
        <n v="17070.760000000002"/>
        <n v="8016.639999999999"/>
        <n v="15423.779999999999"/>
        <n v="7156.2699999999995"/>
        <n v="10001.41"/>
        <n v="18080.35"/>
        <n v="42933.89"/>
        <n v="18055.24"/>
        <n v="20017.99"/>
        <n v="5431.49"/>
        <n v="15531.08"/>
        <n v="5223.2"/>
        <n v="26466.84"/>
        <n v="18692.629999999997"/>
        <n v="28887.73"/>
        <n v="2536.0"/>
        <n v="2680.0"/>
        <n v="21307.190000000002"/>
        <n v="19500.38"/>
        <n v="14085.470000000001"/>
        <n v="18689.33"/>
        <n v="17716.97"/>
        <n v="37680.82"/>
        <n v="5779.59"/>
        <n v="11500.0"/>
        <n v="13931.33"/>
        <n v="15002.21"/>
        <n v="9179.48"/>
        <n v="4687.46"/>
        <n v="11997.95"/>
        <n v="10306.45"/>
        <n v="2527.18"/>
        <n v="10608.529999999999"/>
        <n v="21013.59"/>
        <n v="51173.04"/>
        <n v="6200.0"/>
        <n v="4381.0"/>
        <n v="4980.0"/>
        <n v="51238.25"/>
        <n v="13380.51"/>
        <n v="16146.19"/>
        <n v="18264.4"/>
        <n v="6269.71"/>
        <n v="7490.0599999999995"/>
        <n v="18161.74"/>
        <n v="9824.92"/>
        <n v="10657.65"/>
        <n v="7140.79"/>
        <n v="5365.59"/>
        <n v="14629.53"/>
        <n v="7298.33"/>
        <n v="7564.9800000000005"/>
        <n v="4803.41"/>
        <n v="13072.78"/>
        <n v="5262.5"/>
        <n v="33167.68"/>
        <n v="42570.0"/>
        <n v="1345.0"/>
        <n v="1500.0"/>
        <n v="2250.0"/>
        <n v="17841.52"/>
        <n v="16261.04"/>
        <n v="5865.34"/>
        <n v="9961.49"/>
        <n v="21598.379999999997"/>
        <n v="10948.82"/>
        <n v="2898.87"/>
        <n v="26410.84"/>
        <n v="14761.86"/>
        <n v="16569.95"/>
        <n v="9090.14"/>
        <n v="20855.33"/>
        <n v="14336.19"/>
        <n v="13829.07"/>
        <n v="25556.199999999997"/>
        <n v="8487.2"/>
        <n v="27054.920000000002"/>
        <n v="34936.48"/>
        <n v="62727.78"/>
        <n v="3700.0"/>
        <n v="2370.0"/>
        <n v="3340.0"/>
        <n v="2190.0"/>
        <n v="46565.96000000001"/>
        <n v="32541.059999999998"/>
        <n v="8912.83"/>
        <n v="2723.2"/>
        <n v="4564.17"/>
        <n v="2026.19"/>
        <n v="38252.18"/>
        <n v="10745.98"/>
        <n v="35237.48"/>
        <n v="7195.51"/>
        <n v="4002.3599999999997"/>
        <n v="2552.87"/>
        <n v="9908.57"/>
        <n v="5139.459999999999"/>
        <n v="18351.9"/>
        <n v="11278.66"/>
        <n v="4113.200000000001"/>
        <n v="5624.38"/>
        <n v="139118.19"/>
        <n v="552.0"/>
        <n v="320.0"/>
        <n v="430.0"/>
        <n v="363.0"/>
        <n v="59317.85"/>
        <n v="24924.59"/>
        <n v="10354.4"/>
        <n v="7277.120000000001"/>
        <n v="5095.38"/>
        <n v="27399.57"/>
        <n v="10112.490000000002"/>
        <n v="16344.519999999999"/>
        <n v="56541.28"/>
        <n v="4913.45"/>
        <n v="21676.739999999998"/>
        <n v="17015.66"/>
        <n v="5806.47"/>
        <n v="5299.280000000001"/>
        <n v="9075.69"/>
        <n v="17614.62"/>
        <n v="28640.2"/>
        <n v="41903.99"/>
        <n v="58996.38"/>
        <n v="15530.0"/>
        <n v="11000.0"/>
        <n v="10121.630000000001"/>
        <n v="19469.72"/>
        <n v="11098.57"/>
        <n v="6203.02"/>
        <n v="17126.239999999998"/>
        <n v="28183.68"/>
        <n v="8861.42"/>
        <n v="7444.18"/>
        <n v="16723.68"/>
        <n v="28750.97"/>
        <n v="23715.62"/>
        <n v="30356.08"/>
        <n v="6698.62"/>
        <n v="4340.14"/>
        <n v="14088.53"/>
        <n v="7027.43"/>
        <n v="20574.58"/>
        <n v="11646.54"/>
        <n v="36218.98"/>
        <n v="76459.55"/>
        <n v="4807.0"/>
        <n v="4052.0"/>
        <n v="2201.0"/>
        <n v="4199.0"/>
        <n v="9549.29"/>
        <n v="51306.58"/>
        <n v="21349.059999999998"/>
        <n v="24701.08"/>
        <n v="1363.55"/>
        <n v="10327.61"/>
        <n v="34094.26"/>
        <n v="25466.5"/>
        <n v="19766.36"/>
        <n v="10129.7"/>
        <n v="10652.029999999999"/>
        <n v="10783.84"/>
        <n v="8316.91"/>
        <n v="27530.96"/>
        <n v="151831.84"/>
        <n v="2700.0"/>
        <n v="2623.0"/>
        <n v="2743.0"/>
        <n v="27059.1"/>
        <n v="21294.71"/>
        <n v="18606.54"/>
        <n v="16132.15"/>
        <n v="10664.5"/>
        <n v="15023.630000000001"/>
        <n v="26683.41"/>
        <n v="19245.56"/>
        <n v="18447.9"/>
        <n v="21257.88"/>
        <n v="12265.09"/>
        <n v="13609.06"/>
        <n v="54037.759999999995"/>
        <n v="20208.47"/>
        <n v="33995.01"/>
        <n v="42288.29"/>
        <n v="10032.119999999999"/>
        <n v="5331.87"/>
        <n v="39263.47"/>
        <n v="97166.40999999999"/>
        <n v="12786.0"/>
        <n v="6878.0"/>
        <n v="5437.0"/>
        <n v="5938.0"/>
        <n v="17242.92"/>
        <n v="34056.47"/>
        <n v="22152.78"/>
        <n v="11695.04"/>
        <n v="14771.17"/>
        <n v="9151.63"/>
        <n v="23166.36"/>
        <n v="14299.04"/>
        <n v="14212.29"/>
        <n v="19026.13"/>
        <n v="33736.04"/>
        <n v="9630.69"/>
        <n v="11117.23"/>
        <n v="3960.71"/>
        <n v="16588.16"/>
        <n v="16920.78"/>
        <n v="168121.04"/>
        <n v="2661.0"/>
        <n v="2884.0"/>
        <n v="2410.0"/>
        <n v="15326.52"/>
        <n v="23246.31"/>
        <n v="19572.58"/>
        <n v="11617.119999999999"/>
        <n v="25781.11"/>
        <n v="21433.16"/>
        <n v="27091.96"/>
        <n v="23255.014"/>
        <n v="44310.43"/>
        <n v="15730.72"/>
        <n v="21374.17"/>
        <n v="16273.41"/>
        <n v="17280.9"/>
        <n v="44841.11"/>
        <n v="29635.239999999998"/>
        <n v="25398.95"/>
        <n v="14539.36"/>
        <n v="135629.85"/>
        <n v="2211.0"/>
        <n v="3845.0"/>
        <n v="2570.0"/>
        <n v="2980.0"/>
        <n v="7962.41"/>
        <n v="30199.07"/>
        <n v="9899.87"/>
        <n v="25410.09"/>
        <n v="3053.24"/>
        <n v="26266.43"/>
        <n v="52842.85"/>
        <n v="22054.22"/>
        <n v="34668.69"/>
        <n v="25864.84"/>
        <n v="13600.34"/>
        <n v="26154.94"/>
        <n v="17981.03"/>
        <n v="18614.71"/>
        <n v="141225.66"/>
        <n v="2100.0"/>
        <n v="2229.0"/>
        <n v="20622.28"/>
        <n v="54915.18"/>
        <n v="34039.21"/>
        <n v="30877.83"/>
        <n v="20910.13"/>
        <n v="28662.04"/>
        <n v="14170.17"/>
        <n v="62277.33"/>
        <n v="40158.490000000005"/>
        <n v="29055.54"/>
        <n v="33586.77"/>
        <n v="11202.76"/>
        <n v="6204.74"/>
        <n v="7411.41"/>
        <n v="21590.68"/>
        <n v="12489.09"/>
        <n v="33622.45"/>
        <n v="24085.83"/>
        <n v="73110.14"/>
        <n v="131041.56000000003"/>
        <n v="2185.0"/>
        <n v="1284.0"/>
        <n v="2322.3"/>
        <n v="80996.03"/>
        <n v="34440.97"/>
        <n v="25009.91"/>
        <n v="18305.99"/>
        <n v="11998.54"/>
        <n v="17766.690000000002"/>
        <n v="85091.55"/>
        <n v="18864.04"/>
        <n v="21652.26"/>
        <n v="6491.91"/>
        <n v="7444.28"/>
        <n v="5200.19"/>
        <n v="8690.29"/>
        <n v="10029.29"/>
        <n v="9261.24"/>
        <n v="38852.31"/>
        <n v="199884.69"/>
        <n v="3543.0"/>
        <n v="2654.0"/>
        <n v="2200.0"/>
        <n v="21585.61"/>
        <n v="29813.81"/>
        <n v="36757.72"/>
        <n v="51271.729999999996"/>
        <n v="17952.53"/>
        <n v="12948.119999999999"/>
        <n v="27753.16"/>
        <n v="61185.19"/>
        <n v="51158.34"/>
        <n v="15439.03"/>
        <n v="9829.68"/>
        <n v="12685.0"/>
        <n v="7434.72"/>
      </sharedItems>
    </cacheField>
    <cacheField name="Mem. Autocompras" numFmtId="0">
      <sharedItems containsString="0" containsBlank="1" containsNumber="1">
        <m/>
        <n v="4618.05"/>
        <n v="297.62"/>
        <n v="0.0"/>
        <n v="1649.55"/>
        <n v="1402.36"/>
        <n v="1219.55"/>
        <n v="1200.0"/>
        <n v="1000.0"/>
        <n v="870.73"/>
        <n v="945.69"/>
        <n v="4224.03"/>
        <n v="751.8"/>
        <n v="1071.44"/>
        <n v="3348.37"/>
        <n v="2853.43"/>
        <n v="739.13"/>
        <n v="1901.05"/>
        <n v="1358.83"/>
        <n v="2041.66"/>
        <n v="3807.9"/>
        <n v="6643.47"/>
        <n v="236.0"/>
        <n v="332.09"/>
        <n v="500.0"/>
        <n v="450.0"/>
        <n v="400.0"/>
        <n v="3935.37"/>
        <n v="260.55"/>
        <n v="5573.57"/>
        <n v="1860.08"/>
        <n v="810.23"/>
        <n v="842.05"/>
        <n v="3216.34"/>
        <n v="1422.02"/>
        <n v="3514.34"/>
        <n v="2329.9"/>
        <n v="2858.81"/>
        <n v="2602.11"/>
        <n v="1785.44"/>
        <n v="2212.64"/>
        <n v="952.6"/>
        <n v="1845.34"/>
        <n v="11682.73"/>
        <n v="600.0"/>
        <n v="850.0"/>
        <n v="900.0"/>
        <n v="4642.34"/>
        <n v="2260.08"/>
        <n v="1933.62"/>
        <n v="2490.29"/>
        <n v="2583.25"/>
        <n v="1678.89"/>
        <n v="1709.25"/>
        <n v="3619.33"/>
        <n v="1430.05"/>
        <n v="1907.6"/>
        <n v="4283.58"/>
        <n v="2502.24"/>
        <n v="2492.64"/>
        <n v="1921.37"/>
        <n v="1627.51"/>
        <n v="2231.57"/>
        <n v="1850.6"/>
        <n v="2139.34"/>
        <n v="3791.1"/>
        <n v="7780.8099999999995"/>
        <n v="360.0"/>
        <n v="5078.41"/>
        <n v="2674.57"/>
        <n v="2787.12"/>
        <n v="1328.39"/>
        <n v="596.67"/>
        <n v="1018.2"/>
        <n v="1867.82"/>
        <n v="1476.0"/>
        <n v="3446.98"/>
        <n v="2070.74"/>
        <n v="2065.53"/>
        <n v="1723.41"/>
        <n v="2681.74"/>
        <n v="999.76"/>
        <n v="968.95"/>
        <n v="2401.22"/>
        <n v="3774.05"/>
        <n v="9384.680000000002"/>
        <n v="1128.43"/>
        <n v="1534.83"/>
        <n v="2560.0"/>
        <n v="2952.77"/>
        <n v="3453.5"/>
        <n v="2186.62"/>
        <n v="800.04"/>
        <n v="2223.67"/>
        <n v="4027.82"/>
        <n v="2958.41"/>
        <n v="1957.75"/>
        <n v="1324.24"/>
        <n v="1555.02"/>
        <n v="5385.88"/>
        <n v="1733.41"/>
        <n v="1463.67"/>
        <n v="1726.49"/>
        <n v="1684.03"/>
        <n v="4530.67"/>
        <n v="11000.15"/>
        <n v="15815.52"/>
        <n v="123.0"/>
        <n v="250.0"/>
        <n v="9059.91"/>
        <n v="4490.35"/>
        <n v="1925.52"/>
        <n v="3425.73"/>
        <n v="3551.44"/>
        <n v="3239.66"/>
        <n v="944.44"/>
        <n v="4757.38"/>
        <n v="5629.62"/>
        <n v="4163.08"/>
        <n v="2352.45"/>
        <n v="4340.79"/>
        <n v="3804.94"/>
        <n v="5009.57"/>
        <n v="3813.11"/>
        <n v="1655.86"/>
        <n v="3067.5"/>
        <n v="10354.12"/>
        <n v="18742.53"/>
        <n v="200.0"/>
        <n v="300.0"/>
        <n v="16506.26"/>
        <n v="4700.1"/>
        <n v="3269.38"/>
        <n v="1137.85"/>
        <n v="212.49"/>
        <n v="2555.96"/>
        <n v="5372.91"/>
        <n v="8817.73"/>
        <n v="4236.03"/>
        <n v="3027.71"/>
        <n v="2140.8"/>
        <n v="1243.05"/>
        <n v="2509.38"/>
        <n v="3348.29"/>
        <n v="3848.72"/>
        <n v="1681.83"/>
        <n v="3284.73"/>
        <n v="1544.82"/>
        <n v="15371.76"/>
        <n v="860.0"/>
        <n v="663.0"/>
        <n v="16209.19"/>
        <n v="6703.12"/>
        <n v="5503.06"/>
        <n v="3691.82"/>
        <n v="1811.17"/>
        <n v="2844.05"/>
        <n v="5726.39"/>
        <n v="5799.31"/>
        <n v="4167.69"/>
        <n v="2567.94"/>
        <n v="4552.47"/>
        <n v="4674.95"/>
        <n v="2415.53"/>
        <n v="3672.31"/>
        <n v="3619.78"/>
        <n v="6947.51"/>
        <n v="8873.67"/>
        <n v="15545.21"/>
        <n v="26447.73"/>
        <n v="120.0"/>
        <n v="15291.17"/>
        <n v="6621.91"/>
        <n v="3747.62"/>
        <n v="2465.15"/>
        <n v="4371.76"/>
        <n v="4505.43"/>
        <n v="2284.98"/>
        <n v="3484.35"/>
        <n v="9116.04"/>
        <n v="11433.42"/>
        <n v="2857.23"/>
        <n v="4010.77"/>
        <n v="1100.72"/>
        <n v="1861.63"/>
        <n v="6652.87"/>
        <n v="2633.77"/>
        <n v="6604.39"/>
        <n v="5245.92"/>
        <n v="8840.7"/>
        <n v="27481.52"/>
        <n v="2212.0"/>
        <n v="1632.0"/>
        <n v="965.0"/>
        <n v="1234.0"/>
        <n v="9864.87"/>
        <n v="14877.04"/>
        <n v="8655.81"/>
        <n v="4088.89"/>
        <n v="850.49"/>
        <n v="5523.35"/>
        <n v="9043.81"/>
        <n v="9797.84"/>
        <n v="7976.85"/>
        <n v="5568.26"/>
        <n v="3450.74"/>
        <n v="2152.34"/>
        <n v="3594.52"/>
        <n v="8854.07"/>
        <n v="56571.64"/>
        <n v="1600.0"/>
        <n v="2532.0"/>
        <n v="2630.0"/>
        <n v="2483.11"/>
        <n v="9775.92"/>
        <n v="6932.86"/>
        <n v="5698.47"/>
        <n v="3624.19"/>
        <n v="4613.27"/>
        <n v="4174.57"/>
        <n v="8889.36"/>
        <n v="8483.7"/>
        <n v="6836.47"/>
        <n v="6335.77"/>
        <n v="4951.87"/>
        <n v="3463.13"/>
        <n v="6838.43"/>
        <n v="2804.12"/>
        <n v="7373.98"/>
        <n v="6552.34"/>
        <n v="2847.5"/>
        <n v="13520.61"/>
        <n v="35716.350000000006"/>
        <n v="4621.0"/>
        <n v="2486.0"/>
        <n v="1478.0"/>
        <n v="1414.21"/>
        <n v="12227.09"/>
        <n v="7137.88"/>
        <n v="4888.62"/>
        <n v="4998.86"/>
        <n v="5779.53"/>
        <n v="8802.52"/>
        <n v="9848.41"/>
        <n v="8636.36"/>
        <n v="6319.66"/>
        <n v="10723.98"/>
        <n v="5201.84"/>
        <n v="3767.89"/>
        <n v="2574.23"/>
        <n v="5641.46"/>
        <n v="8814.81"/>
        <n v="56318.20999999999"/>
        <n v="2412.0"/>
        <n v="1653.0"/>
        <n v="1100.0"/>
        <n v="1948.74"/>
        <n v="8055.4"/>
        <n v="9240.9"/>
        <n v="6391.6"/>
        <n v="5963.157"/>
        <n v="6225.57"/>
        <n v="8464.34"/>
        <n v="9169.61"/>
        <n v="11076.86"/>
        <n v="5826.19"/>
        <n v="9723.14"/>
        <n v="6447.41"/>
        <n v="6145.94"/>
        <n v="7148.8"/>
        <n v="11676.09"/>
        <n v="3872.16"/>
        <n v="7432.79"/>
        <n v="52211.409999999996"/>
        <n v="145.0"/>
        <n v="127.0"/>
        <n v="241.0"/>
        <n v="259.0"/>
        <n v="122.0"/>
        <n v="12214.69"/>
        <n v="5695.62"/>
        <n v="9015.05"/>
        <n v="6731.81"/>
        <n v="9711.53"/>
        <n v="10470.4"/>
        <n v="13790.15"/>
        <n v="19078.56"/>
        <n v="13123.09"/>
        <n v="8017.51"/>
        <n v="10783.07"/>
        <n v="9239.54"/>
        <n v="9557.08"/>
        <n v="50415.83"/>
        <n v="1002.0"/>
        <n v="875.0"/>
        <n v="5695.5"/>
        <n v="19350.87"/>
        <n v="14082.07"/>
        <n v="14879.92"/>
        <n v="5459.52"/>
        <n v="2758.34"/>
        <n v="4170.94"/>
        <n v="24031.03"/>
        <n v="14463.36"/>
        <n v="10148.98"/>
        <n v="10936.07"/>
        <n v="9248.86"/>
        <n v="4159.09"/>
        <n v="2415.68"/>
        <n v="7588.65"/>
        <n v="7439.84"/>
        <n v="8175.37"/>
        <n v="5941.7"/>
        <n v="20539.16"/>
        <n v="39077.88"/>
        <n v="1500.0"/>
        <n v="1566.0"/>
        <n v="21619.36"/>
        <n v="3164.12"/>
        <n v="9315.46"/>
        <n v="4946.84"/>
        <n v="3711.08"/>
        <n v="4205.320000000001"/>
        <n v="30786.3"/>
        <n v="6859.11"/>
        <n v="8111.99"/>
        <n v="1901.96"/>
        <n v="4736.389999999999"/>
        <n v="4320.46"/>
        <n v="1805.86"/>
        <n v="3900.54"/>
        <n v="4783.7"/>
        <n v="14791.25"/>
        <n v="72230.38000000002"/>
        <n v="1365.0"/>
        <n v="846.0"/>
        <n v="7633.67"/>
        <n v="10984.11"/>
        <n v="8495.39"/>
        <n v="17621.61"/>
        <n v="4991.2"/>
        <n v="6187.67"/>
        <n v="9263.5"/>
        <n v="16001.77"/>
        <n v="19142.58"/>
        <n v="5501.18"/>
        <n v="4461.52"/>
        <n v="5259.03"/>
        <n v="3684.57"/>
      </sharedItems>
    </cacheField>
    <cacheField name="Mem. Sobre vehículo" numFmtId="0">
      <sharedItems containsString="0" containsBlank="1" containsNumber="1">
        <m/>
        <n v="2286.39"/>
        <n v="81.02"/>
        <n v="0.0"/>
        <n v="169.0"/>
        <n v="236.34"/>
        <n v="550.12"/>
        <n v="400.0"/>
        <n v="350.0"/>
        <n v="178.35"/>
        <n v="2529.15"/>
        <n v="987.17"/>
        <n v="373.19"/>
        <n v="10.2"/>
        <n v="459.55"/>
        <n v="200.42"/>
        <n v="624.37"/>
        <n v="528.61"/>
        <n v="433.27"/>
        <n v="1154.85"/>
        <n v="1971.92"/>
        <n v="160.0"/>
        <n v="519.03"/>
        <n v="100.0"/>
        <n v="230.0"/>
        <n v="320.0"/>
        <n v="706.96"/>
        <n v="581.45"/>
        <n v="4727.91"/>
        <n v="364.54"/>
        <n v="285.18"/>
        <n v="1063.34"/>
        <n v="562.14"/>
        <n v="1114.96"/>
        <n v="116.45"/>
        <n v="476.13"/>
        <n v="85.51"/>
        <n v="95.04"/>
        <n v="417.57"/>
        <n v="297.62"/>
        <n v="1227.74"/>
        <n v="1328.6599999999999"/>
        <n v="120.0"/>
        <n v="360.0"/>
        <n v="113.14"/>
        <n v="1217.85"/>
        <n v="2025.08"/>
        <n v="111.3"/>
        <n v="524.53"/>
        <n v="536.71"/>
        <n v="190.14"/>
        <n v="234.23"/>
        <n v="256.31"/>
        <n v="334.23"/>
        <n v="238.96"/>
        <n v="61.8"/>
        <n v="611.91"/>
        <n v="181.56"/>
        <n v="1179.49"/>
        <n v="200.0"/>
        <n v="300.0"/>
        <n v="368.61"/>
        <n v="464.22"/>
        <n v="368.82"/>
        <n v="198.34"/>
        <n v="556.01"/>
        <n v="425.0"/>
        <n v="11.36"/>
        <n v="235.91"/>
        <n v="174.19"/>
        <n v="581.23"/>
        <n v="936.17"/>
        <n v="436.81"/>
        <n v="1428.87"/>
        <n v="2000.0"/>
        <n v="1560.0"/>
        <n v="2406.74"/>
        <n v="492.66"/>
        <n v="617.57"/>
        <n v="347.01"/>
        <n v="758.59"/>
        <n v="563.5"/>
        <n v="105.24"/>
        <n v="11.33"/>
        <n v="239.19"/>
        <n v="417.21"/>
        <n v="197.62"/>
        <n v="372.35"/>
        <n v="352.13"/>
        <n v="715.57"/>
        <n v="1306.5"/>
        <n v="250.0"/>
        <n v="7204.99"/>
        <n v="964.14"/>
        <n v="1380.98"/>
        <n v="415.77"/>
        <n v="407.05"/>
        <n v="595.98"/>
        <n v="250.88"/>
        <n v="257.09"/>
        <n v="890.65"/>
        <n v="462.05"/>
        <n v="195.03"/>
        <n v="556.02"/>
        <n v="432.34"/>
        <n v="1555.39"/>
        <n v="1474.37"/>
        <n v="236.0"/>
        <n v="80.0"/>
        <n v="2150.0"/>
        <n v="1540.0"/>
        <n v="1644.94"/>
        <n v="75.44"/>
        <n v="745.28"/>
        <n v="1020.25"/>
        <n v="119.59"/>
        <n v="903.15"/>
        <n v="548.16"/>
        <n v="157.79"/>
        <n v="651.09"/>
        <n v="285.29"/>
        <n v="749.26"/>
        <n v="520.19"/>
        <n v="357.71"/>
        <n v="4657.02"/>
        <n v="150.0"/>
        <n v="377.04"/>
        <n v="1061.14"/>
        <n v="1185.31"/>
        <n v="235.08"/>
        <n v="345.91"/>
        <n v="738.52"/>
        <n v="612.27"/>
        <n v="360.73"/>
        <n v="407.84"/>
        <n v="690.12"/>
        <n v="891.07"/>
        <n v="669.67"/>
        <n v="1061.69"/>
        <n v="542.82"/>
        <n v="705.17"/>
        <n v="1050.2"/>
        <n v="477.3"/>
        <n v="447.02"/>
        <n v="840.42"/>
        <n v="909.12"/>
        <n v="337.17"/>
        <n v="166.36"/>
        <n v="419.52"/>
        <n v="573.41"/>
        <n v="820.7"/>
        <n v="547.89"/>
        <n v="175.44"/>
        <n v="8157.71"/>
        <n v="1000.0"/>
        <n v="963.0"/>
        <n v="786.0"/>
        <n v="563.0"/>
        <n v="2546.15"/>
        <n v="150.88"/>
        <n v="1238.07"/>
        <n v="644.97"/>
        <n v="1389.64"/>
        <n v="262.52"/>
        <n v="467.2"/>
        <n v="360.9"/>
        <n v="669.23"/>
        <n v="148.39"/>
        <n v="1346.44"/>
        <n v="435.99"/>
        <n v="1046.76"/>
        <n v="2317.18"/>
        <n v="500.0"/>
        <n v="352.0"/>
        <n v="2633.0"/>
        <n v="1324.58"/>
        <n v="372.64"/>
        <n v="642.62"/>
        <n v="1292.42"/>
        <n v="1563.61"/>
        <n v="1144.89"/>
        <n v="242.27"/>
        <n v="2234.7"/>
        <n v="1095.41"/>
        <n v="1609.16"/>
        <n v="314.44"/>
        <n v="605.86"/>
        <n v="1828.21"/>
        <n v="2362.0"/>
        <n v="1475.0"/>
        <n v="875.0"/>
        <n v="1111.0"/>
        <n v="2811.27"/>
        <n v="1378.19"/>
        <n v="1935.96"/>
        <n v="491.21"/>
        <n v="620.11"/>
        <n v="412.61"/>
        <n v="542.64"/>
        <n v="1084.98"/>
        <n v="579.74"/>
        <n v="261.73"/>
        <n v="626.88"/>
        <n v="161.73"/>
        <n v="3552.62"/>
        <n v="1423.0"/>
        <n v="483.36"/>
        <n v="442.43"/>
        <n v="210.64"/>
        <n v="2229.6"/>
        <n v="475.17"/>
        <n v="1306.16"/>
        <n v="1732.88"/>
        <n v="187.08"/>
        <n v="793.58"/>
        <n v="752.72"/>
        <n v="9.4"/>
        <n v="1428.36"/>
        <n v="852.05"/>
        <n v="399.73"/>
        <n v="544.1"/>
        <n v="3397.25"/>
        <n v="112.0"/>
        <n v="410.0"/>
        <n v="291.0"/>
        <n v="110.0"/>
        <n v="825.71"/>
        <n v="444.45"/>
        <n v="1666.88"/>
        <n v="1095.78"/>
        <n v="2178.51"/>
        <n v="2017.93"/>
        <n v="832.76"/>
        <n v="1523.54"/>
        <n v="831.95"/>
        <n v="2742.25"/>
        <n v="1963.48"/>
        <n v="2831.26"/>
        <n v="1178.39"/>
        <n v="2475.24"/>
        <n v="928.07"/>
        <n v="524.73"/>
        <n v="749.02"/>
        <n v="820.99"/>
        <n v="271.52"/>
        <n v="59.52"/>
        <n v="750.15"/>
        <n v="245.81"/>
        <n v="672.31"/>
        <n v="757.21"/>
        <n v="335.1"/>
        <n v="977.87"/>
        <n v="2540.06"/>
        <n v="2003.0"/>
        <n v="7223.0"/>
        <n v="589.69"/>
        <n v="1302.83"/>
        <n v="993.02"/>
        <n v="383.81"/>
        <n v="1779.64"/>
        <n v="451.27"/>
        <n v="611.4"/>
        <n v="213.28"/>
        <n v="616.66"/>
        <n v="314.59"/>
        <n v="634.12"/>
        <n v="591.42"/>
        <n v="2165.67"/>
        <n v="154.54"/>
        <n v="912.49"/>
        <n v="1479.77"/>
        <n v="194.72"/>
        <n v="324.6"/>
        <n v="862.89"/>
        <n v="1561.85"/>
        <n v="743.63"/>
        <n v="470.61"/>
      </sharedItems>
    </cacheField>
    <cacheField name="Nuevo Mem. Autocompras" numFmtId="0">
      <sharedItems containsString="0" containsBlank="1" containsNumber="1">
        <m/>
        <n v="871.24"/>
        <n v="0.0"/>
        <n v="413.94"/>
        <n v="1005.6"/>
        <n v="418.54"/>
        <n v="1283.46"/>
        <n v="1248.36"/>
        <n v="2455.99"/>
        <n v="483.6"/>
        <n v="838.37"/>
        <n v="435.62"/>
        <n v="502.8"/>
        <n v="823.66"/>
        <n v="945.68"/>
        <n v="986.95"/>
        <n v="7735.6900000000005"/>
        <n v="523.12"/>
        <n v="402.75"/>
        <n v="1261.78"/>
        <n v="997.09"/>
        <n v="5485.45"/>
        <n v="1333.67"/>
        <n v="1518.28"/>
        <n v="956.65"/>
        <n v="510.77"/>
        <n v="1469.51"/>
        <n v="1306.86"/>
        <n v="986.87"/>
        <n v="1285.64"/>
        <n v="2539.41"/>
        <n v="6358.74"/>
        <n v="2727.63"/>
        <n v="2511.77"/>
        <n v="15502.45"/>
        <n v="415.66"/>
        <n v="1530.07"/>
        <n v="2722.17"/>
        <n v="452.86"/>
        <n v="394.78"/>
        <n v="432.48"/>
        <n v="712.7"/>
        <n v="467.04"/>
        <n v="451.5"/>
        <n v="497.57"/>
        <n v="2706.28"/>
        <n v="4692.79"/>
        <n v="963.36"/>
        <n v="403.46"/>
        <n v="1374.55"/>
        <n v="1443.55"/>
        <n v="3086.29"/>
        <n v="424.26"/>
        <n v="2704.48"/>
        <n v="8039.580000000001"/>
        <n v="763.73"/>
        <n v="3083.92"/>
        <n v="1290.55"/>
        <n v="953.852"/>
        <n v="392.81"/>
        <n v="2184.8"/>
        <n v="3827.57"/>
        <n v="1340.66"/>
      </sharedItems>
    </cacheField>
    <cacheField name="Mem. Hipotecario" numFmtId="0">
      <sharedItems containsString="0" containsBlank="1" containsNumber="1" containsInteger="1">
        <m/>
        <n v="0.0"/>
      </sharedItems>
    </cacheField>
    <cacheField name="Mem. Extra financiamiento" numFmtId="0">
      <sharedItems containsString="0" containsBlank="1" containsNumber="1">
        <m/>
        <n v="0.0"/>
        <n v="147.52"/>
        <n v="139.19"/>
      </sharedItems>
    </cacheField>
    <cacheField name="Mem. Reestructura" numFmtId="0">
      <sharedItems containsString="0" containsBlank="1" containsNumber="1" containsInteger="1">
        <m/>
        <n v="0.0"/>
      </sharedItems>
    </cacheField>
    <cacheField name="Membresia" numFmtId="0">
      <sharedItems containsString="0" containsBlank="1" containsNumber="1">
        <m/>
        <n v="2131.12"/>
        <n v="1806.4"/>
        <n v="0.0"/>
        <n v="2878.66"/>
        <n v="3370.12"/>
        <n v="224.48"/>
        <n v="1785.88"/>
        <n v="1557.3"/>
        <n v="1972.2"/>
        <n v="2188.07"/>
        <n v="2902.64"/>
        <n v="3538.64"/>
        <n v="7774.94"/>
        <n v="1277.54"/>
        <n v="1777.54"/>
        <n v="1107.49"/>
        <n v="1500.0"/>
        <n v="1413.8"/>
        <n v="700.0"/>
        <n v="2862.99"/>
        <n v="3011.94"/>
        <n v="1429.93"/>
        <n v="2037.77"/>
        <n v="951.37"/>
        <n v="1668.15"/>
        <n v="3599.41"/>
        <n v="4062.51"/>
        <n v="3052.31"/>
        <n v="1784.64"/>
        <n v="1234.94"/>
        <n v="949.77"/>
        <n v="1651.5"/>
        <n v="1904.77"/>
        <n v="6859.99"/>
        <n v="2500.0"/>
        <n v="1000.0"/>
        <n v="1135.19"/>
        <n v="753.78"/>
        <n v="2804.44"/>
        <n v="1087.21"/>
        <n v="1902.1"/>
        <n v="1693.99"/>
        <n v="2279.53"/>
        <n v="1625.73"/>
        <n v="2817.26"/>
        <n v="558.06"/>
        <n v="3377.91"/>
        <n v="4363.33"/>
        <n v="3365.34"/>
        <n v="1448.62"/>
        <n v="899.88"/>
        <n v="2085.65"/>
        <n v="6904.4400000000005"/>
        <n v="378.64"/>
        <n v="1818.55"/>
        <n v="1638.6999999999998"/>
        <n v="1769.67"/>
        <n v="1600.0"/>
        <n v="1350.0"/>
        <n v="1049.08"/>
        <n v="3474.84"/>
        <n v="5211.2"/>
        <n v="1124.99"/>
        <n v="1081.64"/>
        <n v="3807.92"/>
        <n v="3053.85"/>
        <n v="1363.5"/>
        <n v="2429.66"/>
        <n v="1792.1"/>
        <n v="2041.66"/>
        <n v="4962.75"/>
        <n v="8615.39"/>
        <n v="396.0"/>
        <n v="851.1199999999999"/>
        <n v="600.0"/>
        <n v="680.0"/>
        <n v="720.0"/>
        <n v="4642.33"/>
        <n v="842.0"/>
        <n v="10301.48"/>
        <n v="2224.62"/>
        <n v="1095.41"/>
        <n v="1905.3899999999999"/>
        <n v="3778.48"/>
        <n v="2536.98"/>
        <n v="3630.79"/>
        <n v="2806.03"/>
        <n v="2944.32"/>
        <n v="2602.11"/>
        <n v="1880.48"/>
        <n v="2630.21"/>
        <n v="1250.22"/>
        <n v="3073.08"/>
        <n v="13011.39"/>
        <n v="830.0"/>
        <n v="970.0"/>
        <n v="1260.0"/>
        <n v="4755.4800000000005"/>
        <n v="2260.08"/>
        <n v="3151.47"/>
        <n v="4515.37"/>
        <n v="2694.55"/>
        <n v="1678.89"/>
        <n v="2233.7799999999997"/>
        <n v="4156.04"/>
        <n v="1620.19"/>
        <n v="2141.83"/>
        <n v="4539.89"/>
        <n v="2597.2799999999997"/>
        <n v="2826.87"/>
        <n v="2160.33"/>
        <n v="1689.31"/>
        <n v="2529.19"/>
        <n v="1961.8999999999999"/>
        <n v="2898.77"/>
        <n v="3972.66"/>
        <n v="8960.3"/>
        <n v="800.0"/>
        <n v="660.0"/>
        <n v="5447.0199999999995"/>
        <n v="3138.79"/>
        <n v="3155.94"/>
        <n v="1526.73"/>
        <n v="596.67"/>
        <n v="1018.2"/>
        <n v="2423.83"/>
        <n v="1901.0"/>
        <n v="3458.34"/>
        <n v="2306.6499999999996"/>
        <n v="2239.7200000000003"/>
        <n v="1818.45"/>
        <n v="3262.97"/>
        <n v="1935.9299999999998"/>
        <n v="968.95"/>
        <n v="2838.0299999999997"/>
        <n v="3774.05"/>
        <n v="10952.740000000003"/>
        <n v="3200.0"/>
        <n v="2688.4300000000003"/>
        <n v="1654.83"/>
        <n v="4966.74"/>
        <n v="3445.43"/>
        <n v="4071.07"/>
        <n v="2533.63"/>
        <n v="1168.86"/>
        <n v="2223.67"/>
        <n v="4786.41"/>
        <n v="3521.91"/>
        <n v="1957.75"/>
        <n v="1324.24"/>
        <n v="1660.26"/>
        <n v="5397.21"/>
        <n v="1972.6000000000001"/>
        <n v="1880.88"/>
        <n v="1924.1100000000001"/>
        <n v="2056.38"/>
        <n v="4882.8"/>
        <n v="11715.72"/>
        <n v="17122.02"/>
        <n v="223.0"/>
        <n v="450.0"/>
        <n v="650.0"/>
        <n v="16264.9"/>
        <n v="5454.490000000001"/>
        <n v="1925.52"/>
        <n v="3425.73"/>
        <n v="4932.42"/>
        <n v="3655.43"/>
        <n v="1351.49"/>
        <n v="5353.360000000001"/>
        <n v="5880.5"/>
        <n v="4420.17"/>
        <n v="3243.1"/>
        <n v="4340.79"/>
        <n v="4266.99"/>
        <n v="5204.599999999999"/>
        <n v="4369.13"/>
        <n v="2088.2"/>
        <n v="3067.5"/>
        <n v="11909.51"/>
        <n v="20216.899999999998"/>
        <n v="636.0"/>
        <n v="300.0"/>
        <n v="580.0"/>
        <n v="2450.0"/>
        <n v="18046.26"/>
        <n v="6345.040000000001"/>
        <n v="3344.82"/>
        <n v="1883.1299999999999"/>
        <n v="1232.74"/>
        <n v="2675.55"/>
        <n v="5372.91"/>
        <n v="9720.88"/>
        <n v="4236.03"/>
        <n v="3575.87"/>
        <n v="2298.59"/>
        <n v="1243.05"/>
        <n v="3160.4700000000003"/>
        <n v="3633.58"/>
        <n v="4597.98"/>
        <n v="2202.02"/>
        <n v="3642.44"/>
        <n v="1544.82"/>
        <n v="20028.78"/>
        <n v="1150.0"/>
        <n v="1010.0"/>
        <n v="863.0"/>
        <n v="16586.23"/>
        <n v="7764.26"/>
        <n v="6688.370000000001"/>
        <n v="3691.82"/>
        <n v="1930.76"/>
        <n v="3079.13"/>
        <n v="5801.83"/>
        <n v="6145.22"/>
        <n v="4167.69"/>
        <n v="2567.94"/>
        <n v="5290.99"/>
        <n v="5287.219999999999"/>
        <n v="2776.26"/>
        <n v="4080.15"/>
        <n v="3619.78"/>
        <n v="6947.51"/>
        <n v="9563.79"/>
        <n v="16436.28"/>
        <n v="27117.399999999998"/>
        <n v="350.0"/>
        <n v="220.0"/>
        <n v="16352.86"/>
        <n v="7164.73"/>
        <n v="4452.79"/>
        <n v="2465.15"/>
        <n v="5421.96"/>
        <n v="4982.7300000000005"/>
        <n v="2732.0"/>
        <n v="4324.7699999999995"/>
        <n v="10025.160000000002"/>
        <n v="11770.59"/>
        <n v="2857.23"/>
        <n v="4177.13"/>
        <n v="1100.72"/>
        <n v="2281.15"/>
        <n v="7226.28"/>
        <n v="3454.4700000000003"/>
        <n v="7152.280000000001"/>
        <n v="5421.36"/>
        <n v="8840.7"/>
        <n v="35639.23"/>
        <n v="3212.0"/>
        <n v="2595.0"/>
        <n v="1751.0"/>
        <n v="1797.0"/>
        <n v="12411.02"/>
        <n v="15027.92"/>
        <n v="9893.88"/>
        <n v="4733.86"/>
        <n v="850.49"/>
        <n v="6912.990000000001"/>
        <n v="9306.33"/>
        <n v="10265.04"/>
        <n v="8337.75"/>
        <n v="6237.49"/>
        <n v="3599.1299999999997"/>
        <n v="3498.78"/>
        <n v="4030.51"/>
        <n v="9900.83"/>
        <n v="58888.82"/>
        <n v="1800.0"/>
        <n v="3032.0"/>
        <n v="2982.0"/>
        <n v="5116.110000000001"/>
        <n v="10647.16"/>
        <n v="8257.439999999999"/>
        <n v="6071.110000000001"/>
        <n v="4266.81"/>
        <n v="5905.6900000000005"/>
        <n v="4588.509999999999"/>
        <n v="10452.970000000001"/>
        <n v="9628.59"/>
        <n v="8084.340000000001"/>
        <n v="6486.650000000001"/>
        <n v="5514.2"/>
        <n v="6116.37"/>
        <n v="7933.84"/>
        <n v="3061.21"/>
        <n v="10266.599999999999"/>
        <n v="6627.78"/>
        <n v="3161.94"/>
        <n v="15374.830000000002"/>
        <n v="40000.55"/>
        <n v="6983.0"/>
        <n v="3961.0"/>
        <n v="2353.0"/>
        <n v="2311.0"/>
        <n v="4709.08"/>
        <n v="13322.550000000001"/>
        <n v="8951.69"/>
        <n v="6824.58"/>
        <n v="5490.07"/>
        <n v="5779.53"/>
        <n v="9357.730000000001"/>
        <n v="10904.140000000001"/>
        <n v="9484.590000000002"/>
        <n v="7365.1"/>
        <n v="12222.9"/>
        <n v="5781.58"/>
        <n v="4853.28"/>
        <n v="2574.23"/>
        <n v="7214.02"/>
        <n v="9963.49"/>
        <n v="67606.51999999999"/>
        <n v="3835.0"/>
        <n v="2153.0"/>
        <n v="2211.0"/>
        <n v="2915.7"/>
        <n v="8497.83"/>
        <n v="9526.19"/>
        <n v="6602.240000000001"/>
        <n v="8715.877"/>
        <n v="7136.36"/>
        <n v="9770.5"/>
        <n v="11305.240000000002"/>
        <n v="11699.560000000001"/>
        <n v="5826.19"/>
        <n v="10516.72"/>
        <n v="7200.13"/>
        <n v="6155.339999999999"/>
        <n v="9079.96"/>
        <n v="13789.92"/>
        <n v="4271.889999999999"/>
        <n v="8973.98"/>
        <n v="61094.10999999999"/>
        <n v="381.0"/>
        <n v="239.0"/>
        <n v="651.0"/>
        <n v="550.0"/>
        <n v="232.0"/>
        <n v="14374.070000000002"/>
        <n v="5695.62"/>
        <n v="10977.78"/>
        <n v="8834.310000000001"/>
        <n v="11221.250000000002"/>
        <n v="13605.56"/>
        <n v="16318.85"/>
        <n v="21380.829999999998"/>
        <n v="15953.490000000002"/>
        <n v="9836.330000000002"/>
        <n v="11603.77"/>
        <n v="10525.18"/>
        <n v="12096.49"/>
        <n v="59516.82"/>
        <n v="1202.0"/>
        <n v="1275.0"/>
        <n v="7658.98"/>
        <n v="24909.76"/>
        <n v="17772.23"/>
        <n v="32857.61"/>
        <n v="6803.25"/>
        <n v="3283.07"/>
        <n v="4919.959999999999"/>
        <n v="26382.09"/>
        <n v="17457.050000000003"/>
        <n v="10661.36"/>
        <n v="11351.73"/>
        <n v="9999.01"/>
        <n v="4799.68"/>
        <n v="2848.16"/>
        <n v="8973.66"/>
        <n v="8664.09"/>
        <n v="8961.97"/>
        <n v="6439.2699999999995"/>
        <n v="24223.309999999998"/>
        <n v="46310.729999999996"/>
        <n v="2903.0"/>
        <n v="1766.0"/>
        <n v="28842.36"/>
        <n v="4717.17"/>
        <n v="11021.749999999998"/>
        <n v="6406.900000000001"/>
        <n v="5085.63"/>
        <n v="6032.680000000001"/>
        <n v="35652.229999999996"/>
        <n v="7777.419999999999"/>
        <n v="8723.39"/>
        <n v="2115.2400000000002"/>
        <n v="5353.049999999999"/>
        <n v="4320.46"/>
        <n v="2120.45"/>
        <n v="4563.99"/>
        <n v="5417.82"/>
        <n v="18087.15"/>
        <n v="82435.63000000002"/>
        <n v="1665.0"/>
        <n v="1450.0"/>
        <n v="1346.0"/>
        <n v="8203.87"/>
        <n v="11747.84"/>
        <n v="12491.8"/>
        <n v="20391.93"/>
        <n v="6139.772"/>
        <n v="6905.080000000001"/>
        <n v="12197.32"/>
        <n v="20692.23"/>
        <n v="22045.09"/>
        <n v="6244.81"/>
        <n v="4932.13"/>
        <n v="5726.07"/>
        <n v="3684.57"/>
      </sharedItems>
    </cacheField>
    <cacheField name="OI. Autocompras" numFmtId="0">
      <sharedItems containsString="0" containsBlank="1" containsNumber="1">
        <m/>
        <n v="3108.54"/>
        <n v="0.0"/>
        <n v="80.0"/>
        <n v="73.0"/>
        <n v="0.56"/>
        <n v="4601.47"/>
        <n v="1100.25"/>
        <n v="155.49"/>
        <n v="1101.3"/>
        <n v="25.21"/>
        <n v="2205.08"/>
        <n v="151.25"/>
        <n v="2208.95"/>
        <n v="500.0"/>
        <n v="1650.0"/>
        <n v="1102.32"/>
        <n v="1.25"/>
        <n v="98.0"/>
        <n v="21.01"/>
        <n v="0.39"/>
        <n v="552.16"/>
        <n v="1100.79"/>
        <n v="700.0"/>
        <n v="0.16"/>
        <n v="550.58"/>
        <n v="4205.0"/>
        <n v="178.06"/>
        <n v="1.77"/>
        <n v="101.27"/>
        <n v="898.24"/>
        <n v="5895.63"/>
        <n v="3091.47"/>
        <n v="0.58"/>
        <n v="39.3"/>
        <n v="3411.5"/>
        <n v="50.0"/>
        <n v="10543.08"/>
        <n v="4121.0"/>
        <n v="113.28"/>
        <n v="2188.96"/>
        <n v="1389.65"/>
        <n v="4376.69"/>
        <n v="6154.57"/>
        <n v="4447.5"/>
        <n v="4644.81"/>
        <n v="5108.26"/>
        <n v="0.36"/>
        <n v="1867.19"/>
        <n v="3327.98"/>
        <n v="450.0"/>
        <n v="9543.38"/>
        <n v="4423.05"/>
        <n v="4386.66"/>
        <n v="2351.19"/>
        <n v="4087.28"/>
        <n v="8918.23"/>
        <n v="1230.0"/>
        <n v="900.0"/>
        <n v="200.0"/>
        <n v="1900.0"/>
        <n v="2460.62"/>
        <n v="7534.200000000001"/>
        <n v="7718.43"/>
        <n v="5428.24"/>
        <n v="5986.0"/>
        <n v="11129.2"/>
        <n v="1967.19"/>
        <n v="2660.9"/>
        <n v="6353.19"/>
        <n v="2802.28"/>
        <n v="1663.19"/>
        <n v="4920.81"/>
        <n v="3274.68"/>
        <n v="16469.41"/>
        <n v="5009.02"/>
        <n v="600.0"/>
        <n v="2230.0"/>
        <n v="728.97"/>
        <n v="30.24"/>
        <n v="589.01"/>
        <n v="2897.24"/>
        <n v="4088.52"/>
        <n v="173.24"/>
        <n v="3718.47"/>
        <n v="6990.74"/>
        <n v="4682.93"/>
        <n v="5552.98"/>
        <n v="147.95"/>
        <n v="3507.38"/>
        <n v="2225.2"/>
        <n v="3807.71"/>
        <n v="3239.54"/>
        <n v="6909.53"/>
        <n v="56.11"/>
        <n v="14468.720000000001"/>
        <n v="15.0"/>
        <n v="126.11"/>
        <n v="11973.81"/>
        <n v="47.25"/>
        <n v="1928.74"/>
        <n v="6732.9"/>
        <n v="3965.37"/>
        <n v="852.26"/>
        <n v="6559.9"/>
        <n v="22.92"/>
        <n v="4077.83"/>
        <n v="202.11"/>
        <n v="4238.8"/>
        <n v="5203.96"/>
        <n v="7.37"/>
        <n v="3.18"/>
        <n v="13048.24"/>
        <n v="8782.82"/>
        <n v="2290.19"/>
        <n v="6293.739999999999"/>
        <n v="98.45"/>
        <n v="45.0"/>
        <n v="120.0"/>
        <n v="190.0"/>
        <n v="821.18"/>
        <n v="3696.96"/>
        <n v="89.92"/>
        <n v="3602.5"/>
        <n v="6461.86"/>
        <n v="4676.64"/>
        <n v="55.6"/>
        <n v="5142.01"/>
        <n v="3.96"/>
        <n v="7699.22"/>
        <n v="12033.53"/>
        <n v="5.76"/>
        <n v="6.51"/>
        <n v="8769.3"/>
        <n v="6752.070000000001"/>
        <n v="11149.45"/>
        <n v="17613.18"/>
        <n v="1.55"/>
        <n v="11373.75"/>
        <n v="2000.0"/>
        <n v="1600.0"/>
        <n v="1200.0"/>
        <n v="9240.77"/>
        <n v="10.51"/>
        <n v="1878.4"/>
        <n v="2576.84"/>
        <n v="8063.44"/>
        <n v="2171.03"/>
        <n v="1691.1"/>
        <n v="5339.69"/>
        <n v="7043.18"/>
        <n v="4420.98"/>
        <n v="25.51"/>
        <n v="8334.98"/>
        <n v="12017.06"/>
        <n v="152.48"/>
        <n v="8743.0"/>
        <n v="14.46"/>
        <n v="23.56"/>
        <n v="16285.89"/>
        <n v="22286.98"/>
        <n v="250.0"/>
        <n v="5.0"/>
        <n v="2860.57"/>
        <n v="366.85"/>
        <n v="19137.12"/>
        <n v="2.94"/>
        <n v="7079.87"/>
        <n v="4615.85"/>
        <n v="1972.23"/>
        <n v="5118.62"/>
        <n v="1925.13"/>
        <n v="3920.69"/>
        <n v="16.28"/>
        <n v="4223.62"/>
        <n v="12797.94"/>
        <n v="11211.59"/>
        <n v="14591.61"/>
        <n v="3383.18"/>
        <n v="7584.47"/>
        <n v="16953.56"/>
        <n v="1874.75"/>
        <n v="7724.53"/>
        <n v="9430.32"/>
        <n v="2008.14"/>
        <n v="6396.79"/>
        <n v="2160.06"/>
        <n v="3959.81"/>
        <n v="9874.43"/>
        <n v="13075.95"/>
        <n v="11319.04"/>
        <n v="15227.95"/>
        <n v="3552.36"/>
        <n v="28831.76"/>
        <n v="4.98"/>
        <n v="47.83"/>
        <n v="15737.949999999999"/>
        <n v="2462.73"/>
        <n v="2695.37"/>
        <n v="77.12"/>
        <n v="22.34"/>
        <n v="2768.46"/>
        <n v="461.18"/>
        <n v="0.8"/>
        <n v="113.92"/>
        <n v="92.01"/>
        <n v="10200.04"/>
        <n v="5368.17"/>
        <n v="77.85"/>
        <n v="8217.28"/>
        <n v="6404.65"/>
        <n v="6848.72"/>
        <n v="7812.58"/>
        <n v="15564.65"/>
        <n v="2338.41"/>
        <n v="13826.03"/>
        <n v="8530.52"/>
        <n v="15057.54"/>
        <n v="5181.86"/>
        <n v="3829.53"/>
        <n v="3196.82"/>
        <n v="10217.39"/>
        <n v="3815.95"/>
        <n v="2743.4"/>
        <n v="950.86"/>
        <n v="15448.59"/>
        <n v="3654.85"/>
        <n v="3328.18"/>
        <n v="3871.69"/>
        <n v="5.68"/>
        <n v="4689.96"/>
        <n v="20.8"/>
        <n v="402.91"/>
        <n v="20788.020000000004"/>
        <n v="11.44"/>
        <n v="4069.97"/>
        <n v="2298.56"/>
        <n v="5.01"/>
        <n v="2038.48"/>
        <n v="553.5"/>
        <n v="2896.69"/>
        <n v="1048.78"/>
        <n v="930.11"/>
        <n v="866.63"/>
        <n v="907.08"/>
        <n v="14.38"/>
        <n v="3023.54"/>
        <n v="962.71"/>
        <n v="42.7"/>
        <n v="7.32"/>
        <n v="0.59"/>
        <n v="3127.6899999999996"/>
        <n v="64384.63"/>
        <n v="106.43"/>
        <n v="16541.31"/>
        <n v="39.43"/>
        <n v="11766.71"/>
        <n v="5671.66"/>
        <n v="74.59"/>
        <n v="7.22"/>
        <n v="79.92"/>
        <n v="254.25"/>
        <n v="9558.38"/>
        <n v="20196.27"/>
        <n v="25242.35"/>
        <n v="10356.91"/>
        <n v="12489.4"/>
        <n v="91.71"/>
        <n v="3156.91"/>
        <n v="10405.12"/>
        <n v="3657.42"/>
        <n v="537.46"/>
        <n v="5.6"/>
        <n v="470.26"/>
        <n v="5244.88"/>
        <n v="7391.54"/>
        <n v="3170.02"/>
        <n v="15421.44"/>
        <n v="14840.65"/>
        <n v="3977.66"/>
        <n v="6917.62"/>
        <n v="3346.14"/>
        <n v="5249.67"/>
        <n v="8379.98"/>
        <n v="2526.92"/>
        <n v="7062.36"/>
        <n v="5423.28"/>
        <n v="1924.0"/>
        <n v="2202.36"/>
        <n v="106.57"/>
        <n v="39.17"/>
        <n v="22.91"/>
        <n v="4285.91"/>
        <n v="182.54"/>
        <n v="2170.34"/>
        <n v="9145.57"/>
        <n v="8.02"/>
        <n v="4117.73"/>
        <n v="9899.19"/>
        <n v="3443.4700000000003"/>
        <n v="2073.01"/>
        <n v="0.052"/>
        <n v="7524.61"/>
        <n v="413.38000000000005"/>
        <n v="24.8"/>
        <n v="6720.0"/>
        <n v="8916.03"/>
        <n v="4.5"/>
        <n v="1020.98"/>
        <n v="2605.13"/>
        <n v="460.24"/>
        <n v="8332.97"/>
        <n v="32.94"/>
        <n v="109.73"/>
        <n v="5977.37"/>
        <n v="2527.57"/>
        <n v="516.27"/>
        <n v="3.55"/>
      </sharedItems>
    </cacheField>
    <cacheField name="OI. Sobre vehículo" numFmtId="0">
      <sharedItems containsString="0" containsBlank="1" containsNumber="1">
        <m/>
        <n v="0.0"/>
        <n v="961.8"/>
        <n v="0.49"/>
        <n v="0.25"/>
        <n v="0.42"/>
        <n v="1.06"/>
        <n v="0.63"/>
        <n v="0.55"/>
        <n v="337.06"/>
        <n v="500.0"/>
        <n v="88.32"/>
        <n v="0.46"/>
        <n v="551.19"/>
        <n v="1.11"/>
        <n v="0.77"/>
        <n v="0.06"/>
        <n v="0.16"/>
        <n v="1.27"/>
        <n v="951.71"/>
        <n v="1.26"/>
        <n v="3880.82"/>
        <n v="300.02"/>
        <n v="6.13"/>
        <n v="3808.98"/>
        <n v="1847.59"/>
        <n v="6.5"/>
        <n v="1080.0"/>
        <n v="1511.59"/>
        <n v="300.0"/>
        <n v="400.0"/>
        <n v="2099.85"/>
        <n v="1376.0"/>
        <n v="2530.22"/>
        <n v="1100.0"/>
        <n v="403.0"/>
        <n v="2350.0"/>
        <n v="11.03"/>
        <n v="0.19"/>
        <n v="1.02"/>
        <n v="1.79"/>
        <n v="7.89"/>
        <n v="3699.49"/>
        <n v="88.44"/>
        <n v="3.38"/>
        <n v="150.0"/>
        <n v="1.23"/>
        <n v="38.19"/>
        <n v="0.03"/>
        <n v="7.4"/>
        <n v="25.0"/>
        <n v="170.87"/>
        <n v="5.71"/>
        <n v="1.22"/>
        <n v="1.98"/>
        <n v="0.52"/>
        <n v="200.0"/>
        <n v="0.016"/>
        <n v="688.03"/>
        <n v="1.2"/>
        <n v="50.0"/>
        <n v="3.91"/>
        <n v="426.29"/>
        <n v="3.25"/>
        <n v="3.11"/>
        <n v="1.36"/>
        <n v="4907.77"/>
        <n v="15.0"/>
        <n v="2.1"/>
        <n v="10.0"/>
        <n v="16.0"/>
        <n v="53.5"/>
        <n v="3.88"/>
        <n v="1896.13"/>
        <n v="89.6"/>
        <n v="44.4"/>
        <n v="3.27"/>
        <n v="13368.12"/>
        <n v="5530.12"/>
        <n v="2605.69"/>
        <n v="0.59"/>
        <n v="1.16"/>
        <n v="0.01"/>
        <n v="300.7"/>
        <n v="0.69"/>
        <n v="81.47"/>
        <n v="0.27"/>
        <n v="2573.0499999999997"/>
        <n v="1933.35"/>
        <n v="63.48"/>
        <n v="3.26"/>
        <n v="0.75"/>
        <n v="2093.2"/>
        <n v="100.0"/>
        <n v="5158.610000000001"/>
        <n v="1.92"/>
        <n v="1.34"/>
        <n v="0.1"/>
        <n v="426.25"/>
        <n v="850.0"/>
        <n v="5.06"/>
        <n v="12505.79"/>
        <n v="2266.61"/>
        <n v="9.27"/>
        <n v="0.02"/>
        <n v="0.56"/>
        <n v="395.22"/>
        <n v="88.47"/>
        <n v="850.08"/>
        <n v="3930.4300000000003"/>
        <n v="77.27"/>
        <n v="350.0"/>
        <n v="551.24"/>
        <n v="395.96"/>
        <n v="60.14"/>
        <n v="4.68"/>
        <n v="41.26"/>
        <n v="56.77"/>
        <n v="0.24"/>
        <n v="97.4"/>
        <n v="46.54"/>
        <n v="4294.42"/>
        <n v="0.17"/>
        <n v="2583.07"/>
        <n v="3821.66"/>
        <n v="3692.96"/>
        <n v="0.54"/>
        <n v="550.0"/>
        <n v="46.71"/>
        <n v="2802.55"/>
        <n v="0.09"/>
        <n v="5155.46"/>
        <n v="350.62"/>
        <n v="2.41"/>
        <n v="48.57"/>
        <n v="550.6"/>
      </sharedItems>
    </cacheField>
    <cacheField name="Nuevo OI. Autocompras" numFmtId="0">
      <sharedItems containsString="0" containsBlank="1" containsNumber="1">
        <m/>
        <n v="0.99"/>
        <n v="0.0"/>
        <n v="1.25"/>
        <n v="10646.81"/>
        <n v="4865.85"/>
        <n v="6028.33"/>
        <n v="90.75"/>
        <n v="9.459999999999999"/>
        <n v="0.05"/>
        <n v="0.46"/>
        <n v="8816.93"/>
        <n v="500.0"/>
        <n v="2450.0"/>
        <n v="1150.0"/>
        <n v="1300.0"/>
        <n v="3380.94"/>
        <n v="742.5699999999999"/>
        <n v="47642.24"/>
        <n v="0.27"/>
        <n v="21.8"/>
        <n v="3920.59"/>
        <n v="1.38"/>
        <n v="10734.34"/>
        <n v="9100.07"/>
        <n v="10747.41"/>
        <n v="26.8"/>
        <n v="48.57"/>
        <n v="0.39"/>
        <n v="46.18"/>
        <n v="450.0"/>
        <n v="0.08"/>
        <n v="7458.74"/>
        <n v="7245.53"/>
        <n v="650.0"/>
        <n v="4418.46"/>
        <n v="4758.01"/>
        <n v="3649.93"/>
        <n v="72.89"/>
        <n v="1.77"/>
        <n v="122.12"/>
        <n v="3869.72"/>
        <n v="0.23"/>
        <n v="0.29"/>
        <n v="4370.22"/>
        <n v="6807.71"/>
        <n v="45.21"/>
      </sharedItems>
    </cacheField>
    <cacheField name="OI. Hipotecario" numFmtId="0">
      <sharedItems containsString="0" containsBlank="1" containsNumber="1">
        <m/>
        <n v="0.0"/>
        <n v="63.69"/>
        <n v="43.69"/>
        <n v="406.57"/>
        <n v="0.36"/>
        <n v="540.0"/>
        <n v="310.0"/>
      </sharedItems>
    </cacheField>
    <cacheField name="OI. Extra financiamiento" numFmtId="0">
      <sharedItems containsString="0" containsBlank="1" containsNumber="1">
        <m/>
        <n v="0.0"/>
        <n v="3.78"/>
        <n v="76.22"/>
        <n v="0.42"/>
        <n v="0.04"/>
        <n v="88.89"/>
      </sharedItems>
    </cacheField>
    <cacheField name="OI. Reestructura" numFmtId="0">
      <sharedItems containsString="0" containsBlank="1" containsNumber="1">
        <m/>
        <n v="0.0"/>
        <n v="5357.84"/>
      </sharedItems>
    </cacheField>
    <cacheField name="Otros ingresos" numFmtId="0">
      <sharedItems containsString="0" containsBlank="1" containsNumber="1">
        <m/>
        <n v="97.39"/>
        <n v="100.57"/>
        <n v="0.0"/>
        <n v="25.24"/>
        <n v="729.76"/>
        <n v="3.1"/>
        <n v="581.25"/>
        <n v="74.75"/>
        <n v="4.26"/>
        <n v="8.89"/>
        <n v="2.25"/>
        <n v="85.84"/>
        <n v="231.64"/>
        <n v="232.14"/>
        <n v="232.64"/>
        <n v="0.35"/>
        <n v="4.0"/>
        <n v="3.58"/>
        <n v="8.93"/>
        <n v="1285.04"/>
        <n v="0.68"/>
        <n v="6.53"/>
        <n v="82.96"/>
        <n v="12.23"/>
        <n v="32.68"/>
        <n v="1036.64"/>
        <n v="1898.62"/>
        <n v="88.74"/>
        <n v="5900.47"/>
        <n v="2450.0"/>
        <n v="1110.2"/>
        <n v="962.48"/>
        <n v="2507.81"/>
        <n v="80.0"/>
        <n v="75.0"/>
        <n v="23.0"/>
        <n v="17.65"/>
        <n v="2.6"/>
        <n v="4560.6"/>
        <n v="1100.0"/>
        <n v="0.39"/>
        <n v="566.29"/>
        <n v="69.24"/>
        <n v="300.0"/>
        <n v="1104.27"/>
        <n v="1050.87"/>
        <n v="1177.61"/>
        <n v="9.94"/>
        <n v="403.86"/>
        <n v="1900.27"/>
        <n v="30.8"/>
        <n v="55.33"/>
        <n v="3108.54"/>
        <n v="1034.8"/>
        <n v="1.05"/>
        <n v="4601.72"/>
        <n v="1100.67"/>
        <n v="156.55"/>
        <n v="1101.3"/>
        <n v="25.21"/>
        <n v="2205.71"/>
        <n v="3.78"/>
        <n v="151.8"/>
        <n v="2546.0099999999998"/>
        <n v="1000.0"/>
        <n v="1738.32"/>
        <n v="1102.78"/>
        <n v="1.25"/>
        <n v="98.0"/>
        <n v="572.2"/>
        <n v="5.279999999999999"/>
        <n v="552.93"/>
        <n v="1600.79"/>
        <n v="700.06"/>
        <n v="0.32"/>
        <n v="551.85"/>
        <n v="5156.71"/>
        <n v="178.06"/>
        <n v="3.0300000000000002"/>
        <n v="101.27"/>
        <n v="898.24"/>
        <n v="5895.63"/>
        <n v="3091.47"/>
        <n v="0.58"/>
        <n v="3920.1200000000003"/>
        <n v="3711.52"/>
        <n v="50.0"/>
        <n v="6.13"/>
        <n v="10543.08"/>
        <n v="4121.0"/>
        <n v="117.06"/>
        <n v="5997.9400000000005"/>
        <n v="3237.24"/>
        <n v="4376.69"/>
        <n v="6230.79"/>
        <n v="4447.92"/>
        <n v="4644.81"/>
        <n v="5114.76"/>
        <n v="1080.36"/>
        <n v="1867.23"/>
        <n v="3327.98"/>
        <n v="450.0"/>
        <n v="9543.38"/>
        <n v="4423.05"/>
        <n v="4386.66"/>
        <n v="2351.19"/>
        <n v="4239.860000000001"/>
        <n v="10429.82"/>
        <n v="1530.0"/>
        <n v="1300.0"/>
        <n v="200.0"/>
        <n v="3999.85"/>
        <n v="2460.62"/>
        <n v="7534.200000000001"/>
        <n v="7718.43"/>
        <n v="5428.24"/>
        <n v="7362.0"/>
        <n v="11129.2"/>
        <n v="1967.19"/>
        <n v="5191.12"/>
        <n v="6353.19"/>
        <n v="2802.28"/>
        <n v="2763.19"/>
        <n v="4920.81"/>
        <n v="3274.68"/>
        <n v="16469.41"/>
        <n v="5009.02"/>
        <n v="900.0"/>
        <n v="2053.0"/>
        <n v="1650.0"/>
        <n v="4580.0"/>
        <n v="740.0"/>
        <n v="30.43"/>
        <n v="590.03"/>
        <n v="2897.24"/>
        <n v="4088.52"/>
        <n v="175.03"/>
        <n v="3726.3599999999997"/>
        <n v="6990.74"/>
        <n v="4726.62"/>
        <n v="9252.47"/>
        <n v="236.39"/>
        <n v="3510.76"/>
        <n v="2375.2"/>
        <n v="3808.94"/>
        <n v="3277.73"/>
        <n v="6909.53"/>
        <n v="56.14"/>
        <n v="14476.12"/>
        <n v="15.0"/>
        <n v="296.98"/>
        <n v="11973.81"/>
        <n v="47.25"/>
        <n v="1928.74"/>
        <n v="6732.9"/>
        <n v="3965.37"/>
        <n v="857.97"/>
        <n v="6561.12"/>
        <n v="24.900000000000002"/>
        <n v="4078.35"/>
        <n v="608.6800000000001"/>
        <n v="4238.8"/>
        <n v="5203.96"/>
        <n v="7.37"/>
        <n v="5361.02"/>
        <n v="13248.24"/>
        <n v="8782.82"/>
        <n v="2290.206"/>
        <n v="6981.769999999999"/>
        <n v="123.45"/>
        <n v="46.2"/>
        <n v="120.03"/>
        <n v="240.0"/>
        <n v="825.0899999999999"/>
        <n v="4123.25"/>
        <n v="89.92"/>
        <n v="3602.5"/>
        <n v="6461.86"/>
        <n v="4679.89"/>
        <n v="5145.12"/>
        <n v="3.96"/>
        <n v="7699.22"/>
        <n v="12121.970000000001"/>
        <n v="5.76"/>
        <n v="6.51"/>
        <n v="8769.3"/>
        <n v="6753.43"/>
        <n v="11149.45"/>
        <n v="17613.18"/>
        <n v="1.55"/>
        <n v="16325.210000000001"/>
        <n v="2015.0"/>
        <n v="1602.1"/>
        <n v="1210.0"/>
        <n v="2016.0"/>
        <n v="9294.27"/>
        <n v="10.51"/>
        <n v="1878.4"/>
        <n v="2576.84"/>
        <n v="8063.44"/>
        <n v="2171.03"/>
        <n v="1694.98"/>
        <n v="5339.75"/>
        <n v="8939.310000000001"/>
        <n v="4420.98"/>
        <n v="115.11"/>
        <n v="8379.38"/>
        <n v="12020.33"/>
        <n v="152.48"/>
        <n v="8743.0"/>
        <n v="14.46"/>
        <n v="23.72"/>
        <n v="16285.92"/>
        <n v="22286.98"/>
        <n v="250.0"/>
        <n v="5.0"/>
        <n v="16228.69"/>
        <n v="366.85"/>
        <n v="24667.239999999998"/>
        <n v="46.629999999999995"/>
        <n v="9685.56"/>
        <n v="4615.85"/>
        <n v="1972.23"/>
        <n v="5119.25"/>
        <n v="1925.72"/>
        <n v="3920.75"/>
        <n v="19.53"/>
        <n v="4224.78"/>
        <n v="12797.94"/>
        <n v="11300.03"/>
        <n v="14591.62"/>
        <n v="3683.8799999999997"/>
        <n v="7584.47"/>
        <n v="16953.56"/>
        <n v="1874.75"/>
        <n v="7724.5599999999995"/>
        <n v="9430.32"/>
        <n v="2008.14"/>
        <n v="6396.79"/>
        <n v="2160.06"/>
        <n v="3959.81"/>
        <n v="9877.68"/>
        <n v="13075.95"/>
        <n v="11319.04"/>
        <n v="15228.640000000001"/>
        <n v="3633.83"/>
        <n v="28921.359999999997"/>
        <n v="4.98"/>
        <n v="48.1"/>
        <n v="18311.36"/>
        <n v="2462.73"/>
        <n v="2696.3599999999997"/>
        <n v="77.12"/>
        <n v="22.34"/>
        <n v="4701.8099999999995"/>
        <n v="461.18"/>
        <n v="0.8"/>
        <n v="177.4"/>
        <n v="95.27000000000001"/>
        <n v="10202.04"/>
        <n v="5368.17"/>
        <n v="167.45"/>
        <n v="10310.48"/>
        <n v="6404.65"/>
        <n v="6848.72"/>
        <n v="18559.39"/>
        <n v="20430.5"/>
        <n v="8366.74"/>
        <n v="13916.94"/>
        <n v="13698.59"/>
        <n v="15059.460000000001"/>
        <n v="5183.2"/>
        <n v="4369.530000000001"/>
        <n v="3196.82"/>
        <n v="10217.39"/>
        <n v="3815.95"/>
        <n v="2743.4"/>
        <n v="955.1"/>
        <n v="15449.18"/>
        <n v="3656.2"/>
        <n v="3754.48"/>
        <n v="3916.4500000000003"/>
        <n v="855.68"/>
        <n v="4689.96"/>
        <n v="21.26"/>
        <n v="407.97"/>
        <n v="42420.740000000005"/>
        <n v="2278.05"/>
        <n v="4069.97"/>
        <n v="2307.83"/>
        <n v="5.01"/>
        <n v="2538.48"/>
        <n v="3003.5"/>
        <n v="2896.69"/>
        <n v="1048.8"/>
        <n v="931.1"/>
        <n v="2016.63"/>
        <n v="2207.08"/>
        <n v="14.940000000000001"/>
        <n v="3024.7"/>
        <n v="1359.18"/>
        <n v="131.17000000000002"/>
        <n v="857.4000000000001"/>
        <n v="3381.53"/>
        <n v="7800.69"/>
        <n v="112026.87"/>
        <n v="183.97"/>
        <n v="16541.31"/>
        <n v="411.23"/>
        <n v="16238.539999999999"/>
        <n v="6067.62"/>
        <n v="74.59"/>
        <n v="3987.9500000000003"/>
        <n v="81.3"/>
        <n v="258.93"/>
        <n v="9599.64"/>
        <n v="20253.04"/>
        <n v="35976.69"/>
        <n v="19456.98"/>
        <n v="23237.05"/>
        <n v="91.71"/>
        <n v="3281.11"/>
        <n v="10405.390000000001"/>
        <n v="3752.53"/>
        <n v="637.46"/>
        <n v="7.52"/>
        <n v="470.26"/>
        <n v="9539.689999999999"/>
        <n v="7437.89"/>
        <n v="5753.09"/>
        <n v="15421.44"/>
        <n v="14840.65"/>
        <n v="4427.66"/>
        <n v="6917.62"/>
        <n v="7167.879999999999"/>
        <n v="5250.1900000000005"/>
        <n v="12072.939999999999"/>
        <n v="9985.66"/>
        <n v="14308.43"/>
        <n v="5973.28"/>
        <n v="2620.71"/>
        <n v="5026.71"/>
        <n v="106.57"/>
        <n v="39.230000000000004"/>
        <n v="22.91"/>
        <n v="4285.91"/>
        <n v="4601.09"/>
        <n v="6928.35"/>
        <n v="9145.57"/>
        <n v="5163.4800000000005"/>
        <n v="4667.73"/>
        <n v="9899.19"/>
        <n v="7093.4"/>
        <n v="2073.01"/>
        <n v="0.052"/>
        <n v="7525.07"/>
        <n v="836.89"/>
        <n v="27.21"/>
        <n v="6720.0"/>
        <n v="8917.800000000001"/>
        <n v="676.98"/>
        <n v="1069.55"/>
        <n v="6474.860000000001"/>
        <n v="460.47"/>
        <n v="8333.26"/>
        <n v="34.32"/>
        <n v="5030.55"/>
        <n v="5977.37"/>
        <n v="9335.28"/>
        <n v="561.48"/>
        <n v="3.55"/>
      </sharedItems>
    </cacheField>
    <cacheField name="Otros ventas" numFmtId="0">
      <sharedItems containsString="0" containsBlank="1" containsNumber="1">
        <m/>
        <n v="0.0"/>
        <n v="112026.87"/>
        <n v="16476.23"/>
        <n v="14833.29"/>
        <n v="5551.32"/>
        <n v="8786.49"/>
        <n v="20194.98"/>
        <n v="35936.86"/>
        <n v="19292.47"/>
        <n v="22608.539999999997"/>
        <n v="3124.26"/>
        <n v="10319.8"/>
        <n v="3563.57"/>
        <n v="466.0"/>
        <n v="9479.7"/>
        <n v="7122.63"/>
        <n v="5700.19"/>
        <n v="13719.41"/>
        <n v="12622.27"/>
        <n v="3089.92"/>
        <n v="6916.74"/>
        <n v="7127.41"/>
        <n v="5247.54"/>
        <n v="12021.42"/>
        <n v="15287.42"/>
        <n v="13874.46"/>
        <n v="2500.0"/>
        <n v="4913.14"/>
        <n v="4281.07"/>
        <n v="4418.07"/>
        <n v="6526.39"/>
        <n v="8970.09"/>
        <n v="5155.46"/>
        <n v="3753.38"/>
        <n v="9797.13"/>
        <n v="6889.5"/>
        <n v="2071.25"/>
        <n v="7284.27"/>
        <n v="8790.52"/>
        <n v="6468.47"/>
        <n v="8283.46"/>
        <n v="4370.22"/>
        <n v="5958.59"/>
        <n v="8828.96"/>
      </sharedItems>
    </cacheField>
    <cacheField name="Otros cobros" numFmtId="0">
      <sharedItems containsString="0" containsBlank="1" containsNumber="1">
        <m/>
        <n v="0.0"/>
        <n v="183.97"/>
        <n v="65.08"/>
        <n v="411.23"/>
        <n v="1405.25"/>
        <n v="516.3"/>
        <n v="74.59"/>
        <n v="3987.95"/>
        <n v="81.3"/>
        <n v="258.93"/>
        <n v="813.15"/>
        <n v="58.06"/>
        <n v="39.83"/>
        <n v="164.51"/>
        <n v="154.72"/>
        <n v="91.71"/>
        <n v="157.21"/>
        <n v="85.59"/>
        <n v="188.96"/>
        <n v="637.46"/>
        <n v="7.52"/>
        <n v="4.26"/>
        <n v="59.99"/>
        <n v="315.26"/>
        <n v="52.9"/>
        <n v="1702.09"/>
        <n v="2219.37"/>
        <n v="1337.74"/>
        <n v="0.88"/>
        <n v="40.47"/>
        <n v="2.65"/>
        <n v="51.52"/>
        <n v="46.17"/>
        <n v="433.97"/>
        <n v="1.32"/>
        <n v="120.71"/>
        <n v="113.57"/>
        <n v="106.57"/>
        <n v="39.23"/>
        <n v="22.91"/>
        <n v="4.84"/>
        <n v="183.02"/>
        <n v="401.96"/>
        <n v="175.48"/>
        <n v="8.02"/>
        <n v="914.35"/>
        <n v="102.06"/>
        <n v="203.89999999999964"/>
        <n v="1.76"/>
        <n v="0.05"/>
        <n v="240.8"/>
        <n v="422.463"/>
        <n v="27.21"/>
        <n v="127.28"/>
        <n v="676.98"/>
        <n v="1077.55"/>
        <n v="6.39"/>
        <n v="460.47"/>
        <n v="49.8"/>
        <n v="34.32"/>
        <n v="659.85"/>
        <n v="18.78"/>
        <n v="36.32"/>
        <n v="561.48"/>
        <n v="3.55"/>
      </sharedItems>
    </cacheField>
    <cacheField name="Mora Autocompras" numFmtId="0">
      <sharedItems containsString="0" containsBlank="1" containsNumber="1">
        <m/>
        <n v="236.0"/>
        <n v="311.17"/>
        <n v="0.0"/>
        <n v="498.0"/>
        <n v="1359.61"/>
        <n v="395.09"/>
        <n v="35.0"/>
        <n v="100.0"/>
        <n v="60.43"/>
        <n v="2675.99"/>
        <n v="33.14"/>
        <n v="3.76"/>
        <n v="1907.9"/>
        <n v="3866.89"/>
        <n v="1537.25"/>
        <n v="721.87"/>
        <n v="763.27"/>
        <n v="7154.96"/>
        <n v="489.0"/>
        <n v="744.07"/>
        <n v="5575.16"/>
        <n v="1938.36"/>
        <n v="991.45"/>
        <n v="538.17"/>
        <n v="250.31"/>
        <n v="1375.23"/>
        <n v="591.22"/>
        <n v="0.25"/>
        <n v="4015.34"/>
        <n v="2021.41"/>
        <n v="400.61"/>
        <n v="644.4"/>
        <n v="3127.94"/>
        <n v="5042.49"/>
        <n v="2331.85"/>
        <n v="1567.46"/>
        <n v="35.17"/>
        <n v="1173.86"/>
        <n v="2240.33"/>
        <n v="4057.82"/>
        <n v="647.82"/>
        <n v="3436.09"/>
        <n v="1834.28"/>
        <n v="626.23"/>
        <n v="1291.66"/>
        <n v="3561.88"/>
        <n v="868.18"/>
        <n v="5197.96"/>
        <n v="635.0"/>
        <n v="1370.36"/>
        <n v="1437.64"/>
        <n v="2611.05"/>
        <n v="748.59"/>
        <n v="6770.06"/>
        <n v="3714.72"/>
        <n v="934.58"/>
        <n v="3366.72"/>
        <n v="1149.48"/>
        <n v="2046.7"/>
        <n v="1255.68"/>
        <n v="1201.0"/>
        <n v="4000.0"/>
        <n v="2226.07"/>
        <n v="1238.76"/>
        <n v="717.92"/>
        <n v="956.4"/>
        <n v="2447.01"/>
        <n v="1413.28"/>
        <n v="403.35"/>
        <n v="2754.93"/>
        <n v="3409.72"/>
        <n v="5851.25"/>
        <n v="3546.0"/>
        <n v="1253.74"/>
        <n v="5023.81"/>
        <n v="2573.42"/>
        <n v="2726.77"/>
        <n v="9101.09"/>
        <n v="1604.22"/>
        <n v="2923.33"/>
        <n v="490.21"/>
        <n v="1421.86"/>
        <n v="6518.21"/>
        <n v="335.7"/>
        <n v="590.56"/>
        <n v="0.29"/>
        <n v="615.29"/>
        <n v="6237.37"/>
        <n v="2343.18"/>
        <n v="7388.05"/>
        <n v="6325.86"/>
        <n v="6900.63"/>
        <n v="492.94"/>
        <n v="646.0"/>
        <n v="6421.88"/>
        <n v="283.86"/>
        <n v="1068.16"/>
        <n v="4120.02"/>
        <n v="2776.14"/>
        <n v="205.86"/>
        <n v="4961.83"/>
        <n v="6061.27"/>
        <n v="5055.59"/>
        <n v="3163.23"/>
        <n v="4240.56"/>
        <n v="413.83"/>
        <n v="1479.22"/>
        <n v="2328.36"/>
        <n v="3236.06"/>
        <n v="400.0"/>
        <n v="500.0"/>
        <n v="520.0"/>
        <n v="15976.56"/>
        <n v="2828.85"/>
        <n v="2695.15"/>
        <n v="1956.16"/>
        <n v="11582.8"/>
        <n v="4106.82"/>
        <n v="3284.28"/>
        <n v="4545.9"/>
        <n v="3550.58"/>
        <n v="616.98"/>
        <n v="1333.95"/>
        <n v="602.78"/>
        <n v="1076.62"/>
        <n v="1092.82"/>
        <n v="413.76"/>
        <n v="1455.14"/>
        <n v="1711.43"/>
        <n v="3779.5199999999995"/>
        <n v="1200.0"/>
        <n v="260.0"/>
        <n v="300.0"/>
        <n v="4945.95"/>
        <n v="7193.75"/>
        <n v="1681.86"/>
        <n v="2428.21"/>
        <n v="978.78"/>
        <n v="1280.22"/>
        <n v="4627.89"/>
        <n v="2461.92"/>
        <n v="1670.2"/>
        <n v="949.7"/>
        <n v="1735.61"/>
        <n v="7320.31"/>
        <n v="2709.06"/>
        <n v="6488.05"/>
        <n v="4206.3"/>
        <n v="1321.15"/>
        <n v="4356.31"/>
        <n v="3750.04"/>
        <n v="7311.749999999999"/>
        <n v="50.9"/>
        <n v="46.46"/>
        <n v="1019.87"/>
        <n v="1797.8"/>
        <n v="5541.79"/>
        <n v="2470.22"/>
        <n v="718.41"/>
        <n v="2181.4"/>
        <n v="3558.76"/>
        <n v="5800.47"/>
        <n v="3967.27"/>
        <n v="2402.64"/>
        <n v="264.35"/>
        <n v="573.5"/>
        <n v="800.0"/>
        <n v="3871.53"/>
        <n v="1393.4"/>
        <n v="3593.82"/>
        <n v="5681.91"/>
        <n v="2786.36"/>
        <n v="6357.79"/>
        <n v="2162.81"/>
        <n v="2559.59"/>
        <n v="284.57"/>
        <n v="2081.73"/>
        <n v="2522.92"/>
        <n v="3618.04"/>
        <n v="5324.58"/>
        <n v="759.56"/>
        <n v="2445.35"/>
        <n v="1218.04"/>
        <n v="601.61"/>
        <n v="2570.08"/>
        <n v="6293.160000000001"/>
        <n v="2960.58"/>
        <n v="5713.27"/>
        <n v="4972.26"/>
        <n v="4796.8"/>
        <n v="5718.83"/>
        <n v="6707.95"/>
        <n v="1256.26"/>
        <n v="3403.37"/>
        <n v="1252.51"/>
        <n v="1148.09"/>
        <n v="2432.73"/>
        <n v="2758.28"/>
        <n v="1646.4"/>
        <n v="5493.37"/>
        <n v="1394.69"/>
        <n v="2536.55"/>
        <n v="406.99"/>
        <n v="3162.34"/>
        <n v="1007.92"/>
        <n v="913.18"/>
        <n v="3942.82"/>
        <n v="7077.28"/>
        <n v="466.95"/>
        <n v="7357.05"/>
        <n v="4952.62"/>
        <n v="6893.39"/>
        <n v="2385.54"/>
        <n v="3518.55"/>
        <n v="2051.71"/>
        <n v="5996.54"/>
        <n v="1232.24"/>
        <n v="1455.45"/>
        <n v="2884.8"/>
        <n v="1214.18"/>
        <n v="9792.130000000001"/>
        <n v="2673.88"/>
        <n v="400.56"/>
        <n v="5834.47"/>
        <n v="496.28"/>
        <n v="2969.33"/>
        <n v="2607.7"/>
        <n v="4294.34"/>
        <n v="3773.46"/>
        <n v="3015.95"/>
        <n v="1757.97"/>
        <n v="567.94"/>
        <n v="1200.68"/>
        <n v="67.06"/>
        <n v="11020.68"/>
        <n v="9273.42"/>
        <n v="1520.43"/>
        <n v="1096.48"/>
        <n v="9310.45"/>
        <n v="9068.68"/>
        <n v="506.31"/>
        <n v="3290.77"/>
        <n v="1442.61"/>
        <n v="3985.41"/>
        <n v="7688.77"/>
        <n v="3708.44"/>
        <n v="2244.67"/>
        <n v="5669.82"/>
        <n v="2323.87"/>
        <n v="8924.02"/>
        <n v="2050.39"/>
        <n v="3336.84"/>
        <n v="4349.45"/>
        <n v="4219.86"/>
        <n v="1500.82"/>
        <n v="507.46"/>
        <n v="7299.41"/>
        <n v="5757.08"/>
        <n v="2381.4"/>
        <n v="6994.02"/>
        <n v="3630.41"/>
        <n v="6158.03"/>
        <n v="7082.2"/>
        <n v="2313.05"/>
        <n v="7247.39"/>
        <n v="2662.97"/>
        <n v="2519.19"/>
        <n v="4070.44"/>
        <n v="3063.3"/>
        <n v="2024.42"/>
        <n v="2715.36"/>
        <n v="4396.11"/>
        <n v="9067.23"/>
        <n v="6298.83"/>
        <n v="1569.3"/>
        <n v="10722.8"/>
        <n v="2210.12"/>
        <n v="600.0"/>
        <n v="1548.87"/>
        <n v="6314.94"/>
        <n v="3013.54"/>
        <n v="814.16"/>
        <n v="703.78"/>
        <n v="364.06"/>
        <n v="601.85"/>
        <n v="4469.31"/>
        <n v="5896.14"/>
        <n v="16782.75"/>
        <n v="2164.92"/>
        <n v="1813.33"/>
        <n v="2459.2"/>
        <n v="5052.45"/>
        <n v="2544.44"/>
        <n v="2116.85"/>
        <n v="5844.37"/>
        <n v="1137.87"/>
        <n v="4423.44"/>
        <n v="2488.57"/>
        <n v="955.76"/>
        <n v="2682.36"/>
        <n v="2384.01"/>
      </sharedItems>
    </cacheField>
    <cacheField name="Mora Sobre vehículo" numFmtId="0">
      <sharedItems containsString="0" containsBlank="1" containsNumber="1">
        <m/>
        <n v="286.61"/>
        <n v="903.82"/>
        <n v="0.49"/>
        <n v="0.0"/>
        <n v="267.04"/>
        <n v="1.25"/>
        <n v="9.73"/>
        <n v="2036.18"/>
        <n v="955.78"/>
        <n v="3.01"/>
        <n v="1769.91"/>
        <n v="37.23"/>
        <n v="1039.54"/>
        <n v="553.54"/>
        <n v="1688.26"/>
        <n v="973.72"/>
        <n v="380.72"/>
        <n v="1.91"/>
        <n v="197.19"/>
        <n v="91.47"/>
        <n v="285.04"/>
        <n v="16.91"/>
        <n v="275.09"/>
        <n v="337.7"/>
        <n v="1448.71"/>
        <n v="719.31"/>
        <n v="185.05"/>
        <n v="66.89"/>
        <n v="1762.18"/>
        <n v="2390.66"/>
        <n v="1077.81"/>
        <n v="0.21"/>
        <n v="1075.58"/>
        <n v="2240.0"/>
        <n v="278.92"/>
        <n v="393.16"/>
        <n v="327.14"/>
        <n v="393.73"/>
        <n v="1137.15"/>
        <n v="1985.79"/>
        <n v="3151.69"/>
        <n v="1399.79"/>
        <n v="1182.48"/>
        <n v="3730.0"/>
        <n v="1064.63"/>
        <n v="1158.83"/>
        <n v="2469.02"/>
        <n v="158.22"/>
        <n v="696.93"/>
        <n v="1445.81"/>
        <n v="1019.83"/>
        <n v="540.06"/>
        <n v="759.66"/>
        <n v="1269.41"/>
        <n v="1819.79"/>
        <n v="1762.95"/>
        <n v="400.0"/>
        <n v="478.37"/>
        <n v="10123.22"/>
        <n v="463.96"/>
        <n v="607.39"/>
        <n v="532.5"/>
        <n v="1522.4"/>
        <n v="152.27"/>
        <n v="1049.46"/>
        <n v="1942.21"/>
        <n v="250.0"/>
        <n v="100.0"/>
        <n v="230.0"/>
        <n v="530.81"/>
        <n v="201.59"/>
        <n v="665.55"/>
        <n v="988.26"/>
        <n v="1968.83"/>
        <n v="383.31"/>
        <n v="812.46"/>
        <n v="462.0"/>
        <n v="2012.79"/>
        <n v="1009.15"/>
        <n v="105.42"/>
        <n v="258.8"/>
        <n v="855.59"/>
        <n v="819.43"/>
        <n v="279.41"/>
        <n v="124.68"/>
        <n v="200.0"/>
        <n v="1727.26"/>
        <n v="974.26"/>
        <n v="579.19"/>
        <n v="279.27"/>
        <n v="901.79"/>
        <n v="1575.0"/>
        <n v="473.57"/>
        <n v="2666.52"/>
        <n v="236.22"/>
        <n v="319.42"/>
        <n v="847.0"/>
        <n v="892.67"/>
        <n v="256.15"/>
        <n v="117.0"/>
        <n v="856.47"/>
        <n v="127.02"/>
        <n v="260.06"/>
        <n v="1471.19"/>
        <n v="482.99"/>
        <n v="989.15"/>
        <n v="514.42"/>
        <n v="112.69"/>
        <n v="198.29"/>
        <n v="1568.0"/>
        <n v="669.42"/>
        <n v="464.74"/>
        <n v="277.45"/>
        <n v="250.58"/>
        <n v="5620.47"/>
        <n v="3997.22"/>
        <n v="3449.3"/>
        <n v="102.27"/>
        <n v="116.06"/>
        <n v="26511.64"/>
        <n v="1146.99"/>
        <n v="247.65"/>
        <n v="461.59"/>
        <n v="509.97"/>
        <n v="885.02"/>
        <n v="7246.5"/>
        <n v="385.28"/>
        <n v="799.96"/>
        <n v="1181.48"/>
        <n v="285.89"/>
        <n v="650.66"/>
        <n v="8334.88"/>
        <n v="821.34"/>
        <n v="763.0"/>
        <n v="44.4"/>
        <n v="986.34"/>
        <n v="4067.38"/>
        <n v="2136.62"/>
        <n v="244.63"/>
        <n v="500.62"/>
        <n v="7468.96"/>
        <n v="987.63"/>
        <n v="31.95"/>
        <n v="4628.78"/>
        <n v="2644.07"/>
        <n v="210.0"/>
        <n v="357.09"/>
        <n v="15.54"/>
        <n v="16.24"/>
        <n v="489.74"/>
        <n v="764.7"/>
        <n v="149.63"/>
        <n v="1822.0"/>
        <n v="1520.53"/>
        <n v="3225.97"/>
        <n v="196.81"/>
        <n v="649.63"/>
        <n v="500.0"/>
        <n v="1207.46"/>
        <n v="167.54"/>
        <n v="1223.18"/>
        <n v="779.74"/>
        <n v="2936.81"/>
        <n v="245.0"/>
        <n v="1501.94"/>
        <n v="477.23"/>
        <n v="717.26"/>
      </sharedItems>
    </cacheField>
    <cacheField name="Nuevo Mora Autocompras" numFmtId="0">
      <sharedItems containsString="0" containsBlank="1" containsNumber="1">
        <m/>
        <n v="0.0"/>
        <n v="897.57"/>
        <n v="775.05"/>
        <n v="446.55"/>
        <n v="435.62"/>
        <n v="1741.96"/>
        <n v="301.25"/>
        <n v="1970.67"/>
        <n v="2457.8"/>
        <n v="1002.0"/>
        <n v="2872.78"/>
        <n v="401.25"/>
      </sharedItems>
    </cacheField>
    <cacheField name="Mora Hipotecario" numFmtId="0">
      <sharedItems containsString="0" containsBlank="1" containsNumber="1">
        <m/>
        <n v="0.0"/>
        <n v="7618.45"/>
        <n v="10579.3"/>
        <n v="63.69"/>
        <n v="251.0"/>
        <n v="18197.75"/>
        <n v="1750.0"/>
        <n v="5452.53"/>
        <n v="7811.92"/>
        <n v="10902.56"/>
        <n v="17990.8"/>
        <n v="33922.37"/>
        <n v="5000.0"/>
        <n v="838.5"/>
        <n v="78280.5"/>
        <n v="838.24"/>
        <n v="265.87"/>
      </sharedItems>
    </cacheField>
    <cacheField name="Mora Extra financiamiento" numFmtId="0">
      <sharedItems containsString="0" containsBlank="1" containsNumber="1">
        <m/>
        <n v="0.0"/>
        <n v="448.84"/>
        <n v="144.12"/>
      </sharedItems>
    </cacheField>
    <cacheField name="Mora Reestructura" numFmtId="0">
      <sharedItems containsString="0" containsBlank="1" containsNumber="1" containsInteger="1">
        <m/>
        <n v="0.0"/>
      </sharedItems>
    </cacheField>
    <cacheField name="Mora Cube" numFmtId="0">
      <sharedItems containsString="0" containsBlank="1" containsNumber="1">
        <m/>
        <n v="3784.51"/>
        <n v="1180.92"/>
        <n v="0.0"/>
        <n v="61.21"/>
        <n v="808.76"/>
        <n v="304.0"/>
        <n v="310.16"/>
        <n v="339.76"/>
        <n v="1.92"/>
        <n v="431.84"/>
        <n v="10709.41"/>
        <n v="1260.79"/>
        <n v="11734.25"/>
        <n v="860.51"/>
        <n v="4156.61"/>
        <n v="18606.83"/>
        <n v="687.87"/>
        <n v="768.49"/>
        <n v="868.18"/>
        <n v="200.89"/>
        <n v="4417.59"/>
        <n v="418.81"/>
        <n v="0.7"/>
        <n v="3068.05"/>
        <n v="702.88"/>
        <n v="481.13"/>
        <n v="2784.82"/>
        <n v="150.0"/>
        <n v="90.0"/>
        <n v="25.0"/>
        <n v="24.49"/>
        <n v="1837.24"/>
        <n v="1600.28"/>
        <n v="448.13"/>
        <n v="984.53"/>
        <n v="748.99"/>
        <n v="8901.69"/>
        <n v="1162.46"/>
        <n v="522.61"/>
        <n v="1547.97"/>
        <n v="1250.26"/>
        <n v="2670.03"/>
        <n v="18513.15"/>
        <n v="16383.12"/>
        <n v="353.99"/>
        <n v="1214.99"/>
        <n v="0.49"/>
        <n v="498.0"/>
        <n v="1626.6499999999999"/>
        <n v="396.34"/>
        <n v="35.0"/>
        <n v="100.0"/>
        <n v="7688.61"/>
        <n v="2036.18"/>
        <n v="3631.7699999999995"/>
        <n v="33.14"/>
        <n v="10586.07"/>
        <n v="3677.8100000000004"/>
        <n v="3904.12"/>
        <n v="2576.79"/>
        <n v="1275.4099999999999"/>
        <n v="2451.5299999999997"/>
        <n v="973.72"/>
        <n v="7535.68"/>
        <n v="489.0"/>
        <n v="745.98"/>
        <n v="6221.19"/>
        <n v="91.47"/>
        <n v="2367.52"/>
        <n v="1008.36"/>
        <n v="813.26"/>
        <n v="588.01"/>
        <n v="2823.94"/>
        <n v="1310.53"/>
        <n v="185.05"/>
        <n v="0.25"/>
        <n v="4082.23"/>
        <n v="2021.41"/>
        <n v="400.61"/>
        <n v="1762.18"/>
        <n v="644.4"/>
        <n v="3127.94"/>
        <n v="7433.15"/>
        <n v="3409.66"/>
        <n v="1567.46"/>
        <n v="35.38"/>
        <n v="2313.13"/>
        <n v="2240.33"/>
        <n v="4308.82"/>
        <n v="2887.82"/>
        <n v="3436.09"/>
        <n v="2113.2"/>
        <n v="626.23"/>
        <n v="1684.8200000000002"/>
        <n v="21759.63"/>
        <n v="5525.1"/>
        <n v="2385.0"/>
        <n v="1370.36"/>
        <n v="1437.64"/>
        <n v="3004.78"/>
        <n v="1885.7400000000002"/>
        <n v="8755.85"/>
        <n v="6866.41"/>
        <n v="934.58"/>
        <n v="8819.25"/>
        <n v="2549.27"/>
        <n v="9858.62"/>
        <n v="1255.68"/>
        <n v="2383.48"/>
        <n v="7730.0"/>
        <n v="3290.7000000000003"/>
        <n v="1238.76"/>
        <n v="717.92"/>
        <n v="956.4"/>
        <n v="3605.84"/>
        <n v="3882.3"/>
        <n v="403.35"/>
        <n v="2754.93"/>
        <n v="3409.72"/>
        <n v="6009.47"/>
        <n v="4242.93"/>
        <n v="2699.55"/>
        <n v="6043.64"/>
        <n v="3113.48"/>
        <n v="2726.77"/>
        <n v="9860.75"/>
        <n v="2873.63"/>
        <n v="2923.33"/>
        <n v="490.21"/>
        <n v="1421.86"/>
        <n v="8338.0"/>
        <n v="335.7"/>
        <n v="2353.51"/>
        <n v="400.29"/>
        <n v="615.29"/>
        <n v="6237.37"/>
        <n v="2343.18"/>
        <n v="7866.42"/>
        <n v="16449.079999999998"/>
        <n v="7364.59"/>
        <n v="492.94"/>
        <n v="646.0"/>
        <n v="7029.27"/>
        <n v="283.86"/>
        <n v="1600.66"/>
        <n v="4120.02"/>
        <n v="2776.14"/>
        <n v="205.86"/>
        <n v="6484.23"/>
        <n v="6061.27"/>
        <n v="5055.59"/>
        <n v="3556.96"/>
        <n v="4392.830000000001"/>
        <n v="413.83"/>
        <n v="12381.779999999999"/>
        <n v="3377.82"/>
        <n v="5178.27"/>
        <n v="650.0"/>
        <n v="600.0"/>
        <n v="750.0"/>
        <n v="15976.56"/>
        <n v="3359.66"/>
        <n v="2896.7400000000002"/>
        <n v="2621.71"/>
        <n v="11582.8"/>
        <n v="22097.62"/>
        <n v="4272.54"/>
        <n v="4545.9"/>
        <n v="5519.41"/>
        <n v="616.98"/>
        <n v="1333.95"/>
        <n v="986.0899999999999"/>
        <n v="1889.08"/>
        <n v="1554.82"/>
        <n v="2426.55"/>
        <n v="2464.29"/>
        <n v="1711.43"/>
        <n v="3779.5199999999995"/>
        <n v="1200.0"/>
        <n v="260.0"/>
        <n v="300.0"/>
        <n v="5051.37"/>
        <n v="7193.75"/>
        <n v="1681.86"/>
        <n v="2428.21"/>
        <n v="978.78"/>
        <n v="1280.22"/>
        <n v="4886.6900000000005"/>
        <n v="3317.51"/>
        <n v="35592.57"/>
        <n v="949.7"/>
        <n v="1735.61"/>
        <n v="7320.31"/>
        <n v="2709.06"/>
        <n v="7307.4800000000005"/>
        <n v="4206.3"/>
        <n v="1321.15"/>
        <n v="4635.72"/>
        <n v="3750.04"/>
        <n v="7436.429999999999"/>
        <n v="460.0"/>
        <n v="50.9"/>
        <n v="1773.72"/>
        <n v="1994.13"/>
        <n v="2376.99"/>
        <n v="5541.79"/>
        <n v="2470.22"/>
        <n v="718.41"/>
        <n v="279.27"/>
        <n v="3083.19"/>
        <n v="5133.76"/>
        <n v="6274.04"/>
        <n v="3967.27"/>
        <n v="2402.64"/>
        <n v="264.35"/>
        <n v="573.5"/>
        <n v="3466.52"/>
        <n v="4107.75"/>
        <n v="1712.8200000000002"/>
        <n v="3593.82"/>
        <n v="6528.91"/>
        <n v="3679.03"/>
        <n v="6613.94"/>
        <n v="2279.81"/>
        <n v="2559.59"/>
        <n v="284.57"/>
        <n v="2938.2"/>
        <n v="2649.94"/>
        <n v="3618.04"/>
        <n v="5324.58"/>
        <n v="1019.6199999999999"/>
        <n v="2445.35"/>
        <n v="2689.23"/>
        <n v="1084.6"/>
        <n v="3559.23"/>
        <n v="6807.580000000001"/>
        <n v="2960.58"/>
        <n v="5825.96"/>
        <n v="5170.55"/>
        <n v="4796.8"/>
        <n v="7286.83"/>
        <n v="7377.37"/>
        <n v="2153.83"/>
        <n v="3868.1099999999997"/>
        <n v="1252.51"/>
        <n v="1425.54"/>
        <n v="2683.31"/>
        <n v="8533.33"/>
        <n v="2092.9500000000003"/>
        <n v="11113.84"/>
        <n v="5391.91"/>
        <n v="5985.85"/>
        <n v="406.99"/>
        <n v="3162.34"/>
        <n v="1110.19"/>
        <n v="1029.24"/>
        <n v="30454.46"/>
        <n v="7077.28"/>
        <n v="1146.99"/>
        <n v="664.14"/>
        <n v="7357.05"/>
        <n v="4952.62"/>
        <n v="7329.01"/>
        <n v="2633.19"/>
        <n v="3980.1400000000003"/>
        <n v="2051.71"/>
        <n v="6506.51"/>
        <n v="1232.24"/>
        <n v="2353.02"/>
        <n v="2884.8"/>
        <n v="1214.18"/>
        <n v="10677.150000000001"/>
        <n v="2673.88"/>
        <n v="400.56"/>
        <n v="5834.47"/>
        <n v="496.28"/>
        <n v="10215.83"/>
        <n v="2992.9799999999996"/>
        <n v="5094.3"/>
        <n v="4954.9400000000005"/>
        <n v="3015.95"/>
        <n v="1757.97"/>
        <n v="853.83"/>
        <n v="1851.3400000000001"/>
        <n v="67.06"/>
        <n v="19355.559999999998"/>
        <n v="10992.33"/>
        <n v="1520.43"/>
        <n v="1096.48"/>
        <n v="10911.95"/>
        <n v="9113.08"/>
        <n v="506.31"/>
        <n v="3290.77"/>
        <n v="1442.61"/>
        <n v="4971.75"/>
        <n v="11756.150000000001"/>
        <n v="5845.0599999999995"/>
        <n v="80769.8"/>
        <n v="7912.4"/>
        <n v="10094.08"/>
        <n v="10749.89"/>
        <n v="2050.39"/>
        <n v="3336.84"/>
        <n v="4381.4"/>
        <n v="4219.86"/>
        <n v="1500.82"/>
        <n v="507.46"/>
        <n v="13898.859999999999"/>
        <n v="8667.02"/>
        <n v="2591.4"/>
        <n v="6994.02"/>
        <n v="3987.5"/>
        <n v="6173.57"/>
        <n v="7399.69"/>
        <n v="2313.05"/>
        <n v="7737.13"/>
        <n v="2662.97"/>
        <n v="2519.19"/>
        <n v="4835.14"/>
        <n v="3212.9300000000003"/>
        <n v="2024.42"/>
        <n v="2715.36"/>
        <n v="4396.11"/>
        <n v="11525.029999999999"/>
        <n v="9122.83"/>
        <n v="3089.83"/>
        <n v="10722.8"/>
        <n v="5436.09"/>
        <n v="1548.87"/>
        <n v="6511.75"/>
        <n v="3663.17"/>
        <n v="814.16"/>
        <n v="500.0"/>
        <n v="703.78"/>
        <n v="364.06"/>
        <n v="1809.31"/>
        <n v="4469.31"/>
        <n v="8978.92"/>
        <n v="16950.29"/>
        <n v="3388.1000000000004"/>
        <n v="1813.33"/>
        <n v="3238.9399999999996"/>
        <n v="8390.51"/>
        <n v="2544.44"/>
        <n v="2116.85"/>
        <n v="5844.37"/>
        <n v="1382.87"/>
        <n v="5925.379999999999"/>
        <n v="2965.8"/>
        <n v="1673.02"/>
        <n v="2682.36"/>
        <n v="2384.01"/>
      </sharedItems>
    </cacheField>
    <cacheField name="Roy. Autocompras" numFmtId="0">
      <sharedItems containsString="0" containsBlank="1" containsNumber="1">
        <m/>
        <n v="26231.0"/>
        <n v="0.0"/>
        <n v="20841.0"/>
        <n v="4189.0"/>
        <n v="6832.0"/>
        <n v="7632.0"/>
        <n v="12066.0"/>
        <n v="3340.0"/>
        <n v="14266.0"/>
        <n v="2784.0"/>
        <n v="942.0"/>
        <n v="3480.0"/>
        <n v="1508.0"/>
        <n v="5558.0"/>
        <n v="2281.0"/>
        <n v="8180.0"/>
        <n v="8435.0"/>
        <n v="4104.0"/>
        <n v="3840.0"/>
        <n v="10888.0"/>
        <n v="11974.0"/>
        <n v="6788.0"/>
        <n v="9052.0"/>
        <n v="1884.0"/>
        <n v="6159.0"/>
        <n v="8507.0"/>
        <n v="3526.0"/>
        <n v="6758.0"/>
        <n v="6305.0"/>
        <n v="2421.0"/>
        <n v="3813.0"/>
        <n v="12445.0"/>
        <n v="1717.0"/>
        <n v="5885.0"/>
        <n v="3509.0"/>
        <n v="4171.0"/>
        <n v="11139.0"/>
        <n v="6655.0"/>
        <n v="1733.0"/>
        <n v="1551.0"/>
        <n v="3623.0"/>
        <n v="7611.0"/>
        <n v="11760.0"/>
        <n v="8388.0"/>
        <n v="6932.0"/>
        <n v="11170.19"/>
        <n v="2647.0"/>
        <n v="3895.0"/>
        <n v="5793.0"/>
        <n v="2723.0"/>
        <n v="1963.0"/>
        <n v="5875.04"/>
        <n v="4286.04"/>
        <n v="27519.04"/>
        <n v="5352.0"/>
        <n v="10020.0"/>
        <n v="2287.0"/>
        <n v="5501.0"/>
        <n v="1378.0"/>
        <n v="4164.0"/>
        <n v="4732.0"/>
        <n v="3932.0"/>
        <n v="10591.0"/>
        <n v="4262.0"/>
        <n v="5640.0"/>
        <n v="3528.0"/>
        <n v="2086.0"/>
        <n v="4114.0"/>
        <n v="3094.0"/>
        <n v="10813.0"/>
        <n v="18589.0"/>
        <n v="15027.0"/>
        <n v="2041.0"/>
        <n v="10031.0"/>
        <n v="4297.0"/>
        <n v="7276.0"/>
        <n v="4315.0"/>
        <n v="10130.0"/>
        <n v="6307.0"/>
        <n v="7377.0"/>
        <n v="20206.0"/>
        <n v="10661.0"/>
        <n v="6784.0"/>
        <n v="3825.0"/>
        <n v="7678.0"/>
        <n v="1521.0"/>
        <n v="3683.0"/>
        <n v="7175.0"/>
        <n v="5503.0"/>
        <n v="6634.0"/>
        <n v="10124.0"/>
        <n v="17520.0"/>
        <n v="10136.0"/>
        <n v="7734.0"/>
        <n v="17904.0"/>
        <n v="22412.0"/>
        <n v="9836.0"/>
        <n v="21355.0"/>
        <n v="1791.0"/>
        <n v="1792.0"/>
        <n v="13447.0"/>
        <n v="2496.0"/>
        <n v="1550.0"/>
        <n v="6425.0"/>
        <n v="11051.0"/>
        <n v="5035.0"/>
        <n v="8369.0"/>
        <n v="19454.0"/>
        <n v="10785.0"/>
        <n v="11525.0"/>
        <n v="26542.0"/>
        <n v="4052.0"/>
        <n v="33163.0"/>
        <n v="11078.0"/>
        <n v="3718.0"/>
        <n v="2153.0"/>
        <n v="6872.0"/>
        <n v="1922.0"/>
        <n v="6276.0"/>
        <n v="4610.0"/>
        <n v="15572.0"/>
        <n v="18037.0"/>
        <n v="11217.0"/>
        <n v="3299.0"/>
        <n v="9471.0"/>
        <n v="14619.0"/>
        <n v="1207.0"/>
        <n v="9861.0"/>
        <n v="9976.0"/>
        <n v="2039.0"/>
        <n v="6950.0"/>
        <n v="2492.0"/>
        <n v="4280.0"/>
        <n v="12669.0"/>
        <n v="19668.0"/>
        <n v="20006.0"/>
        <n v="25006.0"/>
        <n v="5586.0"/>
        <n v="28792.0"/>
        <n v="19497.0"/>
        <n v="2058.0"/>
        <n v="2838.0"/>
        <n v="3062.0"/>
        <n v="10721.0"/>
        <n v="4240.0"/>
        <n v="9324.0"/>
        <n v="4794.0"/>
        <n v="6143.0"/>
        <n v="10996.0"/>
        <n v="17821.0"/>
        <n v="1989.0"/>
        <n v="22448.0"/>
        <n v="2842.0"/>
        <n v="17951.0"/>
        <n v="5059.0"/>
        <n v="5075.0"/>
        <n v="3441.0"/>
        <n v="9827.0"/>
        <n v="2716.0"/>
        <n v="3046.0"/>
        <n v="2602.0"/>
        <n v="5169.0"/>
        <n v="3767.0"/>
        <n v="2758.0"/>
        <n v="4343.0"/>
        <n v="25667.0"/>
        <n v="6580.0"/>
        <n v="1959.0"/>
        <n v="6876.0"/>
        <n v="9879.0"/>
        <n v="2965.0"/>
        <n v="2248.0"/>
        <n v="9808.0"/>
        <n v="7553.0"/>
        <n v="3387.0"/>
        <n v="27593.0"/>
        <n v="22051.0"/>
        <n v="12366.0"/>
        <n v="2781.0"/>
        <n v="20688.0"/>
        <n v="11553.0"/>
        <n v="3962.0"/>
        <n v="10014.0"/>
        <n v="25418.0"/>
        <n v="26998.0"/>
        <n v="10408.0"/>
        <n v="11144.0"/>
        <n v="1940.0"/>
        <n v="10281.0"/>
        <n v="4642.0"/>
        <n v="5139.0"/>
        <n v="7077.0"/>
        <n v="3581.0"/>
        <n v="14873.0"/>
        <n v="15108.0"/>
        <n v="3541.0"/>
        <n v="4891.0"/>
        <n v="2294.0"/>
        <n v="5205.0"/>
        <n v="6964.0"/>
        <n v="2350.0"/>
        <n v="5495.0"/>
        <n v="7518.0"/>
        <n v="13488.0"/>
        <n v="1691.0"/>
        <n v="6622.0"/>
        <n v="1811.0"/>
        <n v="10719.0"/>
        <n v="12079.0"/>
        <n v="3904.0"/>
        <n v="1815.0"/>
        <n v="9586.0"/>
        <n v="8698.0"/>
        <n v="2344.0"/>
        <n v="6263.0"/>
        <n v="6030.0"/>
        <n v="2151.0"/>
      </sharedItems>
    </cacheField>
    <cacheField name="Roy. Sobre vehículo" numFmtId="0">
      <sharedItems containsString="0" containsBlank="1" containsNumber="1">
        <m/>
        <n v="0.0"/>
        <n v="912.0"/>
        <n v="5258.54"/>
        <n v="2840.0"/>
        <n v="1260.0"/>
        <n v="1696.39"/>
        <n v="860.0"/>
        <n v="2000.0"/>
        <n v="6440.0"/>
        <n v="1040.0"/>
        <n v="4376.0"/>
        <n v="1840.0"/>
        <n v="3020.0"/>
        <n v="864.0"/>
        <n v="897.04"/>
        <n v="3616.0"/>
        <n v="20755.11"/>
        <n v="3640.0"/>
        <n v="1032.0"/>
        <n v="2120.0"/>
        <n v="3480.0"/>
        <n v="1440.0"/>
        <n v="2540.0"/>
        <n v="1720.0"/>
        <n v="4160.0"/>
      </sharedItems>
    </cacheField>
    <cacheField name="Nuevo Roy. Autocompras" numFmtId="0">
      <sharedItems containsString="0" containsBlank="1" containsNumber="1" containsInteger="1">
        <m/>
        <n v="0.0"/>
        <n v="3490.0"/>
        <n v="14339.0"/>
        <n v="7724.0"/>
        <n v="7212.0"/>
        <n v="13152.0"/>
        <n v="3592.0"/>
        <n v="24654.0"/>
        <n v="10566.0"/>
        <n v="7690.0"/>
        <n v="5046.0"/>
        <n v="32096.0"/>
        <n v="25190.0"/>
        <n v="13836.0"/>
        <n v="9159.0"/>
        <n v="6261.0"/>
        <n v="16388.0"/>
        <n v="14120.0"/>
        <n v="17984.0"/>
        <n v="12736.0"/>
        <n v="11458.0"/>
        <n v="3682.0"/>
        <n v="6593.0"/>
        <n v="6778.0"/>
        <n v="5619.0"/>
        <n v="6458.0"/>
        <n v="7526.0"/>
        <n v="10836.0"/>
      </sharedItems>
    </cacheField>
    <cacheField name="Roy. Hipotecario" numFmtId="0">
      <sharedItems containsString="0" containsBlank="1" containsNumber="1" containsInteger="1">
        <m/>
        <n v="0.0"/>
      </sharedItems>
    </cacheField>
    <cacheField name="Roy. Extra financiamiento" numFmtId="0">
      <sharedItems containsString="0" containsBlank="1" containsNumber="1" containsInteger="1">
        <m/>
        <n v="0.0"/>
      </sharedItems>
    </cacheField>
    <cacheField name="Roy. Reestructura" numFmtId="0">
      <sharedItems containsString="0" containsBlank="1" containsNumber="1" containsInteger="1">
        <m/>
        <n v="0.0"/>
      </sharedItems>
    </cacheField>
    <cacheField name="Royalty" numFmtId="0">
      <sharedItems containsString="0" containsBlank="1" containsNumber="1">
        <m/>
        <n v="0.0"/>
        <n v="16825.0"/>
        <n v="8928.0"/>
        <n v="11195.0"/>
        <n v="6721.28"/>
        <n v="5588.8"/>
        <n v="3894.0"/>
        <n v="30621.0"/>
        <n v="3550.0"/>
        <n v="1537.0"/>
        <n v="13856.0"/>
        <n v="23098.0"/>
        <n v="9022.0"/>
        <n v="9074.16"/>
        <n v="4683.0"/>
        <n v="2808.0"/>
        <n v="6734.0"/>
        <n v="3469.0"/>
        <n v="16505.0"/>
        <n v="26231.0"/>
        <n v="20841.0"/>
        <n v="4189.0"/>
        <n v="6832.0"/>
        <n v="7632.0"/>
        <n v="12066.0"/>
        <n v="4252.0"/>
        <n v="14266.0"/>
        <n v="2784.0"/>
        <n v="5258.54"/>
        <n v="942.0"/>
        <n v="3480.0"/>
        <n v="1508.0"/>
        <n v="5558.0"/>
        <n v="2281.0"/>
        <n v="8180.0"/>
        <n v="8435.0"/>
        <n v="4104.0"/>
        <n v="3840.0"/>
        <n v="10888.0"/>
        <n v="11974.0"/>
        <n v="6788.0"/>
        <n v="11892.0"/>
        <n v="3144.0"/>
        <n v="6159.0"/>
        <n v="8507.0"/>
        <n v="3526.0"/>
        <n v="6758.0"/>
        <n v="6305.0"/>
        <n v="1696.39"/>
        <n v="2421.0"/>
        <n v="3813.0"/>
        <n v="12445.0"/>
        <n v="1717.0"/>
        <n v="5885.0"/>
        <n v="3509.0"/>
        <n v="4171.0"/>
        <n v="11999.0"/>
        <n v="6655.0"/>
        <n v="1733.0"/>
        <n v="1551.0"/>
        <n v="3623.0"/>
        <n v="7611.0"/>
        <n v="11760.0"/>
        <n v="8388.0"/>
        <n v="6932.0"/>
        <n v="11170.19"/>
        <n v="2647.0"/>
        <n v="5895.0"/>
        <n v="5793.0"/>
        <n v="2723.0"/>
        <n v="1963.0"/>
        <n v="5875.04"/>
        <n v="4286.04"/>
        <n v="27519.04"/>
        <n v="5352.0"/>
        <n v="10020.0"/>
        <n v="2287.0"/>
        <n v="5501.0"/>
        <n v="1378.0"/>
        <n v="4164.0"/>
        <n v="4732.0"/>
        <n v="3932.0"/>
        <n v="10591.0"/>
        <n v="4262.0"/>
        <n v="12080.0"/>
        <n v="3528.0"/>
        <n v="2086.0"/>
        <n v="4114.0"/>
        <n v="3094.0"/>
        <n v="10813.0"/>
        <n v="18589.0"/>
        <n v="15027.0"/>
        <n v="2041.0"/>
        <n v="10031.0"/>
        <n v="4297.0"/>
        <n v="7276.0"/>
        <n v="4315.0"/>
        <n v="10130.0"/>
        <n v="6307.0"/>
        <n v="7377.0"/>
        <n v="20206.0"/>
        <n v="10661.0"/>
        <n v="6784.0"/>
        <n v="3825.0"/>
        <n v="7678.0"/>
        <n v="1521.0"/>
        <n v="3683.0"/>
        <n v="7175.0"/>
        <n v="5503.0"/>
        <n v="6634.0"/>
        <n v="10124.0"/>
        <n v="17520.0"/>
        <n v="10136.0"/>
        <n v="7734.0"/>
        <n v="17904.0"/>
        <n v="22412.0"/>
        <n v="9836.0"/>
        <n v="21355.0"/>
        <n v="1791.0"/>
        <n v="1792.0"/>
        <n v="13447.0"/>
        <n v="2496.0"/>
        <n v="1550.0"/>
        <n v="6425.0"/>
        <n v="12091.0"/>
        <n v="5035.0"/>
        <n v="8369.0"/>
        <n v="19454.0"/>
        <n v="10785.0"/>
        <n v="11525.0"/>
        <n v="26542.0"/>
        <n v="4052.0"/>
        <n v="31068.0"/>
        <n v="12918.0"/>
        <n v="3718.0"/>
        <n v="2153.0"/>
        <n v="6872.0"/>
        <n v="1922.0"/>
        <n v="6276.0"/>
        <n v="4610.0"/>
        <n v="15572.0"/>
        <n v="18037.0"/>
        <n v="11217.0"/>
        <n v="3299.0"/>
        <n v="9471.0"/>
        <n v="14619.0"/>
        <n v="1207.0"/>
        <n v="9861.0"/>
        <n v="9976.0"/>
        <n v="2039.0"/>
        <n v="6950.0"/>
        <n v="2492.0"/>
        <n v="4280.0"/>
        <n v="12669.0"/>
        <n v="19668.0"/>
        <n v="20006.0"/>
        <n v="25006.0"/>
        <n v="5586.0"/>
        <n v="28792.0"/>
        <n v="22517.0"/>
        <n v="2058.0"/>
        <n v="2838.0"/>
        <n v="3926.0"/>
        <n v="10721.0"/>
        <n v="4240.0"/>
        <n v="10221.04"/>
        <n v="8284.0"/>
        <n v="6143.0"/>
        <n v="25335.0"/>
        <n v="25545.0"/>
        <n v="9201.0"/>
        <n v="22448.0"/>
        <n v="6458.0"/>
        <n v="17951.0"/>
        <n v="5059.0"/>
        <n v="5075.0"/>
        <n v="3441.0"/>
        <n v="9827.0"/>
        <n v="2716.0"/>
        <n v="3046.0"/>
        <n v="2602.0"/>
        <n v="5169.0"/>
        <n v="3767.0"/>
        <n v="2758.0"/>
        <n v="20755.11"/>
        <n v="4343.0"/>
        <n v="42459.0"/>
        <n v="1032.0"/>
        <n v="6580.0"/>
        <n v="1959.0"/>
        <n v="10468.0"/>
        <n v="24654.0"/>
        <n v="9879.0"/>
        <n v="2965.0"/>
        <n v="10566.0"/>
        <n v="9938.0"/>
        <n v="9808.0"/>
        <n v="2120.0"/>
        <n v="5046.0"/>
        <n v="12599.0"/>
        <n v="35483.0"/>
        <n v="52783.0"/>
        <n v="35887.0"/>
        <n v="21525.0"/>
        <n v="2781.0"/>
        <n v="20688.0"/>
        <n v="17814.0"/>
        <n v="3962.0"/>
        <n v="10014.0"/>
        <n v="25418.0"/>
        <n v="43386.0"/>
        <n v="24528.0"/>
        <n v="29128.0"/>
        <n v="1940.0"/>
        <n v="10281.0"/>
        <n v="4642.0"/>
        <n v="8619.0"/>
        <n v="7077.0"/>
        <n v="5021.0"/>
        <n v="14873.0"/>
        <n v="15108.0"/>
        <n v="3541.0"/>
        <n v="4891.0"/>
        <n v="2294.0"/>
        <n v="5205.0"/>
        <n v="9504.0"/>
        <n v="15086.0"/>
        <n v="16953.0"/>
        <n v="7518.0"/>
        <n v="17170.0"/>
        <n v="3411.0"/>
        <n v="6622.0"/>
        <n v="6593.0"/>
        <n v="8589.0"/>
        <n v="10719.0"/>
        <n v="4160.0"/>
        <n v="12079.0"/>
        <n v="9523.0"/>
        <n v="1815.0"/>
        <n v="9586.0"/>
        <n v="8698.0"/>
        <n v="8802.0"/>
        <n v="6263.0"/>
        <n v="7526.0"/>
        <n v="6030.0"/>
        <n v="12987.0"/>
      </sharedItems>
    </cacheField>
    <cacheField name="Facturacion" numFmtId="164">
      <sharedItems containsSemiMixedTypes="0" containsString="0" containsNumber="1">
        <n v="123866.75"/>
        <n v="105441.09"/>
        <n v="119734.75"/>
        <n v="164886.35"/>
        <n v="385262.6"/>
        <n v="220070.22"/>
        <n v="162574.63"/>
        <n v="178044.8"/>
        <n v="170329.25"/>
        <n v="320718.36"/>
        <n v="221150.62"/>
        <n v="247030.77"/>
        <n v="235787.22"/>
        <n v="214631.95"/>
        <n v="292522.67"/>
        <n v="233290.47"/>
        <n v="267262.44"/>
        <n v="335778.64"/>
        <n v="344300.08"/>
        <n v="334998.01"/>
        <n v="328558.12"/>
        <n v="349866.76"/>
        <n v="0.0"/>
        <n v="19620.88"/>
        <n v="49039.87"/>
        <n v="30481.69"/>
        <n v="4621.19"/>
        <n v="17544.44"/>
        <n v="9337.87"/>
        <n v="3205.19"/>
        <n v="29860.31"/>
        <n v="11853.39"/>
        <n v="4782.64"/>
        <n v="9273.7"/>
        <n v="8535.91"/>
        <n v="21968.14"/>
        <n v="17873.54"/>
        <n v="54961.27"/>
        <n v="11896.29"/>
        <n v="2384.34"/>
        <n v="19682.16"/>
        <n v="29722.87"/>
        <n v="35105.64"/>
        <n v="11782.97"/>
        <n v="8601.37"/>
        <n v="20734.35"/>
        <n v="7511.36"/>
        <n v="23256.89"/>
        <n v="11539.57"/>
        <n v="15687.55"/>
        <n v="34022.9"/>
        <n v="8160.7699999999995"/>
        <n v="12143.680000000002"/>
        <n v="33296.93"/>
        <n v="10723.810000000001"/>
        <n v="19640.190000000002"/>
        <n v="52448.149999999994"/>
        <n v="17991.73"/>
        <n v="96988.51"/>
        <n v="7773.88"/>
        <n v="8774.38"/>
        <n v="8709.13"/>
        <n v="10500.35"/>
        <n v="6878.31"/>
        <n v="5552.66"/>
        <n v="24871.090000000004"/>
        <n v="62078.200000000004"/>
        <n v="12025.550000000001"/>
        <n v="26369.48"/>
        <n v="7682.94"/>
        <n v="14305.51"/>
        <n v="21826.07"/>
        <n v="28271.679999999997"/>
        <n v="51518.130000000005"/>
        <n v="16857.68"/>
        <n v="12026.46"/>
        <n v="12806.679999999998"/>
        <n v="16306.0"/>
        <n v="9404.95"/>
        <n v="13368.369999999999"/>
        <n v="68184.12"/>
        <n v="17030.0"/>
        <n v="15665.0"/>
        <n v="7183.1900000000005"/>
        <n v="12890.789999999999"/>
        <n v="14939.93"/>
        <n v="44613.979999999996"/>
        <n v="5783.0"/>
        <n v="10461.31"/>
        <n v="17070.85"/>
        <n v="14768.679999999998"/>
        <n v="31083.940000000002"/>
        <n v="13335.2"/>
        <n v="18958.61"/>
        <n v="4569.0"/>
        <n v="1885.31"/>
        <n v="27916.63"/>
        <n v="21829.589999999997"/>
        <n v="30960.78"/>
        <n v="59864.86"/>
        <n v="30664.22"/>
        <n v="9807.220000000001"/>
        <n v="78684.43"/>
        <n v="808.95"/>
        <n v="7963.55"/>
        <n v="7795.129999999999"/>
        <n v="12865.97"/>
        <n v="5535.0"/>
        <n v="7950.0"/>
        <n v="42379.26"/>
        <n v="26332.18"/>
        <n v="29540.16"/>
        <n v="14899.130000000001"/>
        <n v="23923.379999999997"/>
        <n v="22939.65"/>
        <n v="40983.56999999999"/>
        <n v="8153.610000000001"/>
        <n v="14404.220000000001"/>
        <n v="24796.059999999998"/>
        <n v="31000.82"/>
        <n v="66369.04000000001"/>
        <n v="59206.96"/>
        <n v="3625.0"/>
        <n v="5098.76"/>
        <n v="8858.54"/>
        <n v="5841.25"/>
        <n v="4678.0"/>
        <n v="61541.619999999995"/>
        <n v="7151.0199999999995"/>
        <n v="42488.16"/>
        <n v="25705.72"/>
        <n v="5588.43"/>
        <n v="8268.27"/>
        <n v="24816.33"/>
        <n v="28178.510000000002"/>
        <n v="22729.539999999997"/>
        <n v="12518.3"/>
        <n v="21676.68"/>
        <n v="13938.14"/>
        <n v="20303.600000000002"/>
        <n v="21377.28"/>
        <n v="12604.720000000001"/>
        <n v="27223.57"/>
        <n v="104001.54999999999"/>
        <n v="3182.0"/>
        <n v="2851.13"/>
        <n v="3010.0"/>
        <n v="48219.94"/>
        <n v="24677.97"/>
        <n v="13251.279999999999"/>
        <n v="46253.06"/>
        <n v="22383.14"/>
        <n v="33594.16"/>
        <n v="27876.03"/>
        <n v="30989.829999999998"/>
        <n v="22292.47"/>
        <n v="24189.23"/>
        <n v="27081.809999999998"/>
        <n v="71579.03"/>
        <n v="28891.27"/>
        <n v="28153.420000000002"/>
        <n v="31494.18"/>
        <n v="25570.68"/>
        <n v="18894.399999999998"/>
        <n v="38230.58"/>
        <n v="32961.89"/>
        <n v="69032.7"/>
        <n v="6190.0"/>
        <n v="11291.0"/>
        <n v="5273.0"/>
        <n v="39171.47"/>
        <n v="29657.370000000003"/>
        <n v="26060.660000000003"/>
        <n v="37910.53"/>
        <n v="47650.69"/>
        <n v="39954.7"/>
        <n v="24403.14"/>
        <n v="35425.0"/>
        <n v="42979.76"/>
        <n v="23161.809999999998"/>
        <n v="23223.24"/>
        <n v="19608.5"/>
        <n v="24392.04"/>
        <n v="20850.870000000003"/>
        <n v="14695.330000000002"/>
        <n v="23762.21"/>
        <n v="72185.81"/>
        <n v="73144.27"/>
        <n v="10300.0"/>
        <n v="14474.43"/>
        <n v="18304.83"/>
        <n v="65027.92"/>
        <n v="22552.489999999998"/>
        <n v="31792.33"/>
        <n v="25879.54"/>
        <n v="14499.810000000001"/>
        <n v="21261.02"/>
        <n v="32983.93"/>
        <n v="23878.82"/>
        <n v="33120.47"/>
        <n v="17943.86"/>
        <n v="29780.18"/>
        <n v="28601.129999999997"/>
        <n v="16645.39"/>
        <n v="16260.57"/>
        <n v="15050.75"/>
        <n v="22116.18"/>
        <n v="34105.2"/>
        <n v="47282.72"/>
        <n v="100623.56"/>
        <n v="1583.0"/>
        <n v="1950.0"/>
        <n v="2975.0"/>
        <n v="50852.479999999996"/>
        <n v="56080.93"/>
        <n v="8331.05"/>
        <n v="18002.96"/>
        <n v="50323.969999999994"/>
        <n v="23150.48"/>
        <n v="6708.99"/>
        <n v="49721.34"/>
        <n v="23443.4"/>
        <n v="29589.33"/>
        <n v="19426.15"/>
        <n v="45626.19"/>
        <n v="35169.73"/>
        <n v="22598.0"/>
        <n v="47056.18"/>
        <n v="44443.47"/>
        <n v="61948.020000000004"/>
        <n v="52514.016"/>
        <n v="101888.72"/>
        <n v="4459.45"/>
        <n v="3366.2"/>
        <n v="8465.029999999999"/>
        <n v="5630.0"/>
        <n v="89091.87"/>
        <n v="47890.009999999995"/>
        <n v="15244.310000000001"/>
        <n v="14513.539999999997"/>
        <n v="19433.77"/>
        <n v="26467.429999999997"/>
        <n v="65722.70999999999"/>
        <n v="36518.520000000004"/>
        <n v="44023.37"/>
        <n v="34114.01"/>
        <n v="36559.9"/>
        <n v="5135.63"/>
        <n v="14061.64"/>
        <n v="29567.42"/>
        <n v="38992.130000000005"/>
        <n v="44960.67999999999"/>
        <n v="50245.11"/>
        <n v="8882.18"/>
        <n v="189087.7"/>
        <n v="4917.0"/>
        <n v="3192.1"/>
        <n v="2803.0"/>
        <n v="2979.0"/>
        <n v="111604.72"/>
        <n v="39893.11"/>
        <n v="22394.03"/>
        <n v="17765.99"/>
        <n v="29515.36"/>
        <n v="36425.95"/>
        <n v="24045.99"/>
        <n v="37572.0"/>
        <n v="117331.85"/>
        <n v="17887.07"/>
        <n v="28818.449999999997"/>
        <n v="46371.57000000001"/>
        <n v="42766.12"/>
        <n v="16839.39"/>
        <n v="36429.77"/>
        <n v="25897.739999999998"/>
        <n v="42863.43"/>
        <n v="89901.23"/>
        <n v="142379.19"/>
        <n v="16590.0"/>
        <n v="11275.9"/>
        <n v="48528.90000000001"/>
        <n v="28995.43"/>
        <n v="73663.59"/>
        <n v="14256.59"/>
        <n v="47621.979999999996"/>
        <n v="42218.67"/>
        <n v="15997.92"/>
        <n v="26843.39"/>
        <n v="35730.32"/>
        <n v="56992.350000000006"/>
        <n v="30559.65"/>
        <n v="45770.630000000005"/>
        <n v="36433.630000000005"/>
        <n v="35958.32"/>
        <n v="47696.93"/>
        <n v="20931.3"/>
        <n v="48890.08"/>
        <n v="50353.280000000006"/>
        <n v="51735.25"/>
        <n v="136213.25"/>
        <n v="8019.0"/>
        <n v="6647.0"/>
        <n v="3952.0"/>
        <n v="5996.0"/>
        <n v="45045.659999999996"/>
        <n v="76995.58"/>
        <n v="46869.53999999999"/>
        <n v="36646.59"/>
        <n v="10738.419999999998"/>
        <n v="42725.48"/>
        <n v="78794.48000000001"/>
        <n v="70674.62"/>
        <n v="73663.33"/>
        <n v="26606.640000000003"/>
        <n v="74409.87"/>
        <n v="16976.83"/>
        <n v="13432.02"/>
        <n v="41039.119999999995"/>
        <n v="258356.6"/>
        <n v="4500.0"/>
        <n v="5655.0"/>
        <n v="5725.0"/>
        <n v="39656.52"/>
        <n v="43302.19"/>
        <n v="32111.65"/>
        <n v="27022.4"/>
        <n v="30845.95"/>
        <n v="28767.870000000003"/>
        <n v="33426.55"/>
        <n v="33744.04"/>
        <n v="29424.270000000004"/>
        <n v="51690.8"/>
        <n v="31043.22"/>
        <n v="27824.04"/>
        <n v="82778.59999999999"/>
        <n v="53944.8"/>
        <n v="55439.850000000006"/>
        <n v="102435.13"/>
        <n v="63042.39"/>
        <n v="29223.89"/>
        <n v="92113.43"/>
        <n v="158089.8"/>
        <n v="19769.0"/>
        <n v="10839.0"/>
        <n v="7790.0"/>
        <n v="8249.0"/>
        <n v="85416.92"/>
        <n v="64698.5"/>
        <n v="41695.99"/>
        <n v="25821.58"/>
        <n v="47662.67999999999"/>
        <n v="26415.729999999996"/>
        <n v="45642.5"/>
        <n v="28791.47"/>
        <n v="45728.200000000004"/>
        <n v="37268.14"/>
        <n v="59986.93"/>
        <n v="23318.96"/>
        <n v="39934.32"/>
        <n v="18452.7"/>
        <n v="25037.620000000003"/>
        <n v="27292.239999999998"/>
        <n v="331284.45"/>
        <n v="6496.0"/>
        <n v="5037.0"/>
        <n v="4621.0"/>
        <n v="24226.15"/>
        <n v="42794.67"/>
        <n v="39200.07"/>
        <n v="18720.65"/>
        <n v="57719.297000000006"/>
        <n v="59220.0"/>
        <n v="54732.45"/>
        <n v="43528.994000000006"/>
        <n v="59957.04"/>
        <n v="35897.509999999995"/>
        <n v="44889.799999999996"/>
        <n v="25339.82"/>
        <n v="36336.0"/>
        <n v="74635.81"/>
        <n v="54548.659999999996"/>
        <n v="34168.67"/>
        <n v="33037.35"/>
        <n v="228035.6"/>
        <n v="38075.0"/>
        <n v="56867.0"/>
        <n v="39108.0"/>
        <n v="25055.0"/>
        <n v="123002.28"/>
        <n v="53870.19"/>
        <n v="53331.11000000001"/>
        <n v="40089.87"/>
        <n v="47382.700000000004"/>
        <n v="52489.05"/>
        <n v="78279.15"/>
        <n v="48206.08"/>
        <n v="136900.62"/>
        <n v="49989.66"/>
        <n v="53144.39"/>
        <n v="94179.64"/>
        <n v="109919.29000000001"/>
        <n v="78033.01999999999"/>
        <n v="257488.93"/>
        <n v="3302.0"/>
        <n v="3504.0"/>
        <n v="32592.829999999998"/>
        <n v="86546.87"/>
        <n v="73005.29000000001"/>
        <n v="86028.83"/>
        <n v="37017.86"/>
        <n v="34544.03"/>
        <n v="26554.41"/>
        <n v="110805.61"/>
        <n v="78304.0"/>
        <n v="57890.68"/>
        <n v="77545.98999999999"/>
        <n v="58887.55"/>
        <n v="21636.05"/>
        <n v="24587.38"/>
        <n v="44861.36"/>
        <n v="34821.3"/>
        <n v="66185.78"/>
        <n v="58312.12"/>
        <n v="132990.99"/>
        <n v="202368.60000000003"/>
        <n v="3185.0"/>
        <n v="4403.0"/>
        <n v="3084.0"/>
        <n v="4088.3"/>
        <n v="138751.93"/>
        <n v="50685.68"/>
        <n v="46861.03"/>
        <n v="30188.210000000003"/>
        <n v="17707.08"/>
        <n v="36256.15"/>
        <n v="138449.62"/>
        <n v="42758.81"/>
        <n v="53903.39"/>
        <n v="18744.79"/>
        <n v="17965.059999999998"/>
        <n v="32202.62"/>
        <n v="27791.2"/>
        <n v="20290.6"/>
        <n v="19148.422"/>
        <n v="83029.45"/>
        <n v="300107.5"/>
        <n v="5208.0"/>
        <n v="4104.0"/>
        <n v="3546.0"/>
        <n v="33204.79"/>
        <n v="6720.0"/>
        <n v="60990.78"/>
        <n v="53165.44"/>
        <n v="81123.72"/>
        <n v="41913.602"/>
        <n v="22430.52"/>
        <n v="60391.11"/>
        <n v="83294.61"/>
        <n v="91685.36"/>
        <n v="36657.01"/>
        <n v="38757.11"/>
        <n v="21654.91"/>
        <n v="13506.850000000002"/>
      </sharedItems>
    </cacheField>
    <cacheField name="Facturacion acumulado" numFmtId="164">
      <sharedItems containsString="0" containsBlank="1" containsNumber="1">
        <n v="123866.75"/>
        <n v="105441.09"/>
        <n v="119734.75"/>
        <n v="164886.35"/>
        <n v="385262.6"/>
        <n v="220070.22"/>
        <n v="162574.63"/>
        <n v="178044.8"/>
        <n v="170329.25"/>
        <n v="320718.36"/>
        <n v="221150.62"/>
        <n v="247030.77"/>
        <n v="235787.22"/>
        <n v="214631.95"/>
        <n v="292522.67"/>
        <n v="233290.47"/>
        <n v="267262.44"/>
        <n v="335778.64"/>
        <n v="344300.08"/>
        <n v="334998.01"/>
        <n v="328558.12"/>
        <n v="349866.76"/>
        <m/>
        <n v="19620.88"/>
        <n v="68660.75"/>
        <n v="99142.44"/>
        <n v="103763.63"/>
        <n v="121308.07"/>
        <n v="130645.94"/>
        <n v="0.0"/>
        <n v="133851.13"/>
        <n v="163711.44"/>
        <n v="175564.83000000002"/>
        <n v="180347.47000000003"/>
        <n v="189621.17000000004"/>
        <n v="198157.08000000005"/>
        <n v="220125.22000000003"/>
        <n v="237998.76000000004"/>
        <n v="292960.03"/>
        <n v="304856.32"/>
        <n v="307240.66000000003"/>
        <n v="326922.82"/>
        <n v="356645.69"/>
        <n v="391751.33"/>
        <n v="11782.97"/>
        <n v="20384.34"/>
        <n v="41118.69"/>
        <n v="48630.05"/>
        <n v="71886.94"/>
        <n v="83426.51000000001"/>
        <n v="99114.06000000001"/>
        <n v="133136.96000000002"/>
        <n v="141297.73"/>
        <n v="153441.41"/>
        <n v="186738.34"/>
        <n v="197462.15"/>
        <n v="217102.34"/>
        <n v="269550.49"/>
        <n v="287542.22"/>
        <n v="384530.73"/>
        <n v="7773.88"/>
        <n v="16548.26"/>
        <n v="25257.39"/>
        <n v="35757.74"/>
        <n v="42636.049999999996"/>
        <n v="48188.70999999999"/>
        <n v="73059.79999999999"/>
        <n v="135138.0"/>
        <n v="147163.55"/>
        <n v="173533.03"/>
        <n v="181215.97"/>
        <n v="195521.48"/>
        <n v="217347.55000000002"/>
        <n v="245619.23"/>
        <n v="297137.36"/>
        <n v="313995.04"/>
        <n v="326021.5"/>
        <n v="338828.18"/>
        <n v="355134.18"/>
        <n v="364539.13"/>
        <n v="377907.5"/>
        <n v="446091.62"/>
        <n v="17030.0"/>
        <n v="32695.0"/>
        <n v="39878.19"/>
        <n v="52768.98"/>
        <n v="67708.91"/>
        <n v="112322.89"/>
        <n v="118105.89"/>
        <n v="128567.2"/>
        <n v="145638.05"/>
        <n v="160406.72999999998"/>
        <n v="191490.66999999998"/>
        <n v="204825.87"/>
        <n v="223784.47999999998"/>
        <n v="228353.47999999998"/>
        <n v="230238.78999999998"/>
        <n v="258155.41999999998"/>
        <n v="279985.01"/>
        <n v="310945.79000000004"/>
        <n v="370810.65"/>
        <n v="401474.87"/>
        <n v="411282.08999999997"/>
        <n v="489966.51999999996"/>
        <n v="808.95"/>
        <n v="8772.5"/>
        <n v="16567.629999999997"/>
        <n v="29433.6"/>
        <n v="34968.6"/>
        <n v="42918.6"/>
        <n v="85297.86"/>
        <n v="111630.04000000001"/>
        <n v="141170.2"/>
        <n v="156069.33000000002"/>
        <n v="179992.71000000002"/>
        <n v="202932.36000000002"/>
        <n v="243915.93"/>
        <n v="252069.53999999998"/>
        <n v="266473.76"/>
        <n v="291269.82"/>
        <n v="322270.64"/>
        <n v="388639.68000000005"/>
        <n v="447846.6400000001"/>
        <n v="3625.0"/>
        <n v="8723.76"/>
        <n v="17582.300000000003"/>
        <n v="23423.550000000003"/>
        <n v="28101.550000000003"/>
        <n v="89643.17"/>
        <n v="96794.19"/>
        <n v="139282.35"/>
        <n v="164988.07"/>
        <n v="170576.5"/>
        <n v="178844.77"/>
        <n v="203661.09999999998"/>
        <n v="231839.61"/>
        <n v="254569.15"/>
        <n v="267087.45"/>
        <n v="288764.13"/>
        <n v="302702.27"/>
        <n v="323005.87"/>
        <n v="344383.15"/>
        <n v="356987.87"/>
        <n v="384211.44"/>
        <n v="488212.99"/>
        <n v="3182.0"/>
        <n v="6033.13"/>
        <n v="9043.130000000001"/>
        <n v="57263.07000000001"/>
        <n v="81941.04000000001"/>
        <n v="95192.32"/>
        <n v="141445.38"/>
        <n v="163828.52000000002"/>
        <n v="197422.68000000002"/>
        <n v="225298.71000000002"/>
        <n v="256288.54"/>
        <n v="278581.01"/>
        <n v="302770.24"/>
        <n v="329852.05"/>
        <n v="401431.07999999996"/>
        <n v="430322.35"/>
        <n v="458475.76999999996"/>
        <n v="489969.94999999995"/>
        <n v="515540.62999999995"/>
        <n v="534435.0299999999"/>
        <n v="572665.6099999999"/>
        <n v="605627.4999999999"/>
        <n v="674660.1999999998"/>
        <n v="6190.0"/>
        <n v="17481.0"/>
        <n v="22754.0"/>
        <n v="61925.47"/>
        <n v="91582.84"/>
        <n v="117643.5"/>
        <n v="155554.03"/>
        <n v="203204.72"/>
        <n v="243159.41999999998"/>
        <n v="267562.56"/>
        <n v="302987.56"/>
        <n v="345967.32"/>
        <n v="369129.13"/>
        <n v="392352.37"/>
        <n v="411960.87"/>
        <n v="436352.91"/>
        <n v="457203.77999999997"/>
        <n v="471899.11"/>
        <n v="495661.32"/>
        <n v="567847.13"/>
        <n v="640991.4"/>
        <n v="10300.0"/>
        <n v="24774.43"/>
        <n v="43079.26"/>
        <n v="108107.18"/>
        <n v="130659.66999999998"/>
        <n v="162452.0"/>
        <n v="188331.54"/>
        <n v="202831.35"/>
        <n v="224092.37"/>
        <n v="257076.3"/>
        <n v="280955.12"/>
        <n v="314075.58999999997"/>
        <n v="332019.44999999995"/>
        <n v="361799.62999999995"/>
        <n v="390400.75999999995"/>
        <n v="407046.14999999997"/>
        <n v="423306.72"/>
        <n v="438357.47"/>
        <n v="460473.64999999997"/>
        <n v="494578.85"/>
        <n v="541861.57"/>
        <n v="642485.1299999999"/>
        <n v="1583.0"/>
        <n v="3533.0"/>
        <n v="6508.0"/>
        <n v="57360.479999999996"/>
        <n v="113441.41"/>
        <n v="121772.46"/>
        <n v="139775.42"/>
        <n v="190099.39"/>
        <n v="213249.87000000002"/>
        <n v="219958.86000000002"/>
        <n v="269680.2"/>
        <n v="293123.60000000003"/>
        <n v="322712.93000000005"/>
        <n v="342139.0800000001"/>
        <n v="387765.2700000001"/>
        <n v="422935.00000000006"/>
        <n v="445533.00000000006"/>
        <n v="492589.18000000005"/>
        <n v="537032.65"/>
        <n v="598980.67"/>
        <n v="651494.686"/>
        <n v="753383.406"/>
        <n v="4459.45"/>
        <n v="7825.65"/>
        <n v="16290.679999999998"/>
        <n v="21920.68"/>
        <n v="111012.54999999999"/>
        <n v="158902.56"/>
        <n v="174146.87"/>
        <n v="188660.41"/>
        <n v="208094.18"/>
        <n v="234561.61"/>
        <n v="300284.31999999995"/>
        <n v="336802.83999999997"/>
        <n v="380826.20999999996"/>
        <n v="414940.22"/>
        <n v="451500.12"/>
        <n v="456635.75"/>
        <n v="470697.39"/>
        <n v="500264.81"/>
        <n v="539256.94"/>
        <n v="584217.6199999999"/>
        <n v="634462.7299999999"/>
        <n v="643344.9099999999"/>
        <n v="832432.6099999999"/>
        <n v="4917.0"/>
        <n v="8109.1"/>
        <n v="10912.1"/>
        <n v="13891.1"/>
        <n v="125495.82"/>
        <n v="165388.93"/>
        <n v="187782.96"/>
        <n v="205548.94999999998"/>
        <n v="235064.31"/>
        <n v="271490.26"/>
        <n v="295536.25"/>
        <n v="333108.25"/>
        <n v="450440.1"/>
        <n v="468327.17"/>
        <n v="497145.62"/>
        <n v="543517.19"/>
        <n v="586283.3099999999"/>
        <n v="603122.7"/>
        <n v="639552.47"/>
        <n v="665450.21"/>
        <n v="708313.64"/>
        <n v="798214.87"/>
        <n v="940594.06"/>
        <n v="16590.0"/>
        <n v="27865.9"/>
        <n v="76394.80000000002"/>
        <n v="105390.23000000001"/>
        <n v="179053.82"/>
        <n v="193310.41"/>
        <n v="240932.39"/>
        <n v="283151.06"/>
        <n v="299148.98"/>
        <n v="325992.37"/>
        <n v="361722.69"/>
        <n v="418715.04000000004"/>
        <n v="449274.69000000006"/>
        <n v="495045.32000000007"/>
        <n v="531478.9500000001"/>
        <n v="567437.27"/>
        <n v="615134.2000000001"/>
        <n v="636065.5000000001"/>
        <n v="684955.5800000001"/>
        <n v="735308.8600000001"/>
        <n v="787044.1100000001"/>
        <n v="923257.3600000001"/>
        <n v="8019.0"/>
        <n v="14666.0"/>
        <n v="18618.0"/>
        <n v="24614.0"/>
        <n v="69659.66"/>
        <n v="146655.24"/>
        <n v="193524.77999999997"/>
        <n v="230171.36999999997"/>
        <n v="240909.78999999998"/>
        <n v="283635.26999999996"/>
        <n v="362429.75"/>
        <n v="433104.37"/>
        <n v="506767.7"/>
        <n v="533374.34"/>
        <n v="607784.21"/>
        <n v="624761.0399999999"/>
        <n v="638193.0599999999"/>
        <n v="679232.1799999999"/>
        <n v="937588.7799999999"/>
        <n v="4500.0"/>
        <n v="10155.0"/>
        <n v="15880.0"/>
        <n v="55536.52"/>
        <n v="98838.70999999999"/>
        <n v="130950.35999999999"/>
        <n v="157972.75999999998"/>
        <n v="188818.71"/>
        <n v="217586.58"/>
        <n v="251013.13"/>
        <n v="284757.17"/>
        <n v="314181.44"/>
        <n v="365872.24"/>
        <n v="396915.45999999996"/>
        <n v="424739.49999999994"/>
        <n v="507518.0999999999"/>
        <n v="561462.8999999999"/>
        <n v="616902.7499999999"/>
        <n v="719337.8799999999"/>
        <n v="782380.2699999999"/>
        <n v="811604.1599999999"/>
        <n v="903717.5899999999"/>
        <n v="1061807.39"/>
        <n v="19769.0"/>
        <n v="30608.0"/>
        <n v="38398.0"/>
        <n v="46647.0"/>
        <n v="132063.91999999998"/>
        <n v="196762.41999999998"/>
        <n v="238458.40999999997"/>
        <n v="264279.99"/>
        <n v="311942.67"/>
        <n v="338358.39999999997"/>
        <n v="384000.89999999997"/>
        <n v="412792.37"/>
        <n v="458520.57"/>
        <n v="495788.71"/>
        <n v="555775.64"/>
        <n v="579094.6"/>
        <n v="619028.9199999999"/>
        <n v="637481.6199999999"/>
        <n v="662519.2399999999"/>
        <n v="689811.4799999999"/>
        <n v="1021095.9299999999"/>
        <n v="6496.0"/>
        <n v="11533.0"/>
        <n v="16154.0"/>
        <n v="40380.15"/>
        <n v="83174.82"/>
        <n v="122374.89000000001"/>
        <n v="141095.54"/>
        <n v="198814.837"/>
        <n v="258034.837"/>
        <n v="312767.287"/>
        <n v="356296.281"/>
        <n v="416253.321"/>
        <n v="452150.831"/>
        <n v="497040.631"/>
        <n v="522380.451"/>
        <n v="558716.451"/>
        <n v="633352.2609999999"/>
        <n v="687900.921"/>
        <n v="722069.591"/>
        <n v="755106.941"/>
        <n v="983142.541"/>
        <n v="38075.0"/>
        <n v="94942.0"/>
        <n v="134050.0"/>
        <n v="159105.0"/>
        <n v="282107.28"/>
        <n v="335977.47000000003"/>
        <n v="389308.58"/>
        <n v="429398.45"/>
        <n v="476781.15"/>
        <n v="529270.2000000001"/>
        <n v="607549.3500000001"/>
        <n v="655755.43"/>
        <n v="792656.05"/>
        <n v="842645.7100000001"/>
        <n v="895790.1000000001"/>
        <n v="989969.7400000001"/>
        <n v="1099889.03"/>
        <n v="1177922.05"/>
        <n v="1435410.98"/>
        <n v="3302.0"/>
        <n v="6806.0"/>
        <n v="39398.83"/>
        <n v="125945.7"/>
        <n v="198950.99"/>
        <n v="284979.82"/>
        <n v="321997.68"/>
        <n v="356541.70999999996"/>
        <n v="383096.11999999994"/>
        <n v="493901.7299999999"/>
        <n v="572205.73"/>
        <n v="630096.41"/>
        <n v="707642.4"/>
        <n v="766529.9500000001"/>
        <n v="788166.0000000001"/>
        <n v="812753.3800000001"/>
        <n v="857614.7400000001"/>
        <n v="892436.0400000002"/>
        <n v="958621.8200000002"/>
        <n v="1016933.9400000002"/>
        <n v="1149924.9300000002"/>
        <n v="1352293.5300000003"/>
        <n v="3185.0"/>
        <n v="7588.0"/>
        <n v="10672.0"/>
        <n v="14760.3"/>
        <n v="153512.22999999998"/>
        <n v="204197.90999999997"/>
        <n v="251058.93999999997"/>
        <n v="281247.14999999997"/>
        <n v="298954.23"/>
        <n v="335210.38"/>
        <n v="473660.0"/>
        <n v="516418.81"/>
        <n v="570322.2"/>
        <n v="589066.99"/>
        <n v="607032.05"/>
        <n v="639234.67"/>
        <n v="667025.87"/>
        <n v="687316.47"/>
        <n v="706464.892"/>
        <n v="789494.342"/>
        <n v="1089601.842"/>
        <n v="5208.0"/>
        <n v="9312.0"/>
        <n v="12858.0"/>
        <n v="46062.79"/>
        <n v="52782.79"/>
        <n v="113773.57"/>
        <n v="166939.01"/>
        <n v="248062.73"/>
        <n v="289976.332"/>
        <n v="312406.852"/>
        <n v="372797.962"/>
        <n v="456092.572"/>
        <n v="547777.932"/>
        <n v="584434.942"/>
        <n v="623192.052"/>
        <n v="644846.962"/>
        <n v="658353.812"/>
      </sharedItems>
    </cacheField>
    <cacheField name="SERVICIOS SEGURO Y GPS" numFmtId="0">
      <sharedItems containsString="0" containsBlank="1" containsNumber="1">
        <m/>
        <n v="0.0"/>
        <n v="14842.67"/>
        <n v="14290.46"/>
        <n v="12266.22"/>
        <n v="9014.79"/>
        <n v="7597.08"/>
        <n v="12963.03"/>
        <n v="17306.31"/>
        <n v="16401.9"/>
        <n v="12815.22"/>
        <n v="5893.11"/>
        <n v="12030.68"/>
        <n v="8388.84"/>
        <n v="10814.25"/>
        <n v="16443.44"/>
        <n v="23520.13"/>
        <n v="5601.72"/>
        <n v="20782.97"/>
        <n v="144315.69"/>
        <n v="9923.75"/>
        <n v="22886.47"/>
        <n v="5913.74"/>
        <n v="15846.02"/>
        <n v="9547.14"/>
        <n v="24579.82"/>
        <n v="20323.34"/>
        <n v="21704.35"/>
        <n v="21503.54"/>
        <n v="21764.8"/>
        <n v="16888.7"/>
        <n v="14998.0"/>
        <n v="14221.02"/>
        <n v="15294.44"/>
        <n v="68303.7"/>
        <n v="10250.82"/>
        <n v="18013.54"/>
        <n v="16950.65"/>
        <n v="30582.51"/>
        <n v="12525.84"/>
        <n v="5581.59"/>
        <n v="2563.43"/>
        <n v="32444.94"/>
        <n v="22038.76"/>
        <n v="21996.32"/>
        <n v="13680.71"/>
        <n v="48459.85"/>
        <n v="14992.02"/>
        <n v="28478.85"/>
        <n v="13243.53"/>
        <n v="11047.39"/>
        <n v="13985.52"/>
        <n v="11354.28"/>
        <n v="27160.73"/>
        <n v="60971.310000000005"/>
        <n v="2341.0"/>
        <n v="3112.0"/>
        <n v="908.0"/>
        <n v="1825.0"/>
        <n v="45537.4"/>
        <n v="7894.57"/>
        <n v="32835.16"/>
        <n v="14253.34"/>
        <n v="6111.05"/>
        <n v="7857.42"/>
        <n v="41051.37"/>
        <n v="8206.06"/>
        <n v="9560.26"/>
        <n v="4266.0"/>
        <n v="7440.29"/>
        <n v="9383.46"/>
        <n v="2315.37"/>
        <n v="12074.52"/>
        <n v="6412.63"/>
        <n v="24980.56"/>
        <n v="93891.17"/>
        <n v="17168.62"/>
        <n v="13194.92"/>
        <n v="19634.91"/>
        <n v="35017.47"/>
        <n v="7430.86"/>
        <n v="7420.05"/>
        <n v="12624.91"/>
        <n v="27604.95"/>
        <n v="34227.15"/>
        <n v="9330.98"/>
        <n v="8416.51"/>
        <n v="8594.98"/>
        <n v="4723.03"/>
      </sharedItems>
    </cacheField>
    <cacheField name="ACUMULADO SERVICIOS SEGURO Y GPS" numFmtId="0">
      <sharedItems containsString="0" containsBlank="1" containsNumber="1">
        <m/>
        <n v="0.0"/>
        <n v="14842.67"/>
        <n v="29133.129999999997"/>
        <n v="41399.35"/>
        <n v="50414.14"/>
        <n v="58011.22"/>
        <n v="70974.25"/>
        <n v="88280.56"/>
        <n v="104682.45999999999"/>
        <n v="117497.68"/>
        <n v="123390.79"/>
        <n v="135421.47"/>
        <n v="143810.31"/>
        <n v="154624.56"/>
        <n v="171068.0"/>
        <n v="194588.13"/>
        <n v="200189.85"/>
        <n v="220972.82"/>
        <n v="365288.51"/>
        <n v="9923.75"/>
        <n v="32810.22"/>
        <n v="38723.96"/>
        <n v="54569.979999999996"/>
        <n v="64117.119999999995"/>
        <n v="88696.94"/>
        <n v="109020.28"/>
        <n v="130724.63"/>
        <n v="152228.17"/>
        <n v="173992.97"/>
        <n v="190881.67"/>
        <n v="205879.67"/>
        <n v="220100.69"/>
        <n v="235395.13"/>
        <n v="303698.83"/>
        <n v="10250.82"/>
        <n v="28264.36"/>
        <n v="45215.01"/>
        <n v="75797.52"/>
        <n v="88323.36"/>
        <n v="93904.95"/>
        <n v="96468.37999999999"/>
        <n v="128913.31999999999"/>
        <n v="150952.08"/>
        <n v="172948.4"/>
        <n v="186629.11"/>
        <n v="235088.96"/>
        <n v="250080.97999999998"/>
        <n v="278559.82999999996"/>
        <n v="291803.36"/>
        <n v="302850.75"/>
        <n v="316836.27"/>
        <n v="328190.55000000005"/>
        <n v="355351.28"/>
        <n v="416322.59"/>
        <n v="2341.0"/>
        <n v="5453.0"/>
        <n v="6361.0"/>
        <n v="8186.0"/>
        <n v="53723.4"/>
        <n v="61617.97"/>
        <n v="94453.13"/>
        <n v="108706.47"/>
        <n v="114817.52"/>
        <n v="122674.94"/>
        <n v="163726.31"/>
        <n v="171932.37"/>
        <n v="181492.63"/>
        <n v="185758.63"/>
        <n v="193198.92"/>
        <n v="202582.38"/>
        <n v="204897.75"/>
        <n v="216972.27"/>
        <n v="223384.9"/>
        <n v="248365.46"/>
        <n v="342256.63"/>
        <n v="17168.62"/>
        <n v="30363.54"/>
        <n v="49998.45"/>
        <n v="85015.92"/>
        <n v="92446.78"/>
        <n v="99866.83"/>
        <n v="112491.74"/>
        <n v="140096.69"/>
        <n v="174323.84"/>
        <n v="183654.82"/>
        <n v="192071.33000000002"/>
        <n v="200666.31000000003"/>
        <n v="205389.34000000003"/>
      </sharedItems>
    </cacheField>
    <cacheField name="FACTURACION + SERVICIOS" numFmtId="164">
      <sharedItems containsSemiMixedTypes="0" containsString="0" containsNumber="1">
        <n v="123866.75"/>
        <n v="105441.09"/>
        <n v="119734.75"/>
        <n v="164886.35"/>
        <n v="385262.6"/>
        <n v="220070.22"/>
        <n v="162574.63"/>
        <n v="178044.8"/>
        <n v="170329.25"/>
        <n v="320718.36"/>
        <n v="221150.62"/>
        <n v="247030.77"/>
        <n v="235787.22"/>
        <n v="214631.95"/>
        <n v="292522.67"/>
        <n v="233290.47"/>
        <n v="267262.44"/>
        <n v="335778.64"/>
        <n v="344300.08"/>
        <n v="334998.01"/>
        <n v="328558.12"/>
        <n v="349866.76"/>
        <n v="0.0"/>
        <n v="19620.88"/>
        <n v="49039.87"/>
        <n v="30481.69"/>
        <n v="4621.19"/>
        <n v="17544.44"/>
        <n v="9337.87"/>
        <n v="3205.19"/>
        <n v="29860.31"/>
        <n v="11853.39"/>
        <n v="4782.64"/>
        <n v="9273.7"/>
        <n v="8535.91"/>
        <n v="21968.14"/>
        <n v="17873.54"/>
        <n v="54961.27"/>
        <n v="11896.29"/>
        <n v="2384.34"/>
        <n v="19682.16"/>
        <n v="29722.87"/>
        <n v="35105.64"/>
        <n v="11782.97"/>
        <n v="8601.37"/>
        <n v="20734.35"/>
        <n v="7511.36"/>
        <n v="23256.89"/>
        <n v="11539.57"/>
        <n v="15687.55"/>
        <n v="34022.9"/>
        <n v="8160.7699999999995"/>
        <n v="12143.680000000002"/>
        <n v="33296.93"/>
        <n v="10723.810000000001"/>
        <n v="19640.190000000002"/>
        <n v="52448.149999999994"/>
        <n v="17991.73"/>
        <n v="96988.51"/>
        <n v="7773.88"/>
        <n v="8774.38"/>
        <n v="8709.13"/>
        <n v="10500.35"/>
        <n v="6878.31"/>
        <n v="5552.66"/>
        <n v="24871.090000000004"/>
        <n v="62078.200000000004"/>
        <n v="12025.550000000001"/>
        <n v="26369.48"/>
        <n v="7682.94"/>
        <n v="14305.51"/>
        <n v="21826.07"/>
        <n v="28271.679999999997"/>
        <n v="51518.130000000005"/>
        <n v="16857.68"/>
        <n v="12026.46"/>
        <n v="12806.679999999998"/>
        <n v="16306.0"/>
        <n v="9404.95"/>
        <n v="13368.369999999999"/>
        <n v="68184.12"/>
        <n v="17030.0"/>
        <n v="15665.0"/>
        <n v="7183.1900000000005"/>
        <n v="12890.789999999999"/>
        <n v="14939.93"/>
        <n v="44613.979999999996"/>
        <n v="5783.0"/>
        <n v="10461.31"/>
        <n v="17070.85"/>
        <n v="14768.679999999998"/>
        <n v="31083.940000000002"/>
        <n v="13335.2"/>
        <n v="18958.61"/>
        <n v="4569.0"/>
        <n v="1885.31"/>
        <n v="27916.63"/>
        <n v="21829.589999999997"/>
        <n v="30960.78"/>
        <n v="59864.86"/>
        <n v="30664.22"/>
        <n v="9807.220000000001"/>
        <n v="78684.43"/>
        <n v="808.95"/>
        <n v="7963.55"/>
        <n v="7795.129999999999"/>
        <n v="12865.97"/>
        <n v="5535.0"/>
        <n v="7950.0"/>
        <n v="42379.26"/>
        <n v="26332.18"/>
        <n v="29540.16"/>
        <n v="14899.130000000001"/>
        <n v="23923.379999999997"/>
        <n v="22939.65"/>
        <n v="40983.56999999999"/>
        <n v="8153.610000000001"/>
        <n v="14404.220000000001"/>
        <n v="24796.059999999998"/>
        <n v="31000.82"/>
        <n v="66369.04000000001"/>
        <n v="59206.96"/>
        <n v="3625.0"/>
        <n v="5098.76"/>
        <n v="8858.54"/>
        <n v="5841.25"/>
        <n v="4678.0"/>
        <n v="61541.619999999995"/>
        <n v="7151.0199999999995"/>
        <n v="42488.16"/>
        <n v="25705.72"/>
        <n v="5588.43"/>
        <n v="8268.27"/>
        <n v="24816.33"/>
        <n v="28178.510000000002"/>
        <n v="22729.539999999997"/>
        <n v="12518.3"/>
        <n v="21676.68"/>
        <n v="13938.14"/>
        <n v="20303.600000000002"/>
        <n v="21377.28"/>
        <n v="12604.720000000001"/>
        <n v="27223.57"/>
        <n v="104001.54999999999"/>
        <n v="3182.0"/>
        <n v="2851.13"/>
        <n v="3010.0"/>
        <n v="48219.94"/>
        <n v="24677.97"/>
        <n v="13251.279999999999"/>
        <n v="46253.06"/>
        <n v="22383.14"/>
        <n v="33594.16"/>
        <n v="27876.03"/>
        <n v="30989.829999999998"/>
        <n v="22292.47"/>
        <n v="24189.23"/>
        <n v="27081.809999999998"/>
        <n v="71579.03"/>
        <n v="28891.27"/>
        <n v="28153.420000000002"/>
        <n v="31494.18"/>
        <n v="25570.68"/>
        <n v="18894.399999999998"/>
        <n v="38230.58"/>
        <n v="32961.89"/>
        <n v="69032.7"/>
        <n v="6190.0"/>
        <n v="11291.0"/>
        <n v="5273.0"/>
        <n v="39171.47"/>
        <n v="29657.370000000003"/>
        <n v="26060.660000000003"/>
        <n v="37910.53"/>
        <n v="47650.69"/>
        <n v="39954.7"/>
        <n v="24403.14"/>
        <n v="35425.0"/>
        <n v="42979.76"/>
        <n v="23161.809999999998"/>
        <n v="23223.24"/>
        <n v="19608.5"/>
        <n v="24392.04"/>
        <n v="20850.870000000003"/>
        <n v="14695.330000000002"/>
        <n v="23762.21"/>
        <n v="72185.81"/>
        <n v="73144.27"/>
        <n v="10300.0"/>
        <n v="14474.43"/>
        <n v="18304.83"/>
        <n v="65027.92"/>
        <n v="22552.489999999998"/>
        <n v="31792.33"/>
        <n v="25879.54"/>
        <n v="14499.810000000001"/>
        <n v="21261.02"/>
        <n v="32983.93"/>
        <n v="23878.82"/>
        <n v="33120.47"/>
        <n v="17943.86"/>
        <n v="29780.18"/>
        <n v="28601.129999999997"/>
        <n v="16645.39"/>
        <n v="16260.57"/>
        <n v="15050.75"/>
        <n v="22116.18"/>
        <n v="34105.2"/>
        <n v="47282.72"/>
        <n v="100623.56"/>
        <n v="1583.0"/>
        <n v="1950.0"/>
        <n v="2975.0"/>
        <n v="50852.479999999996"/>
        <n v="56080.93"/>
        <n v="8331.05"/>
        <n v="18002.96"/>
        <n v="50323.969999999994"/>
        <n v="23150.48"/>
        <n v="6708.99"/>
        <n v="49721.34"/>
        <n v="23443.4"/>
        <n v="29589.33"/>
        <n v="19426.15"/>
        <n v="45626.19"/>
        <n v="35169.73"/>
        <n v="22598.0"/>
        <n v="47056.18"/>
        <n v="44443.47"/>
        <n v="61948.020000000004"/>
        <n v="52514.016"/>
        <n v="101888.72"/>
        <n v="4459.45"/>
        <n v="3366.2"/>
        <n v="8465.029999999999"/>
        <n v="5630.0"/>
        <n v="89091.87"/>
        <n v="47890.009999999995"/>
        <n v="15244.310000000001"/>
        <n v="14513.539999999997"/>
        <n v="19433.77"/>
        <n v="26467.429999999997"/>
        <n v="65722.70999999999"/>
        <n v="36518.520000000004"/>
        <n v="44023.37"/>
        <n v="34114.01"/>
        <n v="36559.9"/>
        <n v="5135.63"/>
        <n v="14061.64"/>
        <n v="29567.42"/>
        <n v="38992.130000000005"/>
        <n v="44960.67999999999"/>
        <n v="50245.11"/>
        <n v="8882.18"/>
        <n v="189087.7"/>
        <n v="4917.0"/>
        <n v="3192.1"/>
        <n v="2803.0"/>
        <n v="2979.0"/>
        <n v="111604.72"/>
        <n v="39893.11"/>
        <n v="22394.03"/>
        <n v="17765.99"/>
        <n v="29515.36"/>
        <n v="36425.95"/>
        <n v="24045.99"/>
        <n v="37572.0"/>
        <n v="117331.85"/>
        <n v="17887.07"/>
        <n v="28818.449999999997"/>
        <n v="46371.57000000001"/>
        <n v="42766.12"/>
        <n v="16839.39"/>
        <n v="36429.77"/>
        <n v="25897.739999999998"/>
        <n v="42863.43"/>
        <n v="89901.23"/>
        <n v="142379.19"/>
        <n v="16590.0"/>
        <n v="11275.9"/>
        <n v="48528.90000000001"/>
        <n v="28995.43"/>
        <n v="73663.59"/>
        <n v="14256.59"/>
        <n v="47621.979999999996"/>
        <n v="42218.67"/>
        <n v="15997.92"/>
        <n v="26843.39"/>
        <n v="35730.32"/>
        <n v="56992.350000000006"/>
        <n v="30559.65"/>
        <n v="45770.630000000005"/>
        <n v="36433.630000000005"/>
        <n v="35958.32"/>
        <n v="47696.93"/>
        <n v="20931.3"/>
        <n v="48890.08"/>
        <n v="50353.280000000006"/>
        <n v="51735.25"/>
        <n v="136213.25"/>
        <n v="8019.0"/>
        <n v="6647.0"/>
        <n v="3952.0"/>
        <n v="5996.0"/>
        <n v="45045.659999999996"/>
        <n v="76995.58"/>
        <n v="46869.53999999999"/>
        <n v="36646.59"/>
        <n v="10738.419999999998"/>
        <n v="42725.48"/>
        <n v="78794.48000000001"/>
        <n v="70674.62"/>
        <n v="73663.33"/>
        <n v="26606.640000000003"/>
        <n v="74409.87"/>
        <n v="16976.83"/>
        <n v="13432.02"/>
        <n v="41039.119999999995"/>
        <n v="258356.6"/>
        <n v="4500.0"/>
        <n v="5655.0"/>
        <n v="5725.0"/>
        <n v="39656.52"/>
        <n v="43302.19"/>
        <n v="32111.65"/>
        <n v="27022.4"/>
        <n v="30845.95"/>
        <n v="28767.870000000003"/>
        <n v="33426.55"/>
        <n v="33744.04"/>
        <n v="29424.270000000004"/>
        <n v="51690.8"/>
        <n v="31043.22"/>
        <n v="27824.04"/>
        <n v="82778.59999999999"/>
        <n v="53944.8"/>
        <n v="55439.850000000006"/>
        <n v="102435.13"/>
        <n v="63042.39"/>
        <n v="29223.89"/>
        <n v="92113.43"/>
        <n v="158089.8"/>
        <n v="19769.0"/>
        <n v="10839.0"/>
        <n v="7790.0"/>
        <n v="8249.0"/>
        <n v="85416.92"/>
        <n v="64698.5"/>
        <n v="41695.99"/>
        <n v="25821.58"/>
        <n v="47662.67999999999"/>
        <n v="26415.729999999996"/>
        <n v="45642.5"/>
        <n v="28791.47"/>
        <n v="45728.200000000004"/>
        <n v="37268.14"/>
        <n v="59986.93"/>
        <n v="23318.96"/>
        <n v="39934.32"/>
        <n v="18452.7"/>
        <n v="25037.620000000003"/>
        <n v="27292.239999999998"/>
        <n v="331284.45"/>
        <n v="6496.0"/>
        <n v="5037.0"/>
        <n v="4621.0"/>
        <n v="39068.82"/>
        <n v="57085.13"/>
        <n v="51466.29"/>
        <n v="27735.440000000002"/>
        <n v="65316.37700000001"/>
        <n v="72183.03"/>
        <n v="72038.76"/>
        <n v="59930.89400000001"/>
        <n v="72772.26"/>
        <n v="41790.619999999995"/>
        <n v="56920.479999999996"/>
        <n v="33728.66"/>
        <n v="47150.25"/>
        <n v="91079.25"/>
        <n v="78068.79"/>
        <n v="39770.39"/>
        <n v="53820.32"/>
        <n v="372351.29000000004"/>
        <n v="38075.0"/>
        <n v="56867.0"/>
        <n v="39108.0"/>
        <n v="25055.0"/>
        <n v="132926.03"/>
        <n v="76756.66"/>
        <n v="59244.850000000006"/>
        <n v="55935.89"/>
        <n v="56929.840000000004"/>
        <n v="77068.87"/>
        <n v="98602.48999999999"/>
        <n v="69910.43"/>
        <n v="158404.16"/>
        <n v="71754.46"/>
        <n v="70033.09"/>
        <n v="109177.64"/>
        <n v="124140.31000000001"/>
        <n v="93327.45999999999"/>
        <n v="325792.63"/>
        <n v="3302.0"/>
        <n v="3504.0"/>
        <n v="42843.649999999994"/>
        <n v="104560.41"/>
        <n v="89955.94"/>
        <n v="116611.34"/>
        <n v="49543.7"/>
        <n v="40125.619999999995"/>
        <n v="29117.84"/>
        <n v="143250.55"/>
        <n v="100342.76"/>
        <n v="79887.0"/>
        <n v="91226.69999999998"/>
        <n v="107347.4"/>
        <n v="36628.07"/>
        <n v="53066.229999999996"/>
        <n v="58104.89"/>
        <n v="45868.69"/>
        <n v="80171.3"/>
        <n v="69666.40000000001"/>
        <n v="160151.72"/>
        <n v="263339.91000000003"/>
        <n v="5526.0"/>
        <n v="7515.0"/>
        <n v="3992.0"/>
        <n v="5913.3"/>
        <n v="184289.33"/>
        <n v="58580.25"/>
        <n v="79696.19"/>
        <n v="44441.55"/>
        <n v="23818.13"/>
        <n v="44113.57"/>
        <n v="179500.99"/>
        <n v="50964.869999999995"/>
        <n v="63463.65"/>
        <n v="23010.79"/>
        <n v="25405.35"/>
        <n v="41586.08"/>
        <n v="30106.57"/>
        <n v="32365.12"/>
        <n v="25561.052"/>
        <n v="108010.01"/>
        <n v="393998.67"/>
        <n v="5208.0"/>
        <n v="4104.0"/>
        <n v="3546.0"/>
        <n v="50373.41"/>
        <n v="6720.0"/>
        <n v="74185.7"/>
        <n v="72800.35"/>
        <n v="116141.19"/>
        <n v="49344.462"/>
        <n v="29850.57"/>
        <n v="73016.02"/>
        <n v="110899.56"/>
        <n v="125912.51000000001"/>
        <n v="45987.990000000005"/>
        <n v="47173.62"/>
        <n v="30249.89"/>
        <n v="18229.88"/>
      </sharedItems>
    </cacheField>
    <cacheField name="ACUMULADO TOTAL" numFmtId="0">
      <sharedItems containsString="0" containsBlank="1" containsNumber="1">
        <m/>
        <n v="0.0"/>
        <n v="4500.0"/>
        <n v="10155.0"/>
        <n v="15880.0"/>
        <n v="55536.52"/>
        <n v="98838.70999999999"/>
        <n v="130950.35999999999"/>
        <n v="157972.75999999998"/>
        <n v="188818.71"/>
        <n v="217586.58"/>
        <n v="251013.13"/>
        <n v="284757.17"/>
        <n v="314181.44"/>
        <n v="365872.24"/>
        <n v="396915.45999999996"/>
        <n v="424739.49999999994"/>
        <n v="507518.0999999999"/>
        <n v="561462.8999999999"/>
        <n v="616902.7499999999"/>
        <n v="719337.8799999999"/>
        <n v="782380.2699999999"/>
        <n v="811604.1599999999"/>
        <n v="903717.5899999999"/>
        <n v="1061807.39"/>
        <n v="19769.0"/>
        <n v="30608.0"/>
        <n v="38398.0"/>
        <n v="46647.0"/>
        <n v="132063.91999999998"/>
        <n v="196762.41999999998"/>
        <n v="238458.40999999997"/>
        <n v="264279.99"/>
        <n v="311942.67"/>
        <n v="338358.39999999997"/>
        <n v="384000.89999999997"/>
        <n v="412792.37"/>
        <n v="458520.57"/>
        <n v="495788.71"/>
        <n v="555775.64"/>
        <n v="579094.6"/>
        <n v="619028.9199999999"/>
        <n v="637481.6199999999"/>
        <n v="662519.2399999999"/>
        <n v="689811.4799999999"/>
        <n v="1021095.9299999999"/>
        <n v="6496.0"/>
        <n v="11533.0"/>
        <n v="16999.0"/>
        <n v="56067.82"/>
        <n v="114805.47000000002"/>
        <n v="167116.76"/>
        <n v="194852.19999999998"/>
        <n v="263132.237"/>
        <n v="340964.847"/>
        <n v="415752.447"/>
        <n v="476561.17100000003"/>
        <n v="550444.9909999999"/>
        <n v="603488.761"/>
        <n v="664265.2810000001"/>
        <n v="710494.441"/>
        <n v="766307.801"/>
        <n v="857387.051"/>
        <n v="935455.841"/>
        <n v="997986.231"/>
        <n v="1064195.031"/>
        <n v="1440138.641"/>
        <n v="43579.46"/>
        <n v="115903.39"/>
        <n v="164288.26"/>
        <n v="195089.61"/>
        <n v="328872.89"/>
        <n v="405629.55000000005"/>
        <n v="469978.07000000007"/>
        <n v="525913.96"/>
        <n v="601872.15"/>
        <n v="680877.9800000001"/>
        <n v="779480.4700000001"/>
        <n v="849390.9"/>
        <n v="1007795.06"/>
        <n v="1079549.52"/>
        <n v="1152278.09"/>
        <n v="1267253.9000000001"/>
        <n v="1404024.42"/>
        <n v="1511644.6600000001"/>
        <n v="1844702.1"/>
        <n v="3302.0"/>
        <n v="6806.0"/>
        <n v="49649.65"/>
        <n v="155211.15"/>
        <n v="248568.07"/>
        <n v="366165.29000000004"/>
        <n v="415708.99"/>
        <n v="455834.61"/>
        <n v="487269.17999999993"/>
        <n v="633518.8899999999"/>
        <n v="735311.5399999999"/>
        <n v="816971.26"/>
        <n v="916490.35"/>
        <n v="1027551.6900000001"/>
        <n v="1065088.4600000002"/>
        <n v="1120215.18"/>
        <n v="1180320.36"/>
        <n v="1227936.01"/>
        <n v="1311652.1200000003"/>
        <n v="1385177.6000000003"/>
        <n v="1554828.2000000002"/>
        <n v="1851424.5400000003"/>
        <n v="5526.0"/>
        <n v="13041.0"/>
        <n v="17033.0"/>
        <n v="22946.3"/>
        <n v="211373.61999999997"/>
        <n v="272180.14"/>
        <n v="360258.52999999997"/>
        <n v="404700.08"/>
        <n v="430046.11"/>
        <n v="475409.68"/>
        <n v="656631.6000000001"/>
        <n v="709753.44"/>
        <n v="775954.07"/>
        <n v="801375.53"/>
        <n v="826780.8800000001"/>
        <n v="871388.81"/>
        <n v="904278.16"/>
        <n v="937504.21"/>
        <n v="963065.262"/>
        <n v="1073092.872"/>
        <n v="1467352.472"/>
        <n v="5208.0"/>
        <n v="9312.0"/>
        <n v="12858.0"/>
        <n v="63231.41"/>
        <n v="69951.41"/>
        <n v="146753.65000000002"/>
        <n v="219554.00000000003"/>
        <n v="335695.19"/>
        <n v="387043.04199999996"/>
        <n v="416893.612"/>
        <n v="491949.562"/>
        <n v="603849.122"/>
        <n v="730969.272"/>
        <n v="778753.2920000001"/>
        <n v="828963.3319999999"/>
        <n v="859213.2220000001"/>
        <n v="877443.102"/>
      </sharedItems>
    </cacheField>
    <cacheField name="Facturacion inversionistas" numFmtId="164">
      <sharedItems containsString="0" containsBlank="1" containsNumber="1">
        <n v="93237.94"/>
        <n v="64539.11"/>
        <n v="83739.04"/>
        <n v="69197.02"/>
        <n v="61731.29"/>
        <n v="76004.13"/>
        <n v="68805.2"/>
        <n v="57432.85"/>
        <n v="87424.78"/>
        <n v="57168.52"/>
        <n v="71945.84"/>
        <n v="62466.01"/>
        <n v="70523.81"/>
        <n v="51852.23"/>
        <n v="28901.76"/>
        <n v="22369.47"/>
        <n v="42443.43"/>
        <n v="50439.81"/>
        <n v="62087.66"/>
        <n v="37305.79"/>
        <n v="48605.98"/>
        <n v="132802.94"/>
        <m/>
        <n v="315.73"/>
        <n v="3512.43"/>
        <n v="2119.83"/>
        <n v="0.0"/>
        <n v="1930.35"/>
        <n v="1066.92"/>
        <n v="17231.13"/>
        <n v="3983.36"/>
        <n v="1295.06"/>
        <n v="7957.11"/>
        <n v="4513.37"/>
        <n v="4683.82"/>
        <n v="764.4"/>
        <n v="1033.24"/>
        <n v="1227.44"/>
        <n v="2335.72"/>
        <n v="2717.43"/>
        <n v="6009.64"/>
        <n v="3973.58"/>
        <n v="1486.76"/>
        <n v="2676.92"/>
        <n v="1829.78"/>
        <n v="69.62"/>
        <n v="5905.51"/>
        <n v="4493.88"/>
        <n v="2256.95"/>
        <n v="2854.55"/>
        <n v="1441.88"/>
        <n v="10100.76"/>
        <n v="4080.88"/>
        <n v="11342.95"/>
        <n v="1504.31"/>
        <n v="1004.31"/>
        <n v="200.0"/>
        <n v="295.69"/>
        <n v="1794.49"/>
        <n v="8230.17"/>
        <n v="16609.78"/>
        <n v="1445.76"/>
        <n v="1742.37"/>
        <n v="1302.88"/>
        <n v="3815.11"/>
        <n v="3024.68"/>
        <n v="2263.18"/>
        <n v="1437.49"/>
        <n v="1615.12"/>
        <n v="1220.44"/>
        <n v="15331.76"/>
        <n v="1500.0"/>
        <n v="950.0"/>
        <n v="650.0"/>
        <n v="521.3"/>
        <n v="3527.2"/>
        <n v="4923.91"/>
        <n v="3693.52"/>
        <n v="3349.27"/>
        <n v="2727.11"/>
        <n v="616.26"/>
        <n v="4561.24"/>
        <n v="157.78"/>
        <n v="3104.63"/>
        <n v="7652.55"/>
        <n v="1772.6"/>
        <n v="13278.78"/>
        <n v="2360.27"/>
        <n v="2057.33"/>
        <n v="2486.01"/>
        <n v="1147.39"/>
        <n v="1250.0"/>
        <n v="1479.8"/>
        <n v="11770.11"/>
        <n v="1827.7"/>
        <n v="5470.55"/>
        <n v="1720.32"/>
        <n v="1616.51"/>
        <n v="15139.79"/>
        <n v="2462.55"/>
        <n v="3202.1"/>
        <n v="4401.84"/>
        <n v="2459.8"/>
        <n v="8595.810000000001"/>
        <n v="1253.0"/>
        <n v="1200.0"/>
        <n v="2500.0"/>
        <n v="7250.36"/>
        <n v="8428.09"/>
        <n v="5586.48"/>
        <n v="926.69"/>
        <n v="1037.77"/>
        <n v="4481.97"/>
        <n v="12577.54"/>
        <n v="428.79"/>
        <n v="483.85"/>
        <n v="1422.51"/>
        <n v="717.58"/>
        <n v="5184.71"/>
        <n v="1501.58"/>
        <n v="11962.83"/>
        <n v="250.0"/>
        <n v="1000.0"/>
        <n v="350.0"/>
        <n v="1966.31"/>
        <n v="3374.9"/>
        <n v="1782.63"/>
        <n v="10007.76"/>
        <n v="3525.92"/>
        <n v="490.25"/>
        <n v="1265.75"/>
        <n v="389.13"/>
        <n v="10312.67"/>
        <n v="221.08"/>
        <n v="998.59"/>
        <n v="37836.59"/>
        <n v="3547.0"/>
        <n v="2573.38"/>
        <n v="6860.0"/>
        <n v="640.46"/>
        <n v="3975.91"/>
        <n v="1878.29"/>
        <n v="724.36"/>
        <n v="7615.360000000001"/>
        <n v="987.0"/>
        <n v="750.0"/>
        <n v="550.0"/>
        <n v="2279.34"/>
        <n v="8759.75"/>
        <n v="2169.07"/>
        <n v="4580.92"/>
        <n v="11502.16"/>
        <n v="1994.19"/>
        <n v="699.26"/>
        <n v="2660.63"/>
        <n v="8497.31"/>
        <n v="3498.6"/>
        <n v="1999.86"/>
        <n v="962.44"/>
        <n v="1171.5"/>
        <n v="1494.35"/>
        <n v="1171.86"/>
        <n v="4802.46"/>
        <n v="1236.0"/>
        <n v="1400.0"/>
        <n v="2745.8"/>
        <n v="3379.81"/>
        <n v="4420.65"/>
        <n v="2593.68"/>
        <n v="1075.56"/>
        <n v="2012.79"/>
        <n v="3069.61"/>
        <n v="21.23"/>
        <n v="603.33"/>
        <n v="848.93"/>
        <n v="2719.32"/>
        <n v="602.66"/>
        <n v="7956.09"/>
        <n v="3372.5"/>
        <n v="2157.96"/>
        <n v="2828.16"/>
        <n v="3189.68"/>
        <n v="3458.74"/>
        <n v="1876.09"/>
        <n v="1295.23"/>
        <n v="3524.58"/>
        <n v="494.4"/>
        <n v="1922.82"/>
        <n v="449.98"/>
        <n v="3205.04"/>
        <n v="422.94"/>
        <n v="6064.97"/>
        <n v="1301.36"/>
        <n v="6835.95"/>
        <n v="2035.23"/>
        <n v="661.03"/>
        <n v="297.93"/>
        <n v="15798.24"/>
        <n v="162.5"/>
        <n v="5805.34"/>
        <n v="425.0"/>
        <n v="120.0"/>
        <n v="235.0"/>
        <n v="5322.34"/>
        <n v="3149.1"/>
        <n v="556.03"/>
        <n v="507.93"/>
        <n v="1272.26"/>
        <n v="2574.62"/>
        <n v="23945.06"/>
        <n v="5377.27"/>
        <n v="816.37"/>
        <n v="2464.41"/>
        <n v="3915.38"/>
        <n v="1314.22"/>
        <n v="1824.07"/>
        <n v="548.47"/>
        <n v="1050.69"/>
        <n v="616.12"/>
        <n v="917.59"/>
        <n v="14897.47"/>
        <n v="100.0"/>
        <n v="5115.11"/>
        <n v="4450.13"/>
        <n v="5610.22"/>
        <n v="937.88"/>
        <n v="4498.1"/>
        <n v="3934.23"/>
        <n v="9711.15"/>
        <n v="42257.84"/>
        <n v="410.5"/>
        <n v="4298.28"/>
        <n v="3375.86"/>
        <n v="1345.35"/>
        <n v="1117.93"/>
        <n v="4591.82"/>
        <n v="273.84"/>
        <n v="927.29"/>
        <n v="2696.19"/>
        <n v="320.0"/>
        <n v="260.0"/>
        <n v="1049.35"/>
        <n v="4010.97"/>
        <n v="3446.03"/>
        <n v="1003.41"/>
        <n v="6531.9"/>
        <n v="810.33"/>
        <n v="438.39"/>
        <n v="6795.26"/>
        <n v="18033.11"/>
        <n v="2721.89"/>
        <n v="4090.23"/>
        <n v="1420.78"/>
        <n v="1694.95"/>
        <n v="4445.63"/>
        <n v="1237.86"/>
        <n v="1675.2"/>
        <n v="827.86"/>
        <n v="956.0"/>
        <n v="1016.31"/>
        <n v="360.0"/>
        <n v="259.0"/>
        <n v="156.0"/>
        <n v="300.0"/>
        <n v="867.97"/>
        <n v="5368.47"/>
        <n v="3356.13"/>
        <n v="4064.53"/>
        <n v="5585.05"/>
        <n v="6922.04"/>
        <n v="11599.22"/>
        <n v="1697.39"/>
        <n v="5138.79"/>
        <n v="3631.97"/>
        <n v="1024.81"/>
        <n v="625.94"/>
        <n v="7332.01"/>
        <n v="7520.35"/>
        <n v="500.0"/>
        <n v="263.0"/>
        <n v="632.0"/>
        <n v="866.79"/>
        <n v="7024.86"/>
        <n v="1814.87"/>
        <n v="1516.82"/>
        <n v="5202.97"/>
        <n v="4904.57"/>
        <n v="3458.29"/>
        <n v="12633.35"/>
        <n v="2236.66"/>
        <n v="3922.55"/>
        <n v="3277.18"/>
        <n v="970.03"/>
        <n v="24483.73"/>
        <n v="6614.72"/>
        <n v="363.14"/>
        <n v="3362.97"/>
        <n v="3521.0000000000005"/>
        <n v="245.0"/>
        <n v="126.0"/>
        <n v="267.0"/>
        <n v="136.0"/>
        <n v="5257.63"/>
        <n v="1841.59"/>
        <n v="5995.56"/>
        <n v="4159.54"/>
        <n v="1015.41"/>
        <n v="2268.76"/>
        <n v="2097.09"/>
        <n v="5113.83"/>
        <n v="11227.31"/>
        <n v="2265.51"/>
        <n v="4897.13"/>
        <n v="2803.27"/>
        <n v="2804.66"/>
        <n v="2003.58"/>
        <n v="2420.04"/>
        <n v="645.22"/>
        <n v="10085.06"/>
        <n v="153.0"/>
        <n v="128.0"/>
        <n v="1990.73"/>
        <n v="2891.59"/>
        <n v="2102.66"/>
        <n v="398.06"/>
        <n v="4722.4"/>
        <n v="2260.21"/>
        <n v="3660.99"/>
        <n v="4729.04"/>
        <n v="45332.89"/>
        <n v="1188.24"/>
        <n v="10508.89"/>
        <n v="2385.53"/>
        <n v="4759.56"/>
        <n v="3665.08"/>
        <n v="4975.13"/>
        <n v="1266.01"/>
        <n v="1966.8"/>
        <n v="20847.7"/>
        <n v="285.0"/>
        <n v="463.0"/>
        <n v="8.97"/>
        <n v="4963.39"/>
        <n v="1590.84"/>
        <n v="241.92"/>
        <n v="1284.83"/>
        <n v="4633.71"/>
        <n v="1100.23"/>
        <n v="2883.13"/>
        <n v="19916.34"/>
        <n v="7654.28"/>
        <n v="3335.33"/>
        <n v="8664.42"/>
        <n v="3445.79"/>
        <n v="1919.1"/>
        <n v="18279.97"/>
        <n v="1669.91"/>
        <n v="2981.32"/>
        <n v="3852.63"/>
        <n v="2468.85"/>
        <n v="1897.04"/>
        <n v="574.39"/>
        <n v="637.94"/>
        <n v="6249.58"/>
        <n v="10618.08"/>
        <n v="11486.45"/>
        <n v="2838.54"/>
        <n v="5718.26"/>
        <n v="1106.53"/>
        <n v="330.17"/>
        <n v="1805.42"/>
        <n v="473.11"/>
        <n v="2436.61"/>
        <n v="2021.57"/>
        <n v="4211.63"/>
        <n v="27774.93"/>
        <n v="1227.0"/>
        <n v="3222.0"/>
        <n v="788.0"/>
        <n v="322.0"/>
        <n v="2106.77"/>
        <n v="2547.12"/>
        <n v="1891.3"/>
        <n v="1935.69"/>
        <n v="4782.1"/>
        <n v="1379.76"/>
        <n v="9094.2"/>
        <n v="9924.8"/>
        <n v="4497.41"/>
        <n v="1146.92"/>
        <n v="548.73"/>
        <n v="1602.11"/>
        <n v="130.8"/>
        <n v="850.84"/>
        <n v="3850.95"/>
        <n v="26979.09"/>
        <n v="2796.32"/>
        <n v="3259.39"/>
        <n v="2809.5"/>
        <n v="5197.52"/>
        <n v="672.77"/>
        <n v="1085.09"/>
        <n v="2281.43"/>
        <n v="2704.852"/>
        <n v="9369.36"/>
        <n v="1114.65"/>
        <n v="234.93"/>
        <n v="5157.52"/>
        <n v="1356.12"/>
      </sharedItems>
    </cacheField>
    <cacheField name="Acumulado inversionistas">
      <sharedItems containsBlank="1" containsMixedTypes="1" containsNumber="1">
        <n v="93237.94"/>
        <n v="64539.11"/>
        <n v="83739.04"/>
        <n v="69197.02"/>
        <n v="61731.29"/>
        <n v="76004.13"/>
        <n v="68805.2"/>
        <n v="57432.85"/>
        <n v="87424.78"/>
        <n v="57168.52"/>
        <n v="71945.84"/>
        <n v="62466.01"/>
        <n v="70523.81"/>
        <n v="51852.23"/>
        <n v="28901.76"/>
        <n v="22369.47"/>
        <n v="42443.43"/>
        <n v="50439.81"/>
        <n v="62087.66"/>
        <n v="37305.79"/>
        <n v="48605.98"/>
        <n v="132802.94"/>
        <m/>
        <n v="315.73"/>
        <n v="3828.16"/>
        <n v="5947.99"/>
        <n v="7878.34"/>
        <n v="8945.26"/>
        <n v="26176.39"/>
        <n v="30159.75"/>
        <n v="31454.81"/>
        <n v="39411.92"/>
        <n v="43925.29"/>
        <n v="48609.11"/>
        <n v="49373.51"/>
        <n v="50406.75"/>
        <n v="51634.19"/>
        <n v="53969.91"/>
        <n v="56687.340000000004"/>
        <n v="6009.64"/>
        <n v="9983.220000000001"/>
        <n v="11469.980000000001"/>
        <n v="14146.900000000001"/>
        <n v="15976.680000000002"/>
        <n v="16046.300000000003"/>
        <n v="21951.810000000005"/>
        <n v="26445.690000000006"/>
        <n v="28702.640000000007"/>
        <n v="31557.190000000006"/>
        <n v="32999.07000000001"/>
        <n v="43099.83000000001"/>
        <n v="47180.71000000001"/>
        <n v="58523.66"/>
        <n v="0.0"/>
        <n v="1504.31"/>
        <n v="2508.62"/>
        <n v="2708.62"/>
        <n v="3004.31"/>
        <n v="4798.8"/>
        <n v="6593.29"/>
        <n v="14823.46"/>
        <n v="31433.239999999998"/>
        <n v="32879.0"/>
        <n v="34621.37"/>
        <n v="35924.25"/>
        <n v="39739.36"/>
        <n v="42764.04"/>
        <n v="45027.22"/>
        <n v="46464.71"/>
        <n v="48079.83"/>
        <n v="49300.270000000004"/>
        <n v="64632.030000000006"/>
        <n v="1500.0"/>
        <n v="2450.0"/>
        <n v="3100.0"/>
        <n v="3621.3"/>
        <n v="7148.5"/>
        <n v="12072.41"/>
        <n v="15765.93"/>
        <n v="19115.2"/>
        <n v="21842.31"/>
        <n v="22458.57"/>
        <n v="27019.809999999998"/>
        <n v="27177.589999999997"/>
        <n v="30282.219999999998"/>
        <n v="37934.77"/>
        <n v="39707.369999999995"/>
        <n v="52986.149999999994"/>
        <n v="55346.41999999999"/>
        <n v="57403.74999999999"/>
        <n v="2486.01"/>
        <n v="3633.4000000000005"/>
        <n v="4883.400000000001"/>
        <n v="6363.200000000001"/>
        <n v="18133.31"/>
        <n v="19961.010000000002"/>
        <n v="25431.56"/>
        <n v="27151.88"/>
        <n v="28768.39"/>
        <n v="43908.18"/>
        <n v="46370.73"/>
        <n v="49572.83"/>
        <n v="53974.67"/>
        <n v="56434.47"/>
        <n v="65030.28"/>
        <n v="1253.0"/>
        <n v="2453.0"/>
        <n v="4953.0"/>
        <n v="12203.36"/>
        <n v="20631.45"/>
        <n v="26217.93"/>
        <n v="27144.62"/>
        <n v="28182.39"/>
        <n v="32664.36"/>
        <n v="45241.9"/>
        <n v="45670.69"/>
        <n v="46154.54"/>
        <n v="47577.05"/>
        <n v="48294.630000000005"/>
        <n v="53479.340000000004"/>
        <n v="54980.920000000006"/>
        <n v="66943.75"/>
        <n v="250.0"/>
        <n v="1250.0"/>
        <n v="1600.0"/>
        <n v="3566.31"/>
        <n v="6941.21"/>
        <n v="8723.84"/>
        <n v="18731.6"/>
        <n v="22257.519999999997"/>
        <n v="22747.769999999997"/>
        <n v="24013.519999999997"/>
        <n v="24402.649999999998"/>
        <n v="34715.32"/>
        <n v="34936.4"/>
        <n v="35934.99"/>
        <n v="73771.57999999999"/>
        <n v="77318.57999999999"/>
        <n v="79891.95999999999"/>
        <n v="86751.95999999999"/>
        <n v="87392.42"/>
        <n v="91368.33"/>
        <n v="93246.62"/>
        <n v="93970.98"/>
        <n v="101586.34"/>
        <s v=""/>
        <n v="987.0"/>
        <n v="1737.0"/>
        <n v="2287.0"/>
        <n v="4566.34"/>
        <n v="13326.09"/>
        <n v="15495.16"/>
        <n v="20076.08"/>
        <n v="31578.24"/>
        <n v="33572.43"/>
        <n v="34271.69"/>
        <n v="36932.32"/>
        <n v="45429.63"/>
        <n v="48928.229999999996"/>
        <n v="50928.09"/>
        <n v="51890.53"/>
        <n v="53062.03"/>
        <n v="54556.38"/>
        <n v="55728.24"/>
        <n v="60530.7"/>
        <n v="1236.0"/>
        <n v="2636.0"/>
        <n v="3836.0"/>
        <n v="6581.8"/>
        <n v="9961.61"/>
        <n v="14382.26"/>
        <n v="16975.94"/>
        <n v="19569.62"/>
        <n v="20645.18"/>
        <n v="22657.97"/>
        <n v="25727.58"/>
        <n v="25748.81"/>
        <n v="26352.140000000003"/>
        <n v="27201.070000000003"/>
        <n v="29920.390000000003"/>
        <n v="30523.050000000003"/>
        <n v="38479.14"/>
        <n v="41851.64"/>
        <n v="44009.6"/>
        <n v="46837.759999999995"/>
        <n v="50027.439999999995"/>
        <n v="200.0"/>
        <n v="3658.74"/>
        <n v="5534.83"/>
        <n v="6830.0599999999995"/>
        <n v="10354.64"/>
        <n v="10849.039999999999"/>
        <n v="12771.859999999999"/>
        <n v="13221.839999999998"/>
        <n v="16426.879999999997"/>
        <n v="16849.819999999996"/>
        <n v="22914.789999999997"/>
        <n v="24216.149999999998"/>
        <n v="31052.1"/>
        <n v="33087.33"/>
        <n v="33748.36"/>
        <n v="34046.29"/>
        <n v="49844.53"/>
        <n v="50007.03"/>
        <n v="55812.369999999995"/>
        <n v="425.0"/>
        <n v="675.0"/>
        <n v="795.0"/>
        <n v="1030.0"/>
        <n v="6352.34"/>
        <n v="9501.44"/>
        <n v="10057.470000000001"/>
        <n v="10565.400000000001"/>
        <n v="11837.660000000002"/>
        <n v="14412.280000000002"/>
        <n v="38357.340000000004"/>
        <n v="43734.61"/>
        <n v="44550.98"/>
        <n v="47015.39"/>
        <n v="50930.77"/>
        <n v="52244.99"/>
        <n v="54069.06"/>
        <n v="54617.53"/>
        <n v="55668.22"/>
        <n v="56284.340000000004"/>
        <n v="57201.93"/>
        <n v="72099.4"/>
        <n v="350.0"/>
        <n v="470.0"/>
        <n v="670.0"/>
        <n v="5785.11"/>
        <n v="10235.24"/>
        <n v="15845.46"/>
        <n v="16783.34"/>
        <n v="21281.440000000002"/>
        <n v="25215.670000000002"/>
        <n v="34926.82"/>
        <n v="77184.66"/>
        <n v="77595.16"/>
        <n v="81893.44"/>
        <n v="85269.3"/>
        <n v="86614.65000000001"/>
        <n v="87732.58"/>
        <n v="92324.4"/>
        <n v="92598.23999999999"/>
        <n v="93525.52999999998"/>
        <n v="96221.71999999999"/>
        <n v="320.0"/>
        <n v="580.0"/>
        <n v="1629.35"/>
        <n v="5640.32"/>
        <n v="9086.35"/>
        <n v="10089.76"/>
        <n v="16621.66"/>
        <n v="17431.99"/>
        <n v="17870.38"/>
        <n v="24665.64"/>
        <n v="42698.75"/>
        <n v="45420.64"/>
        <n v="49510.87"/>
        <n v="50931.65"/>
        <n v="52626.6"/>
        <n v="57072.229999999996"/>
        <n v="58310.09"/>
        <n v="59985.28999999999"/>
        <n v="60813.149999999994"/>
        <n v="61769.149999999994"/>
        <n v="62785.45999999999"/>
        <n v="360.0"/>
        <n v="619.0"/>
        <n v="775.0"/>
        <n v="1075.0"/>
        <n v="1942.97"/>
        <n v="5368.47"/>
        <n v="8724.6"/>
        <n v="12789.130000000001"/>
        <n v="18374.18"/>
        <n v="25296.22"/>
        <n v="36895.44"/>
        <n v="38592.83"/>
        <n v="43731.62"/>
        <n v="47363.590000000004"/>
        <n v="48388.4"/>
        <n v="49014.340000000004"/>
        <n v="56346.350000000006"/>
        <n v="63866.700000000004"/>
        <n v="500.0"/>
        <n v="763.0"/>
        <n v="1395.0"/>
        <n v="2261.79"/>
        <n v="9286.65"/>
        <n v="11101.52"/>
        <n v="12618.34"/>
        <n v="17821.31"/>
        <n v="22725.88"/>
        <n v="26184.170000000002"/>
        <n v="38817.520000000004"/>
        <n v="41054.18000000001"/>
        <n v="44976.73000000001"/>
        <n v="48253.91000000001"/>
        <n v="49223.94000000001"/>
        <n v="73707.67000000001"/>
        <n v="80322.39000000001"/>
        <n v="80685.53000000001"/>
        <n v="84048.50000000001"/>
        <n v="87569.50000000001"/>
        <n v="245.0"/>
        <n v="371.0"/>
        <n v="638.0"/>
        <n v="774.0"/>
        <n v="6031.63"/>
        <n v="7873.22"/>
        <n v="13868.78"/>
        <n v="18028.32"/>
        <n v="19043.73"/>
        <n v="21312.489999999998"/>
        <n v="23409.579999999998"/>
        <n v="28523.409999999996"/>
        <n v="39750.719999999994"/>
        <n v="42016.229999999996"/>
        <n v="46913.35999999999"/>
        <n v="49716.62999999999"/>
        <n v="52521.28999999999"/>
        <n v="54524.869999999995"/>
        <n v="56944.909999999996"/>
        <n v="57590.13"/>
        <n v="67675.19"/>
        <n v="153.0"/>
        <n v="281.0"/>
        <n v="381.0"/>
        <n v="2371.73"/>
        <n v="5263.32"/>
        <n v="7365.98"/>
        <n v="7764.04"/>
        <n v="12486.439999999999"/>
        <n v="14746.649999999998"/>
        <n v="18407.64"/>
        <n v="23136.68"/>
        <n v="68469.57"/>
        <n v="69657.81000000001"/>
        <n v="80166.70000000001"/>
        <n v="82552.23000000001"/>
        <n v="87311.79000000001"/>
        <n v="90976.87000000001"/>
        <n v="95952.00000000001"/>
        <n v="97218.01000000001"/>
        <n v="99184.81000000001"/>
        <n v="120032.51000000001"/>
        <n v="300.0"/>
        <n v="585.0"/>
        <n v="1048.0"/>
        <n v="2248.0"/>
        <n v="2256.97"/>
        <n v="7220.360000000001"/>
        <n v="8811.2"/>
        <n v="9053.12"/>
        <n v="10337.95"/>
        <n v="14971.66"/>
        <n v="16071.89"/>
        <n v="18955.02"/>
        <n v="38871.36"/>
        <n v="46525.64"/>
        <n v="49860.97"/>
        <n v="58525.39"/>
        <n v="61971.18"/>
        <n v="63890.28"/>
        <n v="82170.25"/>
        <n v="1669.91"/>
        <n v="4651.2300000000005"/>
        <n v="8503.86"/>
        <n v="10972.710000000001"/>
        <n v="12869.75"/>
        <n v="13444.14"/>
        <n v="14082.08"/>
        <n v="20331.66"/>
        <n v="30949.739999999998"/>
        <n v="42436.19"/>
        <n v="45274.73"/>
        <n v="50992.990000000005"/>
        <n v="52099.520000000004"/>
        <n v="52429.69"/>
        <n v="54235.11"/>
        <n v="54708.22"/>
        <n v="57144.83"/>
        <n v="59166.4"/>
        <n v="63378.03"/>
        <n v="91152.95999999999"/>
        <n v="1227.0"/>
        <n v="4449.0"/>
        <n v="5237.0"/>
        <n v="5559.0"/>
        <n v="7665.77"/>
        <n v="10212.89"/>
        <n v="12104.189999999999"/>
        <n v="14039.88"/>
        <n v="18821.98"/>
        <n v="20201.739999999998"/>
        <n v="29295.94"/>
        <n v="39220.74"/>
        <n v="43718.149999999994"/>
        <n v="44865.06999999999"/>
        <n v="45413.799999999996"/>
        <n v="47015.909999999996"/>
        <n v="47146.71"/>
        <n v="47997.549999999996"/>
        <n v="51848.49999999999"/>
        <n v="78827.59"/>
        <n v="2796.32"/>
        <n v="6055.71"/>
        <n v="8865.21"/>
        <n v="14062.73"/>
        <n v="14735.5"/>
        <n v="15820.59"/>
        <n v="18102.02"/>
        <n v="20806.872"/>
        <n v="30176.232"/>
        <n v="31290.882"/>
        <n v="31525.812"/>
        <n v="36683.332"/>
        <n v="38039.452000000005"/>
      </sharedItems>
    </cacheField>
    <cacheField name="Tendencia fin de mes" numFmtId="0">
      <sharedItems containsString="0" containsBlank="1" containsNumber="1">
        <m/>
        <n v="98104.40000000001"/>
        <n v="294260.3571428571"/>
        <n v="371784.15"/>
        <n v="345878.76666666666"/>
        <n v="363924.21"/>
        <n v="356307.1090909091"/>
        <n v="0.0"/>
        <n v="308887.2230769231"/>
        <n v="350810.22857142857"/>
        <n v="351129.66000000003"/>
        <n v="338151.50625000003"/>
        <n v="334625.59411764715"/>
        <n v="316035.28333333344"/>
        <n v="299401.8473684211"/>
        <n v="297235.6200000001"/>
        <n v="314464.6000000001"/>
        <n v="324543.76363636367"/>
        <n v="382121.77826086956"/>
        <n v="381070.39999999997"/>
        <n v="365827.58400000003"/>
        <n v="351757.29230769235"/>
        <n v="341378.51111111115"/>
        <n v="350274.45"/>
        <n v="368943.8172413793"/>
        <n v="391751.33"/>
        <n v="365272.07"/>
        <n v="182636.035"/>
        <n v="121757.35666666666"/>
        <n v="157978.635"/>
        <n v="254935.87800000003"/>
        <n v="251255.25833333336"/>
        <n v="318356.44857142854"/>
        <n v="323277.72625000007"/>
        <n v="287357.97888888896"/>
        <n v="258622.18100000004"/>
        <n v="279321.4418181819"/>
        <n v="343937.1466666667"/>
        <n v="336940.7407692308"/>
        <n v="339763.1221428571"/>
        <n v="385925.90266666666"/>
        <n v="361805.53375"/>
        <n v="340522.85529411765"/>
        <n v="340073.7027777778"/>
        <n v="354219.60736842104"/>
        <n v="417803.2595"/>
        <n v="424467.0866666666"/>
        <n v="405173.1281818182"/>
        <n v="387556.90521739126"/>
        <n v="371408.7008333333"/>
        <n v="356552.35279999994"/>
        <n v="342838.80076923076"/>
        <n v="330141.0674074074"/>
        <n v="318350.315"/>
        <n v="307372.71793103445"/>
        <n v="297126.9606666667"/>
        <n v="384530.73"/>
        <n v="120495.14"/>
        <n v="170998.68666666665"/>
        <n v="195744.7725"/>
        <n v="221697.98799999998"/>
        <n v="184748.32333333333"/>
        <n v="158355.70571428572"/>
        <n v="165214.69374999998"/>
        <n v="165983.33444444442"/>
        <n v="226485.37999999995"/>
        <n v="380843.4545454546"/>
        <n v="380172.50416666665"/>
        <n v="350928.46538461535"/>
        <n v="325862.14642857143"/>
        <n v="358634.9286666667"/>
        <n v="351105.941875"/>
        <n v="356539.1694117647"/>
        <n v="374320.78055555554"/>
        <n v="400747.16473684215"/>
        <n v="380709.80650000006"/>
        <n v="362580.76809523813"/>
        <n v="418693.5527272727"/>
        <n v="423210.7060869565"/>
        <n v="421111.1041666666"/>
        <n v="420146.9432"/>
        <n v="423429.2146153846"/>
        <n v="407746.6511111111"/>
        <n v="393184.2707142857"/>
        <n v="389679.7596551724"/>
        <n v="390504.4166666666"/>
        <n v="446091.62"/>
        <n v="493870.0"/>
        <n v="474077.5"/>
        <n v="316051.6666666667"/>
        <n v="237038.75"/>
        <n v="231293.50200000004"/>
        <n v="255050.07"/>
        <n v="280508.34142857144"/>
        <n v="407170.47625"/>
        <n v="380563.42333333334"/>
        <n v="372844.88"/>
        <n v="338949.89090909093"/>
        <n v="351958.6208333333"/>
        <n v="357830.39769230766"/>
        <n v="396659.245"/>
        <n v="395996.682"/>
        <n v="405609.37"/>
        <n v="381749.9952941176"/>
        <n v="360541.6622222222"/>
        <n v="348539.52210526314"/>
        <n v="333846.24549999996"/>
        <n v="356500.34190476185"/>
        <n v="369071.14954545454"/>
        <n v="392062.0830434783"/>
        <n v="375726.1629166667"/>
        <n v="360697.11640000006"/>
        <n v="413596.4942307692"/>
        <n v="431213.74925925926"/>
        <n v="425970.7360714285"/>
        <n v="489966.51999999996"/>
        <n v="25077.45"/>
        <n v="12538.725"/>
        <n v="8359.150000000001"/>
        <n v="67986.875"/>
        <n v="102719.30599999998"/>
        <n v="152073.59999999998"/>
        <n v="154860.94285714286"/>
        <n v="166309.57499999998"/>
        <n v="147830.73333333334"/>
        <n v="133047.66"/>
        <n v="240384.87818181817"/>
        <n v="288377.60333333333"/>
        <n v="336636.6307692308"/>
        <n v="345582.0878571429"/>
        <n v="371984.934"/>
        <n v="348735.87562500004"/>
        <n v="328222.0005882353"/>
        <n v="349494.62"/>
        <n v="397968.09631578944"/>
        <n v="390707.78699999995"/>
        <n v="393366.0266666667"/>
        <n v="410425.65545454546"/>
        <n v="392581.0617391304"/>
        <n v="376223.5175"/>
        <n v="399615.5936"/>
        <n v="463378.0800000001"/>
        <n v="446215.928888889"/>
        <n v="430279.6457142858"/>
        <n v="415442.4165517242"/>
        <n v="401594.336"/>
        <n v="447846.6400000001"/>
        <n v="108750.0"/>
        <n v="130856.40000000001"/>
        <n v="175823.00000000003"/>
        <n v="175676.62500000003"/>
        <n v="168609.30000000002"/>
        <n v="140507.75"/>
        <n v="120435.21428571429"/>
        <n v="336161.8875"/>
        <n v="322647.3"/>
        <n v="417847.05000000005"/>
        <n v="449967.4636363636"/>
        <n v="426441.25"/>
        <n v="393638.07692307694"/>
        <n v="365521.0714285714"/>
        <n v="357689.54"/>
        <n v="381864.56249999994"/>
        <n v="409128.7235294117"/>
        <n v="424281.9166666667"/>
        <n v="421717.0263157895"/>
        <n v="400631.17500000005"/>
        <n v="381553.5"/>
        <n v="393769.2681818182"/>
        <n v="394829.047826087"/>
        <n v="403757.3375"/>
        <n v="413259.78"/>
        <n v="411909.0807692308"/>
        <n v="396653.18888888886"/>
        <n v="382487.00357142853"/>
        <n v="397460.1103448276"/>
        <n v="488212.99"/>
        <n v="98642.0"/>
        <n v="93513.515"/>
        <n v="93445.67666666668"/>
        <n v="70084.2575"/>
        <n v="56067.406"/>
        <n v="295859.19500000007"/>
        <n v="362881.7485714286"/>
        <n v="368870.24000000005"/>
        <n v="487200.75333333336"/>
        <n v="507868.41200000007"/>
        <n v="461698.5563636364"/>
        <n v="423223.67666666675"/>
        <n v="470777.1600000001"/>
        <n v="498875.715"/>
        <n v="529662.9826666667"/>
        <n v="539750.706875"/>
        <n v="552110.4376470587"/>
        <n v="521437.6355555555"/>
        <n v="493993.5494736842"/>
        <n v="511270.67750000005"/>
        <n v="592588.7371428572"/>
        <n v="606363.3113636363"/>
        <n v="617945.6030434782"/>
        <n v="632877.8520833333"/>
        <n v="607562.738"/>
        <n v="584194.9403846153"/>
        <n v="591917.0196296296"/>
        <n v="591695.9260714285"/>
        <n v="612159.7899999999"/>
        <n v="625815.0833333331"/>
        <n v="674660.1999999998"/>
        <n v="61900.00000000001"/>
        <n v="131107.5"/>
        <n v="136524.0"/>
        <n v="309627.35"/>
        <n v="392497.88571428566"/>
        <n v="343435.64999999997"/>
        <n v="305276.13333333336"/>
        <n v="352930.5"/>
        <n v="424238.2636363636"/>
        <n v="508011.8"/>
        <n v="561137.1230769231"/>
        <n v="573348.3428571429"/>
        <n v="535125.12"/>
        <n v="501679.8"/>
        <n v="534683.9294117646"/>
        <n v="576612.2"/>
        <n v="582835.4684210526"/>
        <n v="588528.555"/>
        <n v="588515.5285714285"/>
        <n v="561764.8227272728"/>
        <n v="537340.2652173913"/>
        <n v="545441.1375"/>
        <n v="548644.536"/>
        <n v="544498.973076923"/>
        <n v="550734.8"/>
        <n v="608407.6392857144"/>
        <n v="587428.0655172414"/>
        <n v="640991.4"/>
        <n v="159650.0"/>
        <n v="256002.44333333333"/>
        <n v="333864.265"/>
        <n v="670264.516"/>
        <n v="558553.7633333333"/>
        <n v="478760.3685714286"/>
        <n v="506306.22124999994"/>
        <n v="559556.8888888889"/>
        <n v="583827.7740000001"/>
        <n v="571615.6227272728"/>
        <n v="578905.2891666667"/>
        <n v="534374.1130769231"/>
        <n v="496204.53357142856"/>
        <n v="531291.0199999999"/>
        <n v="544350.545"/>
        <n v="572726.0758823529"/>
        <n v="571811.2749999999"/>
        <n v="590304.659473684"/>
        <n v="560789.4265"/>
        <n v="534085.168095238"/>
        <n v="550110.1618181817"/>
        <n v="548627.4195652173"/>
        <n v="546771.1799999999"/>
        <n v="543563.2628"/>
        <n v="549026.2749999999"/>
        <n v="528691.9685185185"/>
        <n v="509810.1125"/>
        <n v="528687.7362068966"/>
        <n v="559923.6223333334"/>
        <n v="642485.1299999999"/>
        <n v="49073.0"/>
        <n v="54761.5"/>
        <n v="36507.66666666667"/>
        <n v="27380.75"/>
        <n v="40349.6"/>
        <n v="296362.48"/>
        <n v="502383.3871428572"/>
        <n v="471868.28250000003"/>
        <n v="481448.6688888889"/>
        <n v="433303.802"/>
        <n v="393912.5472727273"/>
        <n v="491090.0908333334"/>
        <n v="508518.92076923075"/>
        <n v="487051.7614285715"/>
        <n v="454581.64400000003"/>
        <n v="522505.3875"/>
        <n v="491769.7764705883"/>
        <n v="464449.23333333334"/>
        <n v="478254.29473684216"/>
        <n v="500205.04150000005"/>
        <n v="505062.45142857154"/>
        <n v="546396.516818182"/>
        <n v="570042.8260869565"/>
        <n v="546291.0416666667"/>
        <n v="524439.4"/>
        <n v="531212.4230769231"/>
        <n v="565565.3548148149"/>
        <n v="594571.8624999999"/>
        <n v="640289.681724138"/>
        <n v="673211.1755333333"/>
        <n v="753383.406"/>
        <n v="66891.75"/>
        <n v="78256.49999999999"/>
        <n v="122180.09999999999"/>
        <n v="131524.08000000002"/>
        <n v="555062.7499999999"/>
        <n v="475768.0714285714"/>
        <n v="416297.06249999994"/>
        <n v="529675.2"/>
        <n v="522440.6099999999"/>
        <n v="514528.390909091"/>
        <n v="520235.45"/>
        <n v="541296.023076923"/>
        <n v="502632.0214285714"/>
        <n v="469123.22"/>
        <n v="563033.0999999999"/>
        <n v="594357.9529411765"/>
        <n v="634710.35"/>
        <n v="655168.7684210526"/>
        <n v="677250.18"/>
        <n v="652336.7857142857"/>
        <n v="622685.1136363636"/>
        <n v="613953.1173913043"/>
        <n v="625331.0125000001"/>
        <n v="647108.328"/>
        <n v="674097.2538461537"/>
        <n v="704958.5888888887"/>
        <n v="689298.1178571427"/>
        <n v="665529.2172413793"/>
        <n v="832432.6099999999"/>
        <n v="152427.0"/>
        <n v="125691.05"/>
        <n v="112758.36666666667"/>
        <n v="107656.02500000001"/>
        <n v="86124.82"/>
        <n v="71770.68333333333"/>
        <n v="555767.2028571429"/>
        <n v="640882.10375"/>
        <n v="646807.9733333333"/>
        <n v="637201.7449999999"/>
        <n v="662453.9645454546"/>
        <n v="607249.4675"/>
        <n v="560537.97"/>
        <n v="601157.0042857142"/>
        <n v="610774.9166666667"/>
        <n v="645397.234375"/>
        <n v="821390.7705882352"/>
        <n v="806563.4594444445"/>
        <n v="764112.7510526315"/>
        <n v="725907.1135"/>
        <n v="733881.6295238095"/>
        <n v="765865.1313636363"/>
        <n v="790207.9395652172"/>
        <n v="779033.4874999999"/>
        <n v="793045.0628"/>
        <n v="762543.3296153846"/>
        <n v="734300.9840740741"/>
        <n v="736748.4467857142"/>
        <n v="757162.8565517241"/>
        <n v="824822.0323333334"/>
        <n v="940594.06"/>
        <n v="124425.0"/>
        <n v="167195.40000000002"/>
        <n v="381974.00000000006"/>
        <n v="451672.41428571433"/>
        <n v="671451.8250000001"/>
        <n v="644368.0333333333"/>
        <n v="579931.23"/>
        <n v="657088.3363636364"/>
        <n v="707877.6499999999"/>
        <n v="690343.7999999999"/>
        <n v="698555.0785714285"/>
        <n v="723445.38"/>
        <n v="678230.04375"/>
        <n v="638334.1588235294"/>
        <n v="697858.4000000001"/>
        <n v="709381.0894736843"/>
        <n v="742567.9800000001"/>
        <n v="759255.642857143"/>
        <n v="773778.0954545455"/>
        <n v="740135.5695652174"/>
        <n v="709296.5875"/>
        <n v="738161.04"/>
        <n v="733921.7307692309"/>
        <n v="761061.7555555556"/>
        <n v="787830.9214285715"/>
        <n v="814183.5620689656"/>
        <n v="923257.3600000001"/>
        <n v="124294.5"/>
        <n v="151548.6666666667"/>
        <n v="144289.5"/>
        <n v="152606.80000000002"/>
        <n v="359908.24333333335"/>
        <n v="308492.78"/>
        <n v="269931.1825"/>
        <n v="505145.8266666666"/>
        <n v="599926.8179999999"/>
        <n v="648664.7699999999"/>
        <n v="622350.2908333333"/>
        <n v="676361.0284615384"/>
        <n v="628049.5264285714"/>
        <n v="586179.5579999998"/>
        <n v="702207.640625"/>
        <n v="789778.5570588235"/>
        <n v="872766.5944444444"/>
        <n v="870242.3442105262"/>
        <n v="942065.5254999999"/>
        <n v="897205.2623809522"/>
        <n v="856423.2049999998"/>
        <n v="819187.4134782609"/>
        <n v="785054.6045833334"/>
        <n v="753652.4204"/>
        <n v="724665.7888461539"/>
        <n v="717318.231111111"/>
        <n v="706570.8878571427"/>
        <n v="682206.3744827586"/>
        <n v="701873.2526666665"/>
        <n v="937588.7799999999"/>
        <n v="69750.0"/>
        <n v="104935.0"/>
        <n v="123070.0"/>
        <n v="98456.0"/>
        <n v="286938.68666666665"/>
        <n v="437714.2871428571"/>
        <n v="507432.64499999996"/>
        <n v="544128.3955555555"/>
        <n v="585338.0009999999"/>
        <n v="532125.4554545454"/>
        <n v="487781.6675"/>
        <n v="518860.30615384615"/>
        <n v="555814.7878571429"/>
        <n v="588498.1513333332"/>
        <n v="608726.54"/>
        <n v="667178.7905882352"/>
        <n v="630113.3022222222"/>
        <n v="596949.4442105263"/>
        <n v="615218.9629999999"/>
        <n v="626996.4047619046"/>
        <n v="715139.1409090909"/>
        <n v="756754.3434782607"/>
        <n v="796832.7187499999"/>
        <n v="764959.4099999999"/>
        <n v="735537.894230769"/>
        <n v="825906.4548148147"/>
        <n v="866206.7274999999"/>
        <n v="867576.8606896551"/>
        <n v="933841.5096666665"/>
        <n v="1061807.39"/>
        <n v="553532.0"/>
        <n v="276766.0"/>
        <n v="285674.6666666666"/>
        <n v="268786.0"/>
        <n v="261223.19999999998"/>
        <n v="616298.2933333333"/>
        <n v="787049.6799999999"/>
        <n v="688668.47"/>
        <n v="612149.7511111111"/>
        <n v="667683.548"/>
        <n v="672712.7018181818"/>
        <n v="727866.23"/>
        <n v="728771.9384615384"/>
        <n v="768001.7999999999"/>
        <n v="716801.6799999999"/>
        <n v="672001.575"/>
        <n v="679893.3152941177"/>
        <n v="713254.2200000001"/>
        <n v="730635.9936842105"/>
        <n v="778085.896"/>
        <n v="772126.1333333333"/>
        <n v="737029.4909090908"/>
        <n v="704984.7304347826"/>
        <n v="722200.4066666665"/>
        <n v="713979.4143999998"/>
        <n v="713482.2584615382"/>
        <n v="715360.0533333332"/>
        <n v="1021095.9299999998"/>
        <n v="67125.33333333334"/>
        <n v="89380.75"/>
        <n v="100154.8"/>
        <n v="208630.77500000002"/>
        <n v="368345.6314285714"/>
        <n v="322302.42750000005"/>
        <n v="286491.0466666667"/>
        <n v="379362.15900000004"/>
        <n v="397632.8854545455"/>
        <n v="513604.99558333337"/>
        <n v="615313.842076923"/>
        <n v="692556.1355000001"/>
        <n v="646385.7264666667"/>
        <n v="605986.6185625"/>
        <n v="649716.7477058824"/>
        <n v="716880.7195"/>
        <n v="737719.7768947369"/>
        <n v="770412.97805"/>
        <n v="771133.0467142857"/>
        <n v="736081.544590909"/>
        <n v="704077.999173913"/>
        <n v="721675.4158750001"/>
        <n v="785356.8036399999"/>
        <n v="820189.5596538462"/>
        <n v="829042.8637407407"/>
        <n v="836011.2561071428"/>
        <n v="807183.2817586206"/>
        <n v="780277.1723666667"/>
        <n v="983142.541"/>
        <n v="1142250.0"/>
        <n v="1424130.0"/>
        <n v="1340500.0"/>
        <n v="1193287.5"/>
        <n v="954630.0"/>
        <n v="795525.0"/>
        <n v="1209031.2"/>
        <n v="1259915.5125000002"/>
        <n v="1297695.2666666668"/>
        <n v="1288195.35"/>
        <n v="1300312.2272727273"/>
        <n v="1191952.8750000002"/>
        <n v="1100264.1923076925"/>
        <n v="1134150.4285714289"/>
        <n v="1215098.7000000002"/>
        <n v="1139155.0312500002"/>
        <n v="1072145.911764706"/>
        <n v="1012582.25"/>
        <n v="959288.4473684211"/>
        <n v="911324.0250000001"/>
        <n v="936793.4714285715"/>
        <n v="1080894.6136363638"/>
        <n v="1099103.1"/>
        <n v="1119737.625"/>
        <n v="1187963.688"/>
        <n v="1142272.776923077"/>
        <n v="1099966.3777777778"/>
        <n v="1178452.5321428573"/>
        <n v="1218540.051724138"/>
        <n v="1435410.98"/>
        <n v="51181.0"/>
        <n v="34120.66666666667"/>
        <n v="25590.5"/>
        <n v="42197.200000000004"/>
        <n v="203560.62166666667"/>
        <n v="557759.5285714286"/>
        <n v="770935.0862499999"/>
        <n v="981597.1577777778"/>
        <n v="883437.442"/>
        <n v="803124.9472727273"/>
        <n v="831827.34"/>
        <n v="850214.8469230768"/>
        <n v="848284.2657142855"/>
        <n v="1020730.2419999997"/>
        <n v="1108648.601875"/>
        <n v="1043433.9782352942"/>
        <n v="985465.4238888888"/>
        <n v="1028052.037368421"/>
        <n v="1096845.72"/>
        <n v="1131544.211904762"/>
        <n v="1110597.5454545456"/>
        <n v="1095450.2078260873"/>
        <n v="1049806.449166667"/>
        <n v="1007814.1912000001"/>
        <n v="1022540.6515384616"/>
        <n v="1024648.786666667"/>
        <n v="1061331.3007142858"/>
        <n v="1087067.3151724138"/>
        <n v="1188255.7610000002"/>
        <n v="1352293.5300000003"/>
        <n v="47775.0"/>
        <n v="75880.0"/>
        <n v="80040.0"/>
        <n v="88561.8"/>
        <n v="767561.1499999999"/>
        <n v="657909.557142857"/>
        <n v="575670.8624999999"/>
        <n v="680659.6999999998"/>
        <n v="753176.82"/>
        <n v="767037.6818181818"/>
        <n v="747385.575"/>
        <n v="773562.4153846154"/>
        <n v="718307.9571428571"/>
        <n v="670420.76"/>
        <n v="888112.5"/>
        <n v="911327.3117647058"/>
        <n v="950537.0"/>
        <n v="930105.7736842105"/>
        <n v="910548.0750000001"/>
        <n v="867188.642857143"/>
        <n v="827770.9772727273"/>
        <n v="833784.3521739132"/>
        <n v="833782.3375"/>
        <n v="824779.764"/>
        <n v="815151.7984615384"/>
        <n v="877215.9355555555"/>
        <n v="845886.7949999999"/>
        <n v="816718.2848275861"/>
        <n v="1089601.842"/>
        <n v="161448.0"/>
        <n v="144336.0"/>
        <n v="132866.0"/>
        <n v="356986.6225"/>
        <n v="327253.298"/>
        <n v="272711.08166666667"/>
        <n v="503854.3814285714"/>
        <n v="646888.6637500001"/>
        <n v="854438.2922222222"/>
        <n v="898926.6292"/>
        <n v="880419.3101818182"/>
        <n v="807051.0343333334"/>
        <n v="744970.1855384615"/>
        <n v="825481.2015714286"/>
        <n v="942591.3154666667"/>
        <n v="1061319.74325"/>
        <n v="1065734.306"/>
        <n v="1073275.2006666667"/>
        <n v="1016787.0322105263"/>
        <n v="965947.6806000001"/>
        <n v="951916.9439047619"/>
        <n v="927680.3714545455"/>
      </sharedItems>
    </cacheField>
    <cacheField name="Tendencia semanal" numFmtId="0">
      <sharedItems containsString="0" containsBlank="1" containsNumber="1">
        <m/>
        <n v="16350.73"/>
        <n v="35971.61"/>
        <n v="65322.97"/>
        <n v="195968.91"/>
        <n v="55770.93235294119"/>
        <n v="245392.10235294123"/>
        <n v="63511.73333333333"/>
        <n v="368368.05333333334"/>
        <n v="58914.85"/>
        <n v="28101.550000000003"/>
        <n v="71073.54166666667"/>
        <n v="70286.17105263157"/>
        <n v="15071.883333333335"/>
        <n v="98735.44999999998"/>
        <n v="108107.18"/>
        <n v="90089.31666666665"/>
        <n v="77219.41428571429"/>
        <n v="81662.29374999998"/>
        <n v="90251.11111111111"/>
        <n v="94165.77000000002"/>
        <n v="92196.06818181819"/>
        <n v="93371.82083333333"/>
        <n v="86189.37307692308"/>
        <n v="80032.98928571428"/>
        <n v="85692.09999999999"/>
        <n v="87798.475"/>
        <n v="92375.17352941175"/>
        <n v="92227.62499999999"/>
        <n v="95210.4289473684"/>
        <n v="90449.90749999999"/>
        <n v="86142.76904761905"/>
        <n v="88727.44545454545"/>
        <n v="88488.29347826086"/>
        <n v="88188.9"/>
        <n v="87671.494"/>
        <n v="88552.62499999999"/>
        <n v="85272.89814814815"/>
        <n v="82227.4375"/>
        <n v="85272.21551724139"/>
        <n v="90310.26166666666"/>
        <n v="103626.63387096772"/>
        <n v="7915.0"/>
        <n v="8832.5"/>
        <n v="5888.333333333334"/>
        <n v="4416.25"/>
        <n v="6508.0"/>
        <n v="47800.4"/>
        <n v="81029.57857142857"/>
        <n v="76107.7875"/>
        <n v="77653.01111111112"/>
        <n v="69887.71"/>
        <n v="63534.28181818183"/>
        <n v="79208.07916666668"/>
        <n v="82019.18076923076"/>
        <n v="78556.73571428572"/>
        <n v="73319.62000000001"/>
        <n v="84275.0625"/>
        <n v="79317.70588235295"/>
        <n v="74911.16666666667"/>
        <n v="77137.78947368421"/>
        <n v="80678.23250000001"/>
        <n v="81461.68571428573"/>
        <n v="88128.47045454547"/>
        <n v="91942.39130434784"/>
        <n v="88111.45833333334"/>
        <n v="84587.0"/>
        <n v="85679.42307692309"/>
        <n v="91220.21851851852"/>
        <n v="95898.6875"/>
        <n v="103272.52931034483"/>
        <n v="108582.44766666667"/>
        <n v="121513.45258064516"/>
        <n v="0.0"/>
        <n v="11148.625"/>
        <n v="13042.749999999998"/>
        <n v="20363.35"/>
        <n v="21920.68"/>
        <n v="92510.45833333331"/>
        <n v="79294.67857142857"/>
        <n v="69382.84375"/>
        <n v="88279.2"/>
        <n v="87073.435"/>
        <n v="85754.73181818183"/>
        <n v="86705.90833333334"/>
        <n v="90216.00384615384"/>
        <n v="83772.00357142856"/>
        <n v="78187.20333333332"/>
        <n v="93838.84999999998"/>
        <n v="99059.6588235294"/>
        <n v="105785.05833333332"/>
        <n v="109194.7947368421"/>
        <n v="112875.03"/>
        <n v="108722.79761904762"/>
        <n v="103780.85227272728"/>
        <n v="102325.5195652174"/>
        <n v="104221.83541666667"/>
        <n v="107851.38799999999"/>
        <n v="112349.54230769229"/>
        <n v="117493.09814814813"/>
        <n v="114883.01964285712"/>
        <n v="110921.53620689655"/>
        <n v="138738.7683333333"/>
        <n v="24585.0"/>
        <n v="20272.75"/>
        <n v="18186.833333333336"/>
        <n v="17363.875"/>
        <n v="13891.100000000002"/>
        <n v="11575.916666666668"/>
        <n v="89639.87142857144"/>
        <n v="103368.08124999999"/>
        <n v="104323.86666666665"/>
        <n v="102774.47499999998"/>
        <n v="106847.41363636364"/>
        <n v="97943.46250000001"/>
        <n v="90409.34999999999"/>
        <n v="96960.80714285714"/>
        <n v="98512.08333333334"/>
        <n v="104096.328125"/>
        <n v="132482.38235294117"/>
        <n v="130090.88055555556"/>
        <n v="123243.99210526315"/>
        <n v="117081.7925"/>
        <n v="118368.00476190475"/>
        <n v="123526.63409090908"/>
        <n v="127452.89347826084"/>
        <n v="125650.5625"/>
        <n v="127910.494"/>
        <n v="122990.85961538462"/>
        <n v="118435.6425925926"/>
        <n v="118830.39464285714"/>
        <n v="122123.04137931034"/>
        <n v="133035.81166666668"/>
        <n v="151708.71935483871"/>
        <n v="20737.5"/>
        <n v="27865.9"/>
        <n v="63662.33333333334"/>
        <n v="75278.73571428572"/>
        <n v="111908.63750000001"/>
        <n v="107394.67222222222"/>
        <n v="96655.205"/>
        <n v="109514.72272727273"/>
        <n v="117979.60833333332"/>
        <n v="115057.29999999999"/>
        <n v="116425.84642857141"/>
        <n v="120574.23000000001"/>
        <n v="113038.340625"/>
        <n v="106389.02647058823"/>
        <n v="116309.73333333335"/>
        <n v="118230.18157894738"/>
        <n v="123761.33000000002"/>
        <n v="126542.60714285716"/>
        <n v="128963.01590909091"/>
        <n v="123355.92826086956"/>
        <n v="118216.09791666668"/>
        <n v="123026.84000000001"/>
        <n v="122320.28846153847"/>
        <n v="126843.62592592594"/>
        <n v="131305.1535714286"/>
        <n v="135697.2603448276"/>
        <n v="153876.22666666668"/>
        <n v="20047.5"/>
        <n v="24443.333333333336"/>
        <n v="23272.5"/>
        <n v="24614.0"/>
        <n v="58049.716666666674"/>
        <n v="49756.90000000001"/>
        <n v="43537.287500000006"/>
        <n v="81475.13333333333"/>
        <n v="96762.38999999998"/>
        <n v="104623.34999999999"/>
        <n v="100379.07916666665"/>
        <n v="109090.48846153845"/>
        <n v="101298.3107142857"/>
        <n v="94545.08999999998"/>
        <n v="113259.296875"/>
        <n v="127383.63823529411"/>
        <n v="140768.80555555556"/>
        <n v="140361.66842105263"/>
        <n v="151946.0525"/>
        <n v="144710.52619047617"/>
        <n v="138132.775"/>
        <n v="132127.00217391303"/>
        <n v="126621.71041666667"/>
        <n v="121556.842"/>
        <n v="116881.57884615385"/>
        <n v="115696.48888888887"/>
        <n v="113963.04642857141"/>
        <n v="110033.28620689653"/>
        <n v="113205.36333333331"/>
        <n v="151223.99677419354"/>
        <n v="11250.0"/>
        <n v="16925.0"/>
        <n v="19850.0"/>
        <n v="15880.0"/>
        <n v="46280.433333333334"/>
        <n v="70599.07857142856"/>
        <n v="81843.97499999999"/>
        <n v="87762.64444444444"/>
        <n v="94409.355"/>
        <n v="85826.68636363637"/>
        <n v="78674.4625"/>
        <n v="83687.14615384614"/>
        <n v="89647.54642857143"/>
        <n v="94919.05666666666"/>
        <n v="98181.7"/>
        <n v="107609.48235294118"/>
        <n v="101631.17777777778"/>
        <n v="96282.16842105263"/>
        <n v="99228.86499999999"/>
        <n v="101128.45238095237"/>
        <n v="115345.02272727272"/>
        <n v="122057.15217391303"/>
        <n v="128521.40624999999"/>
        <n v="123380.54999999999"/>
        <n v="118635.1442307692"/>
        <n v="133210.7185185185"/>
        <n v="139710.76249999998"/>
        <n v="139931.75172413792"/>
        <n v="150619.5983333333"/>
        <n v="171259.2564516129"/>
        <n v="98845.0"/>
        <n v="49422.5"/>
        <n v="51013.33333333333"/>
        <n v="47997.5"/>
        <n v="46647.0"/>
        <n v="110053.26666666666"/>
        <n v="140544.5857142857"/>
        <n v="122976.51249999998"/>
        <n v="109312.45555555556"/>
        <n v="119229.20499999999"/>
        <n v="120127.26818181819"/>
        <n v="129976.1125"/>
        <n v="130137.84615384616"/>
        <n v="137143.17857142855"/>
        <n v="128000.29999999999"/>
        <n v="120000.28124999999"/>
        <n v="121409.5205882353"/>
        <n v="127366.82500000001"/>
        <n v="130470.71315789473"/>
        <n v="138943.91"/>
        <n v="137879.66666666666"/>
        <n v="131612.4090909091"/>
        <n v="125890.13043478261"/>
        <n v="128964.35833333331"/>
        <n v="127496.32399999996"/>
        <n v="127407.54615384612"/>
        <n v="127742.86666666665"/>
        <n v="182338.5589285714"/>
        <n v="10826.666666666668"/>
        <n v="14416.25"/>
        <n v="16154.0"/>
        <n v="33650.125"/>
        <n v="59410.58571428571"/>
        <n v="51984.262500000004"/>
        <n v="46208.23333333334"/>
        <n v="61187.44500000001"/>
        <n v="64134.336363636365"/>
        <n v="82839.51541666668"/>
        <n v="99244.16807692307"/>
        <n v="111702.60250000001"/>
        <n v="104255.76233333333"/>
        <n v="97739.7771875"/>
        <n v="104793.02382352942"/>
        <n v="115625.9225"/>
        <n v="118987.06078947369"/>
        <n v="124260.15775"/>
        <n v="124376.29785714285"/>
        <n v="118722.82977272727"/>
        <n v="113560.96760869565"/>
        <n v="116399.26062500001"/>
        <n v="126670.45219999999"/>
        <n v="132288.63865384617"/>
        <n v="133716.59092592594"/>
        <n v="134840.52517857144"/>
        <n v="130190.85189655173"/>
        <n v="125851.15683333334"/>
        <n v="158571.37758064514"/>
        <n v="190375.0"/>
        <n v="237355.0"/>
        <n v="223416.6666666667"/>
        <n v="198881.25"/>
        <n v="159105.0"/>
        <n v="132587.5"/>
        <n v="201505.2"/>
        <n v="209985.91875"/>
        <n v="216282.54444444447"/>
        <n v="214699.225"/>
        <n v="216718.70454545456"/>
        <n v="198658.81250000003"/>
        <n v="183377.3653846154"/>
        <n v="189025.07142857148"/>
        <n v="202516.45000000004"/>
        <n v="189859.17187500003"/>
        <n v="178690.98529411768"/>
        <n v="168763.70833333334"/>
        <n v="159881.40789473685"/>
        <n v="151887.33750000002"/>
        <n v="156132.24523809526"/>
        <n v="1187963.688"/>
        <n v="1142272.776923077"/>
        <n v="1099966.3777777778"/>
        <n v="197993.94800000003"/>
        <n v="190378.79615384617"/>
        <n v="183327.72962962964"/>
        <n v="196408.7553571429"/>
        <n v="203090.00862068965"/>
        <n v="239235.16333333333"/>
        <n v="8255.0"/>
        <n v="5503.333333333334"/>
        <n v="4127.5"/>
        <n v="6806.0"/>
        <n v="32832.35833333334"/>
        <n v="89961.21428571429"/>
        <n v="124344.36875"/>
        <n v="158322.1222222222"/>
        <n v="142489.91"/>
        <n v="129536.28181818181"/>
        <n v="134165.7"/>
        <n v="137131.4269230769"/>
        <n v="136820.04285714283"/>
        <n v="164633.90999999997"/>
        <n v="178814.290625"/>
        <n v="168295.8029411765"/>
        <n v="158946.0361111111"/>
        <n v="165814.8447368421"/>
        <n v="176910.6"/>
        <n v="182507.13095238098"/>
        <n v="179128.6363636364"/>
        <n v="176685.51739130437"/>
        <n v="169323.62083333338"/>
        <n v="162550.67600000004"/>
        <n v="164925.91153846154"/>
        <n v="165265.93333333338"/>
        <n v="171182.46785714288"/>
        <n v="175333.43793103448"/>
        <n v="191654.15500000003"/>
        <n v="218111.8596774194"/>
        <n v="7962.5"/>
        <n v="12646.666666666668"/>
        <n v="13340.0"/>
        <n v="14760.3"/>
        <n v="127926.85833333331"/>
        <n v="109651.59285714284"/>
        <n v="95945.14374999999"/>
        <n v="113443.28333333331"/>
        <n v="125529.46999999999"/>
        <n v="127839.61363636363"/>
        <n v="124564.26249999998"/>
        <n v="128927.06923076924"/>
        <n v="119717.99285714285"/>
        <n v="111736.79333333333"/>
        <n v="148018.75"/>
        <n v="151887.88529411764"/>
        <n v="158422.8333333333"/>
        <n v="155017.62894736842"/>
        <n v="151758.0125"/>
        <n v="144531.4404761905"/>
        <n v="137961.82954545456"/>
        <n v="138964.05869565217"/>
        <n v="138963.72291666665"/>
        <n v="137463.294"/>
        <n v="135858.63307692308"/>
        <n v="146202.6559259259"/>
        <n v="140981.13249999998"/>
        <n v="136119.71413793103"/>
        <n v="181600.307"/>
        <n v="26040.0"/>
        <n v="23280.0"/>
        <n v="21430.0"/>
        <n v="57578.4875"/>
        <n v="52782.79000000001"/>
        <n v="43985.65833333333"/>
        <n v="81266.83571428571"/>
        <n v="104336.88125"/>
        <n v="137812.6277777778"/>
        <n v="144988.166"/>
        <n v="142003.11454545456"/>
        <n v="130169.52166666668"/>
        <n v="120156.48153846154"/>
        <n v="133142.1292857143"/>
        <n v="152030.85733333335"/>
        <n v="171180.60375"/>
        <n v="171892.63000000003"/>
        <n v="173108.90333333332"/>
        <n v="163997.90842105262"/>
      </sharedItems>
    </cacheField>
    <cacheField name="RESERVA" numFmtId="0">
      <sharedItems containsString="0" containsBlank="1" containsNumber="1">
        <m/>
        <n v="845.0"/>
        <n v="1652.52"/>
        <n v="2963.66"/>
        <n v="5649.58"/>
        <n v="2748.84"/>
        <n v="877.83"/>
        <n v="1111.56"/>
        <n v="11253.15"/>
        <n v="3856.04"/>
        <n v="12500.5"/>
        <n v="8663.11"/>
        <n v="22760.0"/>
        <n v="12388.48"/>
        <n v="3592.32"/>
        <n v="5504.46"/>
        <n v="15456.93"/>
        <n v="9276.87"/>
        <n v="5746.35"/>
        <n v="0.0"/>
        <n v="857.25"/>
        <n v="5103.67"/>
        <n v="19028.35"/>
        <n v="1936.96"/>
        <n v="2695.48"/>
        <n v="5798.17"/>
        <n v="12630.21"/>
        <n v="14292.78"/>
        <n v="7264.81"/>
        <n v="1001.09"/>
        <n v="3400.98"/>
        <n v="985.88"/>
        <n v="2316.73"/>
        <n v="2999.16"/>
        <n v="1449.89"/>
        <n v="1772.72"/>
        <n v="8292.39"/>
        <n v="3713.94"/>
        <n v="908.7"/>
        <n v="2060.49"/>
        <n v="2000.29"/>
        <n v="1746.96"/>
        <n v="3544.81"/>
        <n v="3859.08"/>
        <n v="9498.88"/>
        <n v="33256.43"/>
        <n v="4137.99"/>
        <n v="2226.27"/>
        <n v="8382.2"/>
        <n v="1527.9"/>
        <n v="1250.0"/>
        <n v="1720.93"/>
        <n v="2156.97"/>
        <n v="2736.98"/>
        <n v="2410.67"/>
        <n v="3021.85"/>
        <n v="2782.78"/>
        <n v="860.93"/>
        <n v="2017.6"/>
        <n v="260.93"/>
        <n v="2616.54"/>
        <n v="2003.39"/>
        <n v="2039.93"/>
        <n v="1000.0"/>
        <n v="1207.64"/>
        <n v="1796.03"/>
        <n v="3036.42"/>
      </sharedItems>
    </cacheField>
    <cacheField name="RESERVA ACUMULADA" numFmtId="0">
      <sharedItems containsString="0" containsBlank="1" containsNumber="1">
        <m/>
        <n v="845.0"/>
        <n v="2497.52"/>
        <n v="3342.52"/>
        <n v="6306.18"/>
        <n v="11955.76"/>
        <n v="14704.6"/>
        <n v="15582.43"/>
        <n v="16693.99"/>
        <n v="27947.14"/>
        <n v="31803.18"/>
        <n v="44303.68"/>
        <n v="52966.79"/>
        <n v="75726.79000000001"/>
        <n v="88115.27"/>
        <n v="91707.59000000001"/>
        <n v="5504.46"/>
        <n v="20961.39"/>
        <n v="30238.260000000002"/>
        <n v="35984.61"/>
        <n v="36841.86"/>
        <n v="41945.53"/>
        <n v="60973.88"/>
        <n v="62910.84"/>
        <n v="65606.31999999999"/>
        <n v="71404.48999999999"/>
        <n v="84034.69999999998"/>
        <n v="98327.47999999998"/>
        <n v="105592.28999999998"/>
        <n v="0.0"/>
        <n v="1001.09"/>
        <n v="4402.07"/>
        <n v="5387.95"/>
        <n v="7704.68"/>
        <n v="10703.84"/>
        <n v="12153.73"/>
        <n v="13926.449999999999"/>
        <n v="22218.839999999997"/>
        <n v="25932.779999999995"/>
        <n v="26841.479999999996"/>
        <n v="28901.969999999994"/>
        <n v="30902.259999999995"/>
        <n v="32649.219999999994"/>
        <n v="36194.02999999999"/>
        <n v="40053.10999999999"/>
        <n v="49551.98999999999"/>
        <n v="82808.41999999998"/>
        <n v="4137.99"/>
        <n v="6364.26"/>
        <n v="14746.460000000001"/>
        <n v="16274.36"/>
        <n v="17524.36"/>
        <n v="19245.29"/>
        <n v="21402.260000000002"/>
        <n v="24139.24"/>
        <n v="26549.910000000003"/>
        <n v="29571.760000000002"/>
        <n v="32354.54"/>
        <n v="33215.47"/>
        <n v="35233.07"/>
        <n v="35494.0"/>
        <n v="2616.54"/>
        <n v="4619.93"/>
        <n v="6659.860000000001"/>
        <n v="7659.860000000001"/>
        <n v="8867.5"/>
        <n v="10663.53"/>
        <n v="13699.95"/>
      </sharedItems>
    </cacheField>
    <cacheField name="Semana" numFmtId="0">
      <sharedItems containsString="0" containsBlank="1" containsNumber="1" containsInteger="1">
        <m/>
        <n v="5.0"/>
        <n v="9.0"/>
        <n v="13.0"/>
        <n v="18.0"/>
        <n v="22.0"/>
        <n v="26.0"/>
        <n v="31.0"/>
        <n v="35.0"/>
        <n v="39.0"/>
        <n v="44.0"/>
        <n v="45.0"/>
        <n v="46.0"/>
        <n v="47.0"/>
        <n v="48.0"/>
        <n v="49.0"/>
        <n v="50.0"/>
        <n v="51.0"/>
        <n v="52.0"/>
        <n v="53.0"/>
        <n v="1.0"/>
        <n v="2.0"/>
        <n v="3.0"/>
        <n v="4.0"/>
      </sharedItems>
    </cacheField>
    <cacheField name="Meta facturacion mensual" numFmtId="0">
      <sharedItems containsString="0" containsBlank="1" containsNumber="1">
        <m/>
        <n v="333251.21"/>
        <n v="353232.23"/>
        <n v="427125.78"/>
        <n v="2.0"/>
        <n v="470648.75"/>
        <n v="460202.62"/>
        <n v="551361.04"/>
        <n v="481568.86"/>
        <n v="520376.29"/>
        <n v="631243.19"/>
        <n v="581094.36"/>
        <n v="580129.36"/>
        <n v="820000.0"/>
        <n v="1021781.85"/>
        <n v="1072335.54"/>
        <n v="1120270.13"/>
        <n v="1521106.36"/>
        <n v="1149608.7"/>
        <n v="1623295.1"/>
        <n v="1993445.6"/>
        <n v="1963730.72"/>
        <n v="2041131.21"/>
      </sharedItems>
    </cacheField>
    <cacheField name="Meta facturacion semanal" numFmtId="0">
      <sharedItems containsString="0" containsBlank="1" containsNumber="1">
        <m/>
        <n v="83312.8025"/>
      </sharedItems>
    </cacheField>
    <cacheField name="Meta facturacion diaria" numFmtId="0">
      <sharedItems containsString="0" containsBlank="1" containsNumber="1">
        <m/>
        <n v="11108.373666666668"/>
        <n v="11394.588064516129"/>
        <n v="13778.250967741937"/>
        <n v="14728.475172413793"/>
        <n v="15182.217741935483"/>
        <n v="15340.087333333333"/>
        <n v="17785.84"/>
        <n v="16052.295333333333"/>
        <n v="16786.33193548387"/>
        <n v="20362.683548387096"/>
        <n v="19369.811999999998"/>
        <n v="18713.850322580645"/>
        <n v="27333.333333333332"/>
        <n v="26451.612903225807"/>
        <n v="32960.70483870968"/>
        <n v="38297.697857142855"/>
        <n v="36137.74612903225"/>
        <n v="54109.83666666667"/>
        <n v="64304.69677419355"/>
        <n v="65457.69066666667"/>
        <n v="65842.94225806452"/>
      </sharedItems>
    </cacheField>
    <cacheField name="% meta mensual" numFmtId="0">
      <sharedItems containsString="0" containsBlank="1" containsNumber="1">
        <m/>
        <n v="1.1755436086788702"/>
        <n v="1.088606014236017"/>
      </sharedItems>
    </cacheField>
    <cacheField name="Meta diaria" numFmtId="0">
      <sharedItems containsString="0" containsBlank="1" containsNumber="1">
        <m/>
        <n v="0.0"/>
        <n v="1.7663143668705656"/>
        <n v="4.414675943712252"/>
        <n v="2.7440281462143825"/>
        <n v="0.41600959228325074"/>
        <n v="1.5793887139974672"/>
        <n v="0.8406154024166933"/>
        <n v="0.28853818715316887"/>
        <n v="2.6880901647738953"/>
        <n v="1.0670679935415686"/>
        <n v="0.430543673044728"/>
        <n v="0.8348386792053958"/>
        <n v="0.7684212159349698"/>
        <n v="1.9776198261965798"/>
        <n v="1.6090150130287597"/>
        <n v="4.947733273046479"/>
        <n v="1.0709299450105523"/>
        <n v="0.21464348171459"/>
        <n v="1.7718309259852347"/>
        <n v="2.6757175165245455"/>
        <n v="3.160286199711022"/>
        <n v="1.034084771936015"/>
        <n v="0.754864498066895"/>
        <n v="1.819666484001191"/>
        <n v="0.6592041728468548"/>
        <n v="2.0410470188408345"/>
        <n v="1.0127237540017229"/>
        <n v="1.3767544654687938"/>
        <n v="2.9858824037659306"/>
        <n v="0.7161970186016151"/>
        <n v="1.0657410282181783"/>
        <n v="2.9221705788285517"/>
        <n v="0.9411318723662335"/>
        <n v="1.7236419507925427"/>
        <n v="4.602900052466899"/>
        <n v="1.5789715168403518"/>
        <n v="8.511804854273915"/>
        <n v="0.5642138482018106"/>
        <n v="0.6368282897838664"/>
        <n v="0.6320925653328627"/>
        <n v="0.762096003664307"/>
        <n v="0.4992150321621888"/>
        <n v="0.40300180429287125"/>
        <n v="1.8050977630055485"/>
        <n v="4.505521066885731"/>
        <n v="0.8727922018661576"/>
        <n v="1.9138481409387182"/>
        <n v="0.557613591012933"/>
        <n v="1.0382674864532877"/>
        <n v="1.5840958370623284"/>
        <n v="2.051906302635256"/>
        <n v="3.7390906959537773"/>
        <n v="1.2234992699340226"/>
        <n v="0.8728582479849377"/>
        <n v="0.9294851741330151"/>
        <n v="1.1834593547596213"/>
        <n v="0.6825938954094506"/>
        <n v="0.9702515966139996"/>
        <n v="4.948677459833962"/>
        <n v="1.1562636186464792"/>
        <n v="1.063586000358021"/>
        <n v="0.48770764902085756"/>
        <n v="0.8752290952796152"/>
        <n v="1.014356871645631"/>
        <n v="3.0290970027611066"/>
        <n v="0.3926407813642155"/>
        <n v="0.7102778717781913"/>
        <n v="1.1590371576260274"/>
        <n v="1.002729734552665"/>
        <n v="2.1104655869753404"/>
        <n v="0.9054026193408415"/>
        <n v="1.2872079273697785"/>
        <n v="0.3102154124248834"/>
        <n v="0.12800442530066905"/>
        <n v="1.8954188857436796"/>
        <n v="1.4821350984714616"/>
        <n v="2.102103553665152"/>
        <n v="4.064566039539922"/>
        <n v="2.0819684075262326"/>
        <n v="0.6658679792168013"/>
        <n v="5.342333750025578"/>
        <n v="0.05328272942401314"/>
        <n v="0.5245314047896654"/>
        <n v="0.5134381638111224"/>
        <n v="0.8474367986741705"/>
        <n v="0.3645712434166669"/>
        <n v="0.5236389133084918"/>
        <n v="2.7913747991469227"/>
        <n v="1.7344093233010818"/>
        <n v="1.9457078341332046"/>
        <n v="0.9813539927599937"/>
        <n v="1.5757500258951074"/>
        <n v="1.510955144361905"/>
        <n v="2.6994455419248427"/>
        <n v="0.537049997476887"/>
        <n v="0.9487559884096156"/>
        <n v="1.6332304292744855"/>
        <n v="2.0419164398078187"/>
        <n v="4.371498362632431"/>
        <n v="3.8997570056225586"/>
        <n v="0.23630895452094558"/>
        <n v="0.33238141929743903"/>
        <n v="0.5774765037191663"/>
        <n v="0.3807833601642685"/>
        <n v="0.30495263151696095"/>
        <n v="4.011816794958707"/>
        <n v="0.4661655337816199"/>
        <n v="2.769746943205148"/>
        <n v="1.6757218809401826"/>
        <n v="0.36430235881751394"/>
        <n v="0.5389975832819032"/>
        <n v="1.6177437234060077"/>
        <n v="1.8369197898091065"/>
        <n v="1.481708643901245"/>
        <n v="0.8160514166564284"/>
        <n v="1.413074093320025"/>
        <n v="0.9086089079631924"/>
        <n v="1.3235648245548886"/>
        <n v="1.3935566033935225"/>
        <n v="0.8216850221322078"/>
        <n v="1.7746685144904217"/>
        <n v="6.779723461809061"/>
        <n v="0.17890636596303577"/>
        <n v="0.16030336492400696"/>
        <n v="0.16923575158665546"/>
        <n v="2.7111421220476517"/>
        <n v="1.3875065782667562"/>
        <n v="0.7450466213572144"/>
        <n v="2.6005552731836112"/>
        <n v="1.2584809039100768"/>
        <n v="1.888814922432677"/>
        <n v="1.5673159097349352"/>
        <n v="1.7423877646487316"/>
        <n v="1.2533830282966676"/>
        <n v="1.3600274150672669"/>
        <n v="1.522661285606977"/>
        <n v="4.024495328868358"/>
        <n v="1.624397273336542"/>
        <n v="1.5829120243969361"/>
        <n v="1.7707445923273795"/>
        <n v="1.4376987536152355"/>
        <n v="1.0623282341458147"/>
        <n v="2.1494953288683583"/>
        <n v="1.8532658564341071"/>
        <n v="3.8813291922113318"/>
        <n v="0.3856146346339753"/>
        <n v="0.7033885039825872"/>
        <n v="0.3284888478877143"/>
        <n v="2.440241048808679"/>
        <n v="1.8475469946291794"/>
        <n v="1.623484957063046"/>
        <n v="2.361689042767425"/>
        <n v="2.9684658181594217"/>
        <n v="2.4890334478853138"/>
        <n v="1.520227449922738"/>
        <n v="2.206849504347104"/>
        <n v="2.6774837559056457"/>
        <n v="1.4428970760277147"/>
        <n v="1.4467239430722327"/>
        <n v="1.2215387016510992"/>
        <n v="1.5195359600286447"/>
        <n v="1.298933863788452"/>
        <n v="0.9154659626455084"/>
        <n v="1.480299826695605"/>
        <n v="4.496915145219315"/>
        <n v="4.556623740164595"/>
        <n v="0.613594443359439"/>
        <n v="0.8622747396888509"/>
        <n v="1.0904603858872972"/>
        <n v="3.8738612014778764"/>
        <n v="1.3435031599921663"/>
        <n v="1.8939414591698636"/>
        <n v="1.5417031010386735"/>
        <n v="0.8637866840551095"/>
        <n v="1.2665673526363008"/>
        <n v="1.9649277833161845"/>
        <n v="1.4225156568912853"/>
        <n v="1.9730617818886407"/>
        <n v="1.068956581399971"/>
        <n v="1.7740731039071744"/>
        <n v="1.7038344118253348"/>
        <n v="0.9916037681117253"/>
        <n v="0.9686791648405041"/>
        <n v="0.8966074338244734"/>
        <n v="1.3175111802269084"/>
        <n v="2.0317243892876053"/>
        <n v="2.816739248438856"/>
        <n v="5.994374493887874"/>
        <n v="0.07774024461158939"/>
        <n v="0.0957634093446616"/>
        <n v="0.14610058605147092"/>
        <n v="2.4973368504775473"/>
        <n v="2.75410310565093"/>
        <n v="0.40913320585684254"/>
        <n v="0.884115296356702"/>
        <n v="2.4713820199787024"/>
        <n v="1.1369071244950777"/>
        <n v="0.3294747464919186"/>
        <n v="2.441787197735947"/>
        <n v="1.1512922618618666"/>
        <n v="1.453115446679116"/>
        <n v="0.9540073612516914"/>
        <n v="2.2406766716960544"/>
        <n v="1.7271657695031928"/>
        <n v="1.1097751407029042"/>
        <n v="2.3109026807877324"/>
        <n v="2.182593954003686"/>
        <n v="3.0422326140263"/>
        <n v="2.578933954123133"/>
        <n v="5.00369805177621"/>
        <n v="0.23022680860299524"/>
        <n v="0.1737858890938126"/>
        <n v="0.43702179453264695"/>
        <n v="0.2906584741245811"/>
        <n v="4.599521668047165"/>
        <n v="2.47240448177814"/>
        <n v="0.7870138336913132"/>
        <n v="0.7492865702568512"/>
        <n v="1.003301942218128"/>
        <n v="1.366426788241414"/>
        <n v="3.3930484198814113"/>
        <n v="1.8853316697136766"/>
        <n v="2.272782513325375"/>
        <n v="1.7611946878988813"/>
        <n v="1.8874679836851285"/>
        <n v="0.2651357689997198"/>
        <n v="0.7259564522360878"/>
        <n v="1.5264691262878547"/>
        <n v="2.0130360583778515"/>
        <n v="2.3211727609953052"/>
        <n v="2.5939905870020836"/>
        <n v="0.458557883783281"/>
        <n v="9.761979104391928"/>
        <n v="0.2627465708682629"/>
        <n v="0.1705741974514098"/>
        <n v="0.14978211066580047"/>
        <n v="0.15918690962305374"/>
        <n v="5.963749740230352"/>
        <n v="2.1317424961908498"/>
        <n v="1.196655397685785"/>
        <n v="0.9493497967418854"/>
        <n v="1.5771933349486054"/>
        <n v="1.9464700941872686"/>
        <n v="1.2849301231711494"/>
        <n v="2.007710831942724"/>
        <n v="6.2697867075715665"/>
        <n v="0.9558198709336139"/>
        <n v="1.5399530028957678"/>
        <n v="2.477927802171571"/>
        <n v="2.285265686260044"/>
        <n v="0.8998356676862553"/>
        <n v="1.9466742210737273"/>
        <n v="1.3838808985637272"/>
        <n v="2.2904655782289662"/>
        <n v="4.8039942849987805"/>
        <n v="7.608225327537292"/>
        <n v="0.6069512195121951"/>
        <n v="0.4125329268292683"/>
        <n v="1.7754475609756102"/>
        <n v="1.0608084146341463"/>
        <n v="2.6950093902439023"/>
        <n v="0.5215825609756097"/>
        <n v="1.7422675609756098"/>
        <n v="1.5445854878048781"/>
        <n v="0.585289756097561"/>
        <n v="0.982075243902439"/>
        <n v="1.3072068292682928"/>
        <n v="2.0850859756097564"/>
        <n v="1.1180359756097562"/>
        <n v="1.6745352439024392"/>
        <n v="1.3329376829268296"/>
        <n v="1.315548292682927"/>
        <n v="1.7450096341463415"/>
        <n v="0.765779268292683"/>
        <n v="1.7886614634146343"/>
        <n v="1.8421931707317076"/>
        <n v="1.8927530487804878"/>
        <n v="4.983411585365854"/>
        <n v="0.30315731707317073"/>
        <n v="0.2512890243902439"/>
        <n v="0.1494048780487805"/>
        <n v="0.2266780487804878"/>
        <n v="1.702945682926829"/>
        <n v="2.910808512195122"/>
        <n v="1.7718972439024387"/>
        <n v="1.3854198658536583"/>
        <n v="0.4059646585365853"/>
        <n v="1.6152315609756098"/>
        <n v="2.9788157073170733"/>
        <n v="2.6718453902439023"/>
        <n v="2.784833207317073"/>
        <n v="1.005860780487805"/>
        <n v="2.8130560609756095"/>
        <n v="0.6418069878048781"/>
        <n v="0.5077958780487805"/>
        <n v="1.5514789268292681"/>
        <n v="9.767139756097562"/>
        <n v="0.13652620664577275"/>
        <n v="0.17156793301818776"/>
        <n v="0.17369167401045535"/>
        <n v="1.2031453876382712"/>
        <n v="1.313751942256559"/>
        <n v="0.9742403919192731"/>
        <n v="0.8198368369921623"/>
        <n v="0.9358401208633721"/>
        <n v="0.872792925417495"/>
        <n v="1.014133349501168"/>
        <n v="1.0237657284673827"/>
        <n v="0.8927075480935583"/>
        <n v="1.568255298330069"/>
        <n v="0.9418251263711525"/>
        <n v="0.8441579188356105"/>
        <n v="2.5114329443217254"/>
        <n v="1.636639758281085"/>
        <n v="1.6819983150023659"/>
        <n v="3.1077954947036885"/>
        <n v="1.912652969907422"/>
        <n v="0.8866281878074072"/>
        <n v="2.7946438175624273"/>
        <n v="4.796311267419752"/>
        <n v="0.5161929073058606"/>
        <n v="0.2830196227572575"/>
        <n v="0.20340648226580274"/>
        <n v="0.2153915368691408"/>
        <n v="2.2303408502155957"/>
        <n v="1.6893574188541771"/>
        <n v="1.0887335879961602"/>
        <n v="0.6742332162188712"/>
        <n v="1.2445312033582323"/>
        <n v="0.6897472035665254"/>
        <n v="1.191781818590103"/>
        <n v="0.7517806972992801"/>
        <n v="1.1940195510073277"/>
        <n v="0.9731169779190569"/>
        <n v="1.5663325305808666"/>
        <n v="0.6088867296145011"/>
        <n v="1.0427342173141068"/>
        <n v="0.48182269516125525"/>
        <n v="0.6537630562911307"/>
        <n v="0.7126339578374881"/>
        <n v="8.650244493435329"/>
        <n v="0.17975664494419755"/>
        <n v="0.13938334676476646"/>
        <n v="0.12787183748262573"/>
        <n v="0.6703835350854174"/>
        <n v="1.1842097137768015"/>
        <n v="1.084740311696073"/>
        <n v="0.5180359044295862"/>
        <n v="1.5972024595532155"/>
        <n v="1.6387297588662837"/>
        <n v="1.514550736080056"/>
        <n v="1.2045298520991543"/>
        <n v="1.659125054061738"/>
        <n v="0.9933522105065856"/>
        <n v="1.2421859359938483"/>
        <n v="0.701200896965806"/>
        <n v="1.0054860607592921"/>
        <n v="2.065314470180509"/>
        <n v="1.5094649180729296"/>
        <n v="0.9455119275562583"/>
        <n v="0.9142061566882981"/>
        <n v="6.3101777068714675"/>
        <n v="0.7036613367464732"/>
        <n v="1.050954937275422"/>
        <n v="0.7227521354558392"/>
        <n v="0.46303965311051576"/>
        <n v="2.2731962906806036"/>
        <n v="0.9955711071880892"/>
        <n v="0.9856084084773004"/>
        <n v="0.7408980043123398"/>
        <n v="0.8756762710612507"/>
        <n v="0.9700463581760335"/>
        <n v="1.446671341520097"/>
        <n v="0.8908930976259338"/>
        <n v="2.5300505126886663"/>
        <n v="0.9238553113355668"/>
        <n v="0.9821576495857098"/>
        <n v="1.7405271536888147"/>
        <n v="2.0314104933847212"/>
        <n v="1.4421226306911168"/>
        <n v="4.758634397405622"/>
        <n v="0.051349281866533"/>
        <n v="0.0544905765173627"/>
        <n v="0.5068499135366422"/>
        <n v="1.345887226619076"/>
        <n v="1.1353026087092621"/>
        <n v="1.3378312054264234"/>
        <n v="0.5756633940750627"/>
        <n v="0.537192953748023"/>
        <n v="0.41294666380662703"/>
        <n v="1.7231340097768406"/>
        <n v="1.2177026551414294"/>
        <n v="0.9002558584994744"/>
        <n v="1.2059148692093729"/>
        <n v="0.915758147601319"/>
        <n v="0.33646142638655396"/>
        <n v="0.38235745184117387"/>
        <n v="0.6976373772126011"/>
        <n v="0.5415047694303773"/>
        <n v="1.0292526568068874"/>
        <n v="0.9068096566066313"/>
        <n v="2.068138047007653"/>
        <n v="3.1470267360192827"/>
        <n v="0.048657384144807796"/>
        <n v="0.0672648233562288"/>
        <n v="0.04711440273236648"/>
        <n v="0.062457137707760665"/>
        <n v="2.1197192963401825"/>
        <n v="0.7743273476925594"/>
        <n v="0.715898002553018"/>
        <n v="0.4611866030185646"/>
        <n v="0.2705118347387263"/>
        <n v="0.5538867874919225"/>
        <n v="2.1151008932630027"/>
        <n v="0.6532282083971268"/>
        <n v="0.8234844439363865"/>
        <n v="0.2863649757437211"/>
        <n v="0.27445300646923726"/>
        <n v="0.4919608325931775"/>
        <n v="0.42456737652909965"/>
        <n v="0.30998038264635386"/>
        <n v="0.29253127944140933"/>
        <n v="1.2684445350022329"/>
        <n v="4.584755388457741"/>
        <n v="0.07909731584575594"/>
        <n v="0.062330142901494315"/>
        <n v="0.05385543048944903"/>
        <n v="0.5043029497354068"/>
        <n v="0.10206105270420121"/>
        <n v="0.9263070256027294"/>
        <n v="0.8074584484943523"/>
        <n v="1.2320792057263188"/>
        <n v="0.6365693962418025"/>
        <n v="0.34066703629503564"/>
        <n v="0.9171994435379781"/>
        <n v="1.265049937676471"/>
        <n v="1.3924857677326878"/>
        <n v="0.5567340817839928"/>
        <n v="0.5886296795197208"/>
        <n v="0.3288873379188592"/>
        <n v="0.20513740025561614"/>
      </sharedItems>
    </cacheField>
    <cacheField name="Deuda Mensual" numFmtId="0">
      <sharedItems containsString="0" containsBlank="1" containsNumber="1">
        <m/>
        <n v="-58500.119999999995"/>
        <n v="520376.29"/>
      </sharedItems>
    </cacheField>
    <cacheField name="Deuda Semanal" numFmtId="0">
      <sharedItems containsString="0" containsBlank="1" containsNumber="1">
        <m/>
        <n v="47333.1375"/>
        <n v="-24337.57250000001"/>
        <n v="31922.34749999999"/>
        <n v="15365.17749999999"/>
      </sharedItems>
    </cacheField>
    <cacheField name="Deuda Diaria" numFmtId="0">
      <sharedItems containsString="0" containsBlank="1" containsNumber="1">
        <m/>
        <n v="-11108.373666666668"/>
        <n v="8512.506333333333"/>
        <n v="37931.496333333336"/>
        <n v="19373.31633333333"/>
        <n v="-6487.183666666669"/>
        <n v="6436.0663333333305"/>
        <n v="-1770.5036666666674"/>
        <n v="-7903.183666666668"/>
        <n v="18751.93633333333"/>
        <n v="745.0163333333312"/>
        <n v="-6325.733666666668"/>
        <n v="-1834.6736666666675"/>
        <n v="-2572.4636666666684"/>
        <n v="10859.766333333331"/>
        <n v="6765.166333333333"/>
        <n v="43852.89633333333"/>
        <n v="787.9163333333327"/>
        <n v="-8724.033666666668"/>
        <n v="8573.786333333332"/>
        <n v="18614.49633333333"/>
        <n v="23997.266333333333"/>
        <n v="388.3819354838706"/>
        <n v="-11394.588064516129"/>
        <n v="-2793.218064516128"/>
        <n v="9339.76193548387"/>
        <n v="-3883.228064516129"/>
        <n v="11862.30193548387"/>
        <n v="144.98193548387098"/>
        <n v="4292.961935483871"/>
        <n v="22628.31193548387"/>
        <n v="-3233.818064516129"/>
        <n v="749.0919354838734"/>
        <n v="21902.34193548387"/>
        <n v="-670.7780645161274"/>
        <n v="8245.601935483874"/>
        <n v="41053.56193548386"/>
        <n v="6597.141935483871"/>
        <n v="85593.92193548387"/>
        <n v="-13778.250967741937"/>
        <n v="-6004.3709677419365"/>
        <n v="-5003.870967741937"/>
        <n v="-5069.120967741937"/>
        <n v="-3277.9009677419363"/>
        <n v="-6899.940967741936"/>
        <n v="-8225.590967741937"/>
        <n v="11092.839032258067"/>
        <n v="48299.94903225807"/>
        <n v="-1752.7009677419355"/>
        <n v="12591.229032258063"/>
        <n v="-6095.310967741937"/>
        <n v="527.2590322580636"/>
        <n v="8047.819032258063"/>
        <n v="14493.42903225806"/>
        <n v="37739.87903225807"/>
        <n v="3079.4290322580637"/>
        <n v="-1751.7909677419375"/>
        <n v="-971.5709677419381"/>
        <n v="2527.7490322580634"/>
        <n v="-4373.300967741936"/>
        <n v="-409.88096774193764"/>
        <n v="54405.86903225806"/>
        <n v="2301.524827586207"/>
        <n v="936.5248275862068"/>
        <n v="-14728.475172413793"/>
        <n v="-7545.285172413793"/>
        <n v="-1837.6851724137941"/>
        <n v="211.4548275862071"/>
        <n v="29885.504827586203"/>
        <n v="-8945.475172413793"/>
        <n v="-4267.165172413794"/>
        <n v="2342.3748275862054"/>
        <n v="40.20482758620528"/>
        <n v="16355.46482758621"/>
        <n v="-1393.2751724137925"/>
        <n v="4230.134827586207"/>
        <n v="-10159.475172413793"/>
        <n v="-12843.165172413794"/>
        <n v="13188.154827586208"/>
        <n v="7101.114827586203"/>
        <n v="16232.304827586206"/>
        <n v="45136.38482758621"/>
        <n v="15935.744827586208"/>
        <n v="-4921.255172413792"/>
        <n v="63955.9548275862"/>
        <n v="-14373.267741935482"/>
        <n v="-15182.217741935483"/>
        <n v="-7218.667741935483"/>
        <n v="-7387.087741935484"/>
        <n v="-2316.2477419354836"/>
        <n v="-9647.217741935483"/>
        <n v="-7232.217741935483"/>
        <n v="27197.042258064517"/>
        <n v="11149.962258064517"/>
        <n v="14357.942258064517"/>
        <n v="-283.087741935482"/>
        <n v="8741.162258064514"/>
        <n v="7757.4322580645185"/>
        <n v="25801.352258064508"/>
        <n v="-7028.607741935482"/>
        <n v="-777.9977419354818"/>
        <n v="9613.842258064515"/>
        <n v="15818.602258064517"/>
        <n v="51186.82225806452"/>
        <n v="44024.742258064514"/>
        <n v="-11715.087333333333"/>
        <n v="-10241.327333333333"/>
        <n v="-6481.547333333332"/>
        <n v="-9498.837333333333"/>
        <n v="-10662.087333333333"/>
        <n v="-15340.087333333333"/>
        <n v="46201.532666666666"/>
        <n v="-8189.067333333333"/>
        <n v="27148.07266666667"/>
        <n v="10365.632666666668"/>
        <n v="-9751.657333333333"/>
        <n v="-7071.8173333333325"/>
        <n v="9476.242666666669"/>
        <n v="12838.42266666667"/>
        <n v="7389.452666666664"/>
        <n v="-2821.7873333333337"/>
        <n v="6336.592666666667"/>
        <n v="-1401.9473333333335"/>
        <n v="4963.512666666669"/>
        <n v="6037.192666666666"/>
        <n v="-2735.3673333333318"/>
        <n v="11883.482666666667"/>
        <n v="88661.46266666666"/>
        <n v="-14603.84"/>
        <n v="-14934.71"/>
        <n v="-14775.84"/>
        <n v="-17785.84"/>
        <n v="30434.100000000002"/>
        <n v="6892.130000000001"/>
        <n v="-4534.560000000001"/>
        <n v="28467.219999999998"/>
        <n v="4597.299999999999"/>
        <n v="15808.320000000003"/>
        <n v="10090.189999999999"/>
        <n v="13203.989999999998"/>
        <n v="4506.630000000001"/>
        <n v="6403.389999999999"/>
        <n v="9295.969999999998"/>
        <n v="53793.19"/>
        <n v="11105.43"/>
        <n v="10367.580000000002"/>
        <n v="13708.34"/>
        <n v="7784.84"/>
        <n v="1108.5599999999977"/>
        <n v="20444.74"/>
        <n v="15176.05"/>
        <n v="51246.86"/>
        <n v="-16052.295333333333"/>
        <n v="-9862.295333333333"/>
        <n v="-4761.2953333333335"/>
        <n v="-10779.295333333333"/>
        <n v="23119.174666666666"/>
        <n v="13605.07466666667"/>
        <n v="10008.36466666667"/>
        <n v="21858.234666666664"/>
        <n v="31598.394666666667"/>
        <n v="23902.40466666666"/>
        <n v="8350.844666666666"/>
        <n v="19372.704666666665"/>
        <n v="26927.464666666667"/>
        <n v="7109.514666666664"/>
        <n v="7170.944666666668"/>
        <n v="3556.2046666666665"/>
        <n v="8339.744666666667"/>
        <n v="4798.574666666669"/>
        <n v="-1356.9653333333317"/>
        <n v="7709.914666666666"/>
        <n v="56133.51466666666"/>
        <n v="57091.97466666667"/>
        <n v="-16786.33193548387"/>
        <n v="-6486.331935483871"/>
        <n v="-2311.901935483871"/>
        <n v="1518.4980645161304"/>
        <n v="48241.58806451612"/>
        <n v="5766.158064516127"/>
        <n v="15005.99806451613"/>
        <n v="9093.20806451613"/>
        <n v="-2286.52193548387"/>
        <n v="4474.688064516129"/>
        <n v="16197.598064516129"/>
        <n v="7092.488064516128"/>
        <n v="16334.13806451613"/>
        <n v="1157.5280645161292"/>
        <n v="12993.848064516129"/>
        <n v="11814.798064516126"/>
        <n v="-140.94193548387193"/>
        <n v="-525.7619354838716"/>
        <n v="-1735.5819354838713"/>
        <n v="5329.848064516129"/>
        <n v="17318.868064516126"/>
        <n v="30496.38806451613"/>
        <n v="83837.22806451612"/>
        <n v="-18779.683548387096"/>
        <n v="-18412.683548387096"/>
        <n v="-20362.683548387096"/>
        <n v="-17387.683548387096"/>
        <n v="30489.7964516129"/>
        <n v="35718.246451612904"/>
        <n v="-12031.633548387097"/>
        <n v="-2359.7235483870973"/>
        <n v="29961.286451612898"/>
        <n v="2787.796451612903"/>
        <n v="-13653.693548387097"/>
        <n v="29358.6564516129"/>
        <n v="3080.716451612905"/>
        <n v="9226.646451612905"/>
        <n v="-936.5335483870949"/>
        <n v="25263.506451612906"/>
        <n v="14807.046451612907"/>
        <n v="2235.3164516129036"/>
        <n v="26693.496451612904"/>
        <n v="24080.786451612905"/>
        <n v="41585.33645161291"/>
        <n v="32151.332451612907"/>
        <n v="81526.0364516129"/>
        <n v="-19369.811999999998"/>
        <n v="-14910.361999999997"/>
        <n v="-16003.611999999997"/>
        <n v="-10904.782"/>
        <n v="-13739.811999999998"/>
        <n v="69722.05799999999"/>
        <n v="28520.197999999997"/>
        <n v="-4125.501999999997"/>
        <n v="-4856.272000000001"/>
        <n v="63.95800000000236"/>
        <n v="7097.617999999999"/>
        <n v="46352.897999999994"/>
        <n v="17148.708000000006"/>
        <n v="24653.558000000005"/>
        <n v="14744.198000000004"/>
        <n v="17190.088000000003"/>
        <n v="-14234.181999999997"/>
        <n v="-5308.171999999999"/>
        <n v="10197.608"/>
        <n v="19622.318000000007"/>
        <n v="25590.867999999995"/>
        <n v="30875.298000000003"/>
        <n v="-10487.631999999998"/>
        <n v="169717.888"/>
        <n v="-13796.850322580645"/>
        <n v="-15521.750322580645"/>
        <n v="-15910.850322580645"/>
        <n v="-15734.850322580645"/>
        <n v="-18713.850322580645"/>
        <n v="92890.86967741935"/>
        <n v="21179.259677419355"/>
        <n v="3680.1796774193535"/>
        <n v="-947.8603225806437"/>
        <n v="10801.509677419355"/>
        <n v="17712.09967741935"/>
        <n v="5332.139677419356"/>
        <n v="18858.149677419355"/>
        <n v="98617.99967741936"/>
        <n v="-826.7803225806456"/>
        <n v="10104.599677419352"/>
        <n v="27657.71967741936"/>
        <n v="24052.269677419357"/>
        <n v="-1874.4603225806459"/>
        <n v="17715.91967741935"/>
        <n v="7183.889677419353"/>
        <n v="24149.579677419355"/>
        <n v="71187.37967741935"/>
        <n v="123665.33967741935"/>
        <n v="-27333.333333333332"/>
        <n v="-10743.333333333332"/>
        <n v="-16057.433333333332"/>
        <n v="21195.566666666677"/>
        <n v="1662.0966666666682"/>
        <n v="46330.25666666667"/>
        <n v="-13076.743333333332"/>
        <n v="20288.646666666664"/>
        <n v="14885.336666666666"/>
        <n v="-11335.413333333332"/>
        <n v="-489.9433333333327"/>
        <n v="8396.986666666668"/>
        <n v="29659.016666666674"/>
        <n v="3226.3166666666693"/>
        <n v="18437.296666666673"/>
        <n v="9100.296666666673"/>
        <n v="8624.986666666668"/>
        <n v="20363.596666666668"/>
        <n v="-6402.033333333333"/>
        <n v="21556.74666666667"/>
        <n v="23019.946666666674"/>
        <n v="24401.916666666668"/>
        <n v="108879.91666666667"/>
        <n v="-26451.612903225807"/>
        <n v="-18432.612903225807"/>
        <n v="-19804.612903225807"/>
        <n v="-22499.612903225807"/>
        <n v="-20455.612903225807"/>
        <n v="18594.04709677419"/>
        <n v="50543.9670967742"/>
        <n v="20417.927096774187"/>
        <n v="10194.97709677419"/>
        <n v="-15713.192903225809"/>
        <n v="16273.867096774196"/>
        <n v="52342.86709677421"/>
        <n v="44223.00709677419"/>
        <n v="47211.7170967742"/>
        <n v="155.02709677419625"/>
        <n v="47958.25709677419"/>
        <n v="-9474.782903225805"/>
        <n v="-13019.592903225806"/>
        <n v="14587.507096774189"/>
        <n v="231904.9870967742"/>
        <n v="-32960.70483870968"/>
        <n v="-28460.70483870968"/>
        <n v="-27305.70483870968"/>
        <n v="-27235.70483870968"/>
        <n v="6695.815161290317"/>
        <n v="10341.485161290322"/>
        <n v="-849.0548387096787"/>
        <n v="-5938.304838709679"/>
        <n v="-2114.7548387096795"/>
        <n v="-4192.834838709678"/>
        <n v="465.8451612903227"/>
        <n v="783.3351612903207"/>
        <n v="-3536.434838709676"/>
        <n v="18730.095161290323"/>
        <n v="-1917.484838709679"/>
        <n v="-5136.664838709679"/>
        <n v="49817.89516129031"/>
        <n v="20984.095161290323"/>
        <n v="22479.145161290326"/>
        <n v="69474.42516129033"/>
        <n v="30081.68516129032"/>
        <n v="-3736.8148387096808"/>
        <n v="59152.72516129031"/>
        <n v="125129.09516129032"/>
        <n v="-18528.697857142855"/>
        <n v="-38297.697857142855"/>
        <n v="-27458.697857142855"/>
        <n v="-30507.697857142855"/>
        <n v="-30048.697857142855"/>
        <n v="47119.22214285714"/>
        <n v="26400.802142857145"/>
        <n v="3398.2921428571426"/>
        <n v="-12476.117857142854"/>
        <n v="9364.982142857138"/>
        <n v="-11881.96785714286"/>
        <n v="7344.802142857145"/>
        <n v="-9506.227857142854"/>
        <n v="7430.502142857149"/>
        <n v="-1029.557857142856"/>
        <n v="21689.232142857145"/>
        <n v="-14978.737857142856"/>
        <n v="1636.6221428571444"/>
        <n v="-19844.997857142855"/>
        <n v="-13260.077857142853"/>
        <n v="-11005.457857142857"/>
        <n v="292986.7521428572"/>
        <n v="-36137.74612903225"/>
        <n v="-29641.746129032254"/>
        <n v="-31100.746129032254"/>
        <n v="-31516.746129032254"/>
        <n v="-11911.596129032252"/>
        <n v="6656.923870967745"/>
        <n v="3062.323870967746"/>
        <n v="-17417.096129032252"/>
        <n v="21581.550870967752"/>
        <n v="23082.253870967746"/>
        <n v="18594.703870967744"/>
        <n v="7391.2478709677525"/>
        <n v="23819.293870967747"/>
        <n v="-240.23612903225876"/>
        <n v="8752.053870967742"/>
        <n v="-10797.926129032254"/>
        <n v="198.25387096774648"/>
        <n v="38498.063870967744"/>
        <n v="18410.913870967743"/>
        <n v="-1969.0761290322553"/>
        <n v="-3100.396129032255"/>
        <n v="191897.85387096775"/>
        <n v="-10530.37666666667"/>
        <n v="18214.093333333323"/>
        <n v="-5724.966666666667"/>
        <n v="-23308.48666666667"/>
        <n v="-54109.83666666667"/>
        <n v="79673.44333333333"/>
        <n v="22646.823333333334"/>
        <n v="10238.683333333334"/>
        <n v="1826.0533333333296"/>
        <n v="21848.353333333333"/>
        <n v="24895.993333333332"/>
        <n v="44492.65333333332"/>
        <n v="15800.593333333323"/>
        <n v="104294.32333333333"/>
        <n v="17644.623333333337"/>
        <n v="18618.733333333323"/>
        <n v="60865.97333333333"/>
        <n v="82660.68333333335"/>
        <n v="53510.40333333332"/>
        <n v="278947.60333333333"/>
        <n v="-64304.69677419355"/>
        <n v="-61002.69677419355"/>
        <n v="-60800.69677419355"/>
        <n v="-21461.046774193557"/>
        <n v="41256.80322580645"/>
        <n v="29052.223225806447"/>
        <n v="53292.52322580645"/>
        <n v="-14760.996774193554"/>
        <n v="-24179.076774193556"/>
        <n v="-32870.12677419355"/>
        <n v="81945.01322580644"/>
        <n v="37487.95322580644"/>
        <n v="17355.02322580645"/>
        <n v="35214.39322580643"/>
        <n v="46756.643225806445"/>
        <n v="-26767.926774193555"/>
        <n v="-9177.976774193558"/>
        <n v="-4199.516774193551"/>
        <n v="-16689.04677419355"/>
        <n v="19411.41322580645"/>
        <n v="9220.783225806459"/>
        <n v="105345.90322580645"/>
        <n v="232291.64322580647"/>
        <n v="-65457.69066666667"/>
        <n v="-59931.69066666667"/>
        <n v="-57942.69066666667"/>
        <n v="-61465.69066666667"/>
        <n v="-59544.390666666666"/>
        <n v="122969.62933333332"/>
        <n v="-4651.170666666672"/>
        <n v="22620.69933333333"/>
        <n v="-21016.140666666666"/>
        <n v="-40111.66066666666"/>
        <n v="-20094.12066666667"/>
        <n v="115764.22933333332"/>
        <n v="-12335.850666666673"/>
        <n v="742.9393333333355"/>
        <n v="-40036.23066666667"/>
        <n v="-40052.34066666667"/>
        <n v="-20849.76066666667"/>
        <n v="-32568.34066666667"/>
        <n v="-32231.640666666673"/>
        <n v="-39896.638666666666"/>
        <n v="44569.91933333333"/>
        <n v="328801.9093333333"/>
        <n v="-60634.94225806452"/>
        <n v="-61738.94225806452"/>
        <n v="-62296.94225806452"/>
        <n v="-15469.532258064515"/>
        <n v="-59122.94225806452"/>
        <n v="-65842.94225806452"/>
        <n v="10959.297741935472"/>
        <n v="6957.407741935487"/>
        <n v="50298.247741935484"/>
        <n v="-14495.09025806452"/>
        <n v="-35992.37225806452"/>
        <n v="9213.007741935478"/>
        <n v="46056.61774193548"/>
        <n v="61277.20774193549"/>
        <n v="-18058.922258064515"/>
        <n v="-15632.902258064518"/>
        <n v="-35593.05225806452"/>
        <n v="-47613.062258064514"/>
      </sharedItems>
    </cacheField>
    <cacheField name="Acumulado deuda diaria" numFmtId="0">
      <sharedItems containsString="0" containsBlank="1" containsNumber="1">
        <m/>
        <n v="-22216.747333333336"/>
        <n v="-33325.12100000001"/>
        <n v="-44433.49466666667"/>
        <n v="-55541.86833333334"/>
        <n v="-47029.36200000001"/>
        <n v="-9097.865666666672"/>
        <n v="10275.450666666657"/>
        <n v="3788.266999999988"/>
        <n v="10224.333333333318"/>
        <n v="8453.82966666665"/>
        <n v="-2654.544000000018"/>
        <n v="-10557.727666666686"/>
        <n v="8194.208666666646"/>
        <n v="8939.224999999977"/>
        <n v="2613.491333333309"/>
        <n v="778.8176666666413"/>
        <n v="-10329.556000000026"/>
        <n v="-21437.929666666692"/>
        <n v="-24010.393333333363"/>
        <n v="-13150.627000000031"/>
        <n v="-6385.460666666699"/>
        <n v="37467.43566666663"/>
        <n v="38255.35199999996"/>
        <n v="27146.978333333296"/>
        <n v="16038.604666666628"/>
        <n v="7314.57099999996"/>
        <n v="15888.357333333292"/>
        <n v="34502.85366666662"/>
        <n v="58500.11999999995"/>
        <n v="388.3819354838706"/>
        <n v="-11006.206129032258"/>
        <n v="-22400.794193548387"/>
        <n v="-25194.012258064515"/>
        <n v="-15854.250322580645"/>
        <n v="-19737.478387096773"/>
        <n v="-7875.176451612902"/>
        <n v="-7730.194516129031"/>
        <n v="-19124.78258064516"/>
        <n v="-30519.37064516129"/>
        <n v="-26226.408709677416"/>
        <n v="-3598.0967741935456"/>
        <n v="-6831.914838709675"/>
        <n v="-6082.822903225801"/>
        <n v="15819.519032258067"/>
        <n v="4424.930967741939"/>
        <n v="-6969.65709677419"/>
        <n v="-7640.435161290317"/>
        <n v="605.1667741935562"/>
        <n v="41658.72870967742"/>
        <n v="48255.870645161296"/>
        <n v="36861.282580645166"/>
        <n v="25466.694516129035"/>
        <n v="14072.106451612906"/>
        <n v="2677.5183870967776"/>
        <n v="-8717.069677419351"/>
        <n v="-20111.65774193548"/>
        <n v="-31506.24580645161"/>
        <n v="-42900.83387096774"/>
        <n v="-54295.42193548387"/>
        <n v="31298.5"/>
        <n v="-13778.250967741937"/>
        <n v="-19782.621935483872"/>
        <n v="-24786.492903225808"/>
        <n v="-29855.613870967747"/>
        <n v="-33133.514838709685"/>
        <n v="-46911.76580645162"/>
        <n v="-60690.01677419356"/>
        <n v="-67589.95774193549"/>
        <n v="-75815.54870967743"/>
        <n v="-64722.70967741936"/>
        <n v="-16422.760645161296"/>
        <n v="-18175.46161290323"/>
        <n v="-31953.712580645166"/>
        <n v="-45731.9635483871"/>
        <n v="-33140.73451612904"/>
        <n v="-39236.04548387098"/>
        <n v="-38708.78645161291"/>
        <n v="-30660.96741935485"/>
        <n v="-16167.538387096789"/>
        <n v="-29945.789354838726"/>
        <n v="-43724.040322580666"/>
        <n v="-5984.161290322598"/>
        <n v="-2904.732258064534"/>
        <n v="-4656.523225806472"/>
        <n v="-5628.09419354841"/>
        <n v="-3100.3451612903464"/>
        <n v="-16878.59612903228"/>
        <n v="-30656.847096774218"/>
        <n v="-35030.14806451615"/>
        <n v="-35440.029032258084"/>
        <n v="18965.839999999975"/>
        <n v="21267.36482758618"/>
        <n v="22203.88965517239"/>
        <n v="7475.414482758595"/>
        <n v="-7253.060689655198"/>
        <n v="-14798.34586206899"/>
        <n v="-16636.031034482785"/>
        <n v="-16424.576206896578"/>
        <n v="13460.928620689625"/>
        <n v="4515.453448275832"/>
        <n v="248.28827586203806"/>
        <n v="-14480.186896551755"/>
        <n v="-12137.81206896555"/>
        <n v="-12097.607241379344"/>
        <n v="4257.857586206865"/>
        <n v="2864.582413793072"/>
        <n v="7094.71724137928"/>
        <n v="-7633.757931034514"/>
        <n v="-22362.233103448307"/>
        <n v="-32521.7082758621"/>
        <n v="-45364.873448275895"/>
        <n v="-32176.718620689688"/>
        <n v="-25075.603793103484"/>
        <n v="-8843.298965517279"/>
        <n v="-23571.774137931072"/>
        <n v="-38300.249310344865"/>
        <n v="6836.135517241346"/>
        <n v="22771.880344827554"/>
        <n v="17850.625172413762"/>
        <n v="81806.57999999996"/>
        <n v="-14373.267741935482"/>
        <n v="-29555.485483870965"/>
        <n v="-44737.70322580645"/>
        <n v="-51956.37096774193"/>
        <n v="-59343.45870967742"/>
        <n v="-61659.7064516129"/>
        <n v="-71306.92419354839"/>
        <n v="-78539.14193548387"/>
        <n v="-93721.35967741936"/>
        <n v="-108903.57741935484"/>
        <n v="-81706.53516129032"/>
        <n v="-70556.5729032258"/>
        <n v="-56198.630645161276"/>
        <n v="-56481.71838709676"/>
        <n v="-47740.556129032244"/>
        <n v="-62922.77387096773"/>
        <n v="-78104.9916129032"/>
        <n v="-70347.55935483868"/>
        <n v="-44546.207096774175"/>
        <n v="-51574.81483870966"/>
        <n v="-52352.81258064514"/>
        <n v="-42738.97032258063"/>
        <n v="-57921.188064516115"/>
        <n v="-73103.4058064516"/>
        <n v="-57284.803548387084"/>
        <n v="-6097.981290322561"/>
        <n v="-21280.199032258046"/>
        <n v="-36462.41677419353"/>
        <n v="-51644.634516129016"/>
        <n v="-66826.8522580645"/>
        <n v="-22802.10999999998"/>
        <n v="-11715.087333333333"/>
        <n v="-21956.414666666664"/>
        <n v="-28437.961999999996"/>
        <n v="-37936.79933333333"/>
        <n v="-48598.88666666666"/>
        <n v="-63938.97399999999"/>
        <n v="-79279.06133333332"/>
        <n v="-33077.52866666665"/>
        <n v="-41266.59599999998"/>
        <n v="-14118.523333333313"/>
        <n v="-3752.8906666666444"/>
        <n v="-13504.547999999977"/>
        <n v="-28844.63533333331"/>
        <n v="-44184.72266666664"/>
        <n v="-51256.53999999997"/>
        <n v="-41780.29733333331"/>
        <n v="-28941.874666666637"/>
        <n v="-21552.421999999973"/>
        <n v="-24374.209333333307"/>
        <n v="-39714.29666666664"/>
        <n v="-55054.38399999998"/>
        <n v="-48717.79133333331"/>
        <n v="-50119.73866666664"/>
        <n v="-45156.22599999997"/>
        <n v="-39119.03333333331"/>
        <n v="-41854.40066666664"/>
        <n v="-57194.48799999997"/>
        <n v="-72534.5753333333"/>
        <n v="-60651.092666666635"/>
        <n v="28010.370000000024"/>
        <n v="-14603.84"/>
        <n v="-29538.55"/>
        <n v="-44314.39"/>
        <n v="-62100.229999999996"/>
        <n v="-79886.06999999999"/>
        <n v="-49451.96999999999"/>
        <n v="-42559.83999999998"/>
        <n v="-47094.39999999998"/>
        <n v="-18627.179999999982"/>
        <n v="-14029.879999999983"/>
        <n v="-31815.719999999983"/>
        <n v="-49601.55999999998"/>
        <n v="-33793.239999999976"/>
        <n v="-23703.049999999977"/>
        <n v="-10499.05999999998"/>
        <n v="-5992.4299999999785"/>
        <n v="410.96000000002095"/>
        <n v="-17374.87999999998"/>
        <n v="-35160.71999999998"/>
        <n v="-25864.74999999998"/>
        <n v="27928.44000000002"/>
        <n v="39033.870000000024"/>
        <n v="49401.450000000026"/>
        <n v="63109.79000000002"/>
        <n v="45323.950000000026"/>
        <n v="27538.110000000026"/>
        <n v="35322.950000000026"/>
        <n v="36431.510000000024"/>
        <n v="56876.25000000003"/>
        <n v="72052.30000000003"/>
        <n v="123299.16000000003"/>
        <n v="-16052.295333333333"/>
        <n v="-32104.590666666667"/>
        <n v="-41966.886"/>
        <n v="-46728.181333333334"/>
        <n v="-57507.47666666667"/>
        <n v="-34388.302"/>
        <n v="-20783.227333333336"/>
        <n v="-36835.52266666667"/>
        <n v="-52887.81800000001"/>
        <n v="-42879.45333333334"/>
        <n v="-21021.218666666675"/>
        <n v="10577.175999999992"/>
        <n v="34479.580666666654"/>
        <n v="42830.42533333332"/>
        <n v="26778.129999999983"/>
        <n v="10725.83466666665"/>
        <n v="30098.539333333312"/>
        <n v="57026.00399999998"/>
        <n v="64135.51866666664"/>
        <n v="71306.4633333333"/>
        <n v="74862.66799999998"/>
        <n v="58810.37266666664"/>
        <n v="42758.077333333305"/>
        <n v="51097.82199999997"/>
        <n v="55896.39666666664"/>
        <n v="54539.431333333305"/>
        <n v="62249.34599999997"/>
        <n v="118382.86066666663"/>
        <n v="102330.5653333333"/>
        <n v="159422.53999999998"/>
        <n v="-16786.33193548387"/>
        <n v="-23272.663870967743"/>
        <n v="-25584.565806451614"/>
        <n v="-24066.067741935483"/>
        <n v="24175.52032258064"/>
        <n v="7389.188387096769"/>
        <n v="-9397.143548387103"/>
        <n v="-3630.985483870976"/>
        <n v="11375.012580645154"/>
        <n v="20468.220645161284"/>
        <n v="18181.698709677414"/>
        <n v="22656.386774193543"/>
        <n v="5870.0548387096715"/>
        <n v="-10916.2770967742"/>
        <n v="5281.320967741929"/>
        <n v="12373.809032258057"/>
        <n v="28707.947096774187"/>
        <n v="29865.475161290316"/>
        <n v="42859.323225806445"/>
        <n v="26072.991290322574"/>
        <n v="9286.659354838703"/>
        <n v="21101.45741935483"/>
        <n v="20960.515483870957"/>
        <n v="20434.753548387085"/>
        <n v="18699.171612903214"/>
        <n v="24029.019677419343"/>
        <n v="7242.687741935471"/>
        <n v="-9543.6441935484"/>
        <n v="7775.223870967726"/>
        <n v="38271.61193548386"/>
        <n v="122108.83999999998"/>
        <n v="-18779.683548387096"/>
        <n v="-37192.36709677419"/>
        <n v="-57555.05064516129"/>
        <n v="-77917.73419354839"/>
        <n v="-95305.41774193548"/>
        <n v="-64815.62129032258"/>
        <n v="-29097.37483870968"/>
        <n v="-41129.00838709678"/>
        <n v="-43488.73193548388"/>
        <n v="-63851.41548387097"/>
        <n v="-84214.09903225806"/>
        <n v="-54252.812580645164"/>
        <n v="-51465.01612903226"/>
        <n v="-65118.709677419356"/>
        <n v="-85481.39322580645"/>
        <n v="-56122.736774193545"/>
        <n v="-76485.42032258064"/>
        <n v="-96848.10387096774"/>
        <n v="-93767.38741935484"/>
        <n v="-84540.74096774193"/>
        <n v="-85477.27451612902"/>
        <n v="-60213.768064516116"/>
        <n v="-45406.72161290321"/>
        <n v="-65769.40516129031"/>
        <n v="-86132.08870967741"/>
        <n v="-83896.7722580645"/>
        <n v="-57203.2758064516"/>
        <n v="-33122.4893548387"/>
        <n v="8462.84709677421"/>
        <n v="40614.17954838712"/>
        <n v="122140.21600000001"/>
        <n v="-19369.811999999998"/>
        <n v="-34280.174"/>
        <n v="-50283.78599999999"/>
        <n v="-61188.56799999999"/>
        <n v="-74928.37999999999"/>
        <n v="-5206.322"/>
        <n v="-24576.134"/>
        <n v="-43945.945999999996"/>
        <n v="-15425.748"/>
        <n v="-19551.249999999996"/>
        <n v="-24407.521999999997"/>
        <n v="-24343.563999999995"/>
        <n v="-17245.945999999996"/>
        <n v="-36615.757999999994"/>
        <n v="-55985.56999999999"/>
        <n v="-9632.671999999999"/>
        <n v="7516.036000000007"/>
        <n v="32169.594000000012"/>
        <n v="46913.792000000016"/>
        <n v="64103.88000000002"/>
        <n v="49869.69800000002"/>
        <n v="30499.88600000002"/>
        <n v="25191.71400000002"/>
        <n v="35389.32200000002"/>
        <n v="55011.64000000003"/>
        <n v="80602.50800000003"/>
        <n v="111477.80600000004"/>
        <n v="100990.17400000004"/>
        <n v="81620.36200000005"/>
        <n v="251338.25000000006"/>
        <n v="-13796.850322580645"/>
        <n v="-29318.600645161292"/>
        <n v="-45229.45096774194"/>
        <n v="-60964.30129032259"/>
        <n v="-79678.15161290324"/>
        <n v="-98392.00193548389"/>
        <n v="-5501.132258064536"/>
        <n v="15678.12741935482"/>
        <n v="19358.307096774173"/>
        <n v="18410.44677419353"/>
        <n v="29211.956451612885"/>
        <n v="10498.10612903224"/>
        <n v="-8215.744193548406"/>
        <n v="9496.355483870946"/>
        <n v="14828.495161290302"/>
        <n v="33686.64483870966"/>
        <n v="132304.64451612902"/>
        <n v="131477.86419354836"/>
        <n v="112764.01387096771"/>
        <n v="94050.16354838706"/>
        <n v="104154.76322580641"/>
        <n v="131812.48290322578"/>
        <n v="155864.75258064514"/>
        <n v="153990.2922580645"/>
        <n v="171706.21193548385"/>
        <n v="152992.36161290322"/>
        <n v="134278.51129032258"/>
        <n v="141462.40096774194"/>
        <n v="165611.9806451613"/>
        <n v="236799.36032258064"/>
        <n v="360464.7"/>
        <n v="-27333.333333333332"/>
        <n v="-54666.666666666664"/>
        <n v="-82000.0"/>
        <n v="-92743.33333333333"/>
        <n v="-108800.76666666666"/>
        <n v="-87605.19999999998"/>
        <n v="-85943.10333333332"/>
        <n v="-39612.84666666665"/>
        <n v="-52689.58999999998"/>
        <n v="-80022.92333333331"/>
        <n v="-59734.27666666664"/>
        <n v="-44848.93999999997"/>
        <n v="-56184.3533333333"/>
        <n v="-56674.29666666663"/>
        <n v="-48277.30999999997"/>
        <n v="-75610.6433333333"/>
        <n v="-102943.97666666663"/>
        <n v="-73284.95999999995"/>
        <n v="-70058.64333333328"/>
        <n v="-51621.346666666606"/>
        <n v="-42521.04999999993"/>
        <n v="-33896.063333333266"/>
        <n v="-61229.396666666595"/>
        <n v="-88562.72999999992"/>
        <n v="-68199.13333333326"/>
        <n v="-74601.1666666666"/>
        <n v="-53044.419999999925"/>
        <n v="-30024.47333333325"/>
        <n v="-5622.556666666584"/>
        <n v="103257.36000000009"/>
        <n v="-26451.612903225807"/>
        <n v="-44884.22580645161"/>
        <n v="-64688.838709677424"/>
        <n v="-87188.45161290323"/>
        <n v="-107644.06451612903"/>
        <n v="-89050.01741935484"/>
        <n v="-115501.63032258065"/>
        <n v="-141953.24322580645"/>
        <n v="-91409.27612903225"/>
        <n v="-70991.34903225806"/>
        <n v="-60796.37193548387"/>
        <n v="-76509.56483870967"/>
        <n v="-60235.69774193548"/>
        <n v="-86687.31064516128"/>
        <n v="-113138.92354838709"/>
        <n v="-60796.05645161288"/>
        <n v="-16573.049354838688"/>
        <n v="30638.66774193551"/>
        <n v="30793.694838709707"/>
        <n v="78751.9519354839"/>
        <n v="52300.339032258096"/>
        <n v="25848.72612903229"/>
        <n v="-602.8867741935173"/>
        <n v="-27054.499677419324"/>
        <n v="-53506.11258064513"/>
        <n v="-79957.72548387093"/>
        <n v="-89432.50838709674"/>
        <n v="-102452.10129032255"/>
        <n v="-128903.71419354835"/>
        <n v="-114316.20709677416"/>
        <n v="117588.78000000003"/>
        <n v="-32960.70483870968"/>
        <n v="-61421.40967741936"/>
        <n v="-88727.11451612905"/>
        <n v="-115962.81935483872"/>
        <n v="-148923.5241935484"/>
        <n v="-142227.70903225808"/>
        <n v="-131886.22387096775"/>
        <n v="-132735.27870967743"/>
        <n v="-138673.5835483871"/>
        <n v="-140788.3383870968"/>
        <n v="-173749.04322580647"/>
        <n v="-206709.74806451614"/>
        <n v="-210902.58290322582"/>
        <n v="-210436.7377419355"/>
        <n v="-209653.40258064517"/>
        <n v="-213189.83741935485"/>
        <n v="-194459.74225806454"/>
        <n v="-227420.4470967742"/>
        <n v="-260381.15193548388"/>
        <n v="-262298.63677419355"/>
        <n v="-267435.30161290325"/>
        <n v="-217617.40645161294"/>
        <n v="-196633.31129032263"/>
        <n v="-174154.1661290323"/>
        <n v="-207114.87096774197"/>
        <n v="-240075.57580645164"/>
        <n v="-170601.1506451613"/>
        <n v="-140519.465483871"/>
        <n v="-144256.2803225807"/>
        <n v="-85103.55516129037"/>
        <n v="40025.53999999995"/>
        <n v="-18528.697857142855"/>
        <n v="-56826.39571428571"/>
        <n v="-84285.09357142856"/>
        <n v="-114792.79142857142"/>
        <n v="-144841.48928571428"/>
        <n v="-97722.26714285713"/>
        <n v="-71321.465"/>
        <n v="-109619.16285714286"/>
        <n v="-147916.86071428572"/>
        <n v="-144518.5685714286"/>
        <n v="-156994.68642857144"/>
        <n v="-147629.7042857143"/>
        <n v="-159511.67214285716"/>
        <n v="-152166.87000000002"/>
        <n v="-190464.5678571429"/>
        <n v="-228762.26571428575"/>
        <n v="-238268.4935714286"/>
        <n v="-230837.99142857146"/>
        <n v="-231867.5492857143"/>
        <n v="-210178.31714285718"/>
        <n v="-225157.05500000005"/>
        <n v="-263454.7528571429"/>
        <n v="-301752.4507142857"/>
        <n v="-300115.82857142854"/>
        <n v="-319960.8264285714"/>
        <n v="-333220.90428571426"/>
        <n v="-344226.3621428571"/>
        <n v="-51239.60999999993"/>
        <n v="-36137.74612903225"/>
        <n v="-72275.4922580645"/>
        <n v="-101917.23838709676"/>
        <n v="-133017.984516129"/>
        <n v="-164534.73064516127"/>
        <n v="-176446.32677419353"/>
        <n v="-169789.4029032258"/>
        <n v="-205927.14903225805"/>
        <n v="-242064.8951612903"/>
        <n v="-239002.57129032255"/>
        <n v="-256419.6674193548"/>
        <n v="-234838.11654838704"/>
        <n v="-211755.8626774193"/>
        <n v="-193161.15880645154"/>
        <n v="-229298.9049354838"/>
        <n v="-265436.65106451605"/>
        <n v="-258045.4031935483"/>
        <n v="-234226.10932258054"/>
        <n v="-234466.34545161278"/>
        <n v="-225714.29158064505"/>
        <n v="-236512.2177096773"/>
        <n v="-272649.9638387095"/>
        <n v="-308787.70996774174"/>
        <n v="-308589.45609677397"/>
        <n v="-270091.39222580625"/>
        <n v="-251680.4783548385"/>
        <n v="-253649.55448387074"/>
        <n v="-256749.950612903"/>
        <n v="-292887.6967419352"/>
        <n v="-329025.44287096744"/>
        <n v="-137127.5889999997"/>
        <n v="-10530.37666666667"/>
        <n v="7683.716666666653"/>
        <n v="1958.7499999999854"/>
        <n v="-21349.736666666686"/>
        <n v="-75459.57333333336"/>
        <n v="-129569.41000000003"/>
        <n v="-49895.9666666667"/>
        <n v="-27249.14333333337"/>
        <n v="-17010.460000000036"/>
        <n v="-15184.406666666706"/>
        <n v="6663.946666666627"/>
        <n v="-47445.89000000004"/>
        <n v="-101555.72666666671"/>
        <n v="-76659.73333333338"/>
        <n v="-32167.08000000006"/>
        <n v="-86276.91666666673"/>
        <n v="-140386.7533333334"/>
        <n v="-194496.59000000008"/>
        <n v="-248606.42666666675"/>
        <n v="-302716.2633333334"/>
        <n v="-286915.6700000001"/>
        <n v="-182621.34666666677"/>
        <n v="-164976.72333333344"/>
        <n v="-146357.9900000001"/>
        <n v="-85492.01666666678"/>
        <n v="-139601.85333333345"/>
        <n v="-193711.69000000012"/>
        <n v="-111051.00666666677"/>
        <n v="-57540.60333333345"/>
        <n v="221406.99999999988"/>
        <n v="-64304.69677419355"/>
        <n v="-125307.3935483871"/>
        <n v="-189612.09032258065"/>
        <n v="-253916.7870967742"/>
        <n v="-314717.48387096776"/>
        <n v="-336178.5306451613"/>
        <n v="-294921.72741935484"/>
        <n v="-265869.5041935484"/>
        <n v="-212576.98096774195"/>
        <n v="-276881.6777419355"/>
        <n v="-341186.374516129"/>
        <n v="-355947.37129032257"/>
        <n v="-380126.4480645161"/>
        <n v="-412996.57483870967"/>
        <n v="-331051.56161290326"/>
        <n v="-293563.6083870968"/>
        <n v="-357868.30516129034"/>
        <n v="-422173.0019354839"/>
        <n v="-404817.97870967747"/>
        <n v="-369603.58548387105"/>
        <n v="-322846.94225806464"/>
        <n v="-349614.86903225817"/>
        <n v="-358792.84580645175"/>
        <n v="-423097.5425806453"/>
        <n v="-487402.23935483885"/>
        <n v="-491601.7561290324"/>
        <n v="-508290.80290322594"/>
        <n v="-488879.3896774195"/>
        <n v="-479658.606451613"/>
        <n v="-374312.7032258066"/>
        <n v="-142021.0600000001"/>
        <n v="-65457.69066666667"/>
        <n v="-125389.38133333334"/>
        <n v="-183332.07200000001"/>
        <n v="-244797.76266666668"/>
        <n v="-304342.1533333333"/>
        <n v="-181372.524"/>
        <n v="-246830.21466666667"/>
        <n v="-312287.90533333336"/>
        <n v="-316939.076"/>
        <n v="-294318.37666666665"/>
        <n v="-315334.5173333333"/>
        <n v="-355446.17799999996"/>
        <n v="-375540.2986666666"/>
        <n v="-440997.9893333333"/>
        <n v="-506455.67999999993"/>
        <n v="-390691.4506666666"/>
        <n v="-403027.3013333333"/>
        <n v="-402284.36199999996"/>
        <n v="-442320.5926666666"/>
        <n v="-482372.9333333333"/>
        <n v="-547830.624"/>
        <n v="-613288.3146666667"/>
        <n v="-634138.0753333333"/>
        <n v="-666706.416"/>
        <n v="-698938.0566666666"/>
        <n v="-738834.6953333333"/>
        <n v="-694264.776"/>
        <n v="-759722.4666666667"/>
        <n v="-825180.1573333334"/>
        <n v="-496378.2480000001"/>
        <n v="-60634.94225806452"/>
        <n v="-122373.88451612904"/>
        <n v="-184670.82677419356"/>
        <n v="-200140.35903225807"/>
        <n v="-259263.3012903226"/>
        <n v="-325106.2435483871"/>
        <n v="-314146.9458064516"/>
        <n v="-307189.53806451615"/>
        <n v="-256891.29032258067"/>
        <n v="-271386.3805806452"/>
        <n v="-307378.7528387097"/>
        <n v="-373221.6950967742"/>
        <n v="-439064.6373548387"/>
        <n v="-429851.6296129032"/>
        <n v="-383795.01187096775"/>
        <n v="-322517.80412903224"/>
        <n v="-340576.72638709674"/>
        <n v="-356209.6286451613"/>
        <n v="-422052.5709032258"/>
        <n v="-487895.5131612903"/>
        <n v="-523488.5654193548"/>
        <n v="-571101.6276774193"/>
      </sharedItems>
    </cacheField>
    <cacheField name=" " numFmtId="0">
      <sharedItems containsString="0" containsBlank="1" containsNumber="1">
        <m/>
        <n v="8217510.716"/>
      </sharedItems>
    </cacheField>
    <cacheField name="capital total2" numFmtId="0">
      <sharedItems containsString="0" containsBlank="1" containsNumber="1">
        <m/>
        <n v="0.0"/>
        <n v="45181.03"/>
        <n v="12084.91"/>
        <n v="4187.12"/>
        <n v="879.83"/>
        <n v="5815.54"/>
        <n v="740.82"/>
        <n v="10791.36"/>
        <n v="6404.1"/>
        <n v="12274.41"/>
        <n v="35447.32"/>
        <n v="23497.92"/>
        <n v="84662.25"/>
        <n v="211208.55"/>
        <n v="18482.39"/>
        <n v="2716.62"/>
        <n v="13769.16"/>
        <n v="30845.5"/>
        <n v="1438.71"/>
        <n v="71137.91"/>
        <n v="76681.79"/>
        <n v="28854.34"/>
        <n v="33131.97"/>
        <n v="28685.79"/>
        <n v="8370.39"/>
        <n v="42197.44"/>
        <n v="63241.25"/>
        <n v="864098.71"/>
        <n v="38533.24"/>
        <n v="247195.68"/>
        <n v="1150080.54"/>
        <n v="15573.19"/>
        <n v="3357.85"/>
        <n v="59497.54"/>
        <n v="52997.09"/>
        <n v="324517.86"/>
        <n v="543119.77"/>
        <n v="138992.7"/>
        <n v="284117.67"/>
        <n v="14117.62"/>
      </sharedItems>
    </cacheField>
    <cacheField name="interes cube2" numFmtId="0">
      <sharedItems containsString="0" containsBlank="1" containsNumber="1">
        <m/>
        <n v="0.0"/>
        <n v="31753.29"/>
        <n v="2970.9"/>
        <n v="13728.69"/>
        <n v="2720.16"/>
        <n v="5488.62"/>
        <n v="853.39"/>
        <n v="10356.99"/>
        <n v="17075.62"/>
        <n v="5919.13"/>
        <n v="7785.98"/>
        <n v="30910.65"/>
        <n v="54219.36"/>
        <n v="24780.71"/>
        <n v="15086.67"/>
        <n v="884.03"/>
        <n v="5535.45"/>
        <n v="23792.75"/>
        <n v="2097.36"/>
        <n v="56606.15"/>
        <n v="61553.71"/>
        <n v="40767.45"/>
        <n v="36076.48"/>
        <n v="19392.81"/>
        <n v="4162.37"/>
        <n v="40814.03"/>
        <n v="56515.59"/>
        <n v="32419.16"/>
        <n v="32191.75"/>
        <n v="45210.94"/>
        <n v="11890.48"/>
        <n v="17302.71"/>
        <n v="1890.08"/>
        <n v="51176.11"/>
        <n v="34786.02"/>
        <n v="69462.48"/>
        <n v="43060.77"/>
        <n v="2615.71"/>
        <n v="75541.37"/>
        <n v="13536.07"/>
      </sharedItems>
    </cacheField>
    <cacheField name="membresia2" numFmtId="0">
      <sharedItems containsString="0" containsBlank="1" containsNumber="1">
        <m/>
        <n v="0.0"/>
        <n v="8914.69"/>
        <n v="1015.9"/>
        <n v="685.61"/>
        <n v="336.54"/>
        <n v="1709.26"/>
        <n v="196.75"/>
        <n v="3209.4"/>
        <n v="2367.41"/>
        <n v="2885.77"/>
        <n v="1437.33"/>
        <n v="7462.38"/>
        <n v="20352.51"/>
        <n v="3673.58"/>
        <n v="6824.6"/>
        <n v="7508.16"/>
        <n v="3210.0"/>
        <n v="10488.39"/>
        <n v="544.63"/>
        <n v="23580.15"/>
        <n v="25012.12"/>
        <n v="10296.55"/>
        <n v="9354.34"/>
        <n v="12436.94"/>
        <n v="1779.17"/>
        <n v="14842.76"/>
        <n v="20866.24"/>
        <n v="21014.35"/>
        <n v="16447.2"/>
        <n v="17859.9"/>
        <n v="11959.49"/>
        <n v="5359.39"/>
        <n v="1080.93"/>
        <n v="21566.04"/>
        <n v="13775.59"/>
        <n v="22374.45"/>
        <n v="16692.41"/>
        <n v="103.67"/>
        <n v="27172.69"/>
        <n v="3994.95"/>
      </sharedItems>
    </cacheField>
    <cacheField name="otros ingresos2" numFmtId="0">
      <sharedItems containsString="0" containsBlank="1" containsNumber="1">
        <m/>
        <n v="0.0"/>
        <n v="5009.02"/>
        <n v="6140.62"/>
        <n v="0.87"/>
        <n v="77.11"/>
        <n v="688.0"/>
        <n v="2.87"/>
        <n v="262.51"/>
        <n v="4942.64"/>
        <n v="1881.73"/>
        <n v="2.92"/>
        <n v="1753.59"/>
        <n v="524.0"/>
        <n v="19.78"/>
        <n v="0.07"/>
        <n v="18025.2"/>
        <n v="151.0"/>
        <n v="135.16"/>
        <n v="79.13"/>
        <n v="5840.83"/>
        <n v="2613.1"/>
        <n v="9993.69"/>
        <n v="194.44"/>
        <n v="12256.8"/>
        <n v="2782.28"/>
        <n v="64.53"/>
        <n v="2141.26"/>
        <n v="11.08"/>
        <n v="0.1"/>
        <n v="113.38"/>
        <n v="581.24"/>
        <n v="55.52"/>
        <n v="1066.44"/>
        <n v="4500.0"/>
        <n v="42.58"/>
        <n v="371.85"/>
      </sharedItems>
    </cacheField>
    <cacheField name="mora cube2" numFmtId="0">
      <sharedItems containsString="0" containsBlank="1" containsNumber="1">
        <m/>
        <n v="0.0"/>
        <n v="5188.53"/>
        <n v="820.94"/>
        <n v="90.38"/>
        <n v="577.09"/>
        <n v="1683.18"/>
        <n v="365.16"/>
        <n v="1273.8"/>
        <n v="1416.2"/>
        <n v="2073.1"/>
        <n v="86.46"/>
        <n v="847.0"/>
        <n v="1230.71"/>
        <n v="365.66"/>
        <n v="3099.3"/>
        <n v="2882.47"/>
        <n v="825.81"/>
        <n v="113.97"/>
        <n v="713.18"/>
        <n v="86.03"/>
        <n v="1348.5"/>
        <n v="3082.83"/>
        <n v="4203.97"/>
        <n v="602.75"/>
        <n v="3121.92"/>
        <n v="4122.87"/>
        <n v="3064.41"/>
        <n v="2483.72"/>
        <n v="4355.28"/>
        <n v="2168.85"/>
        <n v="3119.69"/>
        <n v="389.76"/>
        <n v="2849.8"/>
        <n v="167.54"/>
      </sharedItems>
    </cacheField>
    <cacheField name="Royalti" numFmtId="0">
      <sharedItems containsString="0" containsBlank="1" containsNumber="1" containsInteger="1">
        <m/>
        <n v="0.0"/>
        <n v="2386.0"/>
        <n v="1982.0"/>
        <n v="13794.0"/>
        <n v="1788.0"/>
        <n v="22517.0"/>
        <n v="688.0"/>
        <n v="2842.0"/>
        <n v="9703.0"/>
        <n v="12599.0"/>
        <n v="7518.0"/>
      </sharedItems>
    </cacheField>
    <cacheField name="facturacion2" numFmtId="0">
      <sharedItems containsString="0" containsBlank="1" containsNumber="1">
        <m/>
        <n v="0.0"/>
        <n v="50865.53"/>
        <n v="4807.74"/>
        <n v="14414.300000000001"/>
        <n v="3056.7"/>
        <n v="7288.26"/>
        <n v="1627.23"/>
        <n v="19707.010000000002"/>
        <n v="21127.079999999998"/>
        <n v="9247.17"/>
        <n v="9911.31"/>
        <n v="42035.7"/>
        <n v="76250.58"/>
        <n v="33396.93"/>
        <n v="3863.73"/>
        <n v="37781.29"/>
        <n v="12020.24"/>
        <n v="10116.45"/>
        <n v="35531.63"/>
        <n v="3007.7200000000003"/>
        <n v="123827.79999999999"/>
        <n v="89599.3"/>
        <n v="52024.969999999994"/>
        <n v="45623.920000000006"/>
        <n v="39071.76"/>
        <n v="11482.67"/>
        <n v="76701.98000000001"/>
        <n v="80659.1"/>
        <n v="69894.28"/>
        <n v="64622.98"/>
        <n v="66257.29000000001"/>
        <n v="30114.1"/>
        <n v="25737.59"/>
        <n v="2971.1099999999997"/>
        <n v="75339.25"/>
        <n v="53498.13"/>
        <n v="94061.29999999999"/>
        <n v="63939.31"/>
        <n v="15127.14"/>
        <n v="105606.44"/>
        <n v="18070.41"/>
      </sharedItems>
    </cacheField>
    <cacheField name=" 2" numFmtId="0">
      <sharedItems containsString="0" containsBlank="1">
        <m/>
      </sharedItems>
    </cacheField>
    <cacheField name="Año" numFmtId="0">
      <sharedItems containsSemiMixedTypes="0" containsString="0" containsNumber="1" containsInteger="1">
        <n v="2022.0"/>
        <n v="2023.0"/>
        <n v="2024.0"/>
        <n v="2025.0"/>
      </sharedItems>
    </cacheField>
    <cacheField name="Mes" numFmtId="0">
      <sharedItems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Orden" numFmtId="0">
      <sharedItems>
        <s v="1"/>
        <s v="2"/>
        <s v="3"/>
        <s v="4"/>
        <s v="5"/>
        <s v="6"/>
        <s v="7"/>
        <s v="8"/>
        <s v="9"/>
        <s v="10"/>
        <s v="11"/>
        <s v="12"/>
      </sharedItems>
    </cacheField>
  </cacheFields>
</pivotCach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8" max="9" width="14.13"/>
    <col customWidth="1" min="47" max="49" width="18.25"/>
    <col customWidth="1" min="50" max="52" width="20.13"/>
    <col customWidth="1" min="53" max="53" width="20.75"/>
    <col customWidth="1" min="54" max="54" width="16.63"/>
    <col customWidth="1" min="55" max="55" width="15.13"/>
    <col customWidth="1" min="56" max="57" width="20.0"/>
    <col customWidth="1" min="58" max="58" width="7.13"/>
    <col customWidth="1" min="59" max="59" width="20.88"/>
    <col customWidth="1" min="60" max="60" width="20.75"/>
    <col customWidth="1" min="61" max="61" width="18.75"/>
    <col customWidth="1" min="62" max="62" width="13.5"/>
    <col customWidth="1" min="67" max="67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3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4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4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4" t="s">
        <v>44</v>
      </c>
      <c r="AT1" s="1" t="s">
        <v>45</v>
      </c>
      <c r="AU1" s="1" t="s">
        <v>46</v>
      </c>
      <c r="AV1" s="4" t="s">
        <v>47</v>
      </c>
      <c r="AW1" s="1" t="s">
        <v>48</v>
      </c>
      <c r="AX1" s="4" t="s">
        <v>49</v>
      </c>
      <c r="AY1" s="4" t="s">
        <v>50</v>
      </c>
      <c r="AZ1" s="4" t="s">
        <v>51</v>
      </c>
      <c r="BA1" s="1" t="s">
        <v>52</v>
      </c>
      <c r="BB1" s="1" t="s">
        <v>53</v>
      </c>
      <c r="BC1" s="4" t="s">
        <v>54</v>
      </c>
      <c r="BD1" s="4" t="s">
        <v>55</v>
      </c>
      <c r="BE1" s="4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5" t="s">
        <v>66</v>
      </c>
      <c r="BP1" s="6" t="s">
        <v>67</v>
      </c>
      <c r="BQ1" s="7" t="s">
        <v>7</v>
      </c>
      <c r="BR1" s="7" t="s">
        <v>68</v>
      </c>
      <c r="BS1" s="7" t="s">
        <v>21</v>
      </c>
      <c r="BT1" s="7" t="s">
        <v>28</v>
      </c>
      <c r="BU1" s="7" t="s">
        <v>69</v>
      </c>
      <c r="BV1" s="7" t="s">
        <v>70</v>
      </c>
      <c r="BW1" s="7" t="s">
        <v>45</v>
      </c>
      <c r="BX1" s="6" t="s">
        <v>67</v>
      </c>
      <c r="BY1" s="5" t="s">
        <v>71</v>
      </c>
      <c r="BZ1" s="5" t="s">
        <v>72</v>
      </c>
      <c r="CA1" s="5" t="s">
        <v>73</v>
      </c>
    </row>
    <row r="2">
      <c r="A2" s="8">
        <v>44592.0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>
        <v>123866.75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9"/>
      <c r="AN2" s="9"/>
      <c r="AO2" s="9"/>
      <c r="AP2" s="9"/>
      <c r="AQ2" s="9"/>
      <c r="AR2" s="9"/>
      <c r="AS2" s="9"/>
      <c r="AT2" s="9">
        <v>123866.75</v>
      </c>
      <c r="AU2" s="11">
        <v>123866.75</v>
      </c>
      <c r="AV2" s="11"/>
      <c r="AW2" s="11"/>
      <c r="AX2" s="12">
        <f t="shared" ref="AX2:AX509" si="1">AT2+AV2</f>
        <v>123866.75</v>
      </c>
      <c r="AY2" s="9"/>
      <c r="AZ2" s="9">
        <v>93237.94</v>
      </c>
      <c r="BA2" s="9">
        <v>93237.94</v>
      </c>
      <c r="BB2" s="10"/>
      <c r="BC2" s="10"/>
      <c r="BD2" s="13"/>
      <c r="BE2" s="13"/>
      <c r="BF2" s="14"/>
      <c r="BG2" s="10"/>
      <c r="BH2" s="6"/>
      <c r="BI2" s="6"/>
      <c r="BJ2" s="15"/>
      <c r="BK2" s="15"/>
      <c r="BM2" s="16"/>
      <c r="BY2" s="6">
        <f t="shared" ref="BY2:BY833" si="2">YEAR(A2)</f>
        <v>2022</v>
      </c>
      <c r="BZ2" s="6" t="str">
        <f t="shared" ref="BZ2:BZ833" si="3">TEXT(A2,"MMMM")</f>
        <v>enero</v>
      </c>
      <c r="CA2" s="6" t="str">
        <f t="shared" ref="CA2:CA833" si="4">TEXT(A2,"m")</f>
        <v>1</v>
      </c>
    </row>
    <row r="3">
      <c r="A3" s="8">
        <v>44620.0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>
        <v>105441.09</v>
      </c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9"/>
      <c r="AN3" s="9"/>
      <c r="AO3" s="9"/>
      <c r="AP3" s="9"/>
      <c r="AQ3" s="9"/>
      <c r="AR3" s="9"/>
      <c r="AS3" s="9"/>
      <c r="AT3" s="9">
        <v>105441.09</v>
      </c>
      <c r="AU3" s="11">
        <v>105441.09</v>
      </c>
      <c r="AV3" s="11"/>
      <c r="AW3" s="11"/>
      <c r="AX3" s="12">
        <f t="shared" si="1"/>
        <v>105441.09</v>
      </c>
      <c r="AY3" s="9"/>
      <c r="AZ3" s="9">
        <v>64539.11</v>
      </c>
      <c r="BA3" s="9">
        <v>64539.11</v>
      </c>
      <c r="BB3" s="10"/>
      <c r="BC3" s="10"/>
      <c r="BD3" s="13"/>
      <c r="BE3" s="13"/>
      <c r="BF3" s="14"/>
      <c r="BG3" s="10"/>
      <c r="BH3" s="6"/>
      <c r="BI3" s="6"/>
      <c r="BJ3" s="15"/>
      <c r="BK3" s="15"/>
      <c r="BM3" s="16"/>
      <c r="BY3" s="6">
        <f t="shared" si="2"/>
        <v>2022</v>
      </c>
      <c r="BZ3" s="6" t="str">
        <f t="shared" si="3"/>
        <v>febrero</v>
      </c>
      <c r="CA3" s="6" t="str">
        <f t="shared" si="4"/>
        <v>2</v>
      </c>
    </row>
    <row r="4">
      <c r="A4" s="8">
        <v>44651.0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>
        <v>119734.75</v>
      </c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9"/>
      <c r="AN4" s="9"/>
      <c r="AO4" s="9"/>
      <c r="AP4" s="9"/>
      <c r="AQ4" s="9"/>
      <c r="AR4" s="9"/>
      <c r="AS4" s="9"/>
      <c r="AT4" s="9">
        <v>119734.75</v>
      </c>
      <c r="AU4" s="11">
        <v>119734.75</v>
      </c>
      <c r="AV4" s="11"/>
      <c r="AW4" s="11"/>
      <c r="AX4" s="12">
        <f t="shared" si="1"/>
        <v>119734.75</v>
      </c>
      <c r="AY4" s="17"/>
      <c r="AZ4" s="17">
        <v>83739.04</v>
      </c>
      <c r="BA4" s="17">
        <v>83739.04</v>
      </c>
      <c r="BB4" s="10"/>
      <c r="BC4" s="10"/>
      <c r="BD4" s="13"/>
      <c r="BE4" s="13"/>
      <c r="BF4" s="14"/>
      <c r="BG4" s="10"/>
      <c r="BH4" s="6"/>
      <c r="BI4" s="6"/>
      <c r="BJ4" s="15"/>
      <c r="BK4" s="15"/>
      <c r="BM4" s="16"/>
      <c r="BY4" s="6">
        <f t="shared" si="2"/>
        <v>2022</v>
      </c>
      <c r="BZ4" s="6" t="str">
        <f t="shared" si="3"/>
        <v>marzo</v>
      </c>
      <c r="CA4" s="6" t="str">
        <f t="shared" si="4"/>
        <v>3</v>
      </c>
    </row>
    <row r="5">
      <c r="A5" s="8">
        <v>44681.0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>
        <v>164886.35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9"/>
      <c r="AN5" s="9"/>
      <c r="AO5" s="9"/>
      <c r="AP5" s="9"/>
      <c r="AQ5" s="9"/>
      <c r="AR5" s="9"/>
      <c r="AS5" s="9"/>
      <c r="AT5" s="9">
        <v>164886.35</v>
      </c>
      <c r="AU5" s="11">
        <v>164886.35</v>
      </c>
      <c r="AV5" s="11"/>
      <c r="AW5" s="11"/>
      <c r="AX5" s="12">
        <f t="shared" si="1"/>
        <v>164886.35</v>
      </c>
      <c r="AY5" s="17"/>
      <c r="AZ5" s="17">
        <v>69197.02</v>
      </c>
      <c r="BA5" s="17">
        <v>69197.02</v>
      </c>
      <c r="BB5" s="10"/>
      <c r="BC5" s="10"/>
      <c r="BD5" s="13"/>
      <c r="BE5" s="13"/>
      <c r="BF5" s="14"/>
      <c r="BG5" s="10"/>
      <c r="BH5" s="6"/>
      <c r="BI5" s="6"/>
      <c r="BJ5" s="15"/>
      <c r="BK5" s="15"/>
      <c r="BM5" s="16"/>
      <c r="BY5" s="6">
        <f t="shared" si="2"/>
        <v>2022</v>
      </c>
      <c r="BZ5" s="6" t="str">
        <f t="shared" si="3"/>
        <v>abril</v>
      </c>
      <c r="CA5" s="6" t="str">
        <f t="shared" si="4"/>
        <v>4</v>
      </c>
    </row>
    <row r="6">
      <c r="A6" s="8">
        <v>44712.0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>
        <v>385262.6</v>
      </c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9"/>
      <c r="AN6" s="9"/>
      <c r="AO6" s="9"/>
      <c r="AP6" s="9"/>
      <c r="AQ6" s="9"/>
      <c r="AR6" s="9"/>
      <c r="AS6" s="9"/>
      <c r="AT6" s="9">
        <v>385262.6</v>
      </c>
      <c r="AU6" s="11">
        <v>385262.6</v>
      </c>
      <c r="AV6" s="11"/>
      <c r="AW6" s="11"/>
      <c r="AX6" s="12">
        <f t="shared" si="1"/>
        <v>385262.6</v>
      </c>
      <c r="AY6" s="17"/>
      <c r="AZ6" s="17">
        <v>61731.29</v>
      </c>
      <c r="BA6" s="17">
        <v>61731.29</v>
      </c>
      <c r="BB6" s="10"/>
      <c r="BC6" s="10"/>
      <c r="BD6" s="13"/>
      <c r="BE6" s="13"/>
      <c r="BF6" s="14"/>
      <c r="BG6" s="10"/>
      <c r="BH6" s="6"/>
      <c r="BI6" s="6"/>
      <c r="BJ6" s="15"/>
      <c r="BK6" s="15"/>
      <c r="BM6" s="16"/>
      <c r="BY6" s="6">
        <f t="shared" si="2"/>
        <v>2022</v>
      </c>
      <c r="BZ6" s="6" t="str">
        <f t="shared" si="3"/>
        <v>mayo</v>
      </c>
      <c r="CA6" s="6" t="str">
        <f t="shared" si="4"/>
        <v>5</v>
      </c>
    </row>
    <row r="7">
      <c r="A7" s="8">
        <v>44742.0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>
        <v>220070.22</v>
      </c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9"/>
      <c r="AN7" s="9"/>
      <c r="AO7" s="9"/>
      <c r="AP7" s="9"/>
      <c r="AQ7" s="9"/>
      <c r="AR7" s="9"/>
      <c r="AS7" s="9"/>
      <c r="AT7" s="9">
        <v>220070.22</v>
      </c>
      <c r="AU7" s="11">
        <v>220070.22</v>
      </c>
      <c r="AV7" s="11"/>
      <c r="AW7" s="11"/>
      <c r="AX7" s="12">
        <f t="shared" si="1"/>
        <v>220070.22</v>
      </c>
      <c r="AY7" s="17"/>
      <c r="AZ7" s="17">
        <v>76004.13</v>
      </c>
      <c r="BA7" s="17">
        <v>76004.13</v>
      </c>
      <c r="BB7" s="10"/>
      <c r="BC7" s="10"/>
      <c r="BD7" s="13"/>
      <c r="BE7" s="13"/>
      <c r="BF7" s="14"/>
      <c r="BG7" s="10"/>
      <c r="BH7" s="6"/>
      <c r="BI7" s="6"/>
      <c r="BJ7" s="15"/>
      <c r="BK7" s="15"/>
      <c r="BM7" s="16"/>
      <c r="BY7" s="6">
        <f t="shared" si="2"/>
        <v>2022</v>
      </c>
      <c r="BZ7" s="6" t="str">
        <f t="shared" si="3"/>
        <v>junio</v>
      </c>
      <c r="CA7" s="6" t="str">
        <f t="shared" si="4"/>
        <v>6</v>
      </c>
    </row>
    <row r="8">
      <c r="A8" s="8">
        <v>44773.0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>
        <v>162574.63</v>
      </c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9"/>
      <c r="AN8" s="9"/>
      <c r="AO8" s="9"/>
      <c r="AP8" s="9"/>
      <c r="AQ8" s="9"/>
      <c r="AR8" s="9"/>
      <c r="AS8" s="9"/>
      <c r="AT8" s="9">
        <v>162574.63</v>
      </c>
      <c r="AU8" s="11">
        <v>162574.63</v>
      </c>
      <c r="AV8" s="11"/>
      <c r="AW8" s="11"/>
      <c r="AX8" s="12">
        <f t="shared" si="1"/>
        <v>162574.63</v>
      </c>
      <c r="AY8" s="17"/>
      <c r="AZ8" s="17">
        <v>68805.2</v>
      </c>
      <c r="BA8" s="17">
        <v>68805.2</v>
      </c>
      <c r="BB8" s="10"/>
      <c r="BC8" s="10"/>
      <c r="BD8" s="13"/>
      <c r="BE8" s="13"/>
      <c r="BF8" s="14"/>
      <c r="BG8" s="10"/>
      <c r="BH8" s="6"/>
      <c r="BI8" s="6"/>
      <c r="BJ8" s="15"/>
      <c r="BK8" s="15"/>
      <c r="BM8" s="16"/>
      <c r="BY8" s="6">
        <f t="shared" si="2"/>
        <v>2022</v>
      </c>
      <c r="BZ8" s="6" t="str">
        <f t="shared" si="3"/>
        <v>julio</v>
      </c>
      <c r="CA8" s="6" t="str">
        <f t="shared" si="4"/>
        <v>7</v>
      </c>
    </row>
    <row r="9">
      <c r="A9" s="8">
        <v>44804.0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>
        <v>178044.8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9"/>
      <c r="AN9" s="9"/>
      <c r="AO9" s="9"/>
      <c r="AP9" s="9"/>
      <c r="AQ9" s="9"/>
      <c r="AR9" s="9"/>
      <c r="AS9" s="9"/>
      <c r="AT9" s="9">
        <v>178044.8</v>
      </c>
      <c r="AU9" s="11">
        <v>178044.8</v>
      </c>
      <c r="AV9" s="11"/>
      <c r="AW9" s="11"/>
      <c r="AX9" s="12">
        <f t="shared" si="1"/>
        <v>178044.8</v>
      </c>
      <c r="AY9" s="17"/>
      <c r="AZ9" s="17">
        <v>57432.85</v>
      </c>
      <c r="BA9" s="17">
        <v>57432.85</v>
      </c>
      <c r="BB9" s="10"/>
      <c r="BC9" s="10"/>
      <c r="BD9" s="13"/>
      <c r="BE9" s="13"/>
      <c r="BF9" s="14"/>
      <c r="BG9" s="10"/>
      <c r="BH9" s="6"/>
      <c r="BI9" s="6"/>
      <c r="BJ9" s="15"/>
      <c r="BK9" s="15"/>
      <c r="BM9" s="16"/>
      <c r="BY9" s="6">
        <f t="shared" si="2"/>
        <v>2022</v>
      </c>
      <c r="BZ9" s="6" t="str">
        <f t="shared" si="3"/>
        <v>agosto</v>
      </c>
      <c r="CA9" s="6" t="str">
        <f t="shared" si="4"/>
        <v>8</v>
      </c>
    </row>
    <row r="10">
      <c r="A10" s="8">
        <v>44834.0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>
        <v>170329.25</v>
      </c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9"/>
      <c r="AN10" s="9"/>
      <c r="AO10" s="9"/>
      <c r="AP10" s="9"/>
      <c r="AQ10" s="9"/>
      <c r="AR10" s="9"/>
      <c r="AS10" s="9"/>
      <c r="AT10" s="9">
        <v>170329.25</v>
      </c>
      <c r="AU10" s="11">
        <v>170329.25</v>
      </c>
      <c r="AV10" s="11"/>
      <c r="AW10" s="11"/>
      <c r="AX10" s="12">
        <f t="shared" si="1"/>
        <v>170329.25</v>
      </c>
      <c r="AY10" s="17"/>
      <c r="AZ10" s="17">
        <v>87424.78</v>
      </c>
      <c r="BA10" s="17">
        <v>87424.78</v>
      </c>
      <c r="BB10" s="10"/>
      <c r="BC10" s="10"/>
      <c r="BD10" s="13"/>
      <c r="BE10" s="13"/>
      <c r="BF10" s="14"/>
      <c r="BG10" s="10"/>
      <c r="BH10" s="6"/>
      <c r="BI10" s="6"/>
      <c r="BJ10" s="15"/>
      <c r="BK10" s="15"/>
      <c r="BM10" s="16"/>
      <c r="BY10" s="6">
        <f t="shared" si="2"/>
        <v>2022</v>
      </c>
      <c r="BZ10" s="6" t="str">
        <f t="shared" si="3"/>
        <v>septiembre</v>
      </c>
      <c r="CA10" s="6" t="str">
        <f t="shared" si="4"/>
        <v>9</v>
      </c>
    </row>
    <row r="11">
      <c r="A11" s="8">
        <v>44865.0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>
        <v>320718.36</v>
      </c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9"/>
      <c r="AN11" s="9"/>
      <c r="AO11" s="9"/>
      <c r="AP11" s="9"/>
      <c r="AQ11" s="9"/>
      <c r="AR11" s="9"/>
      <c r="AS11" s="9"/>
      <c r="AT11" s="9">
        <v>320718.36</v>
      </c>
      <c r="AU11" s="11">
        <v>320718.36</v>
      </c>
      <c r="AV11" s="11"/>
      <c r="AW11" s="11"/>
      <c r="AX11" s="12">
        <f t="shared" si="1"/>
        <v>320718.36</v>
      </c>
      <c r="AY11" s="17"/>
      <c r="AZ11" s="17">
        <v>57168.52</v>
      </c>
      <c r="BA11" s="17">
        <v>57168.52</v>
      </c>
      <c r="BB11" s="10"/>
      <c r="BC11" s="10"/>
      <c r="BD11" s="13"/>
      <c r="BE11" s="13"/>
      <c r="BF11" s="14"/>
      <c r="BG11" s="10"/>
      <c r="BH11" s="6"/>
      <c r="BI11" s="6"/>
      <c r="BJ11" s="15"/>
      <c r="BK11" s="15"/>
      <c r="BM11" s="16"/>
      <c r="BY11" s="6">
        <f t="shared" si="2"/>
        <v>2022</v>
      </c>
      <c r="BZ11" s="6" t="str">
        <f t="shared" si="3"/>
        <v>octubre</v>
      </c>
      <c r="CA11" s="6" t="str">
        <f t="shared" si="4"/>
        <v>10</v>
      </c>
    </row>
    <row r="12">
      <c r="A12" s="8">
        <v>44895.0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>
        <v>221150.62</v>
      </c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9"/>
      <c r="AN12" s="9"/>
      <c r="AO12" s="9"/>
      <c r="AP12" s="9"/>
      <c r="AQ12" s="9"/>
      <c r="AR12" s="9"/>
      <c r="AS12" s="9"/>
      <c r="AT12" s="9">
        <v>221150.62</v>
      </c>
      <c r="AU12" s="11">
        <v>221150.62</v>
      </c>
      <c r="AV12" s="11"/>
      <c r="AW12" s="11"/>
      <c r="AX12" s="12">
        <f t="shared" si="1"/>
        <v>221150.62</v>
      </c>
      <c r="AY12" s="17"/>
      <c r="AZ12" s="17">
        <v>71945.84</v>
      </c>
      <c r="BA12" s="17">
        <v>71945.84</v>
      </c>
      <c r="BB12" s="10"/>
      <c r="BC12" s="10"/>
      <c r="BD12" s="13"/>
      <c r="BE12" s="13"/>
      <c r="BF12" s="14"/>
      <c r="BG12" s="10"/>
      <c r="BH12" s="6"/>
      <c r="BI12" s="6"/>
      <c r="BJ12" s="15"/>
      <c r="BK12" s="15"/>
      <c r="BM12" s="16"/>
      <c r="BY12" s="6">
        <f t="shared" si="2"/>
        <v>2022</v>
      </c>
      <c r="BZ12" s="6" t="str">
        <f t="shared" si="3"/>
        <v>noviembre</v>
      </c>
      <c r="CA12" s="6" t="str">
        <f t="shared" si="4"/>
        <v>11</v>
      </c>
    </row>
    <row r="13">
      <c r="A13" s="8">
        <v>44926.0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>
        <v>247030.77</v>
      </c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9"/>
      <c r="AN13" s="9"/>
      <c r="AO13" s="9"/>
      <c r="AP13" s="9"/>
      <c r="AQ13" s="9"/>
      <c r="AR13" s="9"/>
      <c r="AS13" s="9"/>
      <c r="AT13" s="9">
        <v>247030.77</v>
      </c>
      <c r="AU13" s="11">
        <v>247030.77</v>
      </c>
      <c r="AV13" s="11"/>
      <c r="AW13" s="11"/>
      <c r="AX13" s="12">
        <f t="shared" si="1"/>
        <v>247030.77</v>
      </c>
      <c r="AY13" s="17"/>
      <c r="AZ13" s="17">
        <v>62466.01</v>
      </c>
      <c r="BA13" s="17">
        <v>62466.01</v>
      </c>
      <c r="BB13" s="10"/>
      <c r="BC13" s="10"/>
      <c r="BD13" s="13"/>
      <c r="BE13" s="13"/>
      <c r="BF13" s="14"/>
      <c r="BG13" s="10"/>
      <c r="BH13" s="6"/>
      <c r="BI13" s="6"/>
      <c r="BJ13" s="15"/>
      <c r="BK13" s="15"/>
      <c r="BM13" s="16"/>
      <c r="BY13" s="6">
        <f t="shared" si="2"/>
        <v>2022</v>
      </c>
      <c r="BZ13" s="6" t="str">
        <f t="shared" si="3"/>
        <v>diciembre</v>
      </c>
      <c r="CA13" s="6" t="str">
        <f t="shared" si="4"/>
        <v>12</v>
      </c>
    </row>
    <row r="14">
      <c r="A14" s="8">
        <v>44957.0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>
        <v>235787.22</v>
      </c>
      <c r="AU14" s="10">
        <v>235787.22</v>
      </c>
      <c r="AV14" s="10"/>
      <c r="AW14" s="10"/>
      <c r="AX14" s="12">
        <f t="shared" si="1"/>
        <v>235787.22</v>
      </c>
      <c r="AY14" s="10"/>
      <c r="AZ14" s="10">
        <v>70523.81</v>
      </c>
      <c r="BA14" s="10">
        <v>70523.81</v>
      </c>
      <c r="BB14" s="10"/>
      <c r="BC14" s="10"/>
      <c r="BD14" s="13"/>
      <c r="BE14" s="13"/>
      <c r="BF14" s="14">
        <f t="shared" ref="BF14:BF59" si="5">WEEKNUM(A14)</f>
        <v>5</v>
      </c>
      <c r="BG14" s="10"/>
      <c r="BH14" s="6"/>
      <c r="BI14" s="6"/>
      <c r="BJ14" s="15"/>
      <c r="BK14" s="15"/>
      <c r="BM14" s="16"/>
      <c r="BY14" s="6">
        <f t="shared" si="2"/>
        <v>2023</v>
      </c>
      <c r="BZ14" s="6" t="str">
        <f t="shared" si="3"/>
        <v>enero</v>
      </c>
      <c r="CA14" s="6" t="str">
        <f t="shared" si="4"/>
        <v>1</v>
      </c>
    </row>
    <row r="15">
      <c r="A15" s="8">
        <v>44985.0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>
        <v>214631.95</v>
      </c>
      <c r="AU15" s="10">
        <v>214631.95</v>
      </c>
      <c r="AV15" s="10"/>
      <c r="AW15" s="10"/>
      <c r="AX15" s="12">
        <f t="shared" si="1"/>
        <v>214631.95</v>
      </c>
      <c r="AY15" s="10"/>
      <c r="AZ15" s="10">
        <v>51852.23</v>
      </c>
      <c r="BA15" s="10">
        <v>51852.23</v>
      </c>
      <c r="BB15" s="10"/>
      <c r="BC15" s="10"/>
      <c r="BD15" s="13"/>
      <c r="BE15" s="13"/>
      <c r="BF15" s="14">
        <f t="shared" si="5"/>
        <v>9</v>
      </c>
      <c r="BG15" s="10"/>
      <c r="BH15" s="6"/>
      <c r="BI15" s="6"/>
      <c r="BJ15" s="15"/>
      <c r="BK15" s="15"/>
      <c r="BM15" s="16"/>
      <c r="BY15" s="6">
        <f t="shared" si="2"/>
        <v>2023</v>
      </c>
      <c r="BZ15" s="6" t="str">
        <f t="shared" si="3"/>
        <v>febrero</v>
      </c>
      <c r="CA15" s="6" t="str">
        <f t="shared" si="4"/>
        <v>2</v>
      </c>
    </row>
    <row r="16">
      <c r="A16" s="8">
        <v>45016.0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>
        <v>292522.67</v>
      </c>
      <c r="AU16" s="10">
        <v>292522.67</v>
      </c>
      <c r="AV16" s="10"/>
      <c r="AW16" s="10"/>
      <c r="AX16" s="12">
        <f t="shared" si="1"/>
        <v>292522.67</v>
      </c>
      <c r="AY16" s="10"/>
      <c r="AZ16" s="10">
        <v>28901.76</v>
      </c>
      <c r="BA16" s="10">
        <v>28901.76</v>
      </c>
      <c r="BB16" s="10"/>
      <c r="BC16" s="10"/>
      <c r="BD16" s="13"/>
      <c r="BE16" s="13"/>
      <c r="BF16" s="14">
        <f t="shared" si="5"/>
        <v>13</v>
      </c>
      <c r="BG16" s="10"/>
      <c r="BH16" s="6"/>
      <c r="BI16" s="6"/>
      <c r="BJ16" s="15"/>
      <c r="BK16" s="15"/>
      <c r="BM16" s="16"/>
      <c r="BY16" s="6">
        <f t="shared" si="2"/>
        <v>2023</v>
      </c>
      <c r="BZ16" s="6" t="str">
        <f t="shared" si="3"/>
        <v>marzo</v>
      </c>
      <c r="CA16" s="6" t="str">
        <f t="shared" si="4"/>
        <v>3</v>
      </c>
    </row>
    <row r="17">
      <c r="A17" s="8">
        <v>45046.0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>
        <v>233290.47</v>
      </c>
      <c r="AU17" s="10">
        <v>233290.47</v>
      </c>
      <c r="AV17" s="10"/>
      <c r="AW17" s="10"/>
      <c r="AX17" s="12">
        <f t="shared" si="1"/>
        <v>233290.47</v>
      </c>
      <c r="AY17" s="10"/>
      <c r="AZ17" s="10">
        <v>22369.47</v>
      </c>
      <c r="BA17" s="10">
        <v>22369.47</v>
      </c>
      <c r="BB17" s="10"/>
      <c r="BC17" s="10"/>
      <c r="BD17" s="13"/>
      <c r="BE17" s="13"/>
      <c r="BF17" s="14">
        <f t="shared" si="5"/>
        <v>18</v>
      </c>
      <c r="BG17" s="10"/>
      <c r="BH17" s="6"/>
      <c r="BI17" s="6"/>
      <c r="BJ17" s="15"/>
      <c r="BK17" s="15"/>
      <c r="BM17" s="16"/>
      <c r="BY17" s="6">
        <f t="shared" si="2"/>
        <v>2023</v>
      </c>
      <c r="BZ17" s="6" t="str">
        <f t="shared" si="3"/>
        <v>abril</v>
      </c>
      <c r="CA17" s="6" t="str">
        <f t="shared" si="4"/>
        <v>4</v>
      </c>
    </row>
    <row r="18">
      <c r="A18" s="8">
        <v>45077.0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>
        <v>267262.44</v>
      </c>
      <c r="AU18" s="10">
        <v>267262.44</v>
      </c>
      <c r="AV18" s="10"/>
      <c r="AW18" s="10"/>
      <c r="AX18" s="12">
        <f t="shared" si="1"/>
        <v>267262.44</v>
      </c>
      <c r="AY18" s="10"/>
      <c r="AZ18" s="10">
        <v>42443.43</v>
      </c>
      <c r="BA18" s="10">
        <v>42443.43</v>
      </c>
      <c r="BB18" s="10"/>
      <c r="BC18" s="10"/>
      <c r="BD18" s="13"/>
      <c r="BE18" s="13"/>
      <c r="BF18" s="14">
        <f t="shared" si="5"/>
        <v>22</v>
      </c>
      <c r="BG18" s="10"/>
      <c r="BH18" s="6"/>
      <c r="BI18" s="6"/>
      <c r="BJ18" s="15"/>
      <c r="BK18" s="15"/>
      <c r="BM18" s="16"/>
      <c r="BY18" s="6">
        <f t="shared" si="2"/>
        <v>2023</v>
      </c>
      <c r="BZ18" s="6" t="str">
        <f t="shared" si="3"/>
        <v>mayo</v>
      </c>
      <c r="CA18" s="6" t="str">
        <f t="shared" si="4"/>
        <v>5</v>
      </c>
    </row>
    <row r="19">
      <c r="A19" s="8">
        <v>45107.0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>
        <v>335778.64</v>
      </c>
      <c r="AU19" s="10">
        <v>335778.64</v>
      </c>
      <c r="AV19" s="10"/>
      <c r="AW19" s="10"/>
      <c r="AX19" s="12">
        <f t="shared" si="1"/>
        <v>335778.64</v>
      </c>
      <c r="AY19" s="10"/>
      <c r="AZ19" s="10">
        <v>50439.81</v>
      </c>
      <c r="BA19" s="10">
        <v>50439.81</v>
      </c>
      <c r="BB19" s="10"/>
      <c r="BC19" s="10"/>
      <c r="BD19" s="13"/>
      <c r="BE19" s="13"/>
      <c r="BF19" s="14">
        <f t="shared" si="5"/>
        <v>26</v>
      </c>
      <c r="BG19" s="10"/>
      <c r="BH19" s="6"/>
      <c r="BI19" s="6"/>
      <c r="BJ19" s="15"/>
      <c r="BK19" s="15"/>
      <c r="BM19" s="16"/>
      <c r="BY19" s="6">
        <f t="shared" si="2"/>
        <v>2023</v>
      </c>
      <c r="BZ19" s="6" t="str">
        <f t="shared" si="3"/>
        <v>junio</v>
      </c>
      <c r="CA19" s="6" t="str">
        <f t="shared" si="4"/>
        <v>6</v>
      </c>
    </row>
    <row r="20">
      <c r="A20" s="8">
        <v>45138.0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>
        <v>344300.08</v>
      </c>
      <c r="AU20" s="10">
        <v>344300.08</v>
      </c>
      <c r="AV20" s="10"/>
      <c r="AW20" s="10"/>
      <c r="AX20" s="12">
        <f t="shared" si="1"/>
        <v>344300.08</v>
      </c>
      <c r="AY20" s="10"/>
      <c r="AZ20" s="10">
        <v>62087.66</v>
      </c>
      <c r="BA20" s="10">
        <v>62087.66</v>
      </c>
      <c r="BB20" s="10"/>
      <c r="BC20" s="10"/>
      <c r="BD20" s="13"/>
      <c r="BE20" s="13"/>
      <c r="BF20" s="14">
        <f t="shared" si="5"/>
        <v>31</v>
      </c>
      <c r="BG20" s="10"/>
      <c r="BH20" s="6"/>
      <c r="BI20" s="6"/>
      <c r="BJ20" s="15"/>
      <c r="BK20" s="15"/>
      <c r="BM20" s="16"/>
      <c r="BY20" s="6">
        <f t="shared" si="2"/>
        <v>2023</v>
      </c>
      <c r="BZ20" s="6" t="str">
        <f t="shared" si="3"/>
        <v>julio</v>
      </c>
      <c r="CA20" s="6" t="str">
        <f t="shared" si="4"/>
        <v>7</v>
      </c>
    </row>
    <row r="21">
      <c r="A21" s="8">
        <v>45169.0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>
        <v>334998.01</v>
      </c>
      <c r="AU21" s="10">
        <v>334998.01</v>
      </c>
      <c r="AV21" s="10"/>
      <c r="AW21" s="10"/>
      <c r="AX21" s="12">
        <f t="shared" si="1"/>
        <v>334998.01</v>
      </c>
      <c r="AY21" s="10"/>
      <c r="AZ21" s="10">
        <v>37305.79</v>
      </c>
      <c r="BA21" s="10">
        <v>37305.79</v>
      </c>
      <c r="BB21" s="10"/>
      <c r="BC21" s="10"/>
      <c r="BD21" s="13"/>
      <c r="BE21" s="13"/>
      <c r="BF21" s="14">
        <f t="shared" si="5"/>
        <v>35</v>
      </c>
      <c r="BG21" s="10"/>
      <c r="BH21" s="6"/>
      <c r="BI21" s="6"/>
      <c r="BJ21" s="15"/>
      <c r="BK21" s="15"/>
      <c r="BM21" s="16"/>
      <c r="BY21" s="6">
        <f t="shared" si="2"/>
        <v>2023</v>
      </c>
      <c r="BZ21" s="6" t="str">
        <f t="shared" si="3"/>
        <v>agosto</v>
      </c>
      <c r="CA21" s="6" t="str">
        <f t="shared" si="4"/>
        <v>8</v>
      </c>
    </row>
    <row r="22">
      <c r="A22" s="8">
        <v>45199.0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>
        <v>328558.12</v>
      </c>
      <c r="AU22" s="10">
        <v>328558.12</v>
      </c>
      <c r="AV22" s="10"/>
      <c r="AW22" s="10"/>
      <c r="AX22" s="12">
        <f t="shared" si="1"/>
        <v>328558.12</v>
      </c>
      <c r="AY22" s="10"/>
      <c r="AZ22" s="10">
        <v>48605.98</v>
      </c>
      <c r="BA22" s="10">
        <v>48605.98</v>
      </c>
      <c r="BB22" s="10"/>
      <c r="BC22" s="10"/>
      <c r="BD22" s="13"/>
      <c r="BE22" s="13"/>
      <c r="BF22" s="14">
        <f t="shared" si="5"/>
        <v>39</v>
      </c>
      <c r="BG22" s="10"/>
      <c r="BH22" s="6"/>
      <c r="BI22" s="6"/>
      <c r="BJ22" s="15"/>
      <c r="BK22" s="15"/>
      <c r="BM22" s="16"/>
      <c r="BY22" s="6">
        <f t="shared" si="2"/>
        <v>2023</v>
      </c>
      <c r="BZ22" s="6" t="str">
        <f t="shared" si="3"/>
        <v>septiembre</v>
      </c>
      <c r="CA22" s="6" t="str">
        <f t="shared" si="4"/>
        <v>9</v>
      </c>
    </row>
    <row r="23">
      <c r="A23" s="8">
        <v>45230.0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>
        <v>349866.76</v>
      </c>
      <c r="AU23" s="10">
        <v>349866.76</v>
      </c>
      <c r="AV23" s="10"/>
      <c r="AW23" s="10"/>
      <c r="AX23" s="12">
        <f t="shared" si="1"/>
        <v>349866.76</v>
      </c>
      <c r="AY23" s="10"/>
      <c r="AZ23" s="10">
        <v>132802.94</v>
      </c>
      <c r="BA23" s="10">
        <v>132802.94</v>
      </c>
      <c r="BB23" s="10"/>
      <c r="BC23" s="10"/>
      <c r="BD23" s="13"/>
      <c r="BE23" s="13"/>
      <c r="BF23" s="14">
        <f t="shared" si="5"/>
        <v>44</v>
      </c>
      <c r="BG23" s="10"/>
      <c r="BH23" s="6"/>
      <c r="BI23" s="6"/>
      <c r="BJ23" s="15"/>
      <c r="BK23" s="15"/>
      <c r="BM23" s="16"/>
      <c r="BY23" s="6">
        <f t="shared" si="2"/>
        <v>2023</v>
      </c>
      <c r="BZ23" s="6" t="str">
        <f t="shared" si="3"/>
        <v>octubre</v>
      </c>
      <c r="CA23" s="6" t="str">
        <f t="shared" si="4"/>
        <v>10</v>
      </c>
    </row>
    <row r="24">
      <c r="A24" s="8">
        <v>45231.0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>
        <v>0.0</v>
      </c>
      <c r="AU24" s="10"/>
      <c r="AV24" s="10"/>
      <c r="AW24" s="10"/>
      <c r="AX24" s="12">
        <f t="shared" si="1"/>
        <v>0</v>
      </c>
      <c r="AY24" s="10"/>
      <c r="AZ24" s="10"/>
      <c r="BA24" s="10"/>
      <c r="BB24" s="10"/>
      <c r="BC24" s="10"/>
      <c r="BD24" s="13"/>
      <c r="BE24" s="13"/>
      <c r="BF24" s="14">
        <f t="shared" si="5"/>
        <v>44</v>
      </c>
      <c r="BG24" s="10">
        <v>333251.21</v>
      </c>
      <c r="BH24" s="16">
        <f>BG24/4</f>
        <v>83312.8025</v>
      </c>
      <c r="BI24" s="16">
        <f t="shared" ref="BI24:BI53" si="6">$BG$24/DAY(EOMONTH(A24,0))</f>
        <v>11108.37367</v>
      </c>
      <c r="BJ24" s="15">
        <f>MAX(AU28:AU55)/BG24</f>
        <v>1.175543609</v>
      </c>
      <c r="BK24" s="15">
        <f t="shared" ref="BK24:BK52" si="7">IFERROR(AT24/BI24,0)</f>
        <v>0</v>
      </c>
      <c r="BL24" s="16">
        <f>BG24-MAX(AU28:AU55)</f>
        <v>-58500.12</v>
      </c>
      <c r="BM24" s="16"/>
      <c r="BN24" s="16">
        <f t="shared" ref="BN24:BN43" si="8">AT24-BI24</f>
        <v>-11108.37367</v>
      </c>
      <c r="BY24" s="6">
        <f t="shared" si="2"/>
        <v>2023</v>
      </c>
      <c r="BZ24" s="6" t="str">
        <f t="shared" si="3"/>
        <v>noviembre</v>
      </c>
      <c r="CA24" s="6" t="str">
        <f t="shared" si="4"/>
        <v>11</v>
      </c>
    </row>
    <row r="25">
      <c r="A25" s="8">
        <v>45232.0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>
        <v>0.0</v>
      </c>
      <c r="AU25" s="10"/>
      <c r="AV25" s="10"/>
      <c r="AW25" s="10"/>
      <c r="AX25" s="12">
        <f t="shared" si="1"/>
        <v>0</v>
      </c>
      <c r="AY25" s="10"/>
      <c r="AZ25" s="10"/>
      <c r="BA25" s="10"/>
      <c r="BB25" s="10"/>
      <c r="BC25" s="10"/>
      <c r="BD25" s="13"/>
      <c r="BE25" s="13"/>
      <c r="BF25" s="14">
        <f t="shared" si="5"/>
        <v>44</v>
      </c>
      <c r="BG25" s="10"/>
      <c r="BH25" s="6"/>
      <c r="BI25" s="16">
        <f t="shared" si="6"/>
        <v>11108.37367</v>
      </c>
      <c r="BJ25" s="15"/>
      <c r="BK25" s="15">
        <f t="shared" si="7"/>
        <v>0</v>
      </c>
      <c r="BM25" s="16"/>
      <c r="BN25" s="16">
        <f t="shared" si="8"/>
        <v>-11108.37367</v>
      </c>
      <c r="BO25" s="16">
        <f>BN25+BN24</f>
        <v>-22216.74733</v>
      </c>
      <c r="BY25" s="6">
        <f t="shared" si="2"/>
        <v>2023</v>
      </c>
      <c r="BZ25" s="6" t="str">
        <f t="shared" si="3"/>
        <v>noviembre</v>
      </c>
      <c r="CA25" s="6" t="str">
        <f t="shared" si="4"/>
        <v>11</v>
      </c>
    </row>
    <row r="26">
      <c r="A26" s="8">
        <v>45233.0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>
        <v>0.0</v>
      </c>
      <c r="AU26" s="10"/>
      <c r="AV26" s="10"/>
      <c r="AW26" s="10"/>
      <c r="AX26" s="12">
        <f t="shared" si="1"/>
        <v>0</v>
      </c>
      <c r="AY26" s="10"/>
      <c r="AZ26" s="10"/>
      <c r="BA26" s="10"/>
      <c r="BB26" s="10"/>
      <c r="BC26" s="10"/>
      <c r="BD26" s="13"/>
      <c r="BE26" s="13"/>
      <c r="BF26" s="14">
        <f t="shared" si="5"/>
        <v>44</v>
      </c>
      <c r="BG26" s="10"/>
      <c r="BH26" s="6"/>
      <c r="BI26" s="16">
        <f t="shared" si="6"/>
        <v>11108.37367</v>
      </c>
      <c r="BJ26" s="15"/>
      <c r="BK26" s="15">
        <f t="shared" si="7"/>
        <v>0</v>
      </c>
      <c r="BM26" s="16"/>
      <c r="BN26" s="16">
        <f t="shared" si="8"/>
        <v>-11108.37367</v>
      </c>
      <c r="BO26" s="16">
        <f t="shared" ref="BO26:BO53" si="9">IF(AT26="","",BO25+BN26)</f>
        <v>-33325.121</v>
      </c>
      <c r="BY26" s="6">
        <f t="shared" si="2"/>
        <v>2023</v>
      </c>
      <c r="BZ26" s="6" t="str">
        <f t="shared" si="3"/>
        <v>noviembre</v>
      </c>
      <c r="CA26" s="6" t="str">
        <f t="shared" si="4"/>
        <v>11</v>
      </c>
    </row>
    <row r="27">
      <c r="A27" s="8">
        <v>45234.0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>
        <v>0.0</v>
      </c>
      <c r="AU27" s="10"/>
      <c r="AV27" s="10"/>
      <c r="AW27" s="10"/>
      <c r="AX27" s="12">
        <f t="shared" si="1"/>
        <v>0</v>
      </c>
      <c r="AY27" s="10"/>
      <c r="AZ27" s="10"/>
      <c r="BA27" s="10"/>
      <c r="BB27" s="10"/>
      <c r="BC27" s="10"/>
      <c r="BD27" s="13"/>
      <c r="BE27" s="13"/>
      <c r="BF27" s="14">
        <f t="shared" si="5"/>
        <v>44</v>
      </c>
      <c r="BG27" s="10"/>
      <c r="BH27" s="6"/>
      <c r="BI27" s="16">
        <f t="shared" si="6"/>
        <v>11108.37367</v>
      </c>
      <c r="BJ27" s="15"/>
      <c r="BK27" s="15">
        <f t="shared" si="7"/>
        <v>0</v>
      </c>
      <c r="BM27" s="16"/>
      <c r="BN27" s="16">
        <f t="shared" si="8"/>
        <v>-11108.37367</v>
      </c>
      <c r="BO27" s="16">
        <f t="shared" si="9"/>
        <v>-44433.49467</v>
      </c>
      <c r="BY27" s="6">
        <f t="shared" si="2"/>
        <v>2023</v>
      </c>
      <c r="BZ27" s="6" t="str">
        <f t="shared" si="3"/>
        <v>noviembre</v>
      </c>
      <c r="CA27" s="6" t="str">
        <f t="shared" si="4"/>
        <v>11</v>
      </c>
    </row>
    <row r="28">
      <c r="A28" s="8">
        <v>45235.0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>
        <v>0.0</v>
      </c>
      <c r="AU28" s="10"/>
      <c r="AV28" s="10"/>
      <c r="AW28" s="10"/>
      <c r="AX28" s="12">
        <f t="shared" si="1"/>
        <v>0</v>
      </c>
      <c r="AY28" s="10"/>
      <c r="AZ28" s="10"/>
      <c r="BA28" s="10"/>
      <c r="BB28" s="10"/>
      <c r="BC28" s="10"/>
      <c r="BD28" s="13"/>
      <c r="BE28" s="13"/>
      <c r="BF28" s="14">
        <f t="shared" si="5"/>
        <v>45</v>
      </c>
      <c r="BG28" s="6"/>
      <c r="BH28" s="6"/>
      <c r="BI28" s="16">
        <f t="shared" si="6"/>
        <v>11108.37367</v>
      </c>
      <c r="BJ28" s="6"/>
      <c r="BK28" s="15">
        <f t="shared" si="7"/>
        <v>0</v>
      </c>
      <c r="BM28" s="16">
        <f>SUMIF(BF28:BF55,WEEKNUM(A28),AT28:AT55)-BH24</f>
        <v>47333.1375</v>
      </c>
      <c r="BN28" s="16">
        <f t="shared" si="8"/>
        <v>-11108.37367</v>
      </c>
      <c r="BO28" s="16">
        <f t="shared" si="9"/>
        <v>-55541.86833</v>
      </c>
      <c r="BY28" s="6">
        <f t="shared" si="2"/>
        <v>2023</v>
      </c>
      <c r="BZ28" s="6" t="str">
        <f t="shared" si="3"/>
        <v>noviembre</v>
      </c>
      <c r="CA28" s="6" t="str">
        <f t="shared" si="4"/>
        <v>11</v>
      </c>
    </row>
    <row r="29">
      <c r="A29" s="8">
        <v>45236.0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>
        <v>19620.88</v>
      </c>
      <c r="AU29" s="10">
        <v>19620.88</v>
      </c>
      <c r="AV29" s="10"/>
      <c r="AW29" s="10"/>
      <c r="AX29" s="12">
        <f t="shared" si="1"/>
        <v>19620.88</v>
      </c>
      <c r="AY29" s="10"/>
      <c r="AZ29" s="10">
        <v>315.73</v>
      </c>
      <c r="BA29" s="18">
        <f t="shared" ref="BA29:BA53" si="10">IF(AZ29="","",BA28+AZ29)</f>
        <v>315.73</v>
      </c>
      <c r="BB29" s="10">
        <f t="shared" ref="BB29:BB52" si="11">IFERROR(AU29/DAY(A29)*DAY(EOMONTH(A29,0)),0)</f>
        <v>98104.4</v>
      </c>
      <c r="BC29" s="10">
        <v>16350.73</v>
      </c>
      <c r="BD29" s="13"/>
      <c r="BE29" s="13"/>
      <c r="BF29" s="14">
        <f t="shared" si="5"/>
        <v>45</v>
      </c>
      <c r="BG29" s="6"/>
      <c r="BH29" s="6"/>
      <c r="BI29" s="16">
        <f t="shared" si="6"/>
        <v>11108.37367</v>
      </c>
      <c r="BK29" s="15">
        <f t="shared" si="7"/>
        <v>1.766314367</v>
      </c>
      <c r="BN29" s="16">
        <f t="shared" si="8"/>
        <v>8512.506333</v>
      </c>
      <c r="BO29" s="16">
        <f t="shared" si="9"/>
        <v>-47029.362</v>
      </c>
      <c r="BY29" s="6">
        <f t="shared" si="2"/>
        <v>2023</v>
      </c>
      <c r="BZ29" s="6" t="str">
        <f t="shared" si="3"/>
        <v>noviembre</v>
      </c>
      <c r="CA29" s="6" t="str">
        <f t="shared" si="4"/>
        <v>11</v>
      </c>
    </row>
    <row r="30">
      <c r="A30" s="8">
        <v>45237.0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>
        <v>49039.87</v>
      </c>
      <c r="AU30" s="10">
        <v>68660.75</v>
      </c>
      <c r="AV30" s="10"/>
      <c r="AW30" s="10"/>
      <c r="AX30" s="12">
        <f t="shared" si="1"/>
        <v>49039.87</v>
      </c>
      <c r="AY30" s="10"/>
      <c r="AZ30" s="10">
        <v>3512.43</v>
      </c>
      <c r="BA30" s="18">
        <f t="shared" si="10"/>
        <v>3828.16</v>
      </c>
      <c r="BB30" s="10">
        <f t="shared" si="11"/>
        <v>294260.3571</v>
      </c>
      <c r="BC30" s="10">
        <v>16350.73</v>
      </c>
      <c r="BD30" s="13"/>
      <c r="BE30" s="13"/>
      <c r="BF30" s="14">
        <f t="shared" si="5"/>
        <v>45</v>
      </c>
      <c r="BG30" s="19"/>
      <c r="BH30" s="6"/>
      <c r="BI30" s="16">
        <f t="shared" si="6"/>
        <v>11108.37367</v>
      </c>
      <c r="BK30" s="15">
        <f t="shared" si="7"/>
        <v>4.414675944</v>
      </c>
      <c r="BN30" s="16">
        <f t="shared" si="8"/>
        <v>37931.49633</v>
      </c>
      <c r="BO30" s="16">
        <f t="shared" si="9"/>
        <v>-9097.865667</v>
      </c>
      <c r="BY30" s="6">
        <f t="shared" si="2"/>
        <v>2023</v>
      </c>
      <c r="BZ30" s="6" t="str">
        <f t="shared" si="3"/>
        <v>noviembre</v>
      </c>
      <c r="CA30" s="6" t="str">
        <f t="shared" si="4"/>
        <v>11</v>
      </c>
    </row>
    <row r="31">
      <c r="A31" s="8">
        <v>45238.0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>
        <v>30481.69</v>
      </c>
      <c r="AU31" s="10">
        <v>99142.44</v>
      </c>
      <c r="AV31" s="10"/>
      <c r="AW31" s="10"/>
      <c r="AX31" s="12">
        <f t="shared" si="1"/>
        <v>30481.69</v>
      </c>
      <c r="AY31" s="10"/>
      <c r="AZ31" s="10">
        <v>2119.83</v>
      </c>
      <c r="BA31" s="18">
        <f t="shared" si="10"/>
        <v>5947.99</v>
      </c>
      <c r="BB31" s="10">
        <f t="shared" si="11"/>
        <v>371784.15</v>
      </c>
      <c r="BC31" s="10">
        <v>16350.73</v>
      </c>
      <c r="BD31" s="13"/>
      <c r="BE31" s="13"/>
      <c r="BF31" s="14">
        <f t="shared" si="5"/>
        <v>45</v>
      </c>
      <c r="BG31" s="19"/>
      <c r="BH31" s="6"/>
      <c r="BI31" s="16">
        <f t="shared" si="6"/>
        <v>11108.37367</v>
      </c>
      <c r="BK31" s="15">
        <f t="shared" si="7"/>
        <v>2.744028146</v>
      </c>
      <c r="BN31" s="16">
        <f t="shared" si="8"/>
        <v>19373.31633</v>
      </c>
      <c r="BO31" s="16">
        <f t="shared" si="9"/>
        <v>10275.45067</v>
      </c>
      <c r="BY31" s="6">
        <f t="shared" si="2"/>
        <v>2023</v>
      </c>
      <c r="BZ31" s="6" t="str">
        <f t="shared" si="3"/>
        <v>noviembre</v>
      </c>
      <c r="CA31" s="6" t="str">
        <f t="shared" si="4"/>
        <v>11</v>
      </c>
    </row>
    <row r="32">
      <c r="A32" s="8">
        <v>45239.0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>
        <v>4621.19</v>
      </c>
      <c r="AU32" s="10">
        <v>103763.63</v>
      </c>
      <c r="AV32" s="10"/>
      <c r="AW32" s="10"/>
      <c r="AX32" s="12">
        <f t="shared" si="1"/>
        <v>4621.19</v>
      </c>
      <c r="AY32" s="10"/>
      <c r="AZ32" s="10">
        <v>0.0</v>
      </c>
      <c r="BA32" s="18">
        <f t="shared" si="10"/>
        <v>5947.99</v>
      </c>
      <c r="BB32" s="10">
        <f t="shared" si="11"/>
        <v>345878.7667</v>
      </c>
      <c r="BC32" s="10">
        <v>16350.73</v>
      </c>
      <c r="BD32" s="13"/>
      <c r="BE32" s="13"/>
      <c r="BF32" s="14">
        <f t="shared" si="5"/>
        <v>45</v>
      </c>
      <c r="BG32" s="19"/>
      <c r="BH32" s="6"/>
      <c r="BI32" s="16">
        <f t="shared" si="6"/>
        <v>11108.37367</v>
      </c>
      <c r="BJ32" s="6"/>
      <c r="BK32" s="15">
        <f t="shared" si="7"/>
        <v>0.4160095923</v>
      </c>
      <c r="BN32" s="16">
        <f t="shared" si="8"/>
        <v>-6487.183667</v>
      </c>
      <c r="BO32" s="16">
        <f t="shared" si="9"/>
        <v>3788.267</v>
      </c>
      <c r="BY32" s="6">
        <f t="shared" si="2"/>
        <v>2023</v>
      </c>
      <c r="BZ32" s="6" t="str">
        <f t="shared" si="3"/>
        <v>noviembre</v>
      </c>
      <c r="CA32" s="6" t="str">
        <f t="shared" si="4"/>
        <v>11</v>
      </c>
    </row>
    <row r="33">
      <c r="A33" s="8">
        <v>45240.0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>
        <v>17544.44</v>
      </c>
      <c r="AU33" s="10">
        <v>121308.07</v>
      </c>
      <c r="AV33" s="10"/>
      <c r="AW33" s="10"/>
      <c r="AX33" s="12">
        <f t="shared" si="1"/>
        <v>17544.44</v>
      </c>
      <c r="AY33" s="10"/>
      <c r="AZ33" s="10">
        <v>1930.35</v>
      </c>
      <c r="BA33" s="18">
        <f t="shared" si="10"/>
        <v>7878.34</v>
      </c>
      <c r="BB33" s="10">
        <f t="shared" si="11"/>
        <v>363924.21</v>
      </c>
      <c r="BC33" s="10">
        <v>16350.73</v>
      </c>
      <c r="BD33" s="13"/>
      <c r="BE33" s="13"/>
      <c r="BF33" s="14">
        <f t="shared" si="5"/>
        <v>45</v>
      </c>
      <c r="BG33" s="19"/>
      <c r="BH33" s="6"/>
      <c r="BI33" s="16">
        <f t="shared" si="6"/>
        <v>11108.37367</v>
      </c>
      <c r="BK33" s="15">
        <f t="shared" si="7"/>
        <v>1.579388714</v>
      </c>
      <c r="BN33" s="16">
        <f t="shared" si="8"/>
        <v>6436.066333</v>
      </c>
      <c r="BO33" s="16">
        <f t="shared" si="9"/>
        <v>10224.33333</v>
      </c>
      <c r="BY33" s="6">
        <f t="shared" si="2"/>
        <v>2023</v>
      </c>
      <c r="BZ33" s="6" t="str">
        <f t="shared" si="3"/>
        <v>noviembre</v>
      </c>
      <c r="CA33" s="6" t="str">
        <f t="shared" si="4"/>
        <v>11</v>
      </c>
    </row>
    <row r="34">
      <c r="A34" s="8">
        <v>45241.0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>
        <v>9337.87</v>
      </c>
      <c r="AU34" s="10">
        <v>130645.94</v>
      </c>
      <c r="AV34" s="10"/>
      <c r="AW34" s="10"/>
      <c r="AX34" s="12">
        <f t="shared" si="1"/>
        <v>9337.87</v>
      </c>
      <c r="AY34" s="10"/>
      <c r="AZ34" s="10">
        <v>1066.92</v>
      </c>
      <c r="BA34" s="18">
        <f t="shared" si="10"/>
        <v>8945.26</v>
      </c>
      <c r="BB34" s="10">
        <f t="shared" si="11"/>
        <v>356307.1091</v>
      </c>
      <c r="BC34" s="10">
        <v>35971.61</v>
      </c>
      <c r="BD34" s="13"/>
      <c r="BE34" s="13"/>
      <c r="BF34" s="14">
        <f t="shared" si="5"/>
        <v>45</v>
      </c>
      <c r="BG34" s="19"/>
      <c r="BH34" s="6"/>
      <c r="BI34" s="16">
        <f t="shared" si="6"/>
        <v>11108.37367</v>
      </c>
      <c r="BJ34" s="6"/>
      <c r="BK34" s="15">
        <f t="shared" si="7"/>
        <v>0.8406154024</v>
      </c>
      <c r="BN34" s="16">
        <f t="shared" si="8"/>
        <v>-1770.503667</v>
      </c>
      <c r="BO34" s="16">
        <f t="shared" si="9"/>
        <v>8453.829667</v>
      </c>
      <c r="BY34" s="6">
        <f t="shared" si="2"/>
        <v>2023</v>
      </c>
      <c r="BZ34" s="6" t="str">
        <f t="shared" si="3"/>
        <v>noviembre</v>
      </c>
      <c r="CA34" s="6" t="str">
        <f t="shared" si="4"/>
        <v>11</v>
      </c>
    </row>
    <row r="35">
      <c r="A35" s="8">
        <v>45242.0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>
        <v>0.0</v>
      </c>
      <c r="AU35" s="10">
        <v>0.0</v>
      </c>
      <c r="AV35" s="10"/>
      <c r="AW35" s="10"/>
      <c r="AX35" s="12">
        <f t="shared" si="1"/>
        <v>0</v>
      </c>
      <c r="AY35" s="10"/>
      <c r="AZ35" s="10">
        <v>0.0</v>
      </c>
      <c r="BA35" s="18">
        <f t="shared" si="10"/>
        <v>8945.26</v>
      </c>
      <c r="BB35" s="10">
        <f t="shared" si="11"/>
        <v>0</v>
      </c>
      <c r="BC35" s="10">
        <v>65322.97</v>
      </c>
      <c r="BD35" s="13"/>
      <c r="BE35" s="13"/>
      <c r="BF35" s="14">
        <f t="shared" si="5"/>
        <v>46</v>
      </c>
      <c r="BG35" s="19"/>
      <c r="BH35" s="16">
        <f>BH24</f>
        <v>83312.8025</v>
      </c>
      <c r="BI35" s="16">
        <f t="shared" si="6"/>
        <v>11108.37367</v>
      </c>
      <c r="BJ35" s="6"/>
      <c r="BK35" s="15">
        <f t="shared" si="7"/>
        <v>0</v>
      </c>
      <c r="BM35" s="20">
        <f>SUMIF(BF28:BF55,WEEKNUM(A35),AT28:AT55)-BH24</f>
        <v>-24337.5725</v>
      </c>
      <c r="BN35" s="16">
        <f t="shared" si="8"/>
        <v>-11108.37367</v>
      </c>
      <c r="BO35" s="16">
        <f t="shared" si="9"/>
        <v>-2654.544</v>
      </c>
      <c r="BY35" s="6">
        <f t="shared" si="2"/>
        <v>2023</v>
      </c>
      <c r="BZ35" s="6" t="str">
        <f t="shared" si="3"/>
        <v>noviembre</v>
      </c>
      <c r="CA35" s="6" t="str">
        <f t="shared" si="4"/>
        <v>11</v>
      </c>
    </row>
    <row r="36">
      <c r="A36" s="8">
        <v>45243.0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>
        <v>3205.19</v>
      </c>
      <c r="AU36" s="10">
        <v>133851.13</v>
      </c>
      <c r="AV36" s="10"/>
      <c r="AW36" s="10"/>
      <c r="AX36" s="12">
        <f t="shared" si="1"/>
        <v>3205.19</v>
      </c>
      <c r="AY36" s="10"/>
      <c r="AZ36" s="10">
        <v>0.0</v>
      </c>
      <c r="BA36" s="18">
        <f t="shared" si="10"/>
        <v>8945.26</v>
      </c>
      <c r="BB36" s="10">
        <f t="shared" si="11"/>
        <v>308887.2231</v>
      </c>
      <c r="BC36" s="10">
        <v>65322.97</v>
      </c>
      <c r="BD36" s="13"/>
      <c r="BE36" s="13"/>
      <c r="BF36" s="14">
        <f t="shared" si="5"/>
        <v>46</v>
      </c>
      <c r="BG36" s="19"/>
      <c r="BH36" s="6"/>
      <c r="BI36" s="16">
        <f t="shared" si="6"/>
        <v>11108.37367</v>
      </c>
      <c r="BJ36" s="6"/>
      <c r="BK36" s="15">
        <f t="shared" si="7"/>
        <v>0.2885381872</v>
      </c>
      <c r="BN36" s="16">
        <f t="shared" si="8"/>
        <v>-7903.183667</v>
      </c>
      <c r="BO36" s="16">
        <f t="shared" si="9"/>
        <v>-10557.72767</v>
      </c>
      <c r="BY36" s="6">
        <f t="shared" si="2"/>
        <v>2023</v>
      </c>
      <c r="BZ36" s="6" t="str">
        <f t="shared" si="3"/>
        <v>noviembre</v>
      </c>
      <c r="CA36" s="6" t="str">
        <f t="shared" si="4"/>
        <v>11</v>
      </c>
    </row>
    <row r="37">
      <c r="A37" s="8">
        <v>45244.0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>
        <v>29860.31</v>
      </c>
      <c r="AU37" s="10">
        <f t="shared" ref="AU37:AU52" si="12">AU36+AT37</f>
        <v>163711.44</v>
      </c>
      <c r="AV37" s="10"/>
      <c r="AW37" s="21"/>
      <c r="AX37" s="12">
        <f t="shared" si="1"/>
        <v>29860.31</v>
      </c>
      <c r="AY37" s="10"/>
      <c r="AZ37" s="10">
        <v>17231.13</v>
      </c>
      <c r="BA37" s="18">
        <f t="shared" si="10"/>
        <v>26176.39</v>
      </c>
      <c r="BB37" s="10">
        <f t="shared" si="11"/>
        <v>350810.2286</v>
      </c>
      <c r="BC37" s="10">
        <v>65322.97</v>
      </c>
      <c r="BD37" s="13"/>
      <c r="BE37" s="13"/>
      <c r="BF37" s="14">
        <f t="shared" si="5"/>
        <v>46</v>
      </c>
      <c r="BG37" s="19"/>
      <c r="BH37" s="6"/>
      <c r="BI37" s="16">
        <f t="shared" si="6"/>
        <v>11108.37367</v>
      </c>
      <c r="BK37" s="15">
        <f t="shared" si="7"/>
        <v>2.688090165</v>
      </c>
      <c r="BN37" s="16">
        <f t="shared" si="8"/>
        <v>18751.93633</v>
      </c>
      <c r="BO37" s="16">
        <f t="shared" si="9"/>
        <v>8194.208667</v>
      </c>
      <c r="BY37" s="6">
        <f t="shared" si="2"/>
        <v>2023</v>
      </c>
      <c r="BZ37" s="6" t="str">
        <f t="shared" si="3"/>
        <v>noviembre</v>
      </c>
      <c r="CA37" s="6" t="str">
        <f t="shared" si="4"/>
        <v>11</v>
      </c>
    </row>
    <row r="38">
      <c r="A38" s="8">
        <v>45245.0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>
        <v>11853.39</v>
      </c>
      <c r="AU38" s="18">
        <f t="shared" si="12"/>
        <v>175564.83</v>
      </c>
      <c r="AV38" s="18"/>
      <c r="AW38" s="19"/>
      <c r="AX38" s="12">
        <f t="shared" si="1"/>
        <v>11853.39</v>
      </c>
      <c r="AY38" s="10"/>
      <c r="AZ38" s="10">
        <v>3983.36</v>
      </c>
      <c r="BA38" s="18">
        <f t="shared" si="10"/>
        <v>30159.75</v>
      </c>
      <c r="BB38" s="10">
        <f t="shared" si="11"/>
        <v>351129.66</v>
      </c>
      <c r="BC38" s="10">
        <v>65322.97</v>
      </c>
      <c r="BD38" s="13"/>
      <c r="BE38" s="13"/>
      <c r="BF38" s="14">
        <f t="shared" si="5"/>
        <v>46</v>
      </c>
      <c r="BG38" s="19"/>
      <c r="BH38" s="6"/>
      <c r="BI38" s="16">
        <f t="shared" si="6"/>
        <v>11108.37367</v>
      </c>
      <c r="BK38" s="15">
        <f t="shared" si="7"/>
        <v>1.067067994</v>
      </c>
      <c r="BN38" s="16">
        <f t="shared" si="8"/>
        <v>745.0163333</v>
      </c>
      <c r="BO38" s="16">
        <f t="shared" si="9"/>
        <v>8939.225</v>
      </c>
      <c r="BY38" s="6">
        <f t="shared" si="2"/>
        <v>2023</v>
      </c>
      <c r="BZ38" s="6" t="str">
        <f t="shared" si="3"/>
        <v>noviembre</v>
      </c>
      <c r="CA38" s="6" t="str">
        <f t="shared" si="4"/>
        <v>11</v>
      </c>
    </row>
    <row r="39">
      <c r="A39" s="8">
        <v>45246.0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>
        <v>4782.64</v>
      </c>
      <c r="AU39" s="18">
        <f t="shared" si="12"/>
        <v>180347.47</v>
      </c>
      <c r="AV39" s="18"/>
      <c r="AW39" s="19"/>
      <c r="AX39" s="12">
        <f t="shared" si="1"/>
        <v>4782.64</v>
      </c>
      <c r="AY39" s="10"/>
      <c r="AZ39" s="10">
        <v>1295.06</v>
      </c>
      <c r="BA39" s="18">
        <f t="shared" si="10"/>
        <v>31454.81</v>
      </c>
      <c r="BB39" s="10">
        <f t="shared" si="11"/>
        <v>338151.5063</v>
      </c>
      <c r="BC39" s="10">
        <v>65322.97</v>
      </c>
      <c r="BD39" s="13"/>
      <c r="BE39" s="13"/>
      <c r="BF39" s="14">
        <f t="shared" si="5"/>
        <v>46</v>
      </c>
      <c r="BG39" s="19"/>
      <c r="BH39" s="6"/>
      <c r="BI39" s="16">
        <f t="shared" si="6"/>
        <v>11108.37367</v>
      </c>
      <c r="BJ39" s="6"/>
      <c r="BK39" s="15">
        <f t="shared" si="7"/>
        <v>0.430543673</v>
      </c>
      <c r="BN39" s="16">
        <f t="shared" si="8"/>
        <v>-6325.733667</v>
      </c>
      <c r="BO39" s="16">
        <f t="shared" si="9"/>
        <v>2613.491333</v>
      </c>
      <c r="BY39" s="6">
        <f t="shared" si="2"/>
        <v>2023</v>
      </c>
      <c r="BZ39" s="6" t="str">
        <f t="shared" si="3"/>
        <v>noviembre</v>
      </c>
      <c r="CA39" s="6" t="str">
        <f t="shared" si="4"/>
        <v>11</v>
      </c>
    </row>
    <row r="40">
      <c r="A40" s="8">
        <v>45247.0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>
        <v>9273.7</v>
      </c>
      <c r="AU40" s="18">
        <f t="shared" si="12"/>
        <v>189621.17</v>
      </c>
      <c r="AV40" s="18"/>
      <c r="AW40" s="19"/>
      <c r="AX40" s="12">
        <f t="shared" si="1"/>
        <v>9273.7</v>
      </c>
      <c r="AY40" s="10"/>
      <c r="AZ40" s="10">
        <v>0.0</v>
      </c>
      <c r="BA40" s="18">
        <f t="shared" si="10"/>
        <v>31454.81</v>
      </c>
      <c r="BB40" s="10">
        <f t="shared" si="11"/>
        <v>334625.5941</v>
      </c>
      <c r="BC40" s="10">
        <v>65322.97</v>
      </c>
      <c r="BD40" s="13"/>
      <c r="BE40" s="13"/>
      <c r="BF40" s="14">
        <f t="shared" si="5"/>
        <v>46</v>
      </c>
      <c r="BG40" s="19"/>
      <c r="BH40" s="6"/>
      <c r="BI40" s="16">
        <f t="shared" si="6"/>
        <v>11108.37367</v>
      </c>
      <c r="BJ40" s="6"/>
      <c r="BK40" s="15">
        <f t="shared" si="7"/>
        <v>0.8348386792</v>
      </c>
      <c r="BN40" s="16">
        <f t="shared" si="8"/>
        <v>-1834.673667</v>
      </c>
      <c r="BO40" s="16">
        <f t="shared" si="9"/>
        <v>778.8176667</v>
      </c>
      <c r="BY40" s="6">
        <f t="shared" si="2"/>
        <v>2023</v>
      </c>
      <c r="BZ40" s="6" t="str">
        <f t="shared" si="3"/>
        <v>noviembre</v>
      </c>
      <c r="CA40" s="6" t="str">
        <f t="shared" si="4"/>
        <v>11</v>
      </c>
    </row>
    <row r="41">
      <c r="A41" s="8">
        <v>45248.0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>
        <v>0.0</v>
      </c>
      <c r="AU41" s="18">
        <f t="shared" si="12"/>
        <v>189621.17</v>
      </c>
      <c r="AV41" s="18"/>
      <c r="AW41" s="19"/>
      <c r="AX41" s="12">
        <f t="shared" si="1"/>
        <v>0</v>
      </c>
      <c r="AY41" s="10"/>
      <c r="AZ41" s="10">
        <v>0.0</v>
      </c>
      <c r="BA41" s="18">
        <f t="shared" si="10"/>
        <v>31454.81</v>
      </c>
      <c r="BB41" s="10">
        <f t="shared" si="11"/>
        <v>316035.2833</v>
      </c>
      <c r="BC41" s="10">
        <v>195968.91</v>
      </c>
      <c r="BD41" s="13"/>
      <c r="BE41" s="13"/>
      <c r="BF41" s="14">
        <f t="shared" si="5"/>
        <v>46</v>
      </c>
      <c r="BG41" s="19"/>
      <c r="BH41" s="6"/>
      <c r="BI41" s="16">
        <f t="shared" si="6"/>
        <v>11108.37367</v>
      </c>
      <c r="BJ41" s="6"/>
      <c r="BK41" s="15">
        <f t="shared" si="7"/>
        <v>0</v>
      </c>
      <c r="BN41" s="16">
        <f t="shared" si="8"/>
        <v>-11108.37367</v>
      </c>
      <c r="BO41" s="16">
        <f t="shared" si="9"/>
        <v>-10329.556</v>
      </c>
      <c r="BY41" s="6">
        <f t="shared" si="2"/>
        <v>2023</v>
      </c>
      <c r="BZ41" s="6" t="str">
        <f t="shared" si="3"/>
        <v>noviembre</v>
      </c>
      <c r="CA41" s="6" t="str">
        <f t="shared" si="4"/>
        <v>11</v>
      </c>
    </row>
    <row r="42">
      <c r="A42" s="8">
        <v>45249.0</v>
      </c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>
        <v>0.0</v>
      </c>
      <c r="AU42" s="18">
        <f t="shared" si="12"/>
        <v>189621.17</v>
      </c>
      <c r="AV42" s="18"/>
      <c r="AW42" s="19"/>
      <c r="AX42" s="12">
        <f t="shared" si="1"/>
        <v>0</v>
      </c>
      <c r="AY42" s="12"/>
      <c r="AZ42" s="12">
        <v>0.0</v>
      </c>
      <c r="BA42" s="18">
        <f t="shared" si="10"/>
        <v>31454.81</v>
      </c>
      <c r="BB42" s="10">
        <f t="shared" si="11"/>
        <v>299401.8474</v>
      </c>
      <c r="BC42" s="16">
        <f>IFERROR(AU40/DAY(A40)*5,0)</f>
        <v>55770.93235</v>
      </c>
      <c r="BD42" s="13"/>
      <c r="BE42" s="13"/>
      <c r="BF42" s="14">
        <f t="shared" si="5"/>
        <v>47</v>
      </c>
      <c r="BG42" s="6"/>
      <c r="BH42" s="16">
        <f>BH24</f>
        <v>83312.8025</v>
      </c>
      <c r="BI42" s="16">
        <f t="shared" si="6"/>
        <v>11108.37367</v>
      </c>
      <c r="BJ42" s="6"/>
      <c r="BK42" s="15">
        <f t="shared" si="7"/>
        <v>0</v>
      </c>
      <c r="BM42" s="16">
        <f>SUMIF(BF28:BF55,WEEKNUM(A42),AT28:AT55)-BH24</f>
        <v>31922.3475</v>
      </c>
      <c r="BN42" s="16">
        <f t="shared" si="8"/>
        <v>-11108.37367</v>
      </c>
      <c r="BO42" s="16">
        <f t="shared" si="9"/>
        <v>-21437.92967</v>
      </c>
      <c r="BY42" s="6">
        <f t="shared" si="2"/>
        <v>2023</v>
      </c>
      <c r="BZ42" s="6" t="str">
        <f t="shared" si="3"/>
        <v>noviembre</v>
      </c>
      <c r="CA42" s="6" t="str">
        <f t="shared" si="4"/>
        <v>11</v>
      </c>
    </row>
    <row r="43">
      <c r="A43" s="8">
        <v>45250.0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>
        <v>8535.91</v>
      </c>
      <c r="AU43" s="18">
        <f t="shared" si="12"/>
        <v>198157.08</v>
      </c>
      <c r="AV43" s="18"/>
      <c r="AW43" s="19"/>
      <c r="AX43" s="12">
        <f t="shared" si="1"/>
        <v>8535.91</v>
      </c>
      <c r="AY43" s="12"/>
      <c r="AZ43" s="12">
        <v>7957.11</v>
      </c>
      <c r="BA43" s="18">
        <f t="shared" si="10"/>
        <v>39411.92</v>
      </c>
      <c r="BB43" s="10">
        <f t="shared" si="11"/>
        <v>297235.62</v>
      </c>
      <c r="BC43" s="16">
        <f t="shared" ref="BC43:BC47" si="13">$BC$42</f>
        <v>55770.93235</v>
      </c>
      <c r="BD43" s="13"/>
      <c r="BE43" s="13"/>
      <c r="BF43" s="14">
        <f t="shared" si="5"/>
        <v>47</v>
      </c>
      <c r="BG43" s="6"/>
      <c r="BH43" s="6"/>
      <c r="BI43" s="16">
        <f t="shared" si="6"/>
        <v>11108.37367</v>
      </c>
      <c r="BJ43" s="6"/>
      <c r="BK43" s="15">
        <f t="shared" si="7"/>
        <v>0.7684212159</v>
      </c>
      <c r="BN43" s="16">
        <f t="shared" si="8"/>
        <v>-2572.463667</v>
      </c>
      <c r="BO43" s="16">
        <f t="shared" si="9"/>
        <v>-24010.39333</v>
      </c>
      <c r="BY43" s="6">
        <f t="shared" si="2"/>
        <v>2023</v>
      </c>
      <c r="BZ43" s="6" t="str">
        <f t="shared" si="3"/>
        <v>noviembre</v>
      </c>
      <c r="CA43" s="6" t="str">
        <f t="shared" si="4"/>
        <v>11</v>
      </c>
    </row>
    <row r="44">
      <c r="A44" s="8">
        <v>45251.0</v>
      </c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>
        <v>21968.14</v>
      </c>
      <c r="AU44" s="18">
        <f t="shared" si="12"/>
        <v>220125.22</v>
      </c>
      <c r="AV44" s="18"/>
      <c r="AW44" s="19"/>
      <c r="AX44" s="12">
        <f t="shared" si="1"/>
        <v>21968.14</v>
      </c>
      <c r="AY44" s="12"/>
      <c r="AZ44" s="12">
        <v>4513.37</v>
      </c>
      <c r="BA44" s="18">
        <f t="shared" si="10"/>
        <v>43925.29</v>
      </c>
      <c r="BB44" s="10">
        <f t="shared" si="11"/>
        <v>314464.6</v>
      </c>
      <c r="BC44" s="16">
        <f t="shared" si="13"/>
        <v>55770.93235</v>
      </c>
      <c r="BD44" s="13"/>
      <c r="BE44" s="13"/>
      <c r="BF44" s="14">
        <f t="shared" si="5"/>
        <v>47</v>
      </c>
      <c r="BG44" s="6"/>
      <c r="BH44" s="6"/>
      <c r="BI44" s="16">
        <f t="shared" si="6"/>
        <v>11108.37367</v>
      </c>
      <c r="BK44" s="15">
        <f t="shared" si="7"/>
        <v>1.977619826</v>
      </c>
      <c r="BN44" s="16">
        <f t="shared" ref="BN44:BN540" si="14">IF(AT44="","",AT44-BI44)</f>
        <v>10859.76633</v>
      </c>
      <c r="BO44" s="16">
        <f t="shared" si="9"/>
        <v>-13150.627</v>
      </c>
      <c r="BY44" s="6">
        <f t="shared" si="2"/>
        <v>2023</v>
      </c>
      <c r="BZ44" s="6" t="str">
        <f t="shared" si="3"/>
        <v>noviembre</v>
      </c>
      <c r="CA44" s="6" t="str">
        <f t="shared" si="4"/>
        <v>11</v>
      </c>
    </row>
    <row r="45">
      <c r="A45" s="8">
        <v>45252.0</v>
      </c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>
        <v>17873.54</v>
      </c>
      <c r="AU45" s="18">
        <f t="shared" si="12"/>
        <v>237998.76</v>
      </c>
      <c r="AV45" s="18"/>
      <c r="AW45" s="19"/>
      <c r="AX45" s="12">
        <f t="shared" si="1"/>
        <v>17873.54</v>
      </c>
      <c r="AY45" s="12"/>
      <c r="AZ45" s="12">
        <v>4683.82</v>
      </c>
      <c r="BA45" s="18">
        <f t="shared" si="10"/>
        <v>48609.11</v>
      </c>
      <c r="BB45" s="10">
        <f t="shared" si="11"/>
        <v>324543.7636</v>
      </c>
      <c r="BC45" s="16">
        <f t="shared" si="13"/>
        <v>55770.93235</v>
      </c>
      <c r="BD45" s="13"/>
      <c r="BE45" s="13"/>
      <c r="BF45" s="14">
        <f t="shared" si="5"/>
        <v>47</v>
      </c>
      <c r="BG45" s="6"/>
      <c r="BH45" s="6"/>
      <c r="BI45" s="16">
        <f t="shared" si="6"/>
        <v>11108.37367</v>
      </c>
      <c r="BK45" s="15">
        <f t="shared" si="7"/>
        <v>1.609015013</v>
      </c>
      <c r="BN45" s="16">
        <f t="shared" si="14"/>
        <v>6765.166333</v>
      </c>
      <c r="BO45" s="16">
        <f t="shared" si="9"/>
        <v>-6385.460667</v>
      </c>
      <c r="BY45" s="6">
        <f t="shared" si="2"/>
        <v>2023</v>
      </c>
      <c r="BZ45" s="6" t="str">
        <f t="shared" si="3"/>
        <v>noviembre</v>
      </c>
      <c r="CA45" s="6" t="str">
        <f t="shared" si="4"/>
        <v>11</v>
      </c>
    </row>
    <row r="46">
      <c r="A46" s="8">
        <v>45253.0</v>
      </c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>
        <v>54961.27</v>
      </c>
      <c r="AU46" s="18">
        <f t="shared" si="12"/>
        <v>292960.03</v>
      </c>
      <c r="AV46" s="18"/>
      <c r="AW46" s="19"/>
      <c r="AX46" s="12">
        <f t="shared" si="1"/>
        <v>54961.27</v>
      </c>
      <c r="AY46" s="12"/>
      <c r="AZ46" s="12">
        <v>0.0</v>
      </c>
      <c r="BA46" s="18">
        <f t="shared" si="10"/>
        <v>48609.11</v>
      </c>
      <c r="BB46" s="10">
        <f t="shared" si="11"/>
        <v>382121.7783</v>
      </c>
      <c r="BC46" s="16">
        <f t="shared" si="13"/>
        <v>55770.93235</v>
      </c>
      <c r="BD46" s="13"/>
      <c r="BE46" s="13"/>
      <c r="BF46" s="14">
        <f t="shared" si="5"/>
        <v>47</v>
      </c>
      <c r="BG46" s="6"/>
      <c r="BH46" s="6"/>
      <c r="BI46" s="16">
        <f t="shared" si="6"/>
        <v>11108.37367</v>
      </c>
      <c r="BK46" s="15">
        <f t="shared" si="7"/>
        <v>4.947733273</v>
      </c>
      <c r="BN46" s="16">
        <f t="shared" si="14"/>
        <v>43852.89633</v>
      </c>
      <c r="BO46" s="16">
        <f t="shared" si="9"/>
        <v>37467.43567</v>
      </c>
      <c r="BY46" s="6">
        <f t="shared" si="2"/>
        <v>2023</v>
      </c>
      <c r="BZ46" s="6" t="str">
        <f t="shared" si="3"/>
        <v>noviembre</v>
      </c>
      <c r="CA46" s="6" t="str">
        <f t="shared" si="4"/>
        <v>11</v>
      </c>
    </row>
    <row r="47">
      <c r="A47" s="8">
        <v>45254.0</v>
      </c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>
        <v>11896.29</v>
      </c>
      <c r="AU47" s="18">
        <f t="shared" si="12"/>
        <v>304856.32</v>
      </c>
      <c r="AV47" s="18"/>
      <c r="AW47" s="19"/>
      <c r="AX47" s="12">
        <f t="shared" si="1"/>
        <v>11896.29</v>
      </c>
      <c r="AY47" s="12"/>
      <c r="AZ47" s="12">
        <v>764.4</v>
      </c>
      <c r="BA47" s="18">
        <f t="shared" si="10"/>
        <v>49373.51</v>
      </c>
      <c r="BB47" s="10">
        <f t="shared" si="11"/>
        <v>381070.4</v>
      </c>
      <c r="BC47" s="16">
        <f t="shared" si="13"/>
        <v>55770.93235</v>
      </c>
      <c r="BD47" s="13"/>
      <c r="BE47" s="13"/>
      <c r="BF47" s="14">
        <f t="shared" si="5"/>
        <v>47</v>
      </c>
      <c r="BG47" s="6"/>
      <c r="BH47" s="6"/>
      <c r="BI47" s="16">
        <f t="shared" si="6"/>
        <v>11108.37367</v>
      </c>
      <c r="BK47" s="15">
        <f t="shared" si="7"/>
        <v>1.070929945</v>
      </c>
      <c r="BN47" s="16">
        <f t="shared" si="14"/>
        <v>787.9163333</v>
      </c>
      <c r="BO47" s="16">
        <f t="shared" si="9"/>
        <v>38255.352</v>
      </c>
      <c r="BY47" s="6">
        <f t="shared" si="2"/>
        <v>2023</v>
      </c>
      <c r="BZ47" s="6" t="str">
        <f t="shared" si="3"/>
        <v>noviembre</v>
      </c>
      <c r="CA47" s="6" t="str">
        <f t="shared" si="4"/>
        <v>11</v>
      </c>
    </row>
    <row r="48">
      <c r="A48" s="8">
        <v>45255.0</v>
      </c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>
        <v>0.0</v>
      </c>
      <c r="AU48" s="18">
        <f t="shared" si="12"/>
        <v>304856.32</v>
      </c>
      <c r="AV48" s="18"/>
      <c r="AW48" s="19"/>
      <c r="AX48" s="12">
        <f t="shared" si="1"/>
        <v>0</v>
      </c>
      <c r="AY48" s="12"/>
      <c r="AZ48" s="12">
        <v>0.0</v>
      </c>
      <c r="BA48" s="18">
        <f t="shared" si="10"/>
        <v>49373.51</v>
      </c>
      <c r="BB48" s="10">
        <f t="shared" si="11"/>
        <v>365827.584</v>
      </c>
      <c r="BC48" s="16">
        <f>AU40+BC42</f>
        <v>245392.1024</v>
      </c>
      <c r="BD48" s="13"/>
      <c r="BE48" s="13"/>
      <c r="BF48" s="14">
        <f t="shared" si="5"/>
        <v>47</v>
      </c>
      <c r="BG48" s="6"/>
      <c r="BH48" s="6"/>
      <c r="BI48" s="16">
        <f t="shared" si="6"/>
        <v>11108.37367</v>
      </c>
      <c r="BJ48" s="6"/>
      <c r="BK48" s="15">
        <f t="shared" si="7"/>
        <v>0</v>
      </c>
      <c r="BN48" s="16">
        <f t="shared" si="14"/>
        <v>-11108.37367</v>
      </c>
      <c r="BO48" s="16">
        <f t="shared" si="9"/>
        <v>27146.97833</v>
      </c>
      <c r="BY48" s="6">
        <f t="shared" si="2"/>
        <v>2023</v>
      </c>
      <c r="BZ48" s="6" t="str">
        <f t="shared" si="3"/>
        <v>noviembre</v>
      </c>
      <c r="CA48" s="6" t="str">
        <f t="shared" si="4"/>
        <v>11</v>
      </c>
    </row>
    <row r="49">
      <c r="A49" s="8">
        <v>45256.0</v>
      </c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>
        <v>0.0</v>
      </c>
      <c r="AU49" s="18">
        <f t="shared" si="12"/>
        <v>304856.32</v>
      </c>
      <c r="AV49" s="18"/>
      <c r="AW49" s="19"/>
      <c r="AX49" s="12">
        <f t="shared" si="1"/>
        <v>0</v>
      </c>
      <c r="AY49" s="12"/>
      <c r="AZ49" s="12">
        <v>0.0</v>
      </c>
      <c r="BA49" s="18">
        <f t="shared" si="10"/>
        <v>49373.51</v>
      </c>
      <c r="BB49" s="10">
        <f t="shared" si="11"/>
        <v>351757.2923</v>
      </c>
      <c r="BC49" s="16">
        <f>IFERROR(AU47/DAY(A47)*5,0)</f>
        <v>63511.73333</v>
      </c>
      <c r="BD49" s="13"/>
      <c r="BE49" s="13"/>
      <c r="BF49" s="14">
        <f t="shared" si="5"/>
        <v>48</v>
      </c>
      <c r="BG49" s="6"/>
      <c r="BH49" s="16">
        <f>BH24</f>
        <v>83312.8025</v>
      </c>
      <c r="BI49" s="16">
        <f t="shared" si="6"/>
        <v>11108.37367</v>
      </c>
      <c r="BJ49" s="6"/>
      <c r="BK49" s="15">
        <f t="shared" si="7"/>
        <v>0</v>
      </c>
      <c r="BM49" s="16">
        <f>SUMIF(BF28:BF55,WEEKNUM(A49),AT28:AT55)-BH24</f>
        <v>15365.1775</v>
      </c>
      <c r="BN49" s="16">
        <f t="shared" si="14"/>
        <v>-11108.37367</v>
      </c>
      <c r="BO49" s="16">
        <f t="shared" si="9"/>
        <v>16038.60467</v>
      </c>
      <c r="BY49" s="6">
        <f t="shared" si="2"/>
        <v>2023</v>
      </c>
      <c r="BZ49" s="6" t="str">
        <f t="shared" si="3"/>
        <v>noviembre</v>
      </c>
      <c r="CA49" s="6" t="str">
        <f t="shared" si="4"/>
        <v>11</v>
      </c>
    </row>
    <row r="50">
      <c r="A50" s="8">
        <v>45257.0</v>
      </c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>
        <v>2384.34</v>
      </c>
      <c r="AU50" s="18">
        <f t="shared" si="12"/>
        <v>307240.66</v>
      </c>
      <c r="AV50" s="18"/>
      <c r="AW50" s="19"/>
      <c r="AX50" s="12">
        <f t="shared" si="1"/>
        <v>2384.34</v>
      </c>
      <c r="AY50" s="12"/>
      <c r="AZ50" s="12">
        <v>1033.24</v>
      </c>
      <c r="BA50" s="18">
        <f t="shared" si="10"/>
        <v>50406.75</v>
      </c>
      <c r="BB50" s="10">
        <f t="shared" si="11"/>
        <v>341378.5111</v>
      </c>
      <c r="BC50" s="16">
        <f t="shared" ref="BC50:BC54" si="15">$BC$49</f>
        <v>63511.73333</v>
      </c>
      <c r="BD50" s="13"/>
      <c r="BE50" s="13"/>
      <c r="BF50" s="14">
        <f t="shared" si="5"/>
        <v>48</v>
      </c>
      <c r="BG50" s="6"/>
      <c r="BH50" s="6"/>
      <c r="BI50" s="16">
        <f t="shared" si="6"/>
        <v>11108.37367</v>
      </c>
      <c r="BJ50" s="6"/>
      <c r="BK50" s="15">
        <f t="shared" si="7"/>
        <v>0.2146434817</v>
      </c>
      <c r="BN50" s="16">
        <f t="shared" si="14"/>
        <v>-8724.033667</v>
      </c>
      <c r="BO50" s="16">
        <f t="shared" si="9"/>
        <v>7314.571</v>
      </c>
      <c r="BY50" s="6">
        <f t="shared" si="2"/>
        <v>2023</v>
      </c>
      <c r="BZ50" s="6" t="str">
        <f t="shared" si="3"/>
        <v>noviembre</v>
      </c>
      <c r="CA50" s="6" t="str">
        <f t="shared" si="4"/>
        <v>11</v>
      </c>
    </row>
    <row r="51">
      <c r="A51" s="8">
        <v>45258.0</v>
      </c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>
        <v>19682.16</v>
      </c>
      <c r="AU51" s="18">
        <f t="shared" si="12"/>
        <v>326922.82</v>
      </c>
      <c r="AV51" s="18"/>
      <c r="AW51" s="19"/>
      <c r="AX51" s="12">
        <f t="shared" si="1"/>
        <v>19682.16</v>
      </c>
      <c r="AY51" s="12"/>
      <c r="AZ51" s="12">
        <v>1227.44</v>
      </c>
      <c r="BA51" s="18">
        <f t="shared" si="10"/>
        <v>51634.19</v>
      </c>
      <c r="BB51" s="10">
        <f t="shared" si="11"/>
        <v>350274.45</v>
      </c>
      <c r="BC51" s="16">
        <f t="shared" si="15"/>
        <v>63511.73333</v>
      </c>
      <c r="BD51" s="13"/>
      <c r="BE51" s="13"/>
      <c r="BF51" s="14">
        <f t="shared" si="5"/>
        <v>48</v>
      </c>
      <c r="BG51" s="6"/>
      <c r="BH51" s="6"/>
      <c r="BI51" s="16">
        <f t="shared" si="6"/>
        <v>11108.37367</v>
      </c>
      <c r="BK51" s="15">
        <f t="shared" si="7"/>
        <v>1.771830926</v>
      </c>
      <c r="BN51" s="16">
        <f t="shared" si="14"/>
        <v>8573.786333</v>
      </c>
      <c r="BO51" s="16">
        <f t="shared" si="9"/>
        <v>15888.35733</v>
      </c>
      <c r="BY51" s="6">
        <f t="shared" si="2"/>
        <v>2023</v>
      </c>
      <c r="BZ51" s="6" t="str">
        <f t="shared" si="3"/>
        <v>noviembre</v>
      </c>
      <c r="CA51" s="6" t="str">
        <f t="shared" si="4"/>
        <v>11</v>
      </c>
    </row>
    <row r="52">
      <c r="A52" s="8">
        <v>45259.0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>
        <v>29722.87</v>
      </c>
      <c r="AU52" s="18">
        <f t="shared" si="12"/>
        <v>356645.69</v>
      </c>
      <c r="AV52" s="18"/>
      <c r="AW52" s="19"/>
      <c r="AX52" s="12">
        <f t="shared" si="1"/>
        <v>29722.87</v>
      </c>
      <c r="AY52" s="12"/>
      <c r="AZ52" s="12">
        <v>2335.72</v>
      </c>
      <c r="BA52" s="18">
        <f t="shared" si="10"/>
        <v>53969.91</v>
      </c>
      <c r="BB52" s="10">
        <f t="shared" si="11"/>
        <v>368943.8172</v>
      </c>
      <c r="BC52" s="16">
        <f t="shared" si="15"/>
        <v>63511.73333</v>
      </c>
      <c r="BD52" s="13"/>
      <c r="BE52" s="13"/>
      <c r="BF52" s="14">
        <f t="shared" si="5"/>
        <v>48</v>
      </c>
      <c r="BG52" s="6"/>
      <c r="BH52" s="6"/>
      <c r="BI52" s="16">
        <f t="shared" si="6"/>
        <v>11108.37367</v>
      </c>
      <c r="BK52" s="15">
        <f t="shared" si="7"/>
        <v>2.675717517</v>
      </c>
      <c r="BN52" s="16">
        <f t="shared" si="14"/>
        <v>18614.49633</v>
      </c>
      <c r="BO52" s="16">
        <f t="shared" si="9"/>
        <v>34502.85367</v>
      </c>
      <c r="BY52" s="6">
        <f t="shared" si="2"/>
        <v>2023</v>
      </c>
      <c r="BZ52" s="6" t="str">
        <f t="shared" si="3"/>
        <v>noviembre</v>
      </c>
      <c r="CA52" s="6" t="str">
        <f t="shared" si="4"/>
        <v>11</v>
      </c>
    </row>
    <row r="53">
      <c r="A53" s="8">
        <v>45260.0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>
        <v>35105.64</v>
      </c>
      <c r="AU53" s="18">
        <f>IF(AT53="","",AU52+AT53)</f>
        <v>391751.33</v>
      </c>
      <c r="AV53" s="18"/>
      <c r="AW53" s="19"/>
      <c r="AX53" s="12">
        <f t="shared" si="1"/>
        <v>35105.64</v>
      </c>
      <c r="AY53" s="12"/>
      <c r="AZ53" s="12">
        <v>2717.43</v>
      </c>
      <c r="BA53" s="18">
        <f t="shared" si="10"/>
        <v>56687.34</v>
      </c>
      <c r="BB53" s="10">
        <f t="shared" ref="BB53:BB712" si="16">IF(AT53="","",IFERROR(AU53/DAY(A53)*DAY(EOMONTH(A53,0)),0))</f>
        <v>391751.33</v>
      </c>
      <c r="BC53" s="16">
        <f t="shared" si="15"/>
        <v>63511.73333</v>
      </c>
      <c r="BD53" s="13"/>
      <c r="BE53" s="13"/>
      <c r="BF53" s="14">
        <f t="shared" si="5"/>
        <v>48</v>
      </c>
      <c r="BG53" s="6"/>
      <c r="BH53" s="6"/>
      <c r="BI53" s="16">
        <f t="shared" si="6"/>
        <v>11108.37367</v>
      </c>
      <c r="BK53" s="15">
        <f t="shared" ref="BK53:BK212" si="17">IF(AT53="","",IFERROR(AT53/BI53,0))</f>
        <v>3.1602862</v>
      </c>
      <c r="BN53" s="16">
        <f t="shared" si="14"/>
        <v>23997.26633</v>
      </c>
      <c r="BO53" s="16">
        <f t="shared" si="9"/>
        <v>58500.12</v>
      </c>
      <c r="BY53" s="6">
        <f t="shared" si="2"/>
        <v>2023</v>
      </c>
      <c r="BZ53" s="6" t="str">
        <f t="shared" si="3"/>
        <v>noviembre</v>
      </c>
      <c r="CA53" s="6" t="str">
        <f t="shared" si="4"/>
        <v>11</v>
      </c>
    </row>
    <row r="54">
      <c r="A54" s="8">
        <v>45261.0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>
        <v>11782.97</v>
      </c>
      <c r="AU54" s="18">
        <f>IF(AT54="","",AT54)</f>
        <v>11782.97</v>
      </c>
      <c r="AV54" s="18"/>
      <c r="AW54" s="19"/>
      <c r="AX54" s="12">
        <f t="shared" si="1"/>
        <v>11782.97</v>
      </c>
      <c r="AY54" s="12"/>
      <c r="AZ54" s="12">
        <v>6009.64</v>
      </c>
      <c r="BA54" s="18">
        <f>IF(AZ54="","",AZ54)</f>
        <v>6009.64</v>
      </c>
      <c r="BB54" s="10">
        <f t="shared" si="16"/>
        <v>365272.07</v>
      </c>
      <c r="BC54" s="16">
        <f t="shared" si="15"/>
        <v>63511.73333</v>
      </c>
      <c r="BD54" s="13"/>
      <c r="BE54" s="13"/>
      <c r="BF54" s="14">
        <f t="shared" si="5"/>
        <v>48</v>
      </c>
      <c r="BG54" s="12">
        <v>353232.23</v>
      </c>
      <c r="BH54" s="6"/>
      <c r="BI54" s="16">
        <f t="shared" ref="BI54:BI84" si="18">$BG$54/DAY(EOMONTH(A54,0))</f>
        <v>11394.58806</v>
      </c>
      <c r="BJ54" s="15">
        <f>MAX(AU58:AU85)/BG54</f>
        <v>1.088606014</v>
      </c>
      <c r="BK54" s="15">
        <f t="shared" si="17"/>
        <v>1.034084772</v>
      </c>
      <c r="BN54" s="16">
        <f t="shared" si="14"/>
        <v>388.3819355</v>
      </c>
      <c r="BO54" s="16">
        <f>IF(AT54="","",BN54)</f>
        <v>388.3819355</v>
      </c>
      <c r="BY54" s="6">
        <f t="shared" si="2"/>
        <v>2023</v>
      </c>
      <c r="BZ54" s="6" t="str">
        <f t="shared" si="3"/>
        <v>diciembre</v>
      </c>
      <c r="CA54" s="6" t="str">
        <f t="shared" si="4"/>
        <v>12</v>
      </c>
    </row>
    <row r="55">
      <c r="A55" s="8">
        <v>45262.0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>
        <v>0.0</v>
      </c>
      <c r="AU55" s="18">
        <f t="shared" ref="AU55:AU84" si="19">IF(AT55="","",AU54+AT55)</f>
        <v>11782.97</v>
      </c>
      <c r="AV55" s="18"/>
      <c r="AW55" s="19"/>
      <c r="AX55" s="12">
        <f t="shared" si="1"/>
        <v>0</v>
      </c>
      <c r="AY55" s="12"/>
      <c r="AZ55" s="12">
        <v>0.0</v>
      </c>
      <c r="BA55" s="18">
        <f t="shared" ref="BA55:BA84" si="20">IF(AZ55="","",BA54+AZ55)</f>
        <v>6009.64</v>
      </c>
      <c r="BB55" s="10">
        <f t="shared" si="16"/>
        <v>182636.035</v>
      </c>
      <c r="BC55" s="16">
        <f>AU47+BC49</f>
        <v>368368.0533</v>
      </c>
      <c r="BD55" s="13"/>
      <c r="BE55" s="13"/>
      <c r="BF55" s="14">
        <f t="shared" si="5"/>
        <v>48</v>
      </c>
      <c r="BG55" s="6"/>
      <c r="BH55" s="6"/>
      <c r="BI55" s="16">
        <f t="shared" si="18"/>
        <v>11394.58806</v>
      </c>
      <c r="BJ55" s="6"/>
      <c r="BK55" s="15">
        <f t="shared" si="17"/>
        <v>0</v>
      </c>
      <c r="BN55" s="16">
        <f t="shared" si="14"/>
        <v>-11394.58806</v>
      </c>
      <c r="BO55" s="16">
        <f t="shared" ref="BO55:BO84" si="21">IF(AT55="","",BO54+BN55)</f>
        <v>-11006.20613</v>
      </c>
      <c r="BY55" s="6">
        <f t="shared" si="2"/>
        <v>2023</v>
      </c>
      <c r="BZ55" s="6" t="str">
        <f t="shared" si="3"/>
        <v>diciembre</v>
      </c>
      <c r="CA55" s="6" t="str">
        <f t="shared" si="4"/>
        <v>12</v>
      </c>
    </row>
    <row r="56">
      <c r="A56" s="8">
        <v>45263.0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>
        <v>0.0</v>
      </c>
      <c r="AU56" s="18">
        <f t="shared" si="19"/>
        <v>11782.97</v>
      </c>
      <c r="AV56" s="18"/>
      <c r="AW56" s="19"/>
      <c r="AX56" s="12">
        <f t="shared" si="1"/>
        <v>0</v>
      </c>
      <c r="AY56" s="12"/>
      <c r="AZ56" s="12">
        <v>0.0</v>
      </c>
      <c r="BA56" s="18">
        <f t="shared" si="20"/>
        <v>6009.64</v>
      </c>
      <c r="BB56" s="10">
        <f t="shared" si="16"/>
        <v>121757.3567</v>
      </c>
      <c r="BC56" s="16">
        <f>IFERROR(AU54/DAY(A54)*5,0)</f>
        <v>58914.85</v>
      </c>
      <c r="BD56" s="13"/>
      <c r="BE56" s="13"/>
      <c r="BF56" s="14">
        <f t="shared" si="5"/>
        <v>49</v>
      </c>
      <c r="BG56" s="6"/>
      <c r="BH56" s="6"/>
      <c r="BI56" s="16">
        <f t="shared" si="18"/>
        <v>11394.58806</v>
      </c>
      <c r="BJ56" s="6"/>
      <c r="BK56" s="15">
        <f t="shared" si="17"/>
        <v>0</v>
      </c>
      <c r="BN56" s="16">
        <f t="shared" si="14"/>
        <v>-11394.58806</v>
      </c>
      <c r="BO56" s="16">
        <f t="shared" si="21"/>
        <v>-22400.79419</v>
      </c>
      <c r="BY56" s="6">
        <f t="shared" si="2"/>
        <v>2023</v>
      </c>
      <c r="BZ56" s="6" t="str">
        <f t="shared" si="3"/>
        <v>diciembre</v>
      </c>
      <c r="CA56" s="6" t="str">
        <f t="shared" si="4"/>
        <v>12</v>
      </c>
    </row>
    <row r="57">
      <c r="A57" s="8">
        <v>45264.0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>
        <v>8601.37</v>
      </c>
      <c r="AU57" s="18">
        <f t="shared" si="19"/>
        <v>20384.34</v>
      </c>
      <c r="AV57" s="18"/>
      <c r="AW57" s="19"/>
      <c r="AX57" s="12">
        <f t="shared" si="1"/>
        <v>8601.37</v>
      </c>
      <c r="AY57" s="12"/>
      <c r="AZ57" s="12">
        <v>0.0</v>
      </c>
      <c r="BA57" s="18">
        <f t="shared" si="20"/>
        <v>6009.64</v>
      </c>
      <c r="BB57" s="10">
        <f t="shared" si="16"/>
        <v>157978.635</v>
      </c>
      <c r="BC57" s="16">
        <f t="shared" ref="BC57:BC182" si="22">BC56</f>
        <v>58914.85</v>
      </c>
      <c r="BD57" s="13"/>
      <c r="BE57" s="13"/>
      <c r="BF57" s="14">
        <f t="shared" si="5"/>
        <v>49</v>
      </c>
      <c r="BG57" s="6"/>
      <c r="BH57" s="6"/>
      <c r="BI57" s="16">
        <f t="shared" si="18"/>
        <v>11394.58806</v>
      </c>
      <c r="BJ57" s="6"/>
      <c r="BK57" s="15">
        <f t="shared" si="17"/>
        <v>0.7548644981</v>
      </c>
      <c r="BN57" s="16">
        <f t="shared" si="14"/>
        <v>-2793.218065</v>
      </c>
      <c r="BO57" s="16">
        <f t="shared" si="21"/>
        <v>-25194.01226</v>
      </c>
      <c r="BY57" s="6">
        <f t="shared" si="2"/>
        <v>2023</v>
      </c>
      <c r="BZ57" s="6" t="str">
        <f t="shared" si="3"/>
        <v>diciembre</v>
      </c>
      <c r="CA57" s="6" t="str">
        <f t="shared" si="4"/>
        <v>12</v>
      </c>
    </row>
    <row r="58">
      <c r="A58" s="8">
        <v>45265.0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>
        <v>20734.35</v>
      </c>
      <c r="AU58" s="18">
        <f t="shared" si="19"/>
        <v>41118.69</v>
      </c>
      <c r="AV58" s="18"/>
      <c r="AW58" s="19"/>
      <c r="AX58" s="12">
        <f t="shared" si="1"/>
        <v>20734.35</v>
      </c>
      <c r="AY58" s="12"/>
      <c r="AZ58" s="12">
        <v>3973.58</v>
      </c>
      <c r="BA58" s="18">
        <f t="shared" si="20"/>
        <v>9983.22</v>
      </c>
      <c r="BB58" s="10">
        <f t="shared" si="16"/>
        <v>254935.878</v>
      </c>
      <c r="BC58" s="16">
        <f t="shared" si="22"/>
        <v>58914.85</v>
      </c>
      <c r="BD58" s="13"/>
      <c r="BE58" s="13"/>
      <c r="BF58" s="14">
        <f t="shared" si="5"/>
        <v>49</v>
      </c>
      <c r="BG58" s="6"/>
      <c r="BH58" s="6"/>
      <c r="BI58" s="16">
        <f t="shared" si="18"/>
        <v>11394.58806</v>
      </c>
      <c r="BK58" s="15">
        <f t="shared" si="17"/>
        <v>1.819666484</v>
      </c>
      <c r="BN58" s="16">
        <f t="shared" si="14"/>
        <v>9339.761935</v>
      </c>
      <c r="BO58" s="16">
        <f t="shared" si="21"/>
        <v>-15854.25032</v>
      </c>
      <c r="BY58" s="6">
        <f t="shared" si="2"/>
        <v>2023</v>
      </c>
      <c r="BZ58" s="6" t="str">
        <f t="shared" si="3"/>
        <v>diciembre</v>
      </c>
      <c r="CA58" s="6" t="str">
        <f t="shared" si="4"/>
        <v>12</v>
      </c>
    </row>
    <row r="59">
      <c r="A59" s="8">
        <v>45266.0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>
        <v>7511.36</v>
      </c>
      <c r="AU59" s="18">
        <f t="shared" si="19"/>
        <v>48630.05</v>
      </c>
      <c r="AV59" s="18"/>
      <c r="AW59" s="19"/>
      <c r="AX59" s="12">
        <f t="shared" si="1"/>
        <v>7511.36</v>
      </c>
      <c r="AY59" s="12"/>
      <c r="AZ59" s="12">
        <v>1486.76</v>
      </c>
      <c r="BA59" s="18">
        <f t="shared" si="20"/>
        <v>11469.98</v>
      </c>
      <c r="BB59" s="10">
        <f t="shared" si="16"/>
        <v>251255.2583</v>
      </c>
      <c r="BC59" s="16">
        <f t="shared" si="22"/>
        <v>58914.85</v>
      </c>
      <c r="BD59" s="13"/>
      <c r="BE59" s="13"/>
      <c r="BF59" s="14">
        <f t="shared" si="5"/>
        <v>49</v>
      </c>
      <c r="BG59" s="6"/>
      <c r="BH59" s="6"/>
      <c r="BI59" s="16">
        <f t="shared" si="18"/>
        <v>11394.58806</v>
      </c>
      <c r="BJ59" s="6"/>
      <c r="BK59" s="15">
        <f t="shared" si="17"/>
        <v>0.6592041728</v>
      </c>
      <c r="BN59" s="16">
        <f t="shared" si="14"/>
        <v>-3883.228065</v>
      </c>
      <c r="BO59" s="16">
        <f t="shared" si="21"/>
        <v>-19737.47839</v>
      </c>
      <c r="BY59" s="6">
        <f t="shared" si="2"/>
        <v>2023</v>
      </c>
      <c r="BZ59" s="6" t="str">
        <f t="shared" si="3"/>
        <v>diciembre</v>
      </c>
      <c r="CA59" s="6" t="str">
        <f t="shared" si="4"/>
        <v>12</v>
      </c>
    </row>
    <row r="60">
      <c r="A60" s="8">
        <v>45267.0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>
        <v>17243.87</v>
      </c>
      <c r="P60" s="12"/>
      <c r="Q60" s="12"/>
      <c r="R60" s="12"/>
      <c r="S60" s="12"/>
      <c r="T60" s="12"/>
      <c r="U60" s="12"/>
      <c r="V60" s="12">
        <v>2131.12</v>
      </c>
      <c r="W60" s="12"/>
      <c r="X60" s="12"/>
      <c r="Y60" s="12"/>
      <c r="Z60" s="12"/>
      <c r="AA60" s="12"/>
      <c r="AB60" s="12"/>
      <c r="AC60" s="12">
        <v>97.39</v>
      </c>
      <c r="AD60" s="12"/>
      <c r="AE60" s="12"/>
      <c r="AF60" s="12"/>
      <c r="AG60" s="12"/>
      <c r="AH60" s="12"/>
      <c r="AI60" s="12"/>
      <c r="AJ60" s="12"/>
      <c r="AK60" s="12"/>
      <c r="AL60" s="12">
        <v>3784.51</v>
      </c>
      <c r="AM60" s="12"/>
      <c r="AN60" s="12"/>
      <c r="AO60" s="12"/>
      <c r="AP60" s="12"/>
      <c r="AQ60" s="12"/>
      <c r="AR60" s="12"/>
      <c r="AS60" s="12">
        <v>0.0</v>
      </c>
      <c r="AT60" s="12">
        <f>SUM(O60:AS60)</f>
        <v>23256.89</v>
      </c>
      <c r="AU60" s="18">
        <f t="shared" si="19"/>
        <v>71886.94</v>
      </c>
      <c r="AV60" s="18"/>
      <c r="AW60" s="19"/>
      <c r="AX60" s="12">
        <f t="shared" si="1"/>
        <v>23256.89</v>
      </c>
      <c r="AY60" s="12"/>
      <c r="AZ60" s="12">
        <v>2676.92</v>
      </c>
      <c r="BA60" s="18">
        <f t="shared" si="20"/>
        <v>14146.9</v>
      </c>
      <c r="BB60" s="10">
        <f t="shared" si="16"/>
        <v>318356.4486</v>
      </c>
      <c r="BC60" s="16">
        <f t="shared" si="22"/>
        <v>58914.85</v>
      </c>
      <c r="BD60" s="13"/>
      <c r="BE60" s="13"/>
      <c r="BF60" s="14">
        <f t="shared" ref="BF60:BF112" si="23">IF(AT60="","", WEEKNUM(A60))</f>
        <v>49</v>
      </c>
      <c r="BG60" s="6"/>
      <c r="BH60" s="6"/>
      <c r="BI60" s="16">
        <f t="shared" si="18"/>
        <v>11394.58806</v>
      </c>
      <c r="BK60" s="15">
        <f t="shared" si="17"/>
        <v>2.041047019</v>
      </c>
      <c r="BN60" s="16">
        <f t="shared" si="14"/>
        <v>11862.30194</v>
      </c>
      <c r="BO60" s="16">
        <f t="shared" si="21"/>
        <v>-7875.176452</v>
      </c>
      <c r="BY60" s="6">
        <f t="shared" si="2"/>
        <v>2023</v>
      </c>
      <c r="BZ60" s="6" t="str">
        <f t="shared" si="3"/>
        <v>diciembre</v>
      </c>
      <c r="CA60" s="6" t="str">
        <f t="shared" si="4"/>
        <v>12</v>
      </c>
    </row>
    <row r="61">
      <c r="A61" s="8">
        <v>45268.0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>
        <v>8451.68</v>
      </c>
      <c r="P61" s="12"/>
      <c r="Q61" s="12"/>
      <c r="R61" s="12"/>
      <c r="S61" s="12"/>
      <c r="T61" s="12"/>
      <c r="U61" s="12"/>
      <c r="V61" s="12">
        <v>1806.4</v>
      </c>
      <c r="W61" s="12"/>
      <c r="X61" s="12"/>
      <c r="Y61" s="12"/>
      <c r="Z61" s="12"/>
      <c r="AA61" s="12"/>
      <c r="AB61" s="12"/>
      <c r="AC61" s="12">
        <v>100.57</v>
      </c>
      <c r="AD61" s="12"/>
      <c r="AE61" s="12"/>
      <c r="AF61" s="12"/>
      <c r="AG61" s="12"/>
      <c r="AH61" s="12"/>
      <c r="AI61" s="12"/>
      <c r="AJ61" s="12"/>
      <c r="AK61" s="12"/>
      <c r="AL61" s="12">
        <v>1180.92</v>
      </c>
      <c r="AM61" s="12"/>
      <c r="AN61" s="12"/>
      <c r="AO61" s="12"/>
      <c r="AP61" s="12"/>
      <c r="AQ61" s="12"/>
      <c r="AR61" s="12"/>
      <c r="AS61" s="12">
        <v>0.0</v>
      </c>
      <c r="AT61" s="12">
        <f>IF(O61="","", SUM(O61:AL61))</f>
        <v>11539.57</v>
      </c>
      <c r="AU61" s="18">
        <f t="shared" si="19"/>
        <v>83426.51</v>
      </c>
      <c r="AV61" s="18"/>
      <c r="AW61" s="19"/>
      <c r="AX61" s="12">
        <f t="shared" si="1"/>
        <v>11539.57</v>
      </c>
      <c r="AY61" s="12"/>
      <c r="AZ61" s="12">
        <v>1829.78</v>
      </c>
      <c r="BA61" s="18">
        <f t="shared" si="20"/>
        <v>15976.68</v>
      </c>
      <c r="BB61" s="10">
        <f t="shared" si="16"/>
        <v>323277.7263</v>
      </c>
      <c r="BC61" s="16">
        <f t="shared" si="22"/>
        <v>58914.85</v>
      </c>
      <c r="BD61" s="13"/>
      <c r="BE61" s="13"/>
      <c r="BF61" s="14">
        <f t="shared" si="23"/>
        <v>49</v>
      </c>
      <c r="BG61" s="6"/>
      <c r="BH61" s="6"/>
      <c r="BI61" s="16">
        <f t="shared" si="18"/>
        <v>11394.58806</v>
      </c>
      <c r="BK61" s="15">
        <f t="shared" si="17"/>
        <v>1.012723754</v>
      </c>
      <c r="BN61" s="16">
        <f t="shared" si="14"/>
        <v>144.9819355</v>
      </c>
      <c r="BO61" s="16">
        <f t="shared" si="21"/>
        <v>-7730.194516</v>
      </c>
      <c r="BY61" s="6">
        <f t="shared" si="2"/>
        <v>2023</v>
      </c>
      <c r="BZ61" s="6" t="str">
        <f t="shared" si="3"/>
        <v>diciembre</v>
      </c>
      <c r="CA61" s="6" t="str">
        <f t="shared" si="4"/>
        <v>12</v>
      </c>
    </row>
    <row r="62">
      <c r="A62" s="8">
        <v>45269.0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>
        <v>0.0</v>
      </c>
      <c r="P62" s="12"/>
      <c r="Q62" s="12"/>
      <c r="R62" s="12"/>
      <c r="S62" s="12"/>
      <c r="T62" s="12"/>
      <c r="U62" s="12"/>
      <c r="V62" s="12">
        <v>0.0</v>
      </c>
      <c r="W62" s="12"/>
      <c r="X62" s="12"/>
      <c r="Y62" s="12"/>
      <c r="Z62" s="12"/>
      <c r="AA62" s="12"/>
      <c r="AB62" s="12"/>
      <c r="AC62" s="12">
        <v>0.0</v>
      </c>
      <c r="AD62" s="12"/>
      <c r="AE62" s="12"/>
      <c r="AF62" s="12"/>
      <c r="AG62" s="12"/>
      <c r="AH62" s="12"/>
      <c r="AI62" s="12"/>
      <c r="AJ62" s="12"/>
      <c r="AK62" s="12"/>
      <c r="AL62" s="12">
        <v>0.0</v>
      </c>
      <c r="AM62" s="12"/>
      <c r="AN62" s="12"/>
      <c r="AO62" s="12"/>
      <c r="AP62" s="12"/>
      <c r="AQ62" s="12"/>
      <c r="AR62" s="12"/>
      <c r="AS62" s="12">
        <v>0.0</v>
      </c>
      <c r="AT62" s="12">
        <f t="shared" ref="AT62:AT141" si="24">IF(O62="","", SUM(O62:AS62))</f>
        <v>0</v>
      </c>
      <c r="AU62" s="18">
        <f t="shared" si="19"/>
        <v>83426.51</v>
      </c>
      <c r="AV62" s="18"/>
      <c r="AW62" s="19"/>
      <c r="AX62" s="12">
        <f t="shared" si="1"/>
        <v>0</v>
      </c>
      <c r="AY62" s="12"/>
      <c r="AZ62" s="12">
        <v>0.0</v>
      </c>
      <c r="BA62" s="18">
        <f t="shared" si="20"/>
        <v>15976.68</v>
      </c>
      <c r="BB62" s="10">
        <f t="shared" si="16"/>
        <v>287357.9789</v>
      </c>
      <c r="BC62" s="16">
        <f t="shared" si="22"/>
        <v>58914.85</v>
      </c>
      <c r="BD62" s="13"/>
      <c r="BE62" s="13"/>
      <c r="BF62" s="14">
        <f t="shared" si="23"/>
        <v>49</v>
      </c>
      <c r="BG62" s="6"/>
      <c r="BH62" s="6"/>
      <c r="BI62" s="16">
        <f t="shared" si="18"/>
        <v>11394.58806</v>
      </c>
      <c r="BJ62" s="6"/>
      <c r="BK62" s="15">
        <f t="shared" si="17"/>
        <v>0</v>
      </c>
      <c r="BN62" s="16">
        <f t="shared" si="14"/>
        <v>-11394.58806</v>
      </c>
      <c r="BO62" s="16">
        <f t="shared" si="21"/>
        <v>-19124.78258</v>
      </c>
      <c r="BY62" s="6">
        <f t="shared" si="2"/>
        <v>2023</v>
      </c>
      <c r="BZ62" s="6" t="str">
        <f t="shared" si="3"/>
        <v>diciembre</v>
      </c>
      <c r="CA62" s="6" t="str">
        <f t="shared" si="4"/>
        <v>12</v>
      </c>
    </row>
    <row r="63">
      <c r="A63" s="8">
        <v>45270.0</v>
      </c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>
        <v>0.0</v>
      </c>
      <c r="P63" s="12"/>
      <c r="Q63" s="12"/>
      <c r="R63" s="12"/>
      <c r="S63" s="12"/>
      <c r="T63" s="12"/>
      <c r="U63" s="12"/>
      <c r="V63" s="12">
        <v>0.0</v>
      </c>
      <c r="W63" s="12"/>
      <c r="X63" s="12"/>
      <c r="Y63" s="12"/>
      <c r="Z63" s="12"/>
      <c r="AA63" s="12"/>
      <c r="AB63" s="12"/>
      <c r="AC63" s="12">
        <v>0.0</v>
      </c>
      <c r="AD63" s="12"/>
      <c r="AE63" s="12"/>
      <c r="AF63" s="12"/>
      <c r="AG63" s="12"/>
      <c r="AH63" s="12"/>
      <c r="AI63" s="12"/>
      <c r="AJ63" s="12"/>
      <c r="AK63" s="12"/>
      <c r="AL63" s="12">
        <v>0.0</v>
      </c>
      <c r="AM63" s="12"/>
      <c r="AN63" s="12"/>
      <c r="AO63" s="12"/>
      <c r="AP63" s="12"/>
      <c r="AQ63" s="12"/>
      <c r="AR63" s="12"/>
      <c r="AS63" s="12">
        <v>0.0</v>
      </c>
      <c r="AT63" s="12">
        <f t="shared" si="24"/>
        <v>0</v>
      </c>
      <c r="AU63" s="18">
        <f t="shared" si="19"/>
        <v>83426.51</v>
      </c>
      <c r="AV63" s="18"/>
      <c r="AW63" s="19"/>
      <c r="AX63" s="12">
        <f t="shared" si="1"/>
        <v>0</v>
      </c>
      <c r="AY63" s="12"/>
      <c r="AZ63" s="12">
        <v>0.0</v>
      </c>
      <c r="BA63" s="18">
        <f t="shared" si="20"/>
        <v>15976.68</v>
      </c>
      <c r="BB63" s="10">
        <f t="shared" si="16"/>
        <v>258622.181</v>
      </c>
      <c r="BC63" s="16">
        <f t="shared" si="22"/>
        <v>58914.85</v>
      </c>
      <c r="BD63" s="13"/>
      <c r="BE63" s="13"/>
      <c r="BF63" s="14">
        <f t="shared" si="23"/>
        <v>50</v>
      </c>
      <c r="BG63" s="6"/>
      <c r="BH63" s="6"/>
      <c r="BI63" s="16">
        <f t="shared" si="18"/>
        <v>11394.58806</v>
      </c>
      <c r="BJ63" s="6"/>
      <c r="BK63" s="15">
        <f t="shared" si="17"/>
        <v>0</v>
      </c>
      <c r="BN63" s="16">
        <f t="shared" si="14"/>
        <v>-11394.58806</v>
      </c>
      <c r="BO63" s="16">
        <f t="shared" si="21"/>
        <v>-30519.37065</v>
      </c>
      <c r="BY63" s="6">
        <f t="shared" si="2"/>
        <v>2023</v>
      </c>
      <c r="BZ63" s="6" t="str">
        <f t="shared" si="3"/>
        <v>diciembre</v>
      </c>
      <c r="CA63" s="6" t="str">
        <f t="shared" si="4"/>
        <v>12</v>
      </c>
    </row>
    <row r="64">
      <c r="A64" s="8">
        <v>45271.0</v>
      </c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>
        <v>12722.44</v>
      </c>
      <c r="P64" s="12"/>
      <c r="Q64" s="12"/>
      <c r="R64" s="12"/>
      <c r="S64" s="12"/>
      <c r="T64" s="12"/>
      <c r="U64" s="12"/>
      <c r="V64" s="12">
        <v>2878.66</v>
      </c>
      <c r="W64" s="12"/>
      <c r="X64" s="12"/>
      <c r="Y64" s="12"/>
      <c r="Z64" s="12"/>
      <c r="AA64" s="12"/>
      <c r="AB64" s="12"/>
      <c r="AC64" s="12">
        <v>25.24</v>
      </c>
      <c r="AD64" s="12"/>
      <c r="AE64" s="12"/>
      <c r="AF64" s="12"/>
      <c r="AG64" s="12"/>
      <c r="AH64" s="12"/>
      <c r="AI64" s="12"/>
      <c r="AJ64" s="12"/>
      <c r="AK64" s="12"/>
      <c r="AL64" s="12">
        <v>61.21</v>
      </c>
      <c r="AM64" s="12"/>
      <c r="AN64" s="12"/>
      <c r="AO64" s="12"/>
      <c r="AP64" s="12"/>
      <c r="AQ64" s="12"/>
      <c r="AR64" s="12"/>
      <c r="AS64" s="12">
        <v>0.0</v>
      </c>
      <c r="AT64" s="12">
        <f t="shared" si="24"/>
        <v>15687.55</v>
      </c>
      <c r="AU64" s="18">
        <f t="shared" si="19"/>
        <v>99114.06</v>
      </c>
      <c r="AV64" s="18"/>
      <c r="AW64" s="19"/>
      <c r="AX64" s="12">
        <f t="shared" si="1"/>
        <v>15687.55</v>
      </c>
      <c r="AY64" s="12"/>
      <c r="AZ64" s="12">
        <v>69.62</v>
      </c>
      <c r="BA64" s="18">
        <f t="shared" si="20"/>
        <v>16046.3</v>
      </c>
      <c r="BB64" s="10">
        <f t="shared" si="16"/>
        <v>279321.4418</v>
      </c>
      <c r="BC64" s="16">
        <f t="shared" si="22"/>
        <v>58914.85</v>
      </c>
      <c r="BD64" s="13"/>
      <c r="BE64" s="13"/>
      <c r="BF64" s="14">
        <f t="shared" si="23"/>
        <v>50</v>
      </c>
      <c r="BG64" s="6"/>
      <c r="BH64" s="6"/>
      <c r="BI64" s="16">
        <f t="shared" si="18"/>
        <v>11394.58806</v>
      </c>
      <c r="BK64" s="15">
        <f t="shared" si="17"/>
        <v>1.376754465</v>
      </c>
      <c r="BN64" s="16">
        <f t="shared" si="14"/>
        <v>4292.961935</v>
      </c>
      <c r="BO64" s="16">
        <f t="shared" si="21"/>
        <v>-26226.40871</v>
      </c>
      <c r="BY64" s="6">
        <f t="shared" si="2"/>
        <v>2023</v>
      </c>
      <c r="BZ64" s="6" t="str">
        <f t="shared" si="3"/>
        <v>diciembre</v>
      </c>
      <c r="CA64" s="6" t="str">
        <f t="shared" si="4"/>
        <v>12</v>
      </c>
    </row>
    <row r="65">
      <c r="A65" s="8">
        <v>45272.0</v>
      </c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>
        <v>29114.26</v>
      </c>
      <c r="P65" s="12"/>
      <c r="Q65" s="12"/>
      <c r="R65" s="12"/>
      <c r="S65" s="12"/>
      <c r="T65" s="12"/>
      <c r="U65" s="12"/>
      <c r="V65" s="12">
        <v>3370.12</v>
      </c>
      <c r="W65" s="12"/>
      <c r="X65" s="12"/>
      <c r="Y65" s="12"/>
      <c r="Z65" s="12"/>
      <c r="AA65" s="12"/>
      <c r="AB65" s="12"/>
      <c r="AC65" s="12">
        <v>729.76</v>
      </c>
      <c r="AD65" s="12"/>
      <c r="AE65" s="12"/>
      <c r="AF65" s="12"/>
      <c r="AG65" s="12"/>
      <c r="AH65" s="12"/>
      <c r="AI65" s="12"/>
      <c r="AJ65" s="12"/>
      <c r="AK65" s="12"/>
      <c r="AL65" s="12">
        <v>808.76</v>
      </c>
      <c r="AM65" s="12"/>
      <c r="AN65" s="12"/>
      <c r="AO65" s="12"/>
      <c r="AP65" s="12"/>
      <c r="AQ65" s="12"/>
      <c r="AR65" s="12"/>
      <c r="AS65" s="12">
        <v>0.0</v>
      </c>
      <c r="AT65" s="12">
        <f t="shared" si="24"/>
        <v>34022.9</v>
      </c>
      <c r="AU65" s="18">
        <f t="shared" si="19"/>
        <v>133136.96</v>
      </c>
      <c r="AV65" s="18"/>
      <c r="AW65" s="18"/>
      <c r="AX65" s="12">
        <f t="shared" si="1"/>
        <v>34022.9</v>
      </c>
      <c r="AY65" s="12"/>
      <c r="AZ65" s="12">
        <v>5905.51</v>
      </c>
      <c r="BA65" s="18">
        <f t="shared" si="20"/>
        <v>21951.81</v>
      </c>
      <c r="BB65" s="10">
        <f t="shared" si="16"/>
        <v>343937.1467</v>
      </c>
      <c r="BC65" s="16">
        <f t="shared" si="22"/>
        <v>58914.85</v>
      </c>
      <c r="BD65" s="13"/>
      <c r="BE65" s="13"/>
      <c r="BF65" s="14">
        <f t="shared" si="23"/>
        <v>50</v>
      </c>
      <c r="BG65" s="6"/>
      <c r="BH65" s="6"/>
      <c r="BI65" s="16">
        <f t="shared" si="18"/>
        <v>11394.58806</v>
      </c>
      <c r="BK65" s="15">
        <f t="shared" si="17"/>
        <v>2.985882404</v>
      </c>
      <c r="BN65" s="16">
        <f t="shared" si="14"/>
        <v>22628.31194</v>
      </c>
      <c r="BO65" s="16">
        <f t="shared" si="21"/>
        <v>-3598.096774</v>
      </c>
      <c r="BY65" s="6">
        <f t="shared" si="2"/>
        <v>2023</v>
      </c>
      <c r="BZ65" s="6" t="str">
        <f t="shared" si="3"/>
        <v>diciembre</v>
      </c>
      <c r="CA65" s="6" t="str">
        <f t="shared" si="4"/>
        <v>12</v>
      </c>
    </row>
    <row r="66">
      <c r="A66" s="8">
        <v>45273.0</v>
      </c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>
        <v>7632.29</v>
      </c>
      <c r="P66" s="12"/>
      <c r="Q66" s="12"/>
      <c r="R66" s="12"/>
      <c r="S66" s="12"/>
      <c r="T66" s="12"/>
      <c r="U66" s="12"/>
      <c r="V66" s="12">
        <v>224.48</v>
      </c>
      <c r="W66" s="16"/>
      <c r="X66" s="16"/>
      <c r="Y66" s="16"/>
      <c r="Z66" s="16"/>
      <c r="AA66" s="16"/>
      <c r="AB66" s="16"/>
      <c r="AC66" s="16"/>
      <c r="AD66" s="12"/>
      <c r="AE66" s="12"/>
      <c r="AF66" s="12"/>
      <c r="AG66" s="12"/>
      <c r="AH66" s="12"/>
      <c r="AI66" s="12"/>
      <c r="AJ66" s="12"/>
      <c r="AK66" s="12"/>
      <c r="AL66" s="12">
        <v>304.0</v>
      </c>
      <c r="AM66" s="12"/>
      <c r="AN66" s="12"/>
      <c r="AO66" s="12"/>
      <c r="AP66" s="12"/>
      <c r="AQ66" s="12"/>
      <c r="AR66" s="12"/>
      <c r="AS66" s="12">
        <v>0.0</v>
      </c>
      <c r="AT66" s="12">
        <f t="shared" si="24"/>
        <v>8160.77</v>
      </c>
      <c r="AU66" s="18">
        <f t="shared" si="19"/>
        <v>141297.73</v>
      </c>
      <c r="AV66" s="18"/>
      <c r="AW66" s="18"/>
      <c r="AX66" s="12">
        <f t="shared" si="1"/>
        <v>8160.77</v>
      </c>
      <c r="AY66" s="12"/>
      <c r="AZ66" s="12">
        <v>0.0</v>
      </c>
      <c r="BA66" s="18">
        <f t="shared" si="20"/>
        <v>21951.81</v>
      </c>
      <c r="BB66" s="10">
        <f t="shared" si="16"/>
        <v>336940.7408</v>
      </c>
      <c r="BC66" s="16">
        <f t="shared" si="22"/>
        <v>58914.85</v>
      </c>
      <c r="BD66" s="13"/>
      <c r="BE66" s="13"/>
      <c r="BF66" s="14">
        <f t="shared" si="23"/>
        <v>50</v>
      </c>
      <c r="BG66" s="6"/>
      <c r="BH66" s="6"/>
      <c r="BI66" s="16">
        <f t="shared" si="18"/>
        <v>11394.58806</v>
      </c>
      <c r="BJ66" s="6"/>
      <c r="BK66" s="15">
        <f t="shared" si="17"/>
        <v>0.7161970186</v>
      </c>
      <c r="BN66" s="16">
        <f t="shared" si="14"/>
        <v>-3233.818065</v>
      </c>
      <c r="BO66" s="16">
        <f t="shared" si="21"/>
        <v>-6831.914839</v>
      </c>
      <c r="BY66" s="6">
        <f t="shared" si="2"/>
        <v>2023</v>
      </c>
      <c r="BZ66" s="6" t="str">
        <f t="shared" si="3"/>
        <v>diciembre</v>
      </c>
      <c r="CA66" s="6" t="str">
        <f t="shared" si="4"/>
        <v>12</v>
      </c>
    </row>
    <row r="67">
      <c r="A67" s="8">
        <v>45274.0</v>
      </c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>
        <v>10044.54</v>
      </c>
      <c r="P67" s="12"/>
      <c r="Q67" s="12"/>
      <c r="R67" s="12"/>
      <c r="S67" s="12"/>
      <c r="T67" s="12"/>
      <c r="U67" s="12"/>
      <c r="V67" s="12">
        <v>1785.88</v>
      </c>
      <c r="W67" s="12"/>
      <c r="X67" s="12"/>
      <c r="Y67" s="12"/>
      <c r="Z67" s="12"/>
      <c r="AA67" s="12"/>
      <c r="AB67" s="12"/>
      <c r="AC67" s="12">
        <v>3.1</v>
      </c>
      <c r="AD67" s="12"/>
      <c r="AE67" s="12"/>
      <c r="AF67" s="12"/>
      <c r="AG67" s="12"/>
      <c r="AH67" s="12"/>
      <c r="AI67" s="12"/>
      <c r="AJ67" s="12"/>
      <c r="AK67" s="12"/>
      <c r="AL67" s="12">
        <v>310.16</v>
      </c>
      <c r="AM67" s="12"/>
      <c r="AN67" s="12"/>
      <c r="AO67" s="12"/>
      <c r="AP67" s="12"/>
      <c r="AQ67" s="12"/>
      <c r="AR67" s="12"/>
      <c r="AS67" s="12">
        <v>0.0</v>
      </c>
      <c r="AT67" s="12">
        <f t="shared" si="24"/>
        <v>12143.68</v>
      </c>
      <c r="AU67" s="18">
        <f t="shared" si="19"/>
        <v>153441.41</v>
      </c>
      <c r="AV67" s="18"/>
      <c r="AW67" s="18"/>
      <c r="AX67" s="12">
        <f t="shared" si="1"/>
        <v>12143.68</v>
      </c>
      <c r="AY67" s="12"/>
      <c r="AZ67" s="12">
        <v>4493.88</v>
      </c>
      <c r="BA67" s="18">
        <f t="shared" si="20"/>
        <v>26445.69</v>
      </c>
      <c r="BB67" s="10">
        <f t="shared" si="16"/>
        <v>339763.1221</v>
      </c>
      <c r="BC67" s="16">
        <f t="shared" si="22"/>
        <v>58914.85</v>
      </c>
      <c r="BD67" s="13"/>
      <c r="BE67" s="13"/>
      <c r="BF67" s="14">
        <f t="shared" si="23"/>
        <v>50</v>
      </c>
      <c r="BG67" s="6"/>
      <c r="BH67" s="6"/>
      <c r="BI67" s="16">
        <f t="shared" si="18"/>
        <v>11394.58806</v>
      </c>
      <c r="BK67" s="15">
        <f t="shared" si="17"/>
        <v>1.065741028</v>
      </c>
      <c r="BN67" s="16">
        <f t="shared" si="14"/>
        <v>749.0919355</v>
      </c>
      <c r="BO67" s="16">
        <f t="shared" si="21"/>
        <v>-6082.822903</v>
      </c>
      <c r="BY67" s="6">
        <f t="shared" si="2"/>
        <v>2023</v>
      </c>
      <c r="BZ67" s="6" t="str">
        <f t="shared" si="3"/>
        <v>diciembre</v>
      </c>
      <c r="CA67" s="6" t="str">
        <f t="shared" si="4"/>
        <v>12</v>
      </c>
    </row>
    <row r="68">
      <c r="A68" s="8">
        <v>45275.0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>
        <v>13993.62</v>
      </c>
      <c r="P68" s="12"/>
      <c r="Q68" s="12"/>
      <c r="R68" s="12"/>
      <c r="S68" s="12"/>
      <c r="T68" s="12"/>
      <c r="U68" s="12"/>
      <c r="V68" s="12">
        <v>1557.3</v>
      </c>
      <c r="W68" s="12"/>
      <c r="X68" s="12"/>
      <c r="Y68" s="12"/>
      <c r="Z68" s="12"/>
      <c r="AA68" s="12"/>
      <c r="AB68" s="12"/>
      <c r="AC68" s="12">
        <v>581.25</v>
      </c>
      <c r="AD68" s="12"/>
      <c r="AE68" s="12"/>
      <c r="AF68" s="12"/>
      <c r="AG68" s="12"/>
      <c r="AH68" s="12"/>
      <c r="AI68" s="12"/>
      <c r="AJ68" s="12"/>
      <c r="AK68" s="12"/>
      <c r="AL68" s="12">
        <v>339.76</v>
      </c>
      <c r="AM68" s="12"/>
      <c r="AN68" s="12"/>
      <c r="AO68" s="12"/>
      <c r="AP68" s="12"/>
      <c r="AQ68" s="12"/>
      <c r="AR68" s="12"/>
      <c r="AS68" s="12">
        <v>16825.0</v>
      </c>
      <c r="AT68" s="12">
        <f t="shared" si="24"/>
        <v>33296.93</v>
      </c>
      <c r="AU68" s="18">
        <f t="shared" si="19"/>
        <v>186738.34</v>
      </c>
      <c r="AV68" s="18"/>
      <c r="AW68" s="18"/>
      <c r="AX68" s="12">
        <f t="shared" si="1"/>
        <v>33296.93</v>
      </c>
      <c r="AY68" s="12"/>
      <c r="AZ68" s="12">
        <v>2256.95</v>
      </c>
      <c r="BA68" s="18">
        <f t="shared" si="20"/>
        <v>28702.64</v>
      </c>
      <c r="BB68" s="10">
        <f t="shared" si="16"/>
        <v>385925.9027</v>
      </c>
      <c r="BC68" s="16">
        <f t="shared" si="22"/>
        <v>58914.85</v>
      </c>
      <c r="BD68" s="13"/>
      <c r="BE68" s="13"/>
      <c r="BF68" s="14">
        <f t="shared" si="23"/>
        <v>50</v>
      </c>
      <c r="BG68" s="6"/>
      <c r="BH68" s="6"/>
      <c r="BI68" s="16">
        <f t="shared" si="18"/>
        <v>11394.58806</v>
      </c>
      <c r="BK68" s="15">
        <f t="shared" si="17"/>
        <v>2.922170579</v>
      </c>
      <c r="BN68" s="16">
        <f t="shared" si="14"/>
        <v>21902.34194</v>
      </c>
      <c r="BO68" s="16">
        <f t="shared" si="21"/>
        <v>15819.51903</v>
      </c>
      <c r="BY68" s="6">
        <f t="shared" si="2"/>
        <v>2023</v>
      </c>
      <c r="BZ68" s="6" t="str">
        <f t="shared" si="3"/>
        <v>diciembre</v>
      </c>
      <c r="CA68" s="6" t="str">
        <f t="shared" si="4"/>
        <v>12</v>
      </c>
    </row>
    <row r="69">
      <c r="A69" s="8">
        <v>45276.0</v>
      </c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>
        <v>0.0</v>
      </c>
      <c r="P69" s="12"/>
      <c r="Q69" s="12"/>
      <c r="R69" s="12"/>
      <c r="S69" s="12"/>
      <c r="T69" s="12"/>
      <c r="U69" s="12"/>
      <c r="V69" s="12">
        <v>0.0</v>
      </c>
      <c r="W69" s="12"/>
      <c r="X69" s="12"/>
      <c r="Y69" s="12"/>
      <c r="Z69" s="12"/>
      <c r="AA69" s="12"/>
      <c r="AB69" s="12"/>
      <c r="AC69" s="12">
        <v>0.0</v>
      </c>
      <c r="AD69" s="12"/>
      <c r="AE69" s="12"/>
      <c r="AF69" s="12"/>
      <c r="AG69" s="12"/>
      <c r="AH69" s="12"/>
      <c r="AI69" s="12"/>
      <c r="AJ69" s="12"/>
      <c r="AK69" s="12"/>
      <c r="AL69" s="12">
        <v>0.0</v>
      </c>
      <c r="AM69" s="12"/>
      <c r="AN69" s="12"/>
      <c r="AO69" s="12"/>
      <c r="AP69" s="12"/>
      <c r="AQ69" s="12"/>
      <c r="AR69" s="12"/>
      <c r="AS69" s="12">
        <v>0.0</v>
      </c>
      <c r="AT69" s="12">
        <f t="shared" si="24"/>
        <v>0</v>
      </c>
      <c r="AU69" s="18">
        <f t="shared" si="19"/>
        <v>186738.34</v>
      </c>
      <c r="AV69" s="18"/>
      <c r="AW69" s="18"/>
      <c r="AX69" s="12">
        <f t="shared" si="1"/>
        <v>0</v>
      </c>
      <c r="AY69" s="12"/>
      <c r="AZ69" s="12">
        <v>0.0</v>
      </c>
      <c r="BA69" s="18">
        <f t="shared" si="20"/>
        <v>28702.64</v>
      </c>
      <c r="BB69" s="10">
        <f t="shared" si="16"/>
        <v>361805.5338</v>
      </c>
      <c r="BC69" s="16">
        <f t="shared" si="22"/>
        <v>58914.85</v>
      </c>
      <c r="BD69" s="13"/>
      <c r="BE69" s="13"/>
      <c r="BF69" s="14">
        <f t="shared" si="23"/>
        <v>50</v>
      </c>
      <c r="BG69" s="6"/>
      <c r="BH69" s="6"/>
      <c r="BI69" s="16">
        <f t="shared" si="18"/>
        <v>11394.58806</v>
      </c>
      <c r="BJ69" s="6"/>
      <c r="BK69" s="15">
        <f t="shared" si="17"/>
        <v>0</v>
      </c>
      <c r="BN69" s="16">
        <f t="shared" si="14"/>
        <v>-11394.58806</v>
      </c>
      <c r="BO69" s="16">
        <f t="shared" si="21"/>
        <v>4424.930968</v>
      </c>
      <c r="BY69" s="6">
        <f t="shared" si="2"/>
        <v>2023</v>
      </c>
      <c r="BZ69" s="6" t="str">
        <f t="shared" si="3"/>
        <v>diciembre</v>
      </c>
      <c r="CA69" s="6" t="str">
        <f t="shared" si="4"/>
        <v>12</v>
      </c>
    </row>
    <row r="70">
      <c r="A70" s="8">
        <v>45277.0</v>
      </c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>
        <v>0.0</v>
      </c>
      <c r="P70" s="12"/>
      <c r="Q70" s="12"/>
      <c r="R70" s="12"/>
      <c r="S70" s="12"/>
      <c r="T70" s="12"/>
      <c r="U70" s="12"/>
      <c r="V70" s="12">
        <v>0.0</v>
      </c>
      <c r="W70" s="12"/>
      <c r="X70" s="12"/>
      <c r="Y70" s="12"/>
      <c r="Z70" s="12"/>
      <c r="AA70" s="12"/>
      <c r="AB70" s="12"/>
      <c r="AC70" s="12">
        <v>0.0</v>
      </c>
      <c r="AD70" s="12"/>
      <c r="AE70" s="12"/>
      <c r="AF70" s="12"/>
      <c r="AG70" s="12"/>
      <c r="AH70" s="12"/>
      <c r="AI70" s="12"/>
      <c r="AJ70" s="12"/>
      <c r="AK70" s="12"/>
      <c r="AL70" s="12">
        <v>0.0</v>
      </c>
      <c r="AM70" s="12"/>
      <c r="AN70" s="12"/>
      <c r="AO70" s="12"/>
      <c r="AP70" s="12"/>
      <c r="AQ70" s="12"/>
      <c r="AR70" s="12"/>
      <c r="AS70" s="12">
        <v>0.0</v>
      </c>
      <c r="AT70" s="12">
        <f t="shared" si="24"/>
        <v>0</v>
      </c>
      <c r="AU70" s="18">
        <f t="shared" si="19"/>
        <v>186738.34</v>
      </c>
      <c r="AV70" s="18"/>
      <c r="AW70" s="18"/>
      <c r="AX70" s="12">
        <f t="shared" si="1"/>
        <v>0</v>
      </c>
      <c r="AY70" s="12"/>
      <c r="AZ70" s="12">
        <v>0.0</v>
      </c>
      <c r="BA70" s="18">
        <f t="shared" si="20"/>
        <v>28702.64</v>
      </c>
      <c r="BB70" s="10">
        <f t="shared" si="16"/>
        <v>340522.8553</v>
      </c>
      <c r="BC70" s="16">
        <f t="shared" si="22"/>
        <v>58914.85</v>
      </c>
      <c r="BD70" s="13"/>
      <c r="BE70" s="13"/>
      <c r="BF70" s="14">
        <f t="shared" si="23"/>
        <v>51</v>
      </c>
      <c r="BG70" s="6"/>
      <c r="BH70" s="6"/>
      <c r="BI70" s="16">
        <f t="shared" si="18"/>
        <v>11394.58806</v>
      </c>
      <c r="BJ70" s="6"/>
      <c r="BK70" s="15">
        <f t="shared" si="17"/>
        <v>0</v>
      </c>
      <c r="BN70" s="16">
        <f t="shared" si="14"/>
        <v>-11394.58806</v>
      </c>
      <c r="BO70" s="16">
        <f t="shared" si="21"/>
        <v>-6969.657097</v>
      </c>
      <c r="BY70" s="6">
        <f t="shared" si="2"/>
        <v>2023</v>
      </c>
      <c r="BZ70" s="6" t="str">
        <f t="shared" si="3"/>
        <v>diciembre</v>
      </c>
      <c r="CA70" s="6" t="str">
        <f t="shared" si="4"/>
        <v>12</v>
      </c>
    </row>
    <row r="71">
      <c r="A71" s="8">
        <v>45278.0</v>
      </c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>
        <v>8674.94</v>
      </c>
      <c r="P71" s="12"/>
      <c r="Q71" s="12"/>
      <c r="R71" s="12"/>
      <c r="S71" s="12"/>
      <c r="T71" s="12"/>
      <c r="U71" s="12"/>
      <c r="V71" s="12">
        <v>1972.2</v>
      </c>
      <c r="W71" s="12"/>
      <c r="X71" s="12"/>
      <c r="Y71" s="12"/>
      <c r="Z71" s="12"/>
      <c r="AA71" s="12"/>
      <c r="AB71" s="12"/>
      <c r="AC71" s="12">
        <v>74.75</v>
      </c>
      <c r="AD71" s="12"/>
      <c r="AE71" s="12"/>
      <c r="AF71" s="12"/>
      <c r="AG71" s="12"/>
      <c r="AH71" s="12"/>
      <c r="AI71" s="12"/>
      <c r="AJ71" s="12"/>
      <c r="AK71" s="12"/>
      <c r="AL71" s="12">
        <v>1.92</v>
      </c>
      <c r="AM71" s="12"/>
      <c r="AN71" s="12"/>
      <c r="AO71" s="12"/>
      <c r="AP71" s="12"/>
      <c r="AQ71" s="12"/>
      <c r="AR71" s="12"/>
      <c r="AS71" s="12">
        <v>0.0</v>
      </c>
      <c r="AT71" s="12">
        <f t="shared" si="24"/>
        <v>10723.81</v>
      </c>
      <c r="AU71" s="18">
        <f t="shared" si="19"/>
        <v>197462.15</v>
      </c>
      <c r="AV71" s="18"/>
      <c r="AW71" s="18"/>
      <c r="AX71" s="12">
        <f t="shared" si="1"/>
        <v>10723.81</v>
      </c>
      <c r="AY71" s="12"/>
      <c r="AZ71" s="12">
        <v>2854.55</v>
      </c>
      <c r="BA71" s="18">
        <f t="shared" si="20"/>
        <v>31557.19</v>
      </c>
      <c r="BB71" s="10">
        <f t="shared" si="16"/>
        <v>340073.7028</v>
      </c>
      <c r="BC71" s="16">
        <f t="shared" si="22"/>
        <v>58914.85</v>
      </c>
      <c r="BD71" s="13"/>
      <c r="BE71" s="13"/>
      <c r="BF71" s="14">
        <f t="shared" si="23"/>
        <v>51</v>
      </c>
      <c r="BG71" s="6"/>
      <c r="BH71" s="6"/>
      <c r="BI71" s="16">
        <f t="shared" si="18"/>
        <v>11394.58806</v>
      </c>
      <c r="BJ71" s="6"/>
      <c r="BK71" s="15">
        <f t="shared" si="17"/>
        <v>0.9411318724</v>
      </c>
      <c r="BN71" s="16">
        <f t="shared" si="14"/>
        <v>-670.7780645</v>
      </c>
      <c r="BO71" s="16">
        <f t="shared" si="21"/>
        <v>-7640.435161</v>
      </c>
      <c r="BY71" s="6">
        <f t="shared" si="2"/>
        <v>2023</v>
      </c>
      <c r="BZ71" s="6" t="str">
        <f t="shared" si="3"/>
        <v>diciembre</v>
      </c>
      <c r="CA71" s="6" t="str">
        <f t="shared" si="4"/>
        <v>12</v>
      </c>
    </row>
    <row r="72">
      <c r="A72" s="8">
        <v>45279.0</v>
      </c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>
        <v>8088.02</v>
      </c>
      <c r="P72" s="12"/>
      <c r="Q72" s="12"/>
      <c r="R72" s="12"/>
      <c r="S72" s="12"/>
      <c r="T72" s="12"/>
      <c r="U72" s="12"/>
      <c r="V72" s="12">
        <v>2188.07</v>
      </c>
      <c r="W72" s="12"/>
      <c r="X72" s="12"/>
      <c r="Y72" s="12"/>
      <c r="Z72" s="12"/>
      <c r="AA72" s="12"/>
      <c r="AB72" s="12"/>
      <c r="AC72" s="12">
        <v>4.26</v>
      </c>
      <c r="AD72" s="12"/>
      <c r="AE72" s="12"/>
      <c r="AF72" s="12"/>
      <c r="AG72" s="12"/>
      <c r="AH72" s="12"/>
      <c r="AI72" s="12"/>
      <c r="AJ72" s="12"/>
      <c r="AK72" s="12"/>
      <c r="AL72" s="12">
        <v>431.84</v>
      </c>
      <c r="AM72" s="12"/>
      <c r="AN72" s="12"/>
      <c r="AO72" s="12"/>
      <c r="AP72" s="12"/>
      <c r="AQ72" s="12"/>
      <c r="AR72" s="12"/>
      <c r="AS72" s="12">
        <v>8928.0</v>
      </c>
      <c r="AT72" s="12">
        <f t="shared" si="24"/>
        <v>19640.19</v>
      </c>
      <c r="AU72" s="18">
        <f t="shared" si="19"/>
        <v>217102.34</v>
      </c>
      <c r="AV72" s="18"/>
      <c r="AW72" s="18"/>
      <c r="AX72" s="12">
        <f t="shared" si="1"/>
        <v>19640.19</v>
      </c>
      <c r="AY72" s="12"/>
      <c r="AZ72" s="12">
        <v>1441.88</v>
      </c>
      <c r="BA72" s="18">
        <f t="shared" si="20"/>
        <v>32999.07</v>
      </c>
      <c r="BB72" s="10">
        <f t="shared" si="16"/>
        <v>354219.6074</v>
      </c>
      <c r="BC72" s="16">
        <f t="shared" si="22"/>
        <v>58914.85</v>
      </c>
      <c r="BD72" s="13"/>
      <c r="BE72" s="13"/>
      <c r="BF72" s="14">
        <f t="shared" si="23"/>
        <v>51</v>
      </c>
      <c r="BG72" s="6"/>
      <c r="BH72" s="6"/>
      <c r="BI72" s="16">
        <f t="shared" si="18"/>
        <v>11394.58806</v>
      </c>
      <c r="BK72" s="15">
        <f t="shared" si="17"/>
        <v>1.723641951</v>
      </c>
      <c r="BN72" s="16">
        <f t="shared" si="14"/>
        <v>8245.601935</v>
      </c>
      <c r="BO72" s="16">
        <f t="shared" si="21"/>
        <v>605.1667742</v>
      </c>
      <c r="BY72" s="6">
        <f t="shared" si="2"/>
        <v>2023</v>
      </c>
      <c r="BZ72" s="6" t="str">
        <f t="shared" si="3"/>
        <v>diciembre</v>
      </c>
      <c r="CA72" s="6" t="str">
        <f t="shared" si="4"/>
        <v>12</v>
      </c>
    </row>
    <row r="73">
      <c r="A73" s="8">
        <v>45280.0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>
        <v>27632.21</v>
      </c>
      <c r="P73" s="12"/>
      <c r="Q73" s="12"/>
      <c r="R73" s="12"/>
      <c r="S73" s="12"/>
      <c r="T73" s="12"/>
      <c r="U73" s="12"/>
      <c r="V73" s="12">
        <v>2902.64</v>
      </c>
      <c r="W73" s="12"/>
      <c r="X73" s="12"/>
      <c r="Y73" s="12"/>
      <c r="Z73" s="12"/>
      <c r="AA73" s="12"/>
      <c r="AB73" s="12"/>
      <c r="AC73" s="12">
        <v>8.89</v>
      </c>
      <c r="AD73" s="12"/>
      <c r="AE73" s="12"/>
      <c r="AF73" s="12"/>
      <c r="AG73" s="12"/>
      <c r="AH73" s="12"/>
      <c r="AI73" s="12"/>
      <c r="AJ73" s="12"/>
      <c r="AK73" s="12"/>
      <c r="AL73" s="12">
        <v>10709.41</v>
      </c>
      <c r="AM73" s="12"/>
      <c r="AN73" s="12"/>
      <c r="AO73" s="12"/>
      <c r="AP73" s="12"/>
      <c r="AQ73" s="12"/>
      <c r="AR73" s="12"/>
      <c r="AS73" s="12">
        <v>11195.0</v>
      </c>
      <c r="AT73" s="12">
        <f t="shared" si="24"/>
        <v>52448.15</v>
      </c>
      <c r="AU73" s="18">
        <f t="shared" si="19"/>
        <v>269550.49</v>
      </c>
      <c r="AV73" s="18"/>
      <c r="AW73" s="18"/>
      <c r="AX73" s="12">
        <f t="shared" si="1"/>
        <v>52448.15</v>
      </c>
      <c r="AY73" s="12"/>
      <c r="AZ73" s="12">
        <v>10100.76</v>
      </c>
      <c r="BA73" s="18">
        <f t="shared" si="20"/>
        <v>43099.83</v>
      </c>
      <c r="BB73" s="10">
        <f t="shared" si="16"/>
        <v>417803.2595</v>
      </c>
      <c r="BC73" s="16">
        <f t="shared" si="22"/>
        <v>58914.85</v>
      </c>
      <c r="BD73" s="13"/>
      <c r="BE73" s="13"/>
      <c r="BF73" s="14">
        <f t="shared" si="23"/>
        <v>51</v>
      </c>
      <c r="BG73" s="6"/>
      <c r="BH73" s="6"/>
      <c r="BI73" s="16">
        <f t="shared" si="18"/>
        <v>11394.58806</v>
      </c>
      <c r="BK73" s="15">
        <f t="shared" si="17"/>
        <v>4.602900052</v>
      </c>
      <c r="BN73" s="16">
        <f t="shared" si="14"/>
        <v>41053.56194</v>
      </c>
      <c r="BO73" s="16">
        <f t="shared" si="21"/>
        <v>41658.72871</v>
      </c>
      <c r="BY73" s="6">
        <f t="shared" si="2"/>
        <v>2023</v>
      </c>
      <c r="BZ73" s="6" t="str">
        <f t="shared" si="3"/>
        <v>diciembre</v>
      </c>
      <c r="CA73" s="6" t="str">
        <f t="shared" si="4"/>
        <v>12</v>
      </c>
    </row>
    <row r="74">
      <c r="A74" s="8">
        <v>45281.0</v>
      </c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>
        <v>13190.05</v>
      </c>
      <c r="P74" s="12"/>
      <c r="Q74" s="12"/>
      <c r="R74" s="12"/>
      <c r="S74" s="12"/>
      <c r="T74" s="12"/>
      <c r="U74" s="12"/>
      <c r="V74" s="12">
        <v>3538.64</v>
      </c>
      <c r="W74" s="12"/>
      <c r="X74" s="12"/>
      <c r="Y74" s="12"/>
      <c r="Z74" s="12"/>
      <c r="AA74" s="12"/>
      <c r="AB74" s="12"/>
      <c r="AC74" s="12">
        <v>2.25</v>
      </c>
      <c r="AD74" s="12"/>
      <c r="AE74" s="12"/>
      <c r="AF74" s="12"/>
      <c r="AG74" s="12"/>
      <c r="AH74" s="12"/>
      <c r="AI74" s="12"/>
      <c r="AJ74" s="12"/>
      <c r="AK74" s="12"/>
      <c r="AL74" s="12">
        <v>1260.79</v>
      </c>
      <c r="AM74" s="12"/>
      <c r="AN74" s="12"/>
      <c r="AO74" s="12"/>
      <c r="AP74" s="12"/>
      <c r="AQ74" s="12"/>
      <c r="AR74" s="12"/>
      <c r="AS74" s="12">
        <v>0.0</v>
      </c>
      <c r="AT74" s="12">
        <f t="shared" si="24"/>
        <v>17991.73</v>
      </c>
      <c r="AU74" s="18">
        <f t="shared" si="19"/>
        <v>287542.22</v>
      </c>
      <c r="AV74" s="18"/>
      <c r="AW74" s="18"/>
      <c r="AX74" s="12">
        <f t="shared" si="1"/>
        <v>17991.73</v>
      </c>
      <c r="AY74" s="12"/>
      <c r="AZ74" s="12">
        <v>4080.88</v>
      </c>
      <c r="BA74" s="18">
        <f t="shared" si="20"/>
        <v>47180.71</v>
      </c>
      <c r="BB74" s="10">
        <f t="shared" si="16"/>
        <v>424467.0867</v>
      </c>
      <c r="BC74" s="16">
        <f t="shared" si="22"/>
        <v>58914.85</v>
      </c>
      <c r="BD74" s="13"/>
      <c r="BE74" s="13"/>
      <c r="BF74" s="14">
        <f t="shared" si="23"/>
        <v>51</v>
      </c>
      <c r="BG74" s="6"/>
      <c r="BH74" s="6"/>
      <c r="BI74" s="16">
        <f t="shared" si="18"/>
        <v>11394.58806</v>
      </c>
      <c r="BK74" s="15">
        <f t="shared" si="17"/>
        <v>1.578971517</v>
      </c>
      <c r="BN74" s="16">
        <f t="shared" si="14"/>
        <v>6597.141935</v>
      </c>
      <c r="BO74" s="16">
        <f t="shared" si="21"/>
        <v>48255.87065</v>
      </c>
      <c r="BY74" s="6">
        <f t="shared" si="2"/>
        <v>2023</v>
      </c>
      <c r="BZ74" s="6" t="str">
        <f t="shared" si="3"/>
        <v>diciembre</v>
      </c>
      <c r="CA74" s="6" t="str">
        <f t="shared" si="4"/>
        <v>12</v>
      </c>
    </row>
    <row r="75">
      <c r="A75" s="8">
        <v>45282.0</v>
      </c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>
        <v>0.0</v>
      </c>
      <c r="P75" s="12"/>
      <c r="Q75" s="12"/>
      <c r="R75" s="12"/>
      <c r="S75" s="12"/>
      <c r="T75" s="12"/>
      <c r="U75" s="12"/>
      <c r="V75" s="12">
        <v>0.0</v>
      </c>
      <c r="W75" s="12"/>
      <c r="X75" s="12"/>
      <c r="Y75" s="12"/>
      <c r="Z75" s="12"/>
      <c r="AA75" s="12"/>
      <c r="AB75" s="12"/>
      <c r="AC75" s="12">
        <v>0.0</v>
      </c>
      <c r="AD75" s="12"/>
      <c r="AE75" s="12"/>
      <c r="AF75" s="12"/>
      <c r="AG75" s="12"/>
      <c r="AH75" s="12"/>
      <c r="AI75" s="12"/>
      <c r="AJ75" s="12"/>
      <c r="AK75" s="12"/>
      <c r="AL75" s="12">
        <v>0.0</v>
      </c>
      <c r="AM75" s="12"/>
      <c r="AN75" s="12"/>
      <c r="AO75" s="12"/>
      <c r="AP75" s="12"/>
      <c r="AQ75" s="12"/>
      <c r="AR75" s="12"/>
      <c r="AS75" s="12">
        <v>0.0</v>
      </c>
      <c r="AT75" s="12">
        <f t="shared" si="24"/>
        <v>0</v>
      </c>
      <c r="AU75" s="18">
        <f t="shared" si="19"/>
        <v>287542.22</v>
      </c>
      <c r="AV75" s="18"/>
      <c r="AW75" s="18"/>
      <c r="AX75" s="12">
        <f t="shared" si="1"/>
        <v>0</v>
      </c>
      <c r="AY75" s="12"/>
      <c r="AZ75" s="12">
        <v>0.0</v>
      </c>
      <c r="BA75" s="18">
        <f t="shared" si="20"/>
        <v>47180.71</v>
      </c>
      <c r="BB75" s="10">
        <f t="shared" si="16"/>
        <v>405173.1282</v>
      </c>
      <c r="BC75" s="16">
        <f t="shared" si="22"/>
        <v>58914.85</v>
      </c>
      <c r="BD75" s="13"/>
      <c r="BE75" s="13"/>
      <c r="BF75" s="14">
        <f t="shared" si="23"/>
        <v>51</v>
      </c>
      <c r="BG75" s="6"/>
      <c r="BH75" s="6"/>
      <c r="BI75" s="16">
        <f t="shared" si="18"/>
        <v>11394.58806</v>
      </c>
      <c r="BJ75" s="6"/>
      <c r="BK75" s="15">
        <f t="shared" si="17"/>
        <v>0</v>
      </c>
      <c r="BN75" s="16">
        <f t="shared" si="14"/>
        <v>-11394.58806</v>
      </c>
      <c r="BO75" s="16">
        <f t="shared" si="21"/>
        <v>36861.28258</v>
      </c>
      <c r="BY75" s="6">
        <f t="shared" si="2"/>
        <v>2023</v>
      </c>
      <c r="BZ75" s="6" t="str">
        <f t="shared" si="3"/>
        <v>diciembre</v>
      </c>
      <c r="CA75" s="6" t="str">
        <f t="shared" si="4"/>
        <v>12</v>
      </c>
    </row>
    <row r="76">
      <c r="A76" s="8">
        <v>45283.0</v>
      </c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>
        <v>0.0</v>
      </c>
      <c r="P76" s="12"/>
      <c r="Q76" s="12"/>
      <c r="R76" s="12"/>
      <c r="S76" s="12"/>
      <c r="T76" s="12"/>
      <c r="U76" s="12"/>
      <c r="V76" s="12">
        <v>0.0</v>
      </c>
      <c r="W76" s="12"/>
      <c r="X76" s="12"/>
      <c r="Y76" s="12"/>
      <c r="Z76" s="12"/>
      <c r="AA76" s="12"/>
      <c r="AB76" s="12"/>
      <c r="AC76" s="12">
        <v>0.0</v>
      </c>
      <c r="AD76" s="12"/>
      <c r="AE76" s="12"/>
      <c r="AF76" s="12"/>
      <c r="AG76" s="12"/>
      <c r="AH76" s="12"/>
      <c r="AI76" s="12"/>
      <c r="AJ76" s="12"/>
      <c r="AK76" s="12"/>
      <c r="AL76" s="12">
        <v>0.0</v>
      </c>
      <c r="AM76" s="12"/>
      <c r="AN76" s="12"/>
      <c r="AO76" s="12"/>
      <c r="AP76" s="12"/>
      <c r="AQ76" s="12"/>
      <c r="AR76" s="12"/>
      <c r="AS76" s="12">
        <v>0.0</v>
      </c>
      <c r="AT76" s="12">
        <f t="shared" si="24"/>
        <v>0</v>
      </c>
      <c r="AU76" s="18">
        <f t="shared" si="19"/>
        <v>287542.22</v>
      </c>
      <c r="AV76" s="18"/>
      <c r="AW76" s="18"/>
      <c r="AX76" s="12">
        <f t="shared" si="1"/>
        <v>0</v>
      </c>
      <c r="AY76" s="12"/>
      <c r="AZ76" s="12">
        <v>0.0</v>
      </c>
      <c r="BA76" s="18">
        <f t="shared" si="20"/>
        <v>47180.71</v>
      </c>
      <c r="BB76" s="10">
        <f t="shared" si="16"/>
        <v>387556.9052</v>
      </c>
      <c r="BC76" s="16">
        <f t="shared" si="22"/>
        <v>58914.85</v>
      </c>
      <c r="BD76" s="13"/>
      <c r="BE76" s="13"/>
      <c r="BF76" s="14">
        <f t="shared" si="23"/>
        <v>51</v>
      </c>
      <c r="BG76" s="6"/>
      <c r="BH76" s="6"/>
      <c r="BI76" s="16">
        <f t="shared" si="18"/>
        <v>11394.58806</v>
      </c>
      <c r="BJ76" s="6"/>
      <c r="BK76" s="15">
        <f t="shared" si="17"/>
        <v>0</v>
      </c>
      <c r="BN76" s="16">
        <f t="shared" si="14"/>
        <v>-11394.58806</v>
      </c>
      <c r="BO76" s="16">
        <f t="shared" si="21"/>
        <v>25466.69452</v>
      </c>
      <c r="BY76" s="6">
        <f t="shared" si="2"/>
        <v>2023</v>
      </c>
      <c r="BZ76" s="6" t="str">
        <f t="shared" si="3"/>
        <v>diciembre</v>
      </c>
      <c r="CA76" s="6" t="str">
        <f t="shared" si="4"/>
        <v>12</v>
      </c>
    </row>
    <row r="77">
      <c r="A77" s="8">
        <v>45284.0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>
        <v>0.0</v>
      </c>
      <c r="P77" s="12"/>
      <c r="Q77" s="12"/>
      <c r="R77" s="12"/>
      <c r="S77" s="12"/>
      <c r="T77" s="12"/>
      <c r="U77" s="12"/>
      <c r="V77" s="12">
        <v>0.0</v>
      </c>
      <c r="W77" s="12"/>
      <c r="X77" s="12"/>
      <c r="Y77" s="12"/>
      <c r="Z77" s="12"/>
      <c r="AA77" s="12"/>
      <c r="AB77" s="12"/>
      <c r="AC77" s="12">
        <v>0.0</v>
      </c>
      <c r="AD77" s="12"/>
      <c r="AE77" s="12"/>
      <c r="AF77" s="12"/>
      <c r="AG77" s="12"/>
      <c r="AH77" s="12"/>
      <c r="AI77" s="12"/>
      <c r="AJ77" s="12"/>
      <c r="AK77" s="12"/>
      <c r="AL77" s="12">
        <v>0.0</v>
      </c>
      <c r="AM77" s="12"/>
      <c r="AN77" s="12"/>
      <c r="AO77" s="12"/>
      <c r="AP77" s="12"/>
      <c r="AQ77" s="12"/>
      <c r="AR77" s="12"/>
      <c r="AS77" s="12">
        <v>0.0</v>
      </c>
      <c r="AT77" s="12">
        <f t="shared" si="24"/>
        <v>0</v>
      </c>
      <c r="AU77" s="18">
        <f t="shared" si="19"/>
        <v>287542.22</v>
      </c>
      <c r="AV77" s="18"/>
      <c r="AW77" s="19"/>
      <c r="AX77" s="12">
        <f t="shared" si="1"/>
        <v>0</v>
      </c>
      <c r="AY77" s="12"/>
      <c r="AZ77" s="12">
        <v>0.0</v>
      </c>
      <c r="BA77" s="18">
        <f t="shared" si="20"/>
        <v>47180.71</v>
      </c>
      <c r="BB77" s="10">
        <f t="shared" si="16"/>
        <v>371408.7008</v>
      </c>
      <c r="BC77" s="16">
        <f t="shared" si="22"/>
        <v>58914.85</v>
      </c>
      <c r="BD77" s="13"/>
      <c r="BE77" s="13"/>
      <c r="BF77" s="14">
        <f t="shared" si="23"/>
        <v>52</v>
      </c>
      <c r="BG77" s="6"/>
      <c r="BH77" s="6"/>
      <c r="BI77" s="16">
        <f t="shared" si="18"/>
        <v>11394.58806</v>
      </c>
      <c r="BJ77" s="6"/>
      <c r="BK77" s="15">
        <f t="shared" si="17"/>
        <v>0</v>
      </c>
      <c r="BN77" s="16">
        <f t="shared" si="14"/>
        <v>-11394.58806</v>
      </c>
      <c r="BO77" s="16">
        <f t="shared" si="21"/>
        <v>14072.10645</v>
      </c>
      <c r="BY77" s="6">
        <f t="shared" si="2"/>
        <v>2023</v>
      </c>
      <c r="BZ77" s="6" t="str">
        <f t="shared" si="3"/>
        <v>diciembre</v>
      </c>
      <c r="CA77" s="6" t="str">
        <f t="shared" si="4"/>
        <v>12</v>
      </c>
    </row>
    <row r="78">
      <c r="A78" s="8">
        <v>45285.0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>
        <v>0.0</v>
      </c>
      <c r="P78" s="12"/>
      <c r="Q78" s="12"/>
      <c r="R78" s="12"/>
      <c r="S78" s="12"/>
      <c r="T78" s="12"/>
      <c r="U78" s="12"/>
      <c r="V78" s="12">
        <v>0.0</v>
      </c>
      <c r="W78" s="12"/>
      <c r="X78" s="12"/>
      <c r="Y78" s="12"/>
      <c r="Z78" s="12"/>
      <c r="AA78" s="12"/>
      <c r="AB78" s="12"/>
      <c r="AC78" s="12">
        <v>0.0</v>
      </c>
      <c r="AD78" s="12"/>
      <c r="AE78" s="12"/>
      <c r="AF78" s="12"/>
      <c r="AG78" s="12"/>
      <c r="AH78" s="12"/>
      <c r="AI78" s="12"/>
      <c r="AJ78" s="12"/>
      <c r="AK78" s="12"/>
      <c r="AL78" s="12">
        <v>0.0</v>
      </c>
      <c r="AM78" s="12"/>
      <c r="AN78" s="12"/>
      <c r="AO78" s="12"/>
      <c r="AP78" s="12"/>
      <c r="AQ78" s="12"/>
      <c r="AR78" s="12"/>
      <c r="AS78" s="12">
        <v>0.0</v>
      </c>
      <c r="AT78" s="12">
        <f t="shared" si="24"/>
        <v>0</v>
      </c>
      <c r="AU78" s="18">
        <f t="shared" si="19"/>
        <v>287542.22</v>
      </c>
      <c r="AV78" s="18"/>
      <c r="AW78" s="19"/>
      <c r="AX78" s="12">
        <f t="shared" si="1"/>
        <v>0</v>
      </c>
      <c r="AY78" s="12"/>
      <c r="AZ78" s="12">
        <v>0.0</v>
      </c>
      <c r="BA78" s="18">
        <f t="shared" si="20"/>
        <v>47180.71</v>
      </c>
      <c r="BB78" s="10">
        <f t="shared" si="16"/>
        <v>356552.3528</v>
      </c>
      <c r="BC78" s="16">
        <f t="shared" si="22"/>
        <v>58914.85</v>
      </c>
      <c r="BD78" s="13"/>
      <c r="BE78" s="13"/>
      <c r="BF78" s="14">
        <f t="shared" si="23"/>
        <v>52</v>
      </c>
      <c r="BG78" s="6"/>
      <c r="BH78" s="6"/>
      <c r="BI78" s="16">
        <f t="shared" si="18"/>
        <v>11394.58806</v>
      </c>
      <c r="BJ78" s="6"/>
      <c r="BK78" s="15">
        <f t="shared" si="17"/>
        <v>0</v>
      </c>
      <c r="BN78" s="16">
        <f t="shared" si="14"/>
        <v>-11394.58806</v>
      </c>
      <c r="BO78" s="16">
        <f t="shared" si="21"/>
        <v>2677.518387</v>
      </c>
      <c r="BY78" s="6">
        <f t="shared" si="2"/>
        <v>2023</v>
      </c>
      <c r="BZ78" s="6" t="str">
        <f t="shared" si="3"/>
        <v>diciembre</v>
      </c>
      <c r="CA78" s="6" t="str">
        <f t="shared" si="4"/>
        <v>12</v>
      </c>
    </row>
    <row r="79">
      <c r="A79" s="8">
        <v>45286.0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>
        <v>0.0</v>
      </c>
      <c r="P79" s="12"/>
      <c r="Q79" s="12"/>
      <c r="R79" s="12"/>
      <c r="S79" s="12"/>
      <c r="T79" s="12"/>
      <c r="U79" s="12"/>
      <c r="V79" s="12">
        <v>0.0</v>
      </c>
      <c r="W79" s="12"/>
      <c r="X79" s="12"/>
      <c r="Y79" s="12"/>
      <c r="Z79" s="12"/>
      <c r="AA79" s="12"/>
      <c r="AB79" s="12"/>
      <c r="AC79" s="12">
        <v>0.0</v>
      </c>
      <c r="AD79" s="12"/>
      <c r="AE79" s="12"/>
      <c r="AF79" s="12"/>
      <c r="AG79" s="12"/>
      <c r="AH79" s="12"/>
      <c r="AI79" s="12"/>
      <c r="AJ79" s="12"/>
      <c r="AK79" s="12"/>
      <c r="AL79" s="12">
        <v>0.0</v>
      </c>
      <c r="AM79" s="12"/>
      <c r="AN79" s="12"/>
      <c r="AO79" s="12"/>
      <c r="AP79" s="12"/>
      <c r="AQ79" s="12"/>
      <c r="AR79" s="12"/>
      <c r="AS79" s="12">
        <v>0.0</v>
      </c>
      <c r="AT79" s="12">
        <f t="shared" si="24"/>
        <v>0</v>
      </c>
      <c r="AU79" s="18">
        <f t="shared" si="19"/>
        <v>287542.22</v>
      </c>
      <c r="AV79" s="18"/>
      <c r="AW79" s="19"/>
      <c r="AX79" s="12">
        <f t="shared" si="1"/>
        <v>0</v>
      </c>
      <c r="AY79" s="12"/>
      <c r="AZ79" s="12">
        <v>0.0</v>
      </c>
      <c r="BA79" s="18">
        <f t="shared" si="20"/>
        <v>47180.71</v>
      </c>
      <c r="BB79" s="10">
        <f t="shared" si="16"/>
        <v>342838.8008</v>
      </c>
      <c r="BC79" s="16">
        <f t="shared" si="22"/>
        <v>58914.85</v>
      </c>
      <c r="BD79" s="13"/>
      <c r="BE79" s="13"/>
      <c r="BF79" s="14">
        <f t="shared" si="23"/>
        <v>52</v>
      </c>
      <c r="BG79" s="6"/>
      <c r="BH79" s="6"/>
      <c r="BI79" s="16">
        <f t="shared" si="18"/>
        <v>11394.58806</v>
      </c>
      <c r="BJ79" s="6"/>
      <c r="BK79" s="15">
        <f t="shared" si="17"/>
        <v>0</v>
      </c>
      <c r="BN79" s="16">
        <f t="shared" si="14"/>
        <v>-11394.58806</v>
      </c>
      <c r="BO79" s="16">
        <f t="shared" si="21"/>
        <v>-8717.069677</v>
      </c>
      <c r="BY79" s="6">
        <f t="shared" si="2"/>
        <v>2023</v>
      </c>
      <c r="BZ79" s="6" t="str">
        <f t="shared" si="3"/>
        <v>diciembre</v>
      </c>
      <c r="CA79" s="6" t="str">
        <f t="shared" si="4"/>
        <v>12</v>
      </c>
    </row>
    <row r="80">
      <c r="A80" s="8">
        <v>45287.0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>
        <v>0.0</v>
      </c>
      <c r="P80" s="12"/>
      <c r="Q80" s="12"/>
      <c r="R80" s="12"/>
      <c r="S80" s="12"/>
      <c r="T80" s="12"/>
      <c r="U80" s="12"/>
      <c r="V80" s="12">
        <v>0.0</v>
      </c>
      <c r="W80" s="12"/>
      <c r="X80" s="12"/>
      <c r="Y80" s="12"/>
      <c r="Z80" s="12"/>
      <c r="AA80" s="12"/>
      <c r="AB80" s="12"/>
      <c r="AC80" s="12">
        <v>0.0</v>
      </c>
      <c r="AD80" s="12"/>
      <c r="AE80" s="12"/>
      <c r="AF80" s="12"/>
      <c r="AG80" s="12"/>
      <c r="AH80" s="12"/>
      <c r="AI80" s="12"/>
      <c r="AJ80" s="12"/>
      <c r="AK80" s="12"/>
      <c r="AL80" s="12">
        <v>0.0</v>
      </c>
      <c r="AM80" s="12"/>
      <c r="AN80" s="12"/>
      <c r="AO80" s="12"/>
      <c r="AP80" s="12"/>
      <c r="AQ80" s="12"/>
      <c r="AR80" s="12"/>
      <c r="AS80" s="12">
        <v>0.0</v>
      </c>
      <c r="AT80" s="12">
        <f t="shared" si="24"/>
        <v>0</v>
      </c>
      <c r="AU80" s="18">
        <f t="shared" si="19"/>
        <v>287542.22</v>
      </c>
      <c r="AV80" s="18"/>
      <c r="AW80" s="19"/>
      <c r="AX80" s="12">
        <f t="shared" si="1"/>
        <v>0</v>
      </c>
      <c r="AY80" s="12"/>
      <c r="AZ80" s="12">
        <v>0.0</v>
      </c>
      <c r="BA80" s="18">
        <f t="shared" si="20"/>
        <v>47180.71</v>
      </c>
      <c r="BB80" s="10">
        <f t="shared" si="16"/>
        <v>330141.0674</v>
      </c>
      <c r="BC80" s="16">
        <f t="shared" si="22"/>
        <v>58914.85</v>
      </c>
      <c r="BD80" s="13"/>
      <c r="BE80" s="13"/>
      <c r="BF80" s="14">
        <f t="shared" si="23"/>
        <v>52</v>
      </c>
      <c r="BG80" s="6"/>
      <c r="BH80" s="6"/>
      <c r="BI80" s="16">
        <f t="shared" si="18"/>
        <v>11394.58806</v>
      </c>
      <c r="BJ80" s="6"/>
      <c r="BK80" s="15">
        <f t="shared" si="17"/>
        <v>0</v>
      </c>
      <c r="BN80" s="16">
        <f t="shared" si="14"/>
        <v>-11394.58806</v>
      </c>
      <c r="BO80" s="16">
        <f t="shared" si="21"/>
        <v>-20111.65774</v>
      </c>
      <c r="BY80" s="6">
        <f t="shared" si="2"/>
        <v>2023</v>
      </c>
      <c r="BZ80" s="6" t="str">
        <f t="shared" si="3"/>
        <v>diciembre</v>
      </c>
      <c r="CA80" s="6" t="str">
        <f t="shared" si="4"/>
        <v>12</v>
      </c>
    </row>
    <row r="81">
      <c r="A81" s="8">
        <v>45288.0</v>
      </c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>
        <v>0.0</v>
      </c>
      <c r="P81" s="12"/>
      <c r="Q81" s="12"/>
      <c r="R81" s="12"/>
      <c r="S81" s="12"/>
      <c r="T81" s="12"/>
      <c r="U81" s="12"/>
      <c r="V81" s="12">
        <v>0.0</v>
      </c>
      <c r="W81" s="12"/>
      <c r="X81" s="12"/>
      <c r="Y81" s="12"/>
      <c r="Z81" s="12"/>
      <c r="AA81" s="12"/>
      <c r="AB81" s="12"/>
      <c r="AC81" s="12">
        <v>0.0</v>
      </c>
      <c r="AD81" s="12"/>
      <c r="AE81" s="12"/>
      <c r="AF81" s="12"/>
      <c r="AG81" s="12"/>
      <c r="AH81" s="12"/>
      <c r="AI81" s="12"/>
      <c r="AJ81" s="12"/>
      <c r="AK81" s="12"/>
      <c r="AL81" s="12">
        <v>0.0</v>
      </c>
      <c r="AM81" s="12"/>
      <c r="AN81" s="12"/>
      <c r="AO81" s="12"/>
      <c r="AP81" s="12"/>
      <c r="AQ81" s="12"/>
      <c r="AR81" s="12"/>
      <c r="AS81" s="12">
        <v>0.0</v>
      </c>
      <c r="AT81" s="12">
        <f t="shared" si="24"/>
        <v>0</v>
      </c>
      <c r="AU81" s="18">
        <f t="shared" si="19"/>
        <v>287542.22</v>
      </c>
      <c r="AV81" s="18"/>
      <c r="AW81" s="19"/>
      <c r="AX81" s="12">
        <f t="shared" si="1"/>
        <v>0</v>
      </c>
      <c r="AY81" s="12"/>
      <c r="AZ81" s="12">
        <v>0.0</v>
      </c>
      <c r="BA81" s="18">
        <f t="shared" si="20"/>
        <v>47180.71</v>
      </c>
      <c r="BB81" s="10">
        <f t="shared" si="16"/>
        <v>318350.315</v>
      </c>
      <c r="BC81" s="16">
        <f t="shared" si="22"/>
        <v>58914.85</v>
      </c>
      <c r="BD81" s="13"/>
      <c r="BE81" s="13"/>
      <c r="BF81" s="14">
        <f t="shared" si="23"/>
        <v>52</v>
      </c>
      <c r="BG81" s="6"/>
      <c r="BH81" s="6"/>
      <c r="BI81" s="16">
        <f t="shared" si="18"/>
        <v>11394.58806</v>
      </c>
      <c r="BJ81" s="6"/>
      <c r="BK81" s="15">
        <f t="shared" si="17"/>
        <v>0</v>
      </c>
      <c r="BN81" s="16">
        <f t="shared" si="14"/>
        <v>-11394.58806</v>
      </c>
      <c r="BO81" s="16">
        <f t="shared" si="21"/>
        <v>-31506.24581</v>
      </c>
      <c r="BY81" s="6">
        <f t="shared" si="2"/>
        <v>2023</v>
      </c>
      <c r="BZ81" s="6" t="str">
        <f t="shared" si="3"/>
        <v>diciembre</v>
      </c>
      <c r="CA81" s="6" t="str">
        <f t="shared" si="4"/>
        <v>12</v>
      </c>
    </row>
    <row r="82">
      <c r="A82" s="8">
        <v>45289.0</v>
      </c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>
        <v>0.0</v>
      </c>
      <c r="P82" s="12"/>
      <c r="Q82" s="12"/>
      <c r="R82" s="12"/>
      <c r="S82" s="12"/>
      <c r="T82" s="12"/>
      <c r="U82" s="12"/>
      <c r="V82" s="12">
        <v>0.0</v>
      </c>
      <c r="W82" s="12"/>
      <c r="X82" s="12"/>
      <c r="Y82" s="12"/>
      <c r="Z82" s="12"/>
      <c r="AA82" s="12"/>
      <c r="AB82" s="12"/>
      <c r="AC82" s="12">
        <v>0.0</v>
      </c>
      <c r="AD82" s="12"/>
      <c r="AE82" s="12"/>
      <c r="AF82" s="12"/>
      <c r="AG82" s="12"/>
      <c r="AH82" s="12"/>
      <c r="AI82" s="12"/>
      <c r="AJ82" s="12"/>
      <c r="AK82" s="12"/>
      <c r="AL82" s="12">
        <v>0.0</v>
      </c>
      <c r="AM82" s="12"/>
      <c r="AN82" s="12"/>
      <c r="AO82" s="12"/>
      <c r="AP82" s="12"/>
      <c r="AQ82" s="12"/>
      <c r="AR82" s="12"/>
      <c r="AS82" s="12">
        <v>0.0</v>
      </c>
      <c r="AT82" s="12">
        <f t="shared" si="24"/>
        <v>0</v>
      </c>
      <c r="AU82" s="18">
        <f t="shared" si="19"/>
        <v>287542.22</v>
      </c>
      <c r="AV82" s="18"/>
      <c r="AW82" s="19"/>
      <c r="AX82" s="12">
        <f t="shared" si="1"/>
        <v>0</v>
      </c>
      <c r="AY82" s="12"/>
      <c r="AZ82" s="12">
        <v>0.0</v>
      </c>
      <c r="BA82" s="18">
        <f t="shared" si="20"/>
        <v>47180.71</v>
      </c>
      <c r="BB82" s="10">
        <f t="shared" si="16"/>
        <v>307372.7179</v>
      </c>
      <c r="BC82" s="16">
        <f t="shared" si="22"/>
        <v>58914.85</v>
      </c>
      <c r="BD82" s="13"/>
      <c r="BE82" s="13"/>
      <c r="BF82" s="14">
        <f t="shared" si="23"/>
        <v>52</v>
      </c>
      <c r="BG82" s="6"/>
      <c r="BH82" s="6"/>
      <c r="BI82" s="16">
        <f t="shared" si="18"/>
        <v>11394.58806</v>
      </c>
      <c r="BJ82" s="6"/>
      <c r="BK82" s="15">
        <f t="shared" si="17"/>
        <v>0</v>
      </c>
      <c r="BN82" s="16">
        <f t="shared" si="14"/>
        <v>-11394.58806</v>
      </c>
      <c r="BO82" s="16">
        <f t="shared" si="21"/>
        <v>-42900.83387</v>
      </c>
      <c r="BY82" s="6">
        <f t="shared" si="2"/>
        <v>2023</v>
      </c>
      <c r="BZ82" s="6" t="str">
        <f t="shared" si="3"/>
        <v>diciembre</v>
      </c>
      <c r="CA82" s="6" t="str">
        <f t="shared" si="4"/>
        <v>12</v>
      </c>
    </row>
    <row r="83">
      <c r="A83" s="8">
        <v>45290.0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>
        <v>0.0</v>
      </c>
      <c r="P83" s="12"/>
      <c r="Q83" s="12"/>
      <c r="R83" s="12"/>
      <c r="S83" s="12"/>
      <c r="T83" s="12"/>
      <c r="U83" s="12"/>
      <c r="V83" s="12">
        <v>0.0</v>
      </c>
      <c r="W83" s="12"/>
      <c r="X83" s="12"/>
      <c r="Y83" s="12"/>
      <c r="Z83" s="12"/>
      <c r="AA83" s="12"/>
      <c r="AB83" s="12"/>
      <c r="AC83" s="12">
        <v>0.0</v>
      </c>
      <c r="AD83" s="12"/>
      <c r="AE83" s="12"/>
      <c r="AF83" s="12"/>
      <c r="AG83" s="12"/>
      <c r="AH83" s="12"/>
      <c r="AI83" s="12"/>
      <c r="AJ83" s="12"/>
      <c r="AK83" s="12"/>
      <c r="AL83" s="12">
        <v>0.0</v>
      </c>
      <c r="AM83" s="12"/>
      <c r="AN83" s="12"/>
      <c r="AO83" s="12"/>
      <c r="AP83" s="12"/>
      <c r="AQ83" s="12"/>
      <c r="AR83" s="12"/>
      <c r="AS83" s="12">
        <v>0.0</v>
      </c>
      <c r="AT83" s="12">
        <f t="shared" si="24"/>
        <v>0</v>
      </c>
      <c r="AU83" s="18">
        <f t="shared" si="19"/>
        <v>287542.22</v>
      </c>
      <c r="AV83" s="18"/>
      <c r="AW83" s="19"/>
      <c r="AX83" s="12">
        <f t="shared" si="1"/>
        <v>0</v>
      </c>
      <c r="AY83" s="12"/>
      <c r="AZ83" s="12">
        <v>0.0</v>
      </c>
      <c r="BA83" s="18">
        <f t="shared" si="20"/>
        <v>47180.71</v>
      </c>
      <c r="BB83" s="10">
        <f t="shared" si="16"/>
        <v>297126.9607</v>
      </c>
      <c r="BC83" s="16">
        <f t="shared" si="22"/>
        <v>58914.85</v>
      </c>
      <c r="BD83" s="13"/>
      <c r="BE83" s="13"/>
      <c r="BF83" s="14">
        <f t="shared" si="23"/>
        <v>52</v>
      </c>
      <c r="BG83" s="6"/>
      <c r="BH83" s="6"/>
      <c r="BI83" s="16">
        <f t="shared" si="18"/>
        <v>11394.58806</v>
      </c>
      <c r="BJ83" s="6"/>
      <c r="BK83" s="15">
        <f t="shared" si="17"/>
        <v>0</v>
      </c>
      <c r="BN83" s="16">
        <f t="shared" si="14"/>
        <v>-11394.58806</v>
      </c>
      <c r="BO83" s="16">
        <f t="shared" si="21"/>
        <v>-54295.42194</v>
      </c>
      <c r="BY83" s="6">
        <f t="shared" si="2"/>
        <v>2023</v>
      </c>
      <c r="BZ83" s="6" t="str">
        <f t="shared" si="3"/>
        <v>diciembre</v>
      </c>
      <c r="CA83" s="6" t="str">
        <f t="shared" si="4"/>
        <v>12</v>
      </c>
    </row>
    <row r="84">
      <c r="A84" s="8">
        <v>45291.0</v>
      </c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>
        <v>70672.2</v>
      </c>
      <c r="P84" s="12"/>
      <c r="Q84" s="12"/>
      <c r="R84" s="12"/>
      <c r="S84" s="12"/>
      <c r="T84" s="12"/>
      <c r="U84" s="12"/>
      <c r="V84" s="12">
        <v>7774.94</v>
      </c>
      <c r="W84" s="12"/>
      <c r="X84" s="12"/>
      <c r="Y84" s="12"/>
      <c r="Z84" s="12"/>
      <c r="AA84" s="12"/>
      <c r="AB84" s="12"/>
      <c r="AC84" s="12">
        <v>85.84</v>
      </c>
      <c r="AD84" s="12"/>
      <c r="AE84" s="12"/>
      <c r="AF84" s="12"/>
      <c r="AG84" s="12"/>
      <c r="AH84" s="12"/>
      <c r="AI84" s="12"/>
      <c r="AJ84" s="12"/>
      <c r="AK84" s="12"/>
      <c r="AL84" s="12">
        <v>11734.25</v>
      </c>
      <c r="AM84" s="12"/>
      <c r="AN84" s="12"/>
      <c r="AO84" s="12"/>
      <c r="AP84" s="12"/>
      <c r="AQ84" s="12"/>
      <c r="AR84" s="12"/>
      <c r="AS84" s="12">
        <v>6721.28</v>
      </c>
      <c r="AT84" s="12">
        <f t="shared" si="24"/>
        <v>96988.51</v>
      </c>
      <c r="AU84" s="18">
        <f t="shared" si="19"/>
        <v>384530.73</v>
      </c>
      <c r="AV84" s="18"/>
      <c r="AW84" s="19"/>
      <c r="AX84" s="12">
        <f t="shared" si="1"/>
        <v>96988.51</v>
      </c>
      <c r="AY84" s="12"/>
      <c r="AZ84" s="12">
        <v>11342.95</v>
      </c>
      <c r="BA84" s="18">
        <f t="shared" si="20"/>
        <v>58523.66</v>
      </c>
      <c r="BB84" s="10">
        <f t="shared" si="16"/>
        <v>384530.73</v>
      </c>
      <c r="BC84" s="16">
        <f t="shared" si="22"/>
        <v>58914.85</v>
      </c>
      <c r="BD84" s="13"/>
      <c r="BE84" s="13"/>
      <c r="BF84" s="14">
        <f t="shared" si="23"/>
        <v>53</v>
      </c>
      <c r="BG84" s="6"/>
      <c r="BH84" s="6"/>
      <c r="BI84" s="16">
        <f t="shared" si="18"/>
        <v>11394.58806</v>
      </c>
      <c r="BK84" s="15">
        <f t="shared" si="17"/>
        <v>8.511804854</v>
      </c>
      <c r="BN84" s="16">
        <f t="shared" si="14"/>
        <v>85593.92194</v>
      </c>
      <c r="BO84" s="16">
        <f t="shared" si="21"/>
        <v>31298.5</v>
      </c>
      <c r="BY84" s="6">
        <f t="shared" si="2"/>
        <v>2023</v>
      </c>
      <c r="BZ84" s="6" t="str">
        <f t="shared" si="3"/>
        <v>diciembre</v>
      </c>
      <c r="CA84" s="6" t="str">
        <f t="shared" si="4"/>
        <v>12</v>
      </c>
    </row>
    <row r="85">
      <c r="A85" s="8">
        <v>45292.0</v>
      </c>
      <c r="B85" s="14"/>
      <c r="C85" s="14"/>
      <c r="D85" s="14"/>
      <c r="E85" s="14"/>
      <c r="F85" s="14"/>
      <c r="G85" s="14"/>
      <c r="H85" s="21"/>
      <c r="I85" s="21">
        <v>0.0</v>
      </c>
      <c r="J85" s="14">
        <v>0.0</v>
      </c>
      <c r="K85" s="12"/>
      <c r="L85" s="12">
        <v>0.0</v>
      </c>
      <c r="M85" s="12">
        <v>0.0</v>
      </c>
      <c r="N85" s="12">
        <v>0.0</v>
      </c>
      <c r="O85" s="12">
        <f t="shared" ref="O85:O115" si="25">N85+M85+L85+J85+I85</f>
        <v>0</v>
      </c>
      <c r="P85" s="12"/>
      <c r="Q85" s="12"/>
      <c r="R85" s="12"/>
      <c r="S85" s="12"/>
      <c r="T85" s="12"/>
      <c r="U85" s="12"/>
      <c r="V85" s="12">
        <v>0.0</v>
      </c>
      <c r="W85" s="12"/>
      <c r="X85" s="12"/>
      <c r="Y85" s="12"/>
      <c r="Z85" s="12"/>
      <c r="AA85" s="12"/>
      <c r="AB85" s="12"/>
      <c r="AC85" s="12">
        <v>0.0</v>
      </c>
      <c r="AD85" s="12"/>
      <c r="AE85" s="12"/>
      <c r="AF85" s="12"/>
      <c r="AG85" s="12"/>
      <c r="AH85" s="12"/>
      <c r="AI85" s="12"/>
      <c r="AJ85" s="12"/>
      <c r="AK85" s="12"/>
      <c r="AL85" s="12">
        <v>0.0</v>
      </c>
      <c r="AM85" s="12"/>
      <c r="AN85" s="12"/>
      <c r="AO85" s="12"/>
      <c r="AP85" s="12"/>
      <c r="AQ85" s="12"/>
      <c r="AR85" s="12"/>
      <c r="AS85" s="12">
        <v>0.0</v>
      </c>
      <c r="AT85" s="12">
        <f t="shared" si="24"/>
        <v>0</v>
      </c>
      <c r="AU85" s="21">
        <v>0.0</v>
      </c>
      <c r="AV85" s="10"/>
      <c r="AW85" s="21"/>
      <c r="AX85" s="12">
        <f t="shared" si="1"/>
        <v>0</v>
      </c>
      <c r="AY85" s="12"/>
      <c r="AZ85" s="12">
        <v>0.0</v>
      </c>
      <c r="BA85" s="21">
        <v>0.0</v>
      </c>
      <c r="BB85" s="10">
        <f t="shared" si="16"/>
        <v>0</v>
      </c>
      <c r="BC85" s="16">
        <f t="shared" si="22"/>
        <v>58914.85</v>
      </c>
      <c r="BD85" s="13"/>
      <c r="BE85" s="13"/>
      <c r="BF85" s="14">
        <f t="shared" si="23"/>
        <v>1</v>
      </c>
      <c r="BG85" s="12">
        <v>427125.78</v>
      </c>
      <c r="BH85" s="6"/>
      <c r="BI85" s="16">
        <f t="shared" ref="BI85:BI142" si="26">$BG$85/DAY(EOMONTH(A85,0))</f>
        <v>13778.25097</v>
      </c>
      <c r="BJ85" s="6"/>
      <c r="BK85" s="15">
        <f t="shared" si="17"/>
        <v>0</v>
      </c>
      <c r="BN85" s="16">
        <f t="shared" si="14"/>
        <v>-13778.25097</v>
      </c>
      <c r="BO85" s="16">
        <f>IF(AT85="","",BN85)</f>
        <v>-13778.25097</v>
      </c>
      <c r="BY85" s="6">
        <f t="shared" si="2"/>
        <v>2024</v>
      </c>
      <c r="BZ85" s="6" t="str">
        <f t="shared" si="3"/>
        <v>enero</v>
      </c>
      <c r="CA85" s="6" t="str">
        <f t="shared" si="4"/>
        <v>1</v>
      </c>
    </row>
    <row r="86">
      <c r="A86" s="8">
        <v>45293.0</v>
      </c>
      <c r="B86" s="14"/>
      <c r="C86" s="14"/>
      <c r="D86" s="14"/>
      <c r="E86" s="14"/>
      <c r="F86" s="14"/>
      <c r="G86" s="14"/>
      <c r="H86" s="14"/>
      <c r="I86" s="14">
        <v>3600.0</v>
      </c>
      <c r="J86" s="14">
        <v>2664.7</v>
      </c>
      <c r="K86" s="12"/>
      <c r="L86" s="12">
        <v>0.0</v>
      </c>
      <c r="M86" s="12">
        <v>0.0</v>
      </c>
      <c r="N86" s="12">
        <v>0.0</v>
      </c>
      <c r="O86" s="12">
        <f t="shared" si="25"/>
        <v>6264.7</v>
      </c>
      <c r="P86" s="12"/>
      <c r="Q86" s="12"/>
      <c r="R86" s="12"/>
      <c r="S86" s="12"/>
      <c r="T86" s="12"/>
      <c r="U86" s="12"/>
      <c r="V86" s="12">
        <v>1277.54</v>
      </c>
      <c r="W86" s="12"/>
      <c r="X86" s="12"/>
      <c r="Y86" s="12"/>
      <c r="Z86" s="12"/>
      <c r="AA86" s="12"/>
      <c r="AB86" s="12"/>
      <c r="AC86" s="12">
        <v>231.64</v>
      </c>
      <c r="AD86" s="12"/>
      <c r="AE86" s="12"/>
      <c r="AF86" s="12"/>
      <c r="AG86" s="12"/>
      <c r="AH86" s="12"/>
      <c r="AI86" s="12"/>
      <c r="AJ86" s="12"/>
      <c r="AK86" s="12"/>
      <c r="AL86" s="12">
        <v>0.0</v>
      </c>
      <c r="AM86" s="12"/>
      <c r="AN86" s="12"/>
      <c r="AO86" s="12"/>
      <c r="AP86" s="12"/>
      <c r="AQ86" s="12"/>
      <c r="AR86" s="12"/>
      <c r="AS86" s="12">
        <v>0.0</v>
      </c>
      <c r="AT86" s="12">
        <f t="shared" si="24"/>
        <v>7773.88</v>
      </c>
      <c r="AU86" s="18">
        <f t="shared" ref="AU86:AU115" si="27">IF(AT86="","",AU85+AT86)</f>
        <v>7773.88</v>
      </c>
      <c r="AV86" s="18"/>
      <c r="AW86" s="19"/>
      <c r="AX86" s="12">
        <f t="shared" si="1"/>
        <v>7773.88</v>
      </c>
      <c r="AY86" s="12"/>
      <c r="AZ86" s="12">
        <v>1504.31</v>
      </c>
      <c r="BA86" s="18">
        <f t="shared" ref="BA86:BA115" si="28">IF(AZ86="","",BA85+AZ86)</f>
        <v>1504.31</v>
      </c>
      <c r="BB86" s="10">
        <f t="shared" si="16"/>
        <v>120495.14</v>
      </c>
      <c r="BC86" s="16">
        <f t="shared" si="22"/>
        <v>58914.85</v>
      </c>
      <c r="BD86" s="13"/>
      <c r="BE86" s="13"/>
      <c r="BF86" s="14">
        <f t="shared" si="23"/>
        <v>1</v>
      </c>
      <c r="BG86" s="6"/>
      <c r="BH86" s="6"/>
      <c r="BI86" s="16">
        <f t="shared" si="26"/>
        <v>13778.25097</v>
      </c>
      <c r="BJ86" s="6"/>
      <c r="BK86" s="15">
        <f t="shared" si="17"/>
        <v>0.5642138482</v>
      </c>
      <c r="BN86" s="16">
        <f t="shared" si="14"/>
        <v>-6004.370968</v>
      </c>
      <c r="BO86" s="16">
        <f t="shared" ref="BO86:BO144" si="29">IF(AT86="","",BO85+BN86)</f>
        <v>-19782.62194</v>
      </c>
      <c r="BY86" s="6">
        <f t="shared" si="2"/>
        <v>2024</v>
      </c>
      <c r="BZ86" s="6" t="str">
        <f t="shared" si="3"/>
        <v>enero</v>
      </c>
      <c r="CA86" s="6" t="str">
        <f t="shared" si="4"/>
        <v>1</v>
      </c>
    </row>
    <row r="87">
      <c r="A87" s="8">
        <v>45294.0</v>
      </c>
      <c r="B87" s="14"/>
      <c r="C87" s="14"/>
      <c r="D87" s="14"/>
      <c r="E87" s="14"/>
      <c r="F87" s="14"/>
      <c r="G87" s="14"/>
      <c r="H87" s="14"/>
      <c r="I87" s="14">
        <v>3600.0</v>
      </c>
      <c r="J87" s="14">
        <v>3164.7</v>
      </c>
      <c r="K87" s="12"/>
      <c r="L87" s="12">
        <v>0.0</v>
      </c>
      <c r="M87" s="12">
        <v>0.0</v>
      </c>
      <c r="N87" s="12">
        <v>0.0</v>
      </c>
      <c r="O87" s="12">
        <f t="shared" si="25"/>
        <v>6764.7</v>
      </c>
      <c r="P87" s="12"/>
      <c r="Q87" s="12"/>
      <c r="R87" s="12"/>
      <c r="S87" s="12"/>
      <c r="T87" s="12"/>
      <c r="U87" s="12"/>
      <c r="V87" s="12">
        <v>1777.54</v>
      </c>
      <c r="W87" s="12"/>
      <c r="X87" s="12"/>
      <c r="Y87" s="12"/>
      <c r="Z87" s="12"/>
      <c r="AA87" s="12"/>
      <c r="AB87" s="12"/>
      <c r="AC87" s="12">
        <v>232.14</v>
      </c>
      <c r="AD87" s="12"/>
      <c r="AE87" s="12"/>
      <c r="AF87" s="12"/>
      <c r="AG87" s="12"/>
      <c r="AH87" s="12"/>
      <c r="AI87" s="12"/>
      <c r="AJ87" s="12"/>
      <c r="AK87" s="12"/>
      <c r="AL87" s="12">
        <v>0.0</v>
      </c>
      <c r="AM87" s="12"/>
      <c r="AN87" s="12"/>
      <c r="AO87" s="12"/>
      <c r="AP87" s="12"/>
      <c r="AQ87" s="12"/>
      <c r="AR87" s="12"/>
      <c r="AS87" s="12">
        <v>0.0</v>
      </c>
      <c r="AT87" s="12">
        <f t="shared" si="24"/>
        <v>8774.38</v>
      </c>
      <c r="AU87" s="18">
        <f t="shared" si="27"/>
        <v>16548.26</v>
      </c>
      <c r="AV87" s="18"/>
      <c r="AW87" s="19"/>
      <c r="AX87" s="12">
        <f t="shared" si="1"/>
        <v>8774.38</v>
      </c>
      <c r="AY87" s="12"/>
      <c r="AZ87" s="12">
        <v>1004.31</v>
      </c>
      <c r="BA87" s="18">
        <f t="shared" si="28"/>
        <v>2508.62</v>
      </c>
      <c r="BB87" s="10">
        <f t="shared" si="16"/>
        <v>170998.6867</v>
      </c>
      <c r="BC87" s="16">
        <f t="shared" si="22"/>
        <v>58914.85</v>
      </c>
      <c r="BD87" s="13"/>
      <c r="BE87" s="13"/>
      <c r="BF87" s="14">
        <f t="shared" si="23"/>
        <v>1</v>
      </c>
      <c r="BG87" s="6"/>
      <c r="BH87" s="6"/>
      <c r="BI87" s="16">
        <f t="shared" si="26"/>
        <v>13778.25097</v>
      </c>
      <c r="BJ87" s="6"/>
      <c r="BK87" s="15">
        <f t="shared" si="17"/>
        <v>0.6368282898</v>
      </c>
      <c r="BN87" s="16">
        <f t="shared" si="14"/>
        <v>-5003.870968</v>
      </c>
      <c r="BO87" s="16">
        <f t="shared" si="29"/>
        <v>-24786.4929</v>
      </c>
      <c r="BY87" s="6">
        <f t="shared" si="2"/>
        <v>2024</v>
      </c>
      <c r="BZ87" s="6" t="str">
        <f t="shared" si="3"/>
        <v>enero</v>
      </c>
      <c r="CA87" s="6" t="str">
        <f t="shared" si="4"/>
        <v>1</v>
      </c>
    </row>
    <row r="88">
      <c r="A88" s="8">
        <v>45295.0</v>
      </c>
      <c r="B88" s="14"/>
      <c r="C88" s="14"/>
      <c r="D88" s="14"/>
      <c r="E88" s="14"/>
      <c r="F88" s="14"/>
      <c r="G88" s="14"/>
      <c r="H88" s="14"/>
      <c r="I88" s="14">
        <v>3562.0</v>
      </c>
      <c r="J88" s="14">
        <v>3807.0</v>
      </c>
      <c r="K88" s="12"/>
      <c r="L88" s="12">
        <v>0.0</v>
      </c>
      <c r="M88" s="12">
        <v>0.0</v>
      </c>
      <c r="N88" s="12">
        <v>0.0</v>
      </c>
      <c r="O88" s="12">
        <f t="shared" si="25"/>
        <v>7369</v>
      </c>
      <c r="P88" s="12"/>
      <c r="Q88" s="12"/>
      <c r="R88" s="12"/>
      <c r="S88" s="12"/>
      <c r="T88" s="12"/>
      <c r="U88" s="12"/>
      <c r="V88" s="12">
        <v>1107.49</v>
      </c>
      <c r="W88" s="12"/>
      <c r="X88" s="12"/>
      <c r="Y88" s="12"/>
      <c r="Z88" s="12"/>
      <c r="AA88" s="12"/>
      <c r="AB88" s="12"/>
      <c r="AC88" s="12">
        <v>232.64</v>
      </c>
      <c r="AD88" s="12"/>
      <c r="AE88" s="12"/>
      <c r="AF88" s="12"/>
      <c r="AG88" s="12"/>
      <c r="AH88" s="12"/>
      <c r="AI88" s="12"/>
      <c r="AJ88" s="12"/>
      <c r="AK88" s="12"/>
      <c r="AL88" s="12">
        <v>0.0</v>
      </c>
      <c r="AM88" s="12"/>
      <c r="AN88" s="12"/>
      <c r="AO88" s="12"/>
      <c r="AP88" s="12"/>
      <c r="AQ88" s="12"/>
      <c r="AR88" s="12"/>
      <c r="AS88" s="12">
        <v>0.0</v>
      </c>
      <c r="AT88" s="12">
        <f t="shared" si="24"/>
        <v>8709.13</v>
      </c>
      <c r="AU88" s="18">
        <f t="shared" si="27"/>
        <v>25257.39</v>
      </c>
      <c r="AV88" s="18"/>
      <c r="AW88" s="19"/>
      <c r="AX88" s="12">
        <f t="shared" si="1"/>
        <v>8709.13</v>
      </c>
      <c r="AY88" s="12"/>
      <c r="AZ88" s="12">
        <v>200.0</v>
      </c>
      <c r="BA88" s="18">
        <f t="shared" si="28"/>
        <v>2708.62</v>
      </c>
      <c r="BB88" s="10">
        <f t="shared" si="16"/>
        <v>195744.7725</v>
      </c>
      <c r="BC88" s="16">
        <f t="shared" si="22"/>
        <v>58914.85</v>
      </c>
      <c r="BD88" s="13"/>
      <c r="BE88" s="13"/>
      <c r="BF88" s="14">
        <f t="shared" si="23"/>
        <v>1</v>
      </c>
      <c r="BG88" s="6"/>
      <c r="BH88" s="6"/>
      <c r="BI88" s="16">
        <f t="shared" si="26"/>
        <v>13778.25097</v>
      </c>
      <c r="BJ88" s="6"/>
      <c r="BK88" s="15">
        <f t="shared" si="17"/>
        <v>0.6320925653</v>
      </c>
      <c r="BN88" s="16">
        <f t="shared" si="14"/>
        <v>-5069.120968</v>
      </c>
      <c r="BO88" s="16">
        <f t="shared" si="29"/>
        <v>-29855.61387</v>
      </c>
      <c r="BY88" s="6">
        <f t="shared" si="2"/>
        <v>2024</v>
      </c>
      <c r="BZ88" s="6" t="str">
        <f t="shared" si="3"/>
        <v>enero</v>
      </c>
      <c r="CA88" s="6" t="str">
        <f t="shared" si="4"/>
        <v>1</v>
      </c>
    </row>
    <row r="89">
      <c r="A89" s="8">
        <v>45296.0</v>
      </c>
      <c r="B89" s="14"/>
      <c r="C89" s="14"/>
      <c r="D89" s="14"/>
      <c r="E89" s="14"/>
      <c r="F89" s="14"/>
      <c r="G89" s="14"/>
      <c r="H89" s="14"/>
      <c r="I89" s="14">
        <v>4580.0</v>
      </c>
      <c r="J89" s="14">
        <v>4420.0</v>
      </c>
      <c r="K89" s="12"/>
      <c r="L89" s="12">
        <v>0.0</v>
      </c>
      <c r="M89" s="12">
        <v>0.0</v>
      </c>
      <c r="N89" s="12">
        <v>0.0</v>
      </c>
      <c r="O89" s="12">
        <f t="shared" si="25"/>
        <v>9000</v>
      </c>
      <c r="P89" s="12"/>
      <c r="Q89" s="12"/>
      <c r="R89" s="12"/>
      <c r="S89" s="12"/>
      <c r="T89" s="12"/>
      <c r="U89" s="12"/>
      <c r="V89" s="12">
        <v>1500.0</v>
      </c>
      <c r="W89" s="12"/>
      <c r="X89" s="12"/>
      <c r="Y89" s="12"/>
      <c r="Z89" s="12"/>
      <c r="AA89" s="12"/>
      <c r="AB89" s="12"/>
      <c r="AC89" s="12">
        <v>0.35</v>
      </c>
      <c r="AD89" s="12"/>
      <c r="AE89" s="12"/>
      <c r="AF89" s="12"/>
      <c r="AG89" s="12"/>
      <c r="AH89" s="12"/>
      <c r="AI89" s="12"/>
      <c r="AJ89" s="12"/>
      <c r="AK89" s="12"/>
      <c r="AL89" s="12">
        <v>0.0</v>
      </c>
      <c r="AM89" s="12"/>
      <c r="AN89" s="12"/>
      <c r="AO89" s="12"/>
      <c r="AP89" s="12"/>
      <c r="AQ89" s="12"/>
      <c r="AR89" s="12"/>
      <c r="AS89" s="12">
        <v>0.0</v>
      </c>
      <c r="AT89" s="12">
        <f t="shared" si="24"/>
        <v>10500.35</v>
      </c>
      <c r="AU89" s="18">
        <f t="shared" si="27"/>
        <v>35757.74</v>
      </c>
      <c r="AV89" s="18"/>
      <c r="AW89" s="19"/>
      <c r="AX89" s="12">
        <f t="shared" si="1"/>
        <v>10500.35</v>
      </c>
      <c r="AY89" s="12"/>
      <c r="AZ89" s="12">
        <v>295.69</v>
      </c>
      <c r="BA89" s="18">
        <f t="shared" si="28"/>
        <v>3004.31</v>
      </c>
      <c r="BB89" s="10">
        <f t="shared" si="16"/>
        <v>221697.988</v>
      </c>
      <c r="BC89" s="16">
        <f t="shared" si="22"/>
        <v>58914.85</v>
      </c>
      <c r="BD89" s="13"/>
      <c r="BE89" s="13"/>
      <c r="BF89" s="14">
        <f t="shared" si="23"/>
        <v>1</v>
      </c>
      <c r="BG89" s="6"/>
      <c r="BH89" s="6"/>
      <c r="BI89" s="16">
        <f t="shared" si="26"/>
        <v>13778.25097</v>
      </c>
      <c r="BJ89" s="6"/>
      <c r="BK89" s="15">
        <f t="shared" si="17"/>
        <v>0.7620960037</v>
      </c>
      <c r="BN89" s="16">
        <f t="shared" si="14"/>
        <v>-3277.900968</v>
      </c>
      <c r="BO89" s="16">
        <f t="shared" si="29"/>
        <v>-33133.51484</v>
      </c>
      <c r="BY89" s="6">
        <f t="shared" si="2"/>
        <v>2024</v>
      </c>
      <c r="BZ89" s="6" t="str">
        <f t="shared" si="3"/>
        <v>enero</v>
      </c>
      <c r="CA89" s="6" t="str">
        <f t="shared" si="4"/>
        <v>1</v>
      </c>
    </row>
    <row r="90">
      <c r="A90" s="8">
        <v>45297.0</v>
      </c>
      <c r="B90" s="21"/>
      <c r="C90" s="21"/>
      <c r="D90" s="21"/>
      <c r="E90" s="21"/>
      <c r="F90" s="21"/>
      <c r="G90" s="21"/>
      <c r="H90" s="14"/>
      <c r="I90" s="14">
        <v>0.0</v>
      </c>
      <c r="J90" s="21">
        <v>0.0</v>
      </c>
      <c r="K90" s="12"/>
      <c r="L90" s="12">
        <v>0.0</v>
      </c>
      <c r="M90" s="12">
        <v>0.0</v>
      </c>
      <c r="N90" s="12">
        <v>0.0</v>
      </c>
      <c r="O90" s="12">
        <f t="shared" si="25"/>
        <v>0</v>
      </c>
      <c r="P90" s="12"/>
      <c r="Q90" s="12"/>
      <c r="R90" s="12"/>
      <c r="S90" s="12"/>
      <c r="T90" s="12"/>
      <c r="U90" s="12"/>
      <c r="V90" s="12">
        <v>0.0</v>
      </c>
      <c r="W90" s="12"/>
      <c r="X90" s="12"/>
      <c r="Y90" s="12"/>
      <c r="Z90" s="12"/>
      <c r="AA90" s="12"/>
      <c r="AB90" s="12"/>
      <c r="AC90" s="12">
        <v>0.0</v>
      </c>
      <c r="AD90" s="12"/>
      <c r="AE90" s="12"/>
      <c r="AF90" s="12"/>
      <c r="AG90" s="12"/>
      <c r="AH90" s="12"/>
      <c r="AI90" s="12"/>
      <c r="AJ90" s="12"/>
      <c r="AK90" s="12"/>
      <c r="AL90" s="12">
        <v>0.0</v>
      </c>
      <c r="AM90" s="12"/>
      <c r="AN90" s="12"/>
      <c r="AO90" s="12"/>
      <c r="AP90" s="12"/>
      <c r="AQ90" s="12"/>
      <c r="AR90" s="12"/>
      <c r="AS90" s="12">
        <v>0.0</v>
      </c>
      <c r="AT90" s="12">
        <f t="shared" si="24"/>
        <v>0</v>
      </c>
      <c r="AU90" s="18">
        <f t="shared" si="27"/>
        <v>35757.74</v>
      </c>
      <c r="AV90" s="18"/>
      <c r="AW90" s="19"/>
      <c r="AX90" s="12">
        <f t="shared" si="1"/>
        <v>0</v>
      </c>
      <c r="AY90" s="12"/>
      <c r="AZ90" s="12">
        <v>0.0</v>
      </c>
      <c r="BA90" s="18">
        <f t="shared" si="28"/>
        <v>3004.31</v>
      </c>
      <c r="BB90" s="10">
        <f t="shared" si="16"/>
        <v>184748.3233</v>
      </c>
      <c r="BC90" s="16">
        <f t="shared" si="22"/>
        <v>58914.85</v>
      </c>
      <c r="BD90" s="13"/>
      <c r="BE90" s="13"/>
      <c r="BF90" s="14">
        <f t="shared" si="23"/>
        <v>1</v>
      </c>
      <c r="BG90" s="6"/>
      <c r="BH90" s="6"/>
      <c r="BI90" s="16">
        <f t="shared" si="26"/>
        <v>13778.25097</v>
      </c>
      <c r="BJ90" s="6"/>
      <c r="BK90" s="15">
        <f t="shared" si="17"/>
        <v>0</v>
      </c>
      <c r="BN90" s="16">
        <f t="shared" si="14"/>
        <v>-13778.25097</v>
      </c>
      <c r="BO90" s="16">
        <f t="shared" si="29"/>
        <v>-46911.76581</v>
      </c>
      <c r="BY90" s="6">
        <f t="shared" si="2"/>
        <v>2024</v>
      </c>
      <c r="BZ90" s="6" t="str">
        <f t="shared" si="3"/>
        <v>enero</v>
      </c>
      <c r="CA90" s="6" t="str">
        <f t="shared" si="4"/>
        <v>1</v>
      </c>
    </row>
    <row r="91">
      <c r="A91" s="8">
        <v>45298.0</v>
      </c>
      <c r="B91" s="21"/>
      <c r="C91" s="21"/>
      <c r="D91" s="21"/>
      <c r="E91" s="21"/>
      <c r="F91" s="21"/>
      <c r="G91" s="21"/>
      <c r="H91" s="14"/>
      <c r="I91" s="14">
        <v>0.0</v>
      </c>
      <c r="J91" s="21">
        <v>0.0</v>
      </c>
      <c r="K91" s="12"/>
      <c r="L91" s="12">
        <v>0.0</v>
      </c>
      <c r="M91" s="12">
        <v>0.0</v>
      </c>
      <c r="N91" s="12">
        <v>0.0</v>
      </c>
      <c r="O91" s="12">
        <f t="shared" si="25"/>
        <v>0</v>
      </c>
      <c r="P91" s="12"/>
      <c r="Q91" s="12"/>
      <c r="R91" s="12"/>
      <c r="S91" s="12"/>
      <c r="T91" s="12"/>
      <c r="U91" s="12"/>
      <c r="V91" s="12">
        <v>0.0</v>
      </c>
      <c r="W91" s="12"/>
      <c r="X91" s="12"/>
      <c r="Y91" s="12"/>
      <c r="Z91" s="12"/>
      <c r="AA91" s="12"/>
      <c r="AB91" s="12"/>
      <c r="AC91" s="12">
        <v>0.0</v>
      </c>
      <c r="AD91" s="12"/>
      <c r="AE91" s="12"/>
      <c r="AF91" s="12"/>
      <c r="AG91" s="12"/>
      <c r="AH91" s="12"/>
      <c r="AI91" s="12"/>
      <c r="AJ91" s="12"/>
      <c r="AK91" s="12"/>
      <c r="AL91" s="12">
        <v>0.0</v>
      </c>
      <c r="AM91" s="12"/>
      <c r="AN91" s="12"/>
      <c r="AO91" s="12"/>
      <c r="AP91" s="12"/>
      <c r="AQ91" s="12"/>
      <c r="AR91" s="12"/>
      <c r="AS91" s="12">
        <v>0.0</v>
      </c>
      <c r="AT91" s="12">
        <f t="shared" si="24"/>
        <v>0</v>
      </c>
      <c r="AU91" s="18">
        <f t="shared" si="27"/>
        <v>35757.74</v>
      </c>
      <c r="AV91" s="18"/>
      <c r="AW91" s="19"/>
      <c r="AX91" s="12">
        <f t="shared" si="1"/>
        <v>0</v>
      </c>
      <c r="AY91" s="12"/>
      <c r="AZ91" s="12">
        <v>0.0</v>
      </c>
      <c r="BA91" s="18">
        <f t="shared" si="28"/>
        <v>3004.31</v>
      </c>
      <c r="BB91" s="10">
        <f t="shared" si="16"/>
        <v>158355.7057</v>
      </c>
      <c r="BC91" s="16">
        <f t="shared" si="22"/>
        <v>58914.85</v>
      </c>
      <c r="BD91" s="13"/>
      <c r="BE91" s="13"/>
      <c r="BF91" s="14">
        <f t="shared" si="23"/>
        <v>2</v>
      </c>
      <c r="BG91" s="6"/>
      <c r="BH91" s="6"/>
      <c r="BI91" s="16">
        <f t="shared" si="26"/>
        <v>13778.25097</v>
      </c>
      <c r="BJ91" s="6"/>
      <c r="BK91" s="15">
        <f t="shared" si="17"/>
        <v>0</v>
      </c>
      <c r="BN91" s="16">
        <f t="shared" si="14"/>
        <v>-13778.25097</v>
      </c>
      <c r="BO91" s="16">
        <f t="shared" si="29"/>
        <v>-60690.01677</v>
      </c>
      <c r="BY91" s="6">
        <f t="shared" si="2"/>
        <v>2024</v>
      </c>
      <c r="BZ91" s="6" t="str">
        <f t="shared" si="3"/>
        <v>enero</v>
      </c>
      <c r="CA91" s="6" t="str">
        <f t="shared" si="4"/>
        <v>1</v>
      </c>
    </row>
    <row r="92">
      <c r="A92" s="8">
        <v>45299.0</v>
      </c>
      <c r="B92" s="14"/>
      <c r="C92" s="14"/>
      <c r="D92" s="14"/>
      <c r="E92" s="14"/>
      <c r="F92" s="14"/>
      <c r="G92" s="14"/>
      <c r="H92" s="14"/>
      <c r="I92" s="14">
        <v>2600.0</v>
      </c>
      <c r="J92" s="14">
        <v>2000.0</v>
      </c>
      <c r="K92" s="12"/>
      <c r="L92" s="12">
        <v>0.0</v>
      </c>
      <c r="M92" s="12">
        <v>0.0</v>
      </c>
      <c r="N92" s="12">
        <v>0.0</v>
      </c>
      <c r="O92" s="12">
        <f t="shared" si="25"/>
        <v>4600</v>
      </c>
      <c r="P92" s="12"/>
      <c r="Q92" s="12"/>
      <c r="R92" s="12"/>
      <c r="S92" s="12"/>
      <c r="T92" s="12"/>
      <c r="U92" s="12"/>
      <c r="V92" s="12">
        <v>1413.8</v>
      </c>
      <c r="W92" s="12"/>
      <c r="X92" s="12"/>
      <c r="Y92" s="12"/>
      <c r="Z92" s="12"/>
      <c r="AA92" s="12"/>
      <c r="AB92" s="12"/>
      <c r="AC92" s="12">
        <v>4.0</v>
      </c>
      <c r="AD92" s="12"/>
      <c r="AE92" s="12"/>
      <c r="AF92" s="12"/>
      <c r="AG92" s="12"/>
      <c r="AH92" s="12"/>
      <c r="AI92" s="12"/>
      <c r="AJ92" s="12"/>
      <c r="AK92" s="12"/>
      <c r="AL92" s="12">
        <v>860.51</v>
      </c>
      <c r="AM92" s="12"/>
      <c r="AN92" s="12"/>
      <c r="AO92" s="12"/>
      <c r="AP92" s="12"/>
      <c r="AQ92" s="12"/>
      <c r="AR92" s="12"/>
      <c r="AS92" s="12">
        <v>0.0</v>
      </c>
      <c r="AT92" s="12">
        <f t="shared" si="24"/>
        <v>6878.31</v>
      </c>
      <c r="AU92" s="18">
        <f t="shared" si="27"/>
        <v>42636.05</v>
      </c>
      <c r="AV92" s="18"/>
      <c r="AW92" s="19"/>
      <c r="AX92" s="12">
        <f t="shared" si="1"/>
        <v>6878.31</v>
      </c>
      <c r="AY92" s="12"/>
      <c r="AZ92" s="12">
        <v>1794.49</v>
      </c>
      <c r="BA92" s="18">
        <f t="shared" si="28"/>
        <v>4798.8</v>
      </c>
      <c r="BB92" s="10">
        <f t="shared" si="16"/>
        <v>165214.6938</v>
      </c>
      <c r="BC92" s="16">
        <f t="shared" si="22"/>
        <v>58914.85</v>
      </c>
      <c r="BD92" s="13"/>
      <c r="BE92" s="13"/>
      <c r="BF92" s="14">
        <f t="shared" si="23"/>
        <v>2</v>
      </c>
      <c r="BG92" s="6"/>
      <c r="BH92" s="6"/>
      <c r="BI92" s="16">
        <f t="shared" si="26"/>
        <v>13778.25097</v>
      </c>
      <c r="BJ92" s="6"/>
      <c r="BK92" s="15">
        <f t="shared" si="17"/>
        <v>0.4992150322</v>
      </c>
      <c r="BN92" s="16">
        <f t="shared" si="14"/>
        <v>-6899.940968</v>
      </c>
      <c r="BO92" s="16">
        <f t="shared" si="29"/>
        <v>-67589.95774</v>
      </c>
      <c r="BY92" s="6">
        <f t="shared" si="2"/>
        <v>2024</v>
      </c>
      <c r="BZ92" s="6" t="str">
        <f t="shared" si="3"/>
        <v>enero</v>
      </c>
      <c r="CA92" s="6" t="str">
        <f t="shared" si="4"/>
        <v>1</v>
      </c>
    </row>
    <row r="93">
      <c r="A93" s="8">
        <v>45300.0</v>
      </c>
      <c r="B93" s="14"/>
      <c r="C93" s="14"/>
      <c r="D93" s="14"/>
      <c r="E93" s="14"/>
      <c r="F93" s="14"/>
      <c r="G93" s="14"/>
      <c r="H93" s="14"/>
      <c r="I93" s="14">
        <v>2300.0</v>
      </c>
      <c r="J93" s="14">
        <v>1688.57</v>
      </c>
      <c r="K93" s="12"/>
      <c r="L93" s="12">
        <v>0.0</v>
      </c>
      <c r="M93" s="12">
        <v>0.0</v>
      </c>
      <c r="N93" s="12">
        <v>0.0</v>
      </c>
      <c r="O93" s="12">
        <f t="shared" si="25"/>
        <v>3988.57</v>
      </c>
      <c r="P93" s="12"/>
      <c r="Q93" s="12"/>
      <c r="R93" s="12"/>
      <c r="S93" s="12"/>
      <c r="T93" s="12"/>
      <c r="U93" s="12"/>
      <c r="V93" s="12">
        <v>700.0</v>
      </c>
      <c r="W93" s="12"/>
      <c r="X93" s="12"/>
      <c r="Y93" s="12"/>
      <c r="Z93" s="12"/>
      <c r="AA93" s="12"/>
      <c r="AB93" s="12"/>
      <c r="AC93" s="12">
        <v>3.58</v>
      </c>
      <c r="AD93" s="12"/>
      <c r="AE93" s="12"/>
      <c r="AF93" s="12"/>
      <c r="AG93" s="12"/>
      <c r="AH93" s="12"/>
      <c r="AI93" s="12"/>
      <c r="AJ93" s="12"/>
      <c r="AK93" s="12"/>
      <c r="AL93" s="12">
        <v>860.51</v>
      </c>
      <c r="AM93" s="12"/>
      <c r="AN93" s="12"/>
      <c r="AO93" s="12"/>
      <c r="AP93" s="12"/>
      <c r="AQ93" s="12"/>
      <c r="AR93" s="12"/>
      <c r="AS93" s="12">
        <v>0.0</v>
      </c>
      <c r="AT93" s="12">
        <f t="shared" si="24"/>
        <v>5552.66</v>
      </c>
      <c r="AU93" s="18">
        <f t="shared" si="27"/>
        <v>48188.71</v>
      </c>
      <c r="AV93" s="18"/>
      <c r="AW93" s="19"/>
      <c r="AX93" s="12">
        <f t="shared" si="1"/>
        <v>5552.66</v>
      </c>
      <c r="AY93" s="12"/>
      <c r="AZ93" s="12">
        <v>1794.49</v>
      </c>
      <c r="BA93" s="18">
        <f t="shared" si="28"/>
        <v>6593.29</v>
      </c>
      <c r="BB93" s="10">
        <f t="shared" si="16"/>
        <v>165983.3344</v>
      </c>
      <c r="BC93" s="16">
        <f t="shared" si="22"/>
        <v>58914.85</v>
      </c>
      <c r="BD93" s="13"/>
      <c r="BE93" s="13"/>
      <c r="BF93" s="14">
        <f t="shared" si="23"/>
        <v>2</v>
      </c>
      <c r="BG93" s="6"/>
      <c r="BH93" s="6"/>
      <c r="BI93" s="16">
        <f t="shared" si="26"/>
        <v>13778.25097</v>
      </c>
      <c r="BJ93" s="6"/>
      <c r="BK93" s="15">
        <f t="shared" si="17"/>
        <v>0.4030018043</v>
      </c>
      <c r="BN93" s="16">
        <f t="shared" si="14"/>
        <v>-8225.590968</v>
      </c>
      <c r="BO93" s="16">
        <f t="shared" si="29"/>
        <v>-75815.54871</v>
      </c>
      <c r="BY93" s="6">
        <f t="shared" si="2"/>
        <v>2024</v>
      </c>
      <c r="BZ93" s="6" t="str">
        <f t="shared" si="3"/>
        <v>enero</v>
      </c>
      <c r="CA93" s="6" t="str">
        <f t="shared" si="4"/>
        <v>1</v>
      </c>
    </row>
    <row r="94">
      <c r="A94" s="8">
        <v>45301.0</v>
      </c>
      <c r="B94" s="14"/>
      <c r="C94" s="14"/>
      <c r="D94" s="14"/>
      <c r="E94" s="14"/>
      <c r="F94" s="14"/>
      <c r="G94" s="14"/>
      <c r="H94" s="14"/>
      <c r="I94" s="14">
        <v>14560.0</v>
      </c>
      <c r="J94" s="14">
        <v>3282.56</v>
      </c>
      <c r="K94" s="12"/>
      <c r="L94" s="12">
        <v>0.0</v>
      </c>
      <c r="M94" s="12">
        <v>0.0</v>
      </c>
      <c r="N94" s="12">
        <v>0.0</v>
      </c>
      <c r="O94" s="12">
        <f t="shared" si="25"/>
        <v>17842.56</v>
      </c>
      <c r="P94" s="12"/>
      <c r="Q94" s="12"/>
      <c r="R94" s="12"/>
      <c r="S94" s="12"/>
      <c r="T94" s="12"/>
      <c r="U94" s="12"/>
      <c r="V94" s="12">
        <v>2862.99</v>
      </c>
      <c r="W94" s="12"/>
      <c r="X94" s="12"/>
      <c r="Y94" s="12"/>
      <c r="Z94" s="12"/>
      <c r="AA94" s="12"/>
      <c r="AB94" s="12"/>
      <c r="AC94" s="12">
        <v>8.93</v>
      </c>
      <c r="AD94" s="12"/>
      <c r="AE94" s="12"/>
      <c r="AF94" s="12"/>
      <c r="AG94" s="12"/>
      <c r="AH94" s="12"/>
      <c r="AI94" s="12"/>
      <c r="AJ94" s="12"/>
      <c r="AK94" s="12"/>
      <c r="AL94" s="12">
        <v>4156.61</v>
      </c>
      <c r="AM94" s="12"/>
      <c r="AN94" s="12"/>
      <c r="AO94" s="12"/>
      <c r="AP94" s="12"/>
      <c r="AQ94" s="12"/>
      <c r="AR94" s="12"/>
      <c r="AS94" s="12">
        <v>0.0</v>
      </c>
      <c r="AT94" s="12">
        <f t="shared" si="24"/>
        <v>24871.09</v>
      </c>
      <c r="AU94" s="18">
        <f t="shared" si="27"/>
        <v>73059.8</v>
      </c>
      <c r="AV94" s="18"/>
      <c r="AW94" s="19"/>
      <c r="AX94" s="12">
        <f t="shared" si="1"/>
        <v>24871.09</v>
      </c>
      <c r="AY94" s="12"/>
      <c r="AZ94" s="12">
        <v>8230.17</v>
      </c>
      <c r="BA94" s="18">
        <f t="shared" si="28"/>
        <v>14823.46</v>
      </c>
      <c r="BB94" s="10">
        <f t="shared" si="16"/>
        <v>226485.38</v>
      </c>
      <c r="BC94" s="16">
        <f t="shared" si="22"/>
        <v>58914.85</v>
      </c>
      <c r="BD94" s="13"/>
      <c r="BE94" s="13"/>
      <c r="BF94" s="14">
        <f t="shared" si="23"/>
        <v>2</v>
      </c>
      <c r="BG94" s="6"/>
      <c r="BH94" s="6"/>
      <c r="BI94" s="16">
        <f t="shared" si="26"/>
        <v>13778.25097</v>
      </c>
      <c r="BK94" s="15">
        <f t="shared" si="17"/>
        <v>1.805097763</v>
      </c>
      <c r="BN94" s="16">
        <f t="shared" si="14"/>
        <v>11092.83903</v>
      </c>
      <c r="BO94" s="16">
        <f t="shared" si="29"/>
        <v>-64722.70968</v>
      </c>
      <c r="BY94" s="6">
        <f t="shared" si="2"/>
        <v>2024</v>
      </c>
      <c r="BZ94" s="6" t="str">
        <f t="shared" si="3"/>
        <v>enero</v>
      </c>
      <c r="CA94" s="6" t="str">
        <f t="shared" si="4"/>
        <v>1</v>
      </c>
    </row>
    <row r="95">
      <c r="A95" s="8">
        <v>45302.0</v>
      </c>
      <c r="B95" s="22"/>
      <c r="C95" s="22"/>
      <c r="D95" s="22"/>
      <c r="E95" s="22"/>
      <c r="F95" s="22"/>
      <c r="G95" s="22"/>
      <c r="H95" s="14"/>
      <c r="I95" s="14">
        <v>22689.0</v>
      </c>
      <c r="J95" s="22">
        <v>10896.59</v>
      </c>
      <c r="K95" s="12"/>
      <c r="L95" s="12">
        <v>0.0</v>
      </c>
      <c r="M95" s="12">
        <v>0.0</v>
      </c>
      <c r="N95" s="12">
        <v>0.0</v>
      </c>
      <c r="O95" s="12">
        <f t="shared" si="25"/>
        <v>33585.59</v>
      </c>
      <c r="P95" s="12"/>
      <c r="Q95" s="12"/>
      <c r="R95" s="12"/>
      <c r="S95" s="12"/>
      <c r="T95" s="12"/>
      <c r="U95" s="12"/>
      <c r="V95" s="12">
        <v>3011.94</v>
      </c>
      <c r="W95" s="12"/>
      <c r="X95" s="12"/>
      <c r="Y95" s="12"/>
      <c r="Z95" s="12"/>
      <c r="AA95" s="12"/>
      <c r="AB95" s="12"/>
      <c r="AC95" s="12">
        <v>1285.04</v>
      </c>
      <c r="AD95" s="12"/>
      <c r="AE95" s="12"/>
      <c r="AF95" s="12"/>
      <c r="AG95" s="12"/>
      <c r="AH95" s="12"/>
      <c r="AI95" s="12"/>
      <c r="AJ95" s="12"/>
      <c r="AK95" s="12"/>
      <c r="AL95" s="12">
        <v>18606.83</v>
      </c>
      <c r="AM95" s="12"/>
      <c r="AN95" s="12"/>
      <c r="AO95" s="12"/>
      <c r="AP95" s="12"/>
      <c r="AQ95" s="12"/>
      <c r="AR95" s="12"/>
      <c r="AS95" s="12">
        <v>5588.8</v>
      </c>
      <c r="AT95" s="12">
        <f t="shared" si="24"/>
        <v>62078.2</v>
      </c>
      <c r="AU95" s="18">
        <f t="shared" si="27"/>
        <v>135138</v>
      </c>
      <c r="AV95" s="18"/>
      <c r="AW95" s="19"/>
      <c r="AX95" s="12">
        <f t="shared" si="1"/>
        <v>62078.2</v>
      </c>
      <c r="AY95" s="12"/>
      <c r="AZ95" s="12">
        <v>16609.78</v>
      </c>
      <c r="BA95" s="18">
        <f t="shared" si="28"/>
        <v>31433.24</v>
      </c>
      <c r="BB95" s="10">
        <f t="shared" si="16"/>
        <v>380843.4545</v>
      </c>
      <c r="BC95" s="16">
        <f t="shared" si="22"/>
        <v>58914.85</v>
      </c>
      <c r="BD95" s="13"/>
      <c r="BE95" s="13"/>
      <c r="BF95" s="14">
        <f t="shared" si="23"/>
        <v>2</v>
      </c>
      <c r="BG95" s="6"/>
      <c r="BH95" s="6"/>
      <c r="BI95" s="16">
        <f t="shared" si="26"/>
        <v>13778.25097</v>
      </c>
      <c r="BK95" s="15">
        <f t="shared" si="17"/>
        <v>4.505521067</v>
      </c>
      <c r="BN95" s="16">
        <f t="shared" si="14"/>
        <v>48299.94903</v>
      </c>
      <c r="BO95" s="16">
        <f t="shared" si="29"/>
        <v>-16422.76065</v>
      </c>
      <c r="BY95" s="6">
        <f t="shared" si="2"/>
        <v>2024</v>
      </c>
      <c r="BZ95" s="6" t="str">
        <f t="shared" si="3"/>
        <v>enero</v>
      </c>
      <c r="CA95" s="6" t="str">
        <f t="shared" si="4"/>
        <v>1</v>
      </c>
    </row>
    <row r="96">
      <c r="A96" s="8">
        <v>45303.0</v>
      </c>
      <c r="B96" s="23"/>
      <c r="C96" s="23"/>
      <c r="D96" s="23"/>
      <c r="E96" s="23"/>
      <c r="F96" s="23"/>
      <c r="G96" s="23"/>
      <c r="H96" s="14"/>
      <c r="I96" s="14">
        <v>844.0</v>
      </c>
      <c r="J96" s="23" t="s">
        <v>74</v>
      </c>
      <c r="K96" s="12"/>
      <c r="L96" s="12">
        <v>0.0</v>
      </c>
      <c r="M96" s="12">
        <v>0.0</v>
      </c>
      <c r="N96" s="12">
        <v>0.0</v>
      </c>
      <c r="O96" s="12">
        <f t="shared" si="25"/>
        <v>9907.07</v>
      </c>
      <c r="P96" s="12"/>
      <c r="Q96" s="12"/>
      <c r="R96" s="12"/>
      <c r="S96" s="12"/>
      <c r="T96" s="12"/>
      <c r="U96" s="12"/>
      <c r="V96" s="12">
        <v>1429.93</v>
      </c>
      <c r="W96" s="12"/>
      <c r="X96" s="12"/>
      <c r="Y96" s="12"/>
      <c r="Z96" s="12"/>
      <c r="AA96" s="12"/>
      <c r="AB96" s="12"/>
      <c r="AC96" s="12">
        <v>0.68</v>
      </c>
      <c r="AD96" s="12"/>
      <c r="AE96" s="12"/>
      <c r="AF96" s="12"/>
      <c r="AG96" s="12"/>
      <c r="AH96" s="12"/>
      <c r="AI96" s="12"/>
      <c r="AJ96" s="12"/>
      <c r="AK96" s="12"/>
      <c r="AL96" s="12">
        <v>687.87</v>
      </c>
      <c r="AM96" s="16"/>
      <c r="AN96" s="16"/>
      <c r="AO96" s="16"/>
      <c r="AP96" s="16"/>
      <c r="AQ96" s="16"/>
      <c r="AR96" s="16"/>
      <c r="AS96" s="16"/>
      <c r="AT96" s="12">
        <f t="shared" si="24"/>
        <v>12025.55</v>
      </c>
      <c r="AU96" s="18">
        <f t="shared" si="27"/>
        <v>147163.55</v>
      </c>
      <c r="AV96" s="18"/>
      <c r="AW96" s="19"/>
      <c r="AX96" s="12">
        <f t="shared" si="1"/>
        <v>12025.55</v>
      </c>
      <c r="AY96" s="12"/>
      <c r="AZ96" s="12">
        <v>0.0</v>
      </c>
      <c r="BA96" s="18">
        <f t="shared" si="28"/>
        <v>31433.24</v>
      </c>
      <c r="BB96" s="10">
        <f t="shared" si="16"/>
        <v>380172.5042</v>
      </c>
      <c r="BC96" s="16">
        <f t="shared" si="22"/>
        <v>58914.85</v>
      </c>
      <c r="BD96" s="13"/>
      <c r="BE96" s="13"/>
      <c r="BF96" s="14">
        <f t="shared" si="23"/>
        <v>2</v>
      </c>
      <c r="BG96" s="6"/>
      <c r="BH96" s="6"/>
      <c r="BI96" s="16">
        <f t="shared" si="26"/>
        <v>13778.25097</v>
      </c>
      <c r="BJ96" s="6"/>
      <c r="BK96" s="15">
        <f t="shared" si="17"/>
        <v>0.8727922019</v>
      </c>
      <c r="BN96" s="16">
        <f t="shared" si="14"/>
        <v>-1752.700968</v>
      </c>
      <c r="BO96" s="16">
        <f t="shared" si="29"/>
        <v>-18175.46161</v>
      </c>
      <c r="BY96" s="6">
        <f t="shared" si="2"/>
        <v>2024</v>
      </c>
      <c r="BZ96" s="6" t="str">
        <f t="shared" si="3"/>
        <v>enero</v>
      </c>
      <c r="CA96" s="6" t="str">
        <f t="shared" si="4"/>
        <v>1</v>
      </c>
    </row>
    <row r="97">
      <c r="A97" s="8">
        <v>45304.0</v>
      </c>
      <c r="B97" s="18"/>
      <c r="C97" s="18"/>
      <c r="D97" s="18"/>
      <c r="E97" s="18"/>
      <c r="F97" s="18"/>
      <c r="G97" s="18"/>
      <c r="H97" s="13"/>
      <c r="I97" s="13">
        <v>0.0</v>
      </c>
      <c r="J97" s="18"/>
      <c r="K97" s="12"/>
      <c r="L97" s="12">
        <v>0.0</v>
      </c>
      <c r="M97" s="12">
        <v>0.0</v>
      </c>
      <c r="N97" s="12">
        <v>0.0</v>
      </c>
      <c r="O97" s="12">
        <f t="shared" si="25"/>
        <v>0</v>
      </c>
      <c r="P97" s="12"/>
      <c r="Q97" s="12"/>
      <c r="R97" s="12"/>
      <c r="S97" s="12"/>
      <c r="T97" s="12"/>
      <c r="U97" s="12"/>
      <c r="V97" s="12">
        <v>0.0</v>
      </c>
      <c r="W97" s="12"/>
      <c r="X97" s="12"/>
      <c r="Y97" s="12"/>
      <c r="Z97" s="12"/>
      <c r="AA97" s="12"/>
      <c r="AB97" s="12"/>
      <c r="AC97" s="12">
        <v>0.0</v>
      </c>
      <c r="AD97" s="12"/>
      <c r="AE97" s="12"/>
      <c r="AF97" s="12"/>
      <c r="AG97" s="12"/>
      <c r="AH97" s="12"/>
      <c r="AI97" s="12"/>
      <c r="AJ97" s="12"/>
      <c r="AK97" s="12"/>
      <c r="AL97" s="12">
        <v>0.0</v>
      </c>
      <c r="AM97" s="12"/>
      <c r="AN97" s="12"/>
      <c r="AO97" s="12"/>
      <c r="AP97" s="12"/>
      <c r="AQ97" s="12"/>
      <c r="AR97" s="12"/>
      <c r="AS97" s="12">
        <v>0.0</v>
      </c>
      <c r="AT97" s="12">
        <f t="shared" si="24"/>
        <v>0</v>
      </c>
      <c r="AU97" s="18">
        <f t="shared" si="27"/>
        <v>147163.55</v>
      </c>
      <c r="AV97" s="18"/>
      <c r="AW97" s="19"/>
      <c r="AX97" s="12">
        <f t="shared" si="1"/>
        <v>0</v>
      </c>
      <c r="AY97" s="12"/>
      <c r="AZ97" s="12">
        <v>0.0</v>
      </c>
      <c r="BA97" s="18">
        <f t="shared" si="28"/>
        <v>31433.24</v>
      </c>
      <c r="BB97" s="10">
        <f t="shared" si="16"/>
        <v>350928.4654</v>
      </c>
      <c r="BC97" s="16">
        <f t="shared" si="22"/>
        <v>58914.85</v>
      </c>
      <c r="BD97" s="13"/>
      <c r="BE97" s="13"/>
      <c r="BF97" s="14">
        <f t="shared" si="23"/>
        <v>2</v>
      </c>
      <c r="BG97" s="6"/>
      <c r="BH97" s="6"/>
      <c r="BI97" s="16">
        <f t="shared" si="26"/>
        <v>13778.25097</v>
      </c>
      <c r="BJ97" s="6"/>
      <c r="BK97" s="15">
        <f t="shared" si="17"/>
        <v>0</v>
      </c>
      <c r="BN97" s="16">
        <f t="shared" si="14"/>
        <v>-13778.25097</v>
      </c>
      <c r="BO97" s="16">
        <f t="shared" si="29"/>
        <v>-31953.71258</v>
      </c>
      <c r="BY97" s="6">
        <f t="shared" si="2"/>
        <v>2024</v>
      </c>
      <c r="BZ97" s="6" t="str">
        <f t="shared" si="3"/>
        <v>enero</v>
      </c>
      <c r="CA97" s="6" t="str">
        <f t="shared" si="4"/>
        <v>1</v>
      </c>
    </row>
    <row r="98">
      <c r="A98" s="8">
        <v>45305.0</v>
      </c>
      <c r="B98" s="18"/>
      <c r="C98" s="18"/>
      <c r="D98" s="18"/>
      <c r="E98" s="18"/>
      <c r="F98" s="18"/>
      <c r="G98" s="18"/>
      <c r="H98" s="13"/>
      <c r="I98" s="13">
        <v>0.0</v>
      </c>
      <c r="J98" s="18"/>
      <c r="K98" s="12"/>
      <c r="L98" s="12">
        <v>0.0</v>
      </c>
      <c r="M98" s="12">
        <v>0.0</v>
      </c>
      <c r="N98" s="12">
        <v>0.0</v>
      </c>
      <c r="O98" s="12">
        <f t="shared" si="25"/>
        <v>0</v>
      </c>
      <c r="P98" s="12"/>
      <c r="Q98" s="12"/>
      <c r="R98" s="12"/>
      <c r="S98" s="12"/>
      <c r="T98" s="12"/>
      <c r="U98" s="12"/>
      <c r="V98" s="12">
        <v>0.0</v>
      </c>
      <c r="W98" s="12"/>
      <c r="X98" s="12"/>
      <c r="Y98" s="12"/>
      <c r="Z98" s="12"/>
      <c r="AA98" s="12"/>
      <c r="AB98" s="12"/>
      <c r="AC98" s="12">
        <v>0.0</v>
      </c>
      <c r="AD98" s="12"/>
      <c r="AE98" s="12"/>
      <c r="AF98" s="12"/>
      <c r="AG98" s="12"/>
      <c r="AH98" s="12"/>
      <c r="AI98" s="12"/>
      <c r="AJ98" s="12"/>
      <c r="AK98" s="12"/>
      <c r="AL98" s="12">
        <v>0.0</v>
      </c>
      <c r="AM98" s="12"/>
      <c r="AN98" s="12"/>
      <c r="AO98" s="12"/>
      <c r="AP98" s="12"/>
      <c r="AQ98" s="12"/>
      <c r="AR98" s="12"/>
      <c r="AS98" s="12">
        <v>0.0</v>
      </c>
      <c r="AT98" s="12">
        <f t="shared" si="24"/>
        <v>0</v>
      </c>
      <c r="AU98" s="18">
        <f t="shared" si="27"/>
        <v>147163.55</v>
      </c>
      <c r="AV98" s="18"/>
      <c r="AW98" s="19"/>
      <c r="AX98" s="12">
        <f t="shared" si="1"/>
        <v>0</v>
      </c>
      <c r="AY98" s="12"/>
      <c r="AZ98" s="12">
        <v>0.0</v>
      </c>
      <c r="BA98" s="18">
        <f t="shared" si="28"/>
        <v>31433.24</v>
      </c>
      <c r="BB98" s="10">
        <f t="shared" si="16"/>
        <v>325862.1464</v>
      </c>
      <c r="BC98" s="16">
        <f t="shared" si="22"/>
        <v>58914.85</v>
      </c>
      <c r="BD98" s="13"/>
      <c r="BE98" s="13"/>
      <c r="BF98" s="14">
        <f t="shared" si="23"/>
        <v>3</v>
      </c>
      <c r="BG98" s="6"/>
      <c r="BH98" s="6"/>
      <c r="BI98" s="16">
        <f t="shared" si="26"/>
        <v>13778.25097</v>
      </c>
      <c r="BJ98" s="6"/>
      <c r="BK98" s="15">
        <f t="shared" si="17"/>
        <v>0</v>
      </c>
      <c r="BN98" s="16">
        <f t="shared" si="14"/>
        <v>-13778.25097</v>
      </c>
      <c r="BO98" s="16">
        <f t="shared" si="29"/>
        <v>-45731.96355</v>
      </c>
      <c r="BY98" s="6">
        <f t="shared" si="2"/>
        <v>2024</v>
      </c>
      <c r="BZ98" s="6" t="str">
        <f t="shared" si="3"/>
        <v>enero</v>
      </c>
      <c r="CA98" s="6" t="str">
        <f t="shared" si="4"/>
        <v>1</v>
      </c>
    </row>
    <row r="99">
      <c r="A99" s="8">
        <v>45306.0</v>
      </c>
      <c r="B99" s="13"/>
      <c r="C99" s="13"/>
      <c r="D99" s="13"/>
      <c r="E99" s="13"/>
      <c r="F99" s="13"/>
      <c r="G99" s="13"/>
      <c r="H99" s="13"/>
      <c r="I99" s="13">
        <v>12645.0</v>
      </c>
      <c r="J99" s="13">
        <v>7786.18</v>
      </c>
      <c r="K99" s="12"/>
      <c r="L99" s="12">
        <v>0.0</v>
      </c>
      <c r="M99" s="12">
        <v>0.0</v>
      </c>
      <c r="N99" s="12">
        <v>0.0</v>
      </c>
      <c r="O99" s="12">
        <f t="shared" si="25"/>
        <v>20431.18</v>
      </c>
      <c r="P99" s="12"/>
      <c r="Q99" s="12"/>
      <c r="R99" s="12"/>
      <c r="S99" s="12"/>
      <c r="T99" s="12"/>
      <c r="U99" s="12"/>
      <c r="V99" s="12">
        <v>2037.77</v>
      </c>
      <c r="W99" s="12"/>
      <c r="X99" s="12"/>
      <c r="Y99" s="12"/>
      <c r="Z99" s="12"/>
      <c r="AA99" s="12"/>
      <c r="AB99" s="12"/>
      <c r="AC99" s="12">
        <v>6.53</v>
      </c>
      <c r="AD99" s="12"/>
      <c r="AE99" s="12"/>
      <c r="AF99" s="12"/>
      <c r="AG99" s="12"/>
      <c r="AH99" s="12"/>
      <c r="AI99" s="12"/>
      <c r="AJ99" s="12"/>
      <c r="AK99" s="12"/>
      <c r="AL99" s="12">
        <v>0.0</v>
      </c>
      <c r="AM99" s="12"/>
      <c r="AN99" s="12"/>
      <c r="AO99" s="12"/>
      <c r="AP99" s="12"/>
      <c r="AQ99" s="12"/>
      <c r="AR99" s="12"/>
      <c r="AS99" s="12">
        <v>3894.0</v>
      </c>
      <c r="AT99" s="12">
        <f t="shared" si="24"/>
        <v>26369.48</v>
      </c>
      <c r="AU99" s="18">
        <f t="shared" si="27"/>
        <v>173533.03</v>
      </c>
      <c r="AV99" s="18"/>
      <c r="AW99" s="19"/>
      <c r="AX99" s="12">
        <f t="shared" si="1"/>
        <v>26369.48</v>
      </c>
      <c r="AY99" s="12"/>
      <c r="AZ99" s="12">
        <v>1445.76</v>
      </c>
      <c r="BA99" s="18">
        <f t="shared" si="28"/>
        <v>32879</v>
      </c>
      <c r="BB99" s="10">
        <f t="shared" si="16"/>
        <v>358634.9287</v>
      </c>
      <c r="BC99" s="16">
        <f t="shared" si="22"/>
        <v>58914.85</v>
      </c>
      <c r="BD99" s="13"/>
      <c r="BE99" s="13"/>
      <c r="BF99" s="14">
        <f t="shared" si="23"/>
        <v>3</v>
      </c>
      <c r="BG99" s="6"/>
      <c r="BH99" s="6"/>
      <c r="BI99" s="16">
        <f t="shared" si="26"/>
        <v>13778.25097</v>
      </c>
      <c r="BK99" s="15">
        <f t="shared" si="17"/>
        <v>1.913848141</v>
      </c>
      <c r="BN99" s="16">
        <f t="shared" si="14"/>
        <v>12591.22903</v>
      </c>
      <c r="BO99" s="16">
        <f t="shared" si="29"/>
        <v>-33140.73452</v>
      </c>
      <c r="BY99" s="6">
        <f t="shared" si="2"/>
        <v>2024</v>
      </c>
      <c r="BZ99" s="6" t="str">
        <f t="shared" si="3"/>
        <v>enero</v>
      </c>
      <c r="CA99" s="6" t="str">
        <f t="shared" si="4"/>
        <v>1</v>
      </c>
    </row>
    <row r="100">
      <c r="A100" s="8">
        <v>45307.0</v>
      </c>
      <c r="B100" s="14"/>
      <c r="C100" s="14"/>
      <c r="D100" s="14"/>
      <c r="E100" s="14"/>
      <c r="F100" s="14"/>
      <c r="G100" s="14"/>
      <c r="H100" s="13"/>
      <c r="I100" s="13">
        <v>3600.0</v>
      </c>
      <c r="J100" s="14">
        <v>2280.12</v>
      </c>
      <c r="K100" s="12"/>
      <c r="L100" s="12">
        <v>0.0</v>
      </c>
      <c r="M100" s="12">
        <v>0.0</v>
      </c>
      <c r="N100" s="12">
        <v>0.0</v>
      </c>
      <c r="O100" s="12">
        <f t="shared" si="25"/>
        <v>5880.12</v>
      </c>
      <c r="P100" s="12"/>
      <c r="Q100" s="12"/>
      <c r="R100" s="12"/>
      <c r="S100" s="12"/>
      <c r="T100" s="12"/>
      <c r="U100" s="12"/>
      <c r="V100" s="12">
        <v>951.37</v>
      </c>
      <c r="W100" s="12"/>
      <c r="X100" s="12"/>
      <c r="Y100" s="12"/>
      <c r="Z100" s="12"/>
      <c r="AA100" s="12"/>
      <c r="AB100" s="12"/>
      <c r="AC100" s="12">
        <v>82.96</v>
      </c>
      <c r="AD100" s="12"/>
      <c r="AE100" s="12"/>
      <c r="AF100" s="12"/>
      <c r="AG100" s="12"/>
      <c r="AH100" s="12"/>
      <c r="AI100" s="12"/>
      <c r="AJ100" s="12"/>
      <c r="AK100" s="12"/>
      <c r="AL100" s="12">
        <v>768.49</v>
      </c>
      <c r="AM100" s="12"/>
      <c r="AN100" s="12"/>
      <c r="AO100" s="12"/>
      <c r="AP100" s="12"/>
      <c r="AQ100" s="12"/>
      <c r="AR100" s="12"/>
      <c r="AS100" s="12">
        <v>0.0</v>
      </c>
      <c r="AT100" s="12">
        <f t="shared" si="24"/>
        <v>7682.94</v>
      </c>
      <c r="AU100" s="18">
        <f t="shared" si="27"/>
        <v>181215.97</v>
      </c>
      <c r="AV100" s="18"/>
      <c r="AW100" s="19"/>
      <c r="AX100" s="12">
        <f t="shared" si="1"/>
        <v>7682.94</v>
      </c>
      <c r="AY100" s="12"/>
      <c r="AZ100" s="12">
        <v>0.0</v>
      </c>
      <c r="BA100" s="18">
        <f t="shared" si="28"/>
        <v>32879</v>
      </c>
      <c r="BB100" s="10">
        <f t="shared" si="16"/>
        <v>351105.9419</v>
      </c>
      <c r="BC100" s="16">
        <f t="shared" si="22"/>
        <v>58914.85</v>
      </c>
      <c r="BD100" s="13"/>
      <c r="BE100" s="13"/>
      <c r="BF100" s="14">
        <f t="shared" si="23"/>
        <v>3</v>
      </c>
      <c r="BG100" s="6"/>
      <c r="BH100" s="6"/>
      <c r="BI100" s="16">
        <f t="shared" si="26"/>
        <v>13778.25097</v>
      </c>
      <c r="BJ100" s="6"/>
      <c r="BK100" s="15">
        <f t="shared" si="17"/>
        <v>0.557613591</v>
      </c>
      <c r="BN100" s="16">
        <f t="shared" si="14"/>
        <v>-6095.310968</v>
      </c>
      <c r="BO100" s="16">
        <f t="shared" si="29"/>
        <v>-39236.04548</v>
      </c>
      <c r="BY100" s="6">
        <f t="shared" si="2"/>
        <v>2024</v>
      </c>
      <c r="BZ100" s="6" t="str">
        <f t="shared" si="3"/>
        <v>enero</v>
      </c>
      <c r="CA100" s="6" t="str">
        <f t="shared" si="4"/>
        <v>1</v>
      </c>
    </row>
    <row r="101">
      <c r="A101" s="8">
        <v>45308.0</v>
      </c>
      <c r="B101" s="13"/>
      <c r="C101" s="13"/>
      <c r="D101" s="13"/>
      <c r="E101" s="13"/>
      <c r="F101" s="13"/>
      <c r="G101" s="13"/>
      <c r="H101" s="13"/>
      <c r="I101" s="13">
        <v>8456.0</v>
      </c>
      <c r="J101" s="13">
        <v>3300.95</v>
      </c>
      <c r="K101" s="12"/>
      <c r="L101" s="12">
        <v>0.0</v>
      </c>
      <c r="M101" s="12">
        <v>0.0</v>
      </c>
      <c r="N101" s="12">
        <v>0.0</v>
      </c>
      <c r="O101" s="12">
        <f t="shared" si="25"/>
        <v>11756.95</v>
      </c>
      <c r="P101" s="12"/>
      <c r="Q101" s="12"/>
      <c r="R101" s="12"/>
      <c r="S101" s="12"/>
      <c r="T101" s="12"/>
      <c r="U101" s="12"/>
      <c r="V101" s="12">
        <v>1668.15</v>
      </c>
      <c r="W101" s="12"/>
      <c r="X101" s="12"/>
      <c r="Y101" s="12"/>
      <c r="Z101" s="12"/>
      <c r="AA101" s="12"/>
      <c r="AB101" s="12"/>
      <c r="AC101" s="12">
        <v>12.23</v>
      </c>
      <c r="AD101" s="12"/>
      <c r="AE101" s="12"/>
      <c r="AF101" s="12"/>
      <c r="AG101" s="12"/>
      <c r="AH101" s="12"/>
      <c r="AI101" s="12"/>
      <c r="AJ101" s="12"/>
      <c r="AK101" s="12"/>
      <c r="AL101" s="12">
        <v>868.18</v>
      </c>
      <c r="AM101" s="12"/>
      <c r="AN101" s="12"/>
      <c r="AO101" s="12"/>
      <c r="AP101" s="12"/>
      <c r="AQ101" s="12"/>
      <c r="AR101" s="12"/>
      <c r="AS101" s="12">
        <v>0.0</v>
      </c>
      <c r="AT101" s="12">
        <f t="shared" si="24"/>
        <v>14305.51</v>
      </c>
      <c r="AU101" s="18">
        <f t="shared" si="27"/>
        <v>195521.48</v>
      </c>
      <c r="AV101" s="18"/>
      <c r="AW101" s="19"/>
      <c r="AX101" s="12">
        <f t="shared" si="1"/>
        <v>14305.51</v>
      </c>
      <c r="AY101" s="12"/>
      <c r="AZ101" s="12">
        <v>1742.37</v>
      </c>
      <c r="BA101" s="18">
        <f t="shared" si="28"/>
        <v>34621.37</v>
      </c>
      <c r="BB101" s="10">
        <f t="shared" si="16"/>
        <v>356539.1694</v>
      </c>
      <c r="BC101" s="16">
        <f t="shared" si="22"/>
        <v>58914.85</v>
      </c>
      <c r="BD101" s="13"/>
      <c r="BE101" s="13"/>
      <c r="BF101" s="14">
        <f t="shared" si="23"/>
        <v>3</v>
      </c>
      <c r="BG101" s="6"/>
      <c r="BH101" s="6"/>
      <c r="BI101" s="16">
        <f t="shared" si="26"/>
        <v>13778.25097</v>
      </c>
      <c r="BK101" s="15">
        <f t="shared" si="17"/>
        <v>1.038267486</v>
      </c>
      <c r="BN101" s="16">
        <f t="shared" si="14"/>
        <v>527.2590323</v>
      </c>
      <c r="BO101" s="16">
        <f t="shared" si="29"/>
        <v>-38708.78645</v>
      </c>
      <c r="BY101" s="6">
        <f t="shared" si="2"/>
        <v>2024</v>
      </c>
      <c r="BZ101" s="6" t="str">
        <f t="shared" si="3"/>
        <v>enero</v>
      </c>
      <c r="CA101" s="6" t="str">
        <f t="shared" si="4"/>
        <v>1</v>
      </c>
    </row>
    <row r="102">
      <c r="A102" s="8">
        <v>45309.0</v>
      </c>
      <c r="B102" s="14"/>
      <c r="C102" s="14"/>
      <c r="D102" s="14"/>
      <c r="E102" s="14"/>
      <c r="F102" s="14"/>
      <c r="G102" s="14"/>
      <c r="H102" s="13"/>
      <c r="I102" s="13">
        <v>13563.0</v>
      </c>
      <c r="J102" s="14">
        <v>4430.09</v>
      </c>
      <c r="K102" s="12"/>
      <c r="L102" s="12">
        <v>0.0</v>
      </c>
      <c r="M102" s="12">
        <v>0.0</v>
      </c>
      <c r="N102" s="12">
        <v>0.0</v>
      </c>
      <c r="O102" s="12">
        <f t="shared" si="25"/>
        <v>17993.09</v>
      </c>
      <c r="P102" s="12"/>
      <c r="Q102" s="12"/>
      <c r="R102" s="12"/>
      <c r="S102" s="12"/>
      <c r="T102" s="12"/>
      <c r="U102" s="12"/>
      <c r="V102" s="12">
        <v>3599.41</v>
      </c>
      <c r="W102" s="12"/>
      <c r="X102" s="12"/>
      <c r="Y102" s="12"/>
      <c r="Z102" s="12"/>
      <c r="AA102" s="12"/>
      <c r="AB102" s="12"/>
      <c r="AC102" s="12">
        <v>32.68</v>
      </c>
      <c r="AD102" s="12"/>
      <c r="AE102" s="12"/>
      <c r="AF102" s="12"/>
      <c r="AG102" s="12"/>
      <c r="AH102" s="12"/>
      <c r="AI102" s="12"/>
      <c r="AJ102" s="12"/>
      <c r="AK102" s="12"/>
      <c r="AL102" s="12">
        <v>200.89</v>
      </c>
      <c r="AM102" s="12"/>
      <c r="AN102" s="12"/>
      <c r="AO102" s="12"/>
      <c r="AP102" s="12"/>
      <c r="AQ102" s="12"/>
      <c r="AR102" s="12"/>
      <c r="AS102" s="12">
        <v>0.0</v>
      </c>
      <c r="AT102" s="12">
        <f t="shared" si="24"/>
        <v>21826.07</v>
      </c>
      <c r="AU102" s="18">
        <f t="shared" si="27"/>
        <v>217347.55</v>
      </c>
      <c r="AV102" s="18"/>
      <c r="AW102" s="19"/>
      <c r="AX102" s="12">
        <f t="shared" si="1"/>
        <v>21826.07</v>
      </c>
      <c r="AY102" s="12"/>
      <c r="AZ102" s="12">
        <v>1302.88</v>
      </c>
      <c r="BA102" s="18">
        <f t="shared" si="28"/>
        <v>35924.25</v>
      </c>
      <c r="BB102" s="10">
        <f t="shared" si="16"/>
        <v>374320.7806</v>
      </c>
      <c r="BC102" s="16">
        <f t="shared" si="22"/>
        <v>58914.85</v>
      </c>
      <c r="BD102" s="13"/>
      <c r="BE102" s="13"/>
      <c r="BF102" s="14">
        <f t="shared" si="23"/>
        <v>3</v>
      </c>
      <c r="BG102" s="6"/>
      <c r="BH102" s="6"/>
      <c r="BI102" s="16">
        <f t="shared" si="26"/>
        <v>13778.25097</v>
      </c>
      <c r="BK102" s="15">
        <f t="shared" si="17"/>
        <v>1.584095837</v>
      </c>
      <c r="BN102" s="16">
        <f t="shared" si="14"/>
        <v>8047.819032</v>
      </c>
      <c r="BO102" s="16">
        <f t="shared" si="29"/>
        <v>-30660.96742</v>
      </c>
      <c r="BY102" s="6">
        <f t="shared" si="2"/>
        <v>2024</v>
      </c>
      <c r="BZ102" s="6" t="str">
        <f t="shared" si="3"/>
        <v>enero</v>
      </c>
      <c r="CA102" s="6" t="str">
        <f t="shared" si="4"/>
        <v>1</v>
      </c>
    </row>
    <row r="103">
      <c r="A103" s="8">
        <v>45310.0</v>
      </c>
      <c r="B103" s="13"/>
      <c r="C103" s="13"/>
      <c r="D103" s="13"/>
      <c r="E103" s="13"/>
      <c r="F103" s="13"/>
      <c r="G103" s="13"/>
      <c r="H103" s="13"/>
      <c r="I103" s="13">
        <v>14893.0</v>
      </c>
      <c r="J103" s="13">
        <v>3861.94</v>
      </c>
      <c r="K103" s="12"/>
      <c r="L103" s="12">
        <v>0.0</v>
      </c>
      <c r="M103" s="12">
        <v>0.0</v>
      </c>
      <c r="N103" s="12">
        <v>0.0</v>
      </c>
      <c r="O103" s="12">
        <f t="shared" si="25"/>
        <v>18754.94</v>
      </c>
      <c r="P103" s="12"/>
      <c r="Q103" s="12"/>
      <c r="R103" s="12"/>
      <c r="S103" s="12"/>
      <c r="T103" s="12"/>
      <c r="U103" s="12"/>
      <c r="V103" s="12">
        <v>4062.51</v>
      </c>
      <c r="W103" s="12"/>
      <c r="X103" s="12"/>
      <c r="Y103" s="12"/>
      <c r="Z103" s="12"/>
      <c r="AA103" s="12"/>
      <c r="AB103" s="12"/>
      <c r="AC103" s="12">
        <v>1036.64</v>
      </c>
      <c r="AD103" s="12"/>
      <c r="AE103" s="12"/>
      <c r="AF103" s="12"/>
      <c r="AG103" s="12"/>
      <c r="AH103" s="12"/>
      <c r="AI103" s="12"/>
      <c r="AJ103" s="12"/>
      <c r="AK103" s="12"/>
      <c r="AL103" s="12">
        <v>4417.59</v>
      </c>
      <c r="AM103" s="12"/>
      <c r="AN103" s="12"/>
      <c r="AO103" s="12"/>
      <c r="AP103" s="12"/>
      <c r="AQ103" s="12"/>
      <c r="AR103" s="12"/>
      <c r="AS103" s="12">
        <v>0.0</v>
      </c>
      <c r="AT103" s="12">
        <f t="shared" si="24"/>
        <v>28271.68</v>
      </c>
      <c r="AU103" s="18">
        <f t="shared" si="27"/>
        <v>245619.23</v>
      </c>
      <c r="AV103" s="18"/>
      <c r="AW103" s="19"/>
      <c r="AX103" s="12">
        <f t="shared" si="1"/>
        <v>28271.68</v>
      </c>
      <c r="AY103" s="12"/>
      <c r="AZ103" s="12">
        <v>3815.11</v>
      </c>
      <c r="BA103" s="18">
        <f t="shared" si="28"/>
        <v>39739.36</v>
      </c>
      <c r="BB103" s="10">
        <f t="shared" si="16"/>
        <v>400747.1647</v>
      </c>
      <c r="BC103" s="16">
        <f t="shared" si="22"/>
        <v>58914.85</v>
      </c>
      <c r="BD103" s="13"/>
      <c r="BE103" s="13"/>
      <c r="BF103" s="14">
        <f t="shared" si="23"/>
        <v>3</v>
      </c>
      <c r="BG103" s="6"/>
      <c r="BH103" s="6"/>
      <c r="BI103" s="16">
        <f t="shared" si="26"/>
        <v>13778.25097</v>
      </c>
      <c r="BK103" s="15">
        <f t="shared" si="17"/>
        <v>2.051906303</v>
      </c>
      <c r="BN103" s="16">
        <f t="shared" si="14"/>
        <v>14493.42903</v>
      </c>
      <c r="BO103" s="16">
        <f t="shared" si="29"/>
        <v>-16167.53839</v>
      </c>
      <c r="BY103" s="6">
        <f t="shared" si="2"/>
        <v>2024</v>
      </c>
      <c r="BZ103" s="6" t="str">
        <f t="shared" si="3"/>
        <v>enero</v>
      </c>
      <c r="CA103" s="6" t="str">
        <f t="shared" si="4"/>
        <v>1</v>
      </c>
    </row>
    <row r="104">
      <c r="A104" s="8">
        <v>45311.0</v>
      </c>
      <c r="B104" s="10"/>
      <c r="C104" s="10"/>
      <c r="D104" s="10"/>
      <c r="E104" s="10"/>
      <c r="F104" s="10"/>
      <c r="G104" s="10"/>
      <c r="H104" s="13"/>
      <c r="I104" s="13">
        <v>0.0</v>
      </c>
      <c r="J104" s="10">
        <v>0.0</v>
      </c>
      <c r="K104" s="12"/>
      <c r="L104" s="12">
        <v>0.0</v>
      </c>
      <c r="M104" s="12">
        <v>0.0</v>
      </c>
      <c r="N104" s="12">
        <v>0.0</v>
      </c>
      <c r="O104" s="12">
        <f t="shared" si="25"/>
        <v>0</v>
      </c>
      <c r="P104" s="12"/>
      <c r="Q104" s="12"/>
      <c r="R104" s="12"/>
      <c r="S104" s="12"/>
      <c r="T104" s="12"/>
      <c r="U104" s="12"/>
      <c r="V104" s="12">
        <v>0.0</v>
      </c>
      <c r="W104" s="12"/>
      <c r="X104" s="12"/>
      <c r="Y104" s="12"/>
      <c r="Z104" s="12"/>
      <c r="AA104" s="12"/>
      <c r="AB104" s="12"/>
      <c r="AC104" s="12">
        <v>0.0</v>
      </c>
      <c r="AD104" s="12"/>
      <c r="AE104" s="12"/>
      <c r="AF104" s="12"/>
      <c r="AG104" s="12"/>
      <c r="AH104" s="12"/>
      <c r="AI104" s="12"/>
      <c r="AJ104" s="12"/>
      <c r="AK104" s="12"/>
      <c r="AL104" s="12">
        <v>0.0</v>
      </c>
      <c r="AM104" s="12"/>
      <c r="AN104" s="12"/>
      <c r="AO104" s="12"/>
      <c r="AP104" s="12"/>
      <c r="AQ104" s="12"/>
      <c r="AR104" s="12"/>
      <c r="AS104" s="12">
        <v>0.0</v>
      </c>
      <c r="AT104" s="12">
        <f t="shared" si="24"/>
        <v>0</v>
      </c>
      <c r="AU104" s="18">
        <f t="shared" si="27"/>
        <v>245619.23</v>
      </c>
      <c r="AV104" s="18"/>
      <c r="AW104" s="19"/>
      <c r="AX104" s="12">
        <f t="shared" si="1"/>
        <v>0</v>
      </c>
      <c r="AY104" s="12"/>
      <c r="AZ104" s="12">
        <v>0.0</v>
      </c>
      <c r="BA104" s="18">
        <f t="shared" si="28"/>
        <v>39739.36</v>
      </c>
      <c r="BB104" s="10">
        <f t="shared" si="16"/>
        <v>380709.8065</v>
      </c>
      <c r="BC104" s="16">
        <f t="shared" si="22"/>
        <v>58914.85</v>
      </c>
      <c r="BD104" s="13"/>
      <c r="BE104" s="13"/>
      <c r="BF104" s="14">
        <f t="shared" si="23"/>
        <v>3</v>
      </c>
      <c r="BG104" s="6"/>
      <c r="BH104" s="6"/>
      <c r="BI104" s="16">
        <f t="shared" si="26"/>
        <v>13778.25097</v>
      </c>
      <c r="BJ104" s="6"/>
      <c r="BK104" s="15">
        <f t="shared" si="17"/>
        <v>0</v>
      </c>
      <c r="BN104" s="16">
        <f t="shared" si="14"/>
        <v>-13778.25097</v>
      </c>
      <c r="BO104" s="16">
        <f t="shared" si="29"/>
        <v>-29945.78935</v>
      </c>
      <c r="BY104" s="6">
        <f t="shared" si="2"/>
        <v>2024</v>
      </c>
      <c r="BZ104" s="6" t="str">
        <f t="shared" si="3"/>
        <v>enero</v>
      </c>
      <c r="CA104" s="6" t="str">
        <f t="shared" si="4"/>
        <v>1</v>
      </c>
    </row>
    <row r="105">
      <c r="A105" s="8">
        <v>45312.0</v>
      </c>
      <c r="B105" s="10"/>
      <c r="C105" s="10"/>
      <c r="D105" s="10"/>
      <c r="E105" s="10"/>
      <c r="F105" s="10"/>
      <c r="G105" s="10"/>
      <c r="H105" s="13"/>
      <c r="I105" s="13">
        <v>0.0</v>
      </c>
      <c r="J105" s="10">
        <v>0.0</v>
      </c>
      <c r="K105" s="12"/>
      <c r="L105" s="12">
        <v>0.0</v>
      </c>
      <c r="M105" s="12">
        <v>0.0</v>
      </c>
      <c r="N105" s="12">
        <v>0.0</v>
      </c>
      <c r="O105" s="12">
        <f t="shared" si="25"/>
        <v>0</v>
      </c>
      <c r="P105" s="12"/>
      <c r="Q105" s="12"/>
      <c r="R105" s="12"/>
      <c r="S105" s="12"/>
      <c r="T105" s="12"/>
      <c r="U105" s="12"/>
      <c r="V105" s="12">
        <v>0.0</v>
      </c>
      <c r="W105" s="12"/>
      <c r="X105" s="12"/>
      <c r="Y105" s="12"/>
      <c r="Z105" s="12"/>
      <c r="AA105" s="12"/>
      <c r="AB105" s="12"/>
      <c r="AC105" s="12">
        <v>0.0</v>
      </c>
      <c r="AD105" s="12"/>
      <c r="AE105" s="12"/>
      <c r="AF105" s="12"/>
      <c r="AG105" s="12"/>
      <c r="AH105" s="12"/>
      <c r="AI105" s="12"/>
      <c r="AJ105" s="12"/>
      <c r="AK105" s="12"/>
      <c r="AL105" s="12">
        <v>0.0</v>
      </c>
      <c r="AM105" s="12"/>
      <c r="AN105" s="12"/>
      <c r="AO105" s="12"/>
      <c r="AP105" s="12"/>
      <c r="AQ105" s="12"/>
      <c r="AR105" s="12"/>
      <c r="AS105" s="12">
        <v>0.0</v>
      </c>
      <c r="AT105" s="12">
        <f t="shared" si="24"/>
        <v>0</v>
      </c>
      <c r="AU105" s="18">
        <f t="shared" si="27"/>
        <v>245619.23</v>
      </c>
      <c r="AV105" s="18"/>
      <c r="AW105" s="19"/>
      <c r="AX105" s="12">
        <f t="shared" si="1"/>
        <v>0</v>
      </c>
      <c r="AY105" s="12"/>
      <c r="AZ105" s="12">
        <v>0.0</v>
      </c>
      <c r="BA105" s="18">
        <f t="shared" si="28"/>
        <v>39739.36</v>
      </c>
      <c r="BB105" s="10">
        <f t="shared" si="16"/>
        <v>362580.7681</v>
      </c>
      <c r="BC105" s="16">
        <f t="shared" si="22"/>
        <v>58914.85</v>
      </c>
      <c r="BD105" s="13"/>
      <c r="BE105" s="13"/>
      <c r="BF105" s="14">
        <f t="shared" si="23"/>
        <v>4</v>
      </c>
      <c r="BG105" s="6"/>
      <c r="BH105" s="6"/>
      <c r="BI105" s="16">
        <f t="shared" si="26"/>
        <v>13778.25097</v>
      </c>
      <c r="BJ105" s="6"/>
      <c r="BK105" s="15">
        <f t="shared" si="17"/>
        <v>0</v>
      </c>
      <c r="BN105" s="16">
        <f t="shared" si="14"/>
        <v>-13778.25097</v>
      </c>
      <c r="BO105" s="16">
        <f t="shared" si="29"/>
        <v>-43724.04032</v>
      </c>
      <c r="BY105" s="6">
        <f t="shared" si="2"/>
        <v>2024</v>
      </c>
      <c r="BZ105" s="6" t="str">
        <f t="shared" si="3"/>
        <v>enero</v>
      </c>
      <c r="CA105" s="6" t="str">
        <f t="shared" si="4"/>
        <v>1</v>
      </c>
    </row>
    <row r="106">
      <c r="A106" s="8">
        <v>45313.0</v>
      </c>
      <c r="B106" s="13"/>
      <c r="C106" s="13"/>
      <c r="D106" s="13"/>
      <c r="E106" s="13"/>
      <c r="F106" s="13"/>
      <c r="G106" s="13"/>
      <c r="H106" s="13"/>
      <c r="I106" s="13">
        <v>11563.0</v>
      </c>
      <c r="J106" s="13">
        <v>3964.39</v>
      </c>
      <c r="K106" s="12"/>
      <c r="L106" s="12">
        <v>0.0</v>
      </c>
      <c r="M106" s="12">
        <v>0.0</v>
      </c>
      <c r="N106" s="12">
        <v>0.0</v>
      </c>
      <c r="O106" s="12">
        <f t="shared" si="25"/>
        <v>15527.39</v>
      </c>
      <c r="P106" s="12"/>
      <c r="Q106" s="12"/>
      <c r="R106" s="12"/>
      <c r="S106" s="12"/>
      <c r="T106" s="12"/>
      <c r="U106" s="12"/>
      <c r="V106" s="12">
        <v>3052.31</v>
      </c>
      <c r="W106" s="12"/>
      <c r="X106" s="12"/>
      <c r="Y106" s="12"/>
      <c r="Z106" s="12"/>
      <c r="AA106" s="12"/>
      <c r="AB106" s="12"/>
      <c r="AC106" s="12">
        <v>1898.62</v>
      </c>
      <c r="AD106" s="12"/>
      <c r="AE106" s="12"/>
      <c r="AF106" s="12"/>
      <c r="AG106" s="12"/>
      <c r="AH106" s="12"/>
      <c r="AI106" s="12"/>
      <c r="AJ106" s="12"/>
      <c r="AK106" s="12"/>
      <c r="AL106" s="12">
        <v>418.81</v>
      </c>
      <c r="AM106" s="12"/>
      <c r="AN106" s="12"/>
      <c r="AO106" s="12"/>
      <c r="AP106" s="12"/>
      <c r="AQ106" s="12"/>
      <c r="AR106" s="12"/>
      <c r="AS106" s="12">
        <v>30621.0</v>
      </c>
      <c r="AT106" s="12">
        <f t="shared" si="24"/>
        <v>51518.13</v>
      </c>
      <c r="AU106" s="18">
        <f t="shared" si="27"/>
        <v>297137.36</v>
      </c>
      <c r="AV106" s="18"/>
      <c r="AW106" s="19"/>
      <c r="AX106" s="12">
        <f t="shared" si="1"/>
        <v>51518.13</v>
      </c>
      <c r="AY106" s="12"/>
      <c r="AZ106" s="12">
        <v>3024.68</v>
      </c>
      <c r="BA106" s="18">
        <f t="shared" si="28"/>
        <v>42764.04</v>
      </c>
      <c r="BB106" s="10">
        <f t="shared" si="16"/>
        <v>418693.5527</v>
      </c>
      <c r="BC106" s="16">
        <f t="shared" si="22"/>
        <v>58914.85</v>
      </c>
      <c r="BD106" s="13"/>
      <c r="BE106" s="13"/>
      <c r="BF106" s="14">
        <f t="shared" si="23"/>
        <v>4</v>
      </c>
      <c r="BG106" s="6"/>
      <c r="BH106" s="6"/>
      <c r="BI106" s="16">
        <f t="shared" si="26"/>
        <v>13778.25097</v>
      </c>
      <c r="BK106" s="15">
        <f t="shared" si="17"/>
        <v>3.739090696</v>
      </c>
      <c r="BN106" s="16">
        <f t="shared" si="14"/>
        <v>37739.87903</v>
      </c>
      <c r="BO106" s="16">
        <f t="shared" si="29"/>
        <v>-5984.16129</v>
      </c>
      <c r="BY106" s="6">
        <f t="shared" si="2"/>
        <v>2024</v>
      </c>
      <c r="BZ106" s="6" t="str">
        <f t="shared" si="3"/>
        <v>enero</v>
      </c>
      <c r="CA106" s="6" t="str">
        <f t="shared" si="4"/>
        <v>1</v>
      </c>
    </row>
    <row r="107">
      <c r="A107" s="8">
        <v>45314.0</v>
      </c>
      <c r="B107" s="14"/>
      <c r="C107" s="14"/>
      <c r="D107" s="14"/>
      <c r="E107" s="14"/>
      <c r="F107" s="14"/>
      <c r="G107" s="14"/>
      <c r="H107" s="13"/>
      <c r="I107" s="13">
        <v>7890.0</v>
      </c>
      <c r="J107" s="14">
        <v>3543.6</v>
      </c>
      <c r="K107" s="12"/>
      <c r="L107" s="12">
        <v>0.0</v>
      </c>
      <c r="M107" s="12">
        <v>0.0</v>
      </c>
      <c r="N107" s="12">
        <v>0.0</v>
      </c>
      <c r="O107" s="12">
        <f t="shared" si="25"/>
        <v>11433.6</v>
      </c>
      <c r="P107" s="12"/>
      <c r="Q107" s="12"/>
      <c r="R107" s="12"/>
      <c r="S107" s="12"/>
      <c r="T107" s="12"/>
      <c r="U107" s="12"/>
      <c r="V107" s="12">
        <v>1784.64</v>
      </c>
      <c r="W107" s="12"/>
      <c r="X107" s="12"/>
      <c r="Y107" s="12"/>
      <c r="Z107" s="12"/>
      <c r="AA107" s="12"/>
      <c r="AB107" s="12"/>
      <c r="AC107" s="12">
        <v>88.74</v>
      </c>
      <c r="AD107" s="12"/>
      <c r="AE107" s="12"/>
      <c r="AF107" s="12"/>
      <c r="AG107" s="12"/>
      <c r="AH107" s="12"/>
      <c r="AI107" s="12"/>
      <c r="AJ107" s="12"/>
      <c r="AK107" s="12"/>
      <c r="AL107" s="12">
        <v>0.7</v>
      </c>
      <c r="AM107" s="12"/>
      <c r="AN107" s="12"/>
      <c r="AO107" s="12"/>
      <c r="AP107" s="12"/>
      <c r="AQ107" s="12"/>
      <c r="AR107" s="12"/>
      <c r="AS107" s="12">
        <v>3550.0</v>
      </c>
      <c r="AT107" s="12">
        <f t="shared" si="24"/>
        <v>16857.68</v>
      </c>
      <c r="AU107" s="18">
        <f t="shared" si="27"/>
        <v>313995.04</v>
      </c>
      <c r="AV107" s="18"/>
      <c r="AW107" s="19"/>
      <c r="AX107" s="12">
        <f t="shared" si="1"/>
        <v>16857.68</v>
      </c>
      <c r="AY107" s="12"/>
      <c r="AZ107" s="12">
        <v>2263.18</v>
      </c>
      <c r="BA107" s="18">
        <f t="shared" si="28"/>
        <v>45027.22</v>
      </c>
      <c r="BB107" s="10">
        <f t="shared" si="16"/>
        <v>423210.7061</v>
      </c>
      <c r="BC107" s="16">
        <f t="shared" si="22"/>
        <v>58914.85</v>
      </c>
      <c r="BD107" s="13"/>
      <c r="BE107" s="13"/>
      <c r="BF107" s="14">
        <f t="shared" si="23"/>
        <v>4</v>
      </c>
      <c r="BG107" s="6"/>
      <c r="BH107" s="6"/>
      <c r="BI107" s="16">
        <f t="shared" si="26"/>
        <v>13778.25097</v>
      </c>
      <c r="BK107" s="15">
        <f t="shared" si="17"/>
        <v>1.22349927</v>
      </c>
      <c r="BN107" s="16">
        <f t="shared" si="14"/>
        <v>3079.429032</v>
      </c>
      <c r="BO107" s="16">
        <f t="shared" si="29"/>
        <v>-2904.732258</v>
      </c>
      <c r="BY107" s="6">
        <f t="shared" si="2"/>
        <v>2024</v>
      </c>
      <c r="BZ107" s="6" t="str">
        <f t="shared" si="3"/>
        <v>enero</v>
      </c>
      <c r="CA107" s="6" t="str">
        <f t="shared" si="4"/>
        <v>1</v>
      </c>
    </row>
    <row r="108">
      <c r="A108" s="8">
        <v>45315.0</v>
      </c>
      <c r="B108" s="13"/>
      <c r="C108" s="13"/>
      <c r="D108" s="13"/>
      <c r="E108" s="13"/>
      <c r="F108" s="13"/>
      <c r="G108" s="13"/>
      <c r="H108" s="13"/>
      <c r="I108" s="13">
        <v>4623.0</v>
      </c>
      <c r="J108" s="13">
        <v>3100.47</v>
      </c>
      <c r="K108" s="12"/>
      <c r="L108" s="12">
        <v>0.0</v>
      </c>
      <c r="M108" s="12">
        <v>0.0</v>
      </c>
      <c r="N108" s="12">
        <v>0.0</v>
      </c>
      <c r="O108" s="12">
        <f t="shared" si="25"/>
        <v>7723.47</v>
      </c>
      <c r="P108" s="12"/>
      <c r="Q108" s="12"/>
      <c r="R108" s="12"/>
      <c r="S108" s="12"/>
      <c r="T108" s="12"/>
      <c r="U108" s="12"/>
      <c r="V108" s="12">
        <v>1234.94</v>
      </c>
      <c r="W108" s="12"/>
      <c r="X108" s="12"/>
      <c r="Y108" s="12"/>
      <c r="Z108" s="12"/>
      <c r="AA108" s="12"/>
      <c r="AB108" s="12"/>
      <c r="AC108" s="12">
        <v>0.0</v>
      </c>
      <c r="AD108" s="12"/>
      <c r="AE108" s="12"/>
      <c r="AF108" s="12"/>
      <c r="AG108" s="12"/>
      <c r="AH108" s="12"/>
      <c r="AI108" s="12"/>
      <c r="AJ108" s="12"/>
      <c r="AK108" s="12"/>
      <c r="AL108" s="12">
        <v>3068.05</v>
      </c>
      <c r="AM108" s="12"/>
      <c r="AN108" s="12"/>
      <c r="AO108" s="12"/>
      <c r="AP108" s="12"/>
      <c r="AQ108" s="12"/>
      <c r="AR108" s="12"/>
      <c r="AS108" s="12">
        <v>0.0</v>
      </c>
      <c r="AT108" s="12">
        <f t="shared" si="24"/>
        <v>12026.46</v>
      </c>
      <c r="AU108" s="18">
        <f t="shared" si="27"/>
        <v>326021.5</v>
      </c>
      <c r="AV108" s="18"/>
      <c r="AW108" s="19"/>
      <c r="AX108" s="12">
        <f t="shared" si="1"/>
        <v>12026.46</v>
      </c>
      <c r="AY108" s="12"/>
      <c r="AZ108" s="12">
        <v>1437.49</v>
      </c>
      <c r="BA108" s="18">
        <f t="shared" si="28"/>
        <v>46464.71</v>
      </c>
      <c r="BB108" s="10">
        <f t="shared" si="16"/>
        <v>421111.1042</v>
      </c>
      <c r="BC108" s="16">
        <f t="shared" si="22"/>
        <v>58914.85</v>
      </c>
      <c r="BD108" s="13"/>
      <c r="BE108" s="13"/>
      <c r="BF108" s="14">
        <f t="shared" si="23"/>
        <v>4</v>
      </c>
      <c r="BG108" s="6"/>
      <c r="BH108" s="6"/>
      <c r="BI108" s="16">
        <f t="shared" si="26"/>
        <v>13778.25097</v>
      </c>
      <c r="BJ108" s="6"/>
      <c r="BK108" s="15">
        <f t="shared" si="17"/>
        <v>0.872858248</v>
      </c>
      <c r="BN108" s="16">
        <f t="shared" si="14"/>
        <v>-1751.790968</v>
      </c>
      <c r="BO108" s="16">
        <f t="shared" si="29"/>
        <v>-4656.523226</v>
      </c>
      <c r="BY108" s="6">
        <f t="shared" si="2"/>
        <v>2024</v>
      </c>
      <c r="BZ108" s="6" t="str">
        <f t="shared" si="3"/>
        <v>enero</v>
      </c>
      <c r="CA108" s="6" t="str">
        <f t="shared" si="4"/>
        <v>1</v>
      </c>
    </row>
    <row r="109">
      <c r="A109" s="8">
        <v>45316.0</v>
      </c>
      <c r="B109" s="13"/>
      <c r="C109" s="13"/>
      <c r="D109" s="13"/>
      <c r="E109" s="13"/>
      <c r="F109" s="13"/>
      <c r="G109" s="13"/>
      <c r="H109" s="13"/>
      <c r="I109" s="13">
        <v>1365.0</v>
      </c>
      <c r="J109" s="13">
        <v>2351.56</v>
      </c>
      <c r="K109" s="12"/>
      <c r="L109" s="12">
        <v>0.0</v>
      </c>
      <c r="M109" s="12">
        <v>0.0</v>
      </c>
      <c r="N109" s="12">
        <v>0.0</v>
      </c>
      <c r="O109" s="12">
        <f t="shared" si="25"/>
        <v>3716.56</v>
      </c>
      <c r="P109" s="12"/>
      <c r="Q109" s="12"/>
      <c r="R109" s="12"/>
      <c r="S109" s="12"/>
      <c r="T109" s="12"/>
      <c r="U109" s="12"/>
      <c r="V109" s="12">
        <v>949.77</v>
      </c>
      <c r="W109" s="12"/>
      <c r="X109" s="12"/>
      <c r="Y109" s="12"/>
      <c r="Z109" s="12"/>
      <c r="AA109" s="12"/>
      <c r="AB109" s="12"/>
      <c r="AC109" s="12">
        <v>5900.47</v>
      </c>
      <c r="AD109" s="12"/>
      <c r="AE109" s="12"/>
      <c r="AF109" s="12"/>
      <c r="AG109" s="12"/>
      <c r="AH109" s="12"/>
      <c r="AI109" s="12"/>
      <c r="AJ109" s="12"/>
      <c r="AK109" s="12"/>
      <c r="AL109" s="12">
        <v>702.88</v>
      </c>
      <c r="AM109" s="12"/>
      <c r="AN109" s="12"/>
      <c r="AO109" s="12"/>
      <c r="AP109" s="12"/>
      <c r="AQ109" s="12"/>
      <c r="AR109" s="12"/>
      <c r="AS109" s="12">
        <v>1537.0</v>
      </c>
      <c r="AT109" s="12">
        <f t="shared" si="24"/>
        <v>12806.68</v>
      </c>
      <c r="AU109" s="18">
        <f t="shared" si="27"/>
        <v>338828.18</v>
      </c>
      <c r="AV109" s="18"/>
      <c r="AW109" s="19"/>
      <c r="AX109" s="12">
        <f t="shared" si="1"/>
        <v>12806.68</v>
      </c>
      <c r="AY109" s="12"/>
      <c r="AZ109" s="12">
        <v>1615.12</v>
      </c>
      <c r="BA109" s="18">
        <f t="shared" si="28"/>
        <v>48079.83</v>
      </c>
      <c r="BB109" s="10">
        <f t="shared" si="16"/>
        <v>420146.9432</v>
      </c>
      <c r="BC109" s="16">
        <f t="shared" si="22"/>
        <v>58914.85</v>
      </c>
      <c r="BD109" s="13"/>
      <c r="BE109" s="13"/>
      <c r="BF109" s="14">
        <f t="shared" si="23"/>
        <v>4</v>
      </c>
      <c r="BG109" s="6"/>
      <c r="BH109" s="6"/>
      <c r="BI109" s="16">
        <f t="shared" si="26"/>
        <v>13778.25097</v>
      </c>
      <c r="BJ109" s="6"/>
      <c r="BK109" s="15">
        <f t="shared" si="17"/>
        <v>0.9294851741</v>
      </c>
      <c r="BN109" s="16">
        <f t="shared" si="14"/>
        <v>-971.5709677</v>
      </c>
      <c r="BO109" s="16">
        <f t="shared" si="29"/>
        <v>-5628.094194</v>
      </c>
      <c r="BY109" s="6">
        <f t="shared" si="2"/>
        <v>2024</v>
      </c>
      <c r="BZ109" s="6" t="str">
        <f t="shared" si="3"/>
        <v>enero</v>
      </c>
      <c r="CA109" s="6" t="str">
        <f t="shared" si="4"/>
        <v>1</v>
      </c>
    </row>
    <row r="110">
      <c r="A110" s="8">
        <v>45317.0</v>
      </c>
      <c r="B110" s="10"/>
      <c r="C110" s="10"/>
      <c r="D110" s="10"/>
      <c r="E110" s="10"/>
      <c r="F110" s="10"/>
      <c r="G110" s="10"/>
      <c r="H110" s="13"/>
      <c r="I110" s="13">
        <v>0.0</v>
      </c>
      <c r="J110" s="10">
        <v>0.0</v>
      </c>
      <c r="K110" s="12"/>
      <c r="L110" s="12">
        <v>0.0</v>
      </c>
      <c r="M110" s="12">
        <v>0.0</v>
      </c>
      <c r="N110" s="12">
        <v>0.0</v>
      </c>
      <c r="O110" s="12">
        <f t="shared" si="25"/>
        <v>0</v>
      </c>
      <c r="P110" s="12"/>
      <c r="Q110" s="12"/>
      <c r="R110" s="12"/>
      <c r="S110" s="12"/>
      <c r="T110" s="12"/>
      <c r="U110" s="12"/>
      <c r="V110" s="12">
        <v>0.0</v>
      </c>
      <c r="W110" s="12"/>
      <c r="X110" s="12"/>
      <c r="Y110" s="12"/>
      <c r="Z110" s="12"/>
      <c r="AA110" s="12"/>
      <c r="AB110" s="12"/>
      <c r="AC110" s="12">
        <v>2450.0</v>
      </c>
      <c r="AD110" s="12"/>
      <c r="AE110" s="12"/>
      <c r="AF110" s="12"/>
      <c r="AG110" s="12"/>
      <c r="AH110" s="12"/>
      <c r="AI110" s="12"/>
      <c r="AJ110" s="12"/>
      <c r="AK110" s="12"/>
      <c r="AL110" s="12">
        <v>0.0</v>
      </c>
      <c r="AM110" s="12"/>
      <c r="AN110" s="12"/>
      <c r="AO110" s="12"/>
      <c r="AP110" s="12"/>
      <c r="AQ110" s="12"/>
      <c r="AR110" s="12"/>
      <c r="AS110" s="12">
        <v>13856.0</v>
      </c>
      <c r="AT110" s="12">
        <f t="shared" si="24"/>
        <v>16306</v>
      </c>
      <c r="AU110" s="18">
        <f t="shared" si="27"/>
        <v>355134.18</v>
      </c>
      <c r="AV110" s="18"/>
      <c r="AW110" s="18"/>
      <c r="AX110" s="12">
        <f t="shared" si="1"/>
        <v>16306</v>
      </c>
      <c r="AY110" s="12"/>
      <c r="AZ110" s="12">
        <v>0.0</v>
      </c>
      <c r="BA110" s="18">
        <f t="shared" si="28"/>
        <v>48079.83</v>
      </c>
      <c r="BB110" s="10">
        <f t="shared" si="16"/>
        <v>423429.2146</v>
      </c>
      <c r="BC110" s="16">
        <f t="shared" si="22"/>
        <v>58914.85</v>
      </c>
      <c r="BD110" s="13"/>
      <c r="BE110" s="13"/>
      <c r="BF110" s="14">
        <f t="shared" si="23"/>
        <v>4</v>
      </c>
      <c r="BG110" s="6"/>
      <c r="BH110" s="6"/>
      <c r="BI110" s="16">
        <f t="shared" si="26"/>
        <v>13778.25097</v>
      </c>
      <c r="BK110" s="15">
        <f t="shared" si="17"/>
        <v>1.183459355</v>
      </c>
      <c r="BN110" s="16">
        <f t="shared" si="14"/>
        <v>2527.749032</v>
      </c>
      <c r="BO110" s="16">
        <f t="shared" si="29"/>
        <v>-3100.345161</v>
      </c>
      <c r="BY110" s="6">
        <f t="shared" si="2"/>
        <v>2024</v>
      </c>
      <c r="BZ110" s="6" t="str">
        <f t="shared" si="3"/>
        <v>enero</v>
      </c>
      <c r="CA110" s="6" t="str">
        <f t="shared" si="4"/>
        <v>1</v>
      </c>
    </row>
    <row r="111">
      <c r="A111" s="8">
        <v>45318.0</v>
      </c>
      <c r="B111" s="10"/>
      <c r="C111" s="10"/>
      <c r="D111" s="10"/>
      <c r="E111" s="10"/>
      <c r="F111" s="10"/>
      <c r="G111" s="10"/>
      <c r="H111" s="13"/>
      <c r="I111" s="13">
        <v>0.0</v>
      </c>
      <c r="J111" s="10">
        <v>0.0</v>
      </c>
      <c r="K111" s="12"/>
      <c r="L111" s="12">
        <v>0.0</v>
      </c>
      <c r="M111" s="12">
        <v>0.0</v>
      </c>
      <c r="N111" s="12">
        <v>0.0</v>
      </c>
      <c r="O111" s="12">
        <f t="shared" si="25"/>
        <v>0</v>
      </c>
      <c r="P111" s="12"/>
      <c r="Q111" s="12"/>
      <c r="R111" s="12"/>
      <c r="S111" s="12"/>
      <c r="T111" s="12"/>
      <c r="U111" s="12"/>
      <c r="V111" s="12">
        <v>0.0</v>
      </c>
      <c r="W111" s="12"/>
      <c r="X111" s="12"/>
      <c r="Y111" s="12"/>
      <c r="Z111" s="12"/>
      <c r="AA111" s="12"/>
      <c r="AB111" s="12"/>
      <c r="AC111" s="12">
        <v>0.0</v>
      </c>
      <c r="AD111" s="12"/>
      <c r="AE111" s="12"/>
      <c r="AF111" s="12"/>
      <c r="AG111" s="12"/>
      <c r="AH111" s="12"/>
      <c r="AI111" s="12"/>
      <c r="AJ111" s="12"/>
      <c r="AK111" s="12"/>
      <c r="AL111" s="12">
        <v>0.0</v>
      </c>
      <c r="AM111" s="12"/>
      <c r="AN111" s="12"/>
      <c r="AO111" s="12"/>
      <c r="AP111" s="12"/>
      <c r="AQ111" s="12"/>
      <c r="AR111" s="12"/>
      <c r="AS111" s="12">
        <v>0.0</v>
      </c>
      <c r="AT111" s="12">
        <f t="shared" si="24"/>
        <v>0</v>
      </c>
      <c r="AU111" s="18">
        <f t="shared" si="27"/>
        <v>355134.18</v>
      </c>
      <c r="AV111" s="18"/>
      <c r="AW111" s="18"/>
      <c r="AX111" s="12">
        <f t="shared" si="1"/>
        <v>0</v>
      </c>
      <c r="AY111" s="12"/>
      <c r="AZ111" s="12">
        <v>0.0</v>
      </c>
      <c r="BA111" s="18">
        <f t="shared" si="28"/>
        <v>48079.83</v>
      </c>
      <c r="BB111" s="10">
        <f t="shared" si="16"/>
        <v>407746.6511</v>
      </c>
      <c r="BC111" s="16">
        <f t="shared" si="22"/>
        <v>58914.85</v>
      </c>
      <c r="BD111" s="13"/>
      <c r="BE111" s="13"/>
      <c r="BF111" s="14">
        <f t="shared" si="23"/>
        <v>4</v>
      </c>
      <c r="BG111" s="6"/>
      <c r="BH111" s="6"/>
      <c r="BI111" s="16">
        <f t="shared" si="26"/>
        <v>13778.25097</v>
      </c>
      <c r="BJ111" s="6"/>
      <c r="BK111" s="15">
        <f t="shared" si="17"/>
        <v>0</v>
      </c>
      <c r="BN111" s="16">
        <f t="shared" si="14"/>
        <v>-13778.25097</v>
      </c>
      <c r="BO111" s="16">
        <f t="shared" si="29"/>
        <v>-16878.59613</v>
      </c>
      <c r="BY111" s="6">
        <f t="shared" si="2"/>
        <v>2024</v>
      </c>
      <c r="BZ111" s="6" t="str">
        <f t="shared" si="3"/>
        <v>enero</v>
      </c>
      <c r="CA111" s="6" t="str">
        <f t="shared" si="4"/>
        <v>1</v>
      </c>
    </row>
    <row r="112">
      <c r="A112" s="8">
        <v>45319.0</v>
      </c>
      <c r="B112" s="10"/>
      <c r="C112" s="10"/>
      <c r="D112" s="10"/>
      <c r="E112" s="10"/>
      <c r="F112" s="10"/>
      <c r="G112" s="10"/>
      <c r="H112" s="13"/>
      <c r="I112" s="13">
        <v>0.0</v>
      </c>
      <c r="J112" s="10">
        <v>0.0</v>
      </c>
      <c r="K112" s="12"/>
      <c r="L112" s="12">
        <v>0.0</v>
      </c>
      <c r="M112" s="12">
        <v>0.0</v>
      </c>
      <c r="N112" s="12">
        <v>0.0</v>
      </c>
      <c r="O112" s="12">
        <f t="shared" si="25"/>
        <v>0</v>
      </c>
      <c r="P112" s="12"/>
      <c r="Q112" s="12"/>
      <c r="R112" s="12"/>
      <c r="S112" s="12"/>
      <c r="T112" s="12"/>
      <c r="U112" s="12"/>
      <c r="V112" s="12">
        <v>0.0</v>
      </c>
      <c r="W112" s="12"/>
      <c r="X112" s="12"/>
      <c r="Y112" s="12"/>
      <c r="Z112" s="12"/>
      <c r="AA112" s="12"/>
      <c r="AB112" s="12"/>
      <c r="AC112" s="12">
        <v>0.0</v>
      </c>
      <c r="AD112" s="12"/>
      <c r="AE112" s="12"/>
      <c r="AF112" s="12"/>
      <c r="AG112" s="12"/>
      <c r="AH112" s="12"/>
      <c r="AI112" s="12"/>
      <c r="AJ112" s="12"/>
      <c r="AK112" s="12"/>
      <c r="AL112" s="12">
        <v>0.0</v>
      </c>
      <c r="AM112" s="12"/>
      <c r="AN112" s="12"/>
      <c r="AO112" s="12"/>
      <c r="AP112" s="12"/>
      <c r="AQ112" s="12"/>
      <c r="AR112" s="12"/>
      <c r="AS112" s="12">
        <v>0.0</v>
      </c>
      <c r="AT112" s="12">
        <f t="shared" si="24"/>
        <v>0</v>
      </c>
      <c r="AU112" s="18">
        <f t="shared" si="27"/>
        <v>355134.18</v>
      </c>
      <c r="AV112" s="18"/>
      <c r="AW112" s="18"/>
      <c r="AX112" s="12">
        <f t="shared" si="1"/>
        <v>0</v>
      </c>
      <c r="AY112" s="12"/>
      <c r="AZ112" s="12">
        <v>0.0</v>
      </c>
      <c r="BA112" s="18">
        <f t="shared" si="28"/>
        <v>48079.83</v>
      </c>
      <c r="BB112" s="10">
        <f t="shared" si="16"/>
        <v>393184.2707</v>
      </c>
      <c r="BC112" s="16">
        <f t="shared" si="22"/>
        <v>58914.85</v>
      </c>
      <c r="BD112" s="13"/>
      <c r="BE112" s="13"/>
      <c r="BF112" s="14">
        <f t="shared" si="23"/>
        <v>5</v>
      </c>
      <c r="BG112" s="6"/>
      <c r="BH112" s="6"/>
      <c r="BI112" s="16">
        <f t="shared" si="26"/>
        <v>13778.25097</v>
      </c>
      <c r="BJ112" s="6"/>
      <c r="BK112" s="15">
        <f t="shared" si="17"/>
        <v>0</v>
      </c>
      <c r="BN112" s="16">
        <f t="shared" si="14"/>
        <v>-13778.25097</v>
      </c>
      <c r="BO112" s="16">
        <f t="shared" si="29"/>
        <v>-30656.8471</v>
      </c>
      <c r="BY112" s="6">
        <f t="shared" si="2"/>
        <v>2024</v>
      </c>
      <c r="BZ112" s="6" t="str">
        <f t="shared" si="3"/>
        <v>enero</v>
      </c>
      <c r="CA112" s="6" t="str">
        <f t="shared" si="4"/>
        <v>1</v>
      </c>
    </row>
    <row r="113">
      <c r="A113" s="8">
        <v>45320.0</v>
      </c>
      <c r="B113" s="13"/>
      <c r="C113" s="13"/>
      <c r="D113" s="13"/>
      <c r="E113" s="13"/>
      <c r="F113" s="13"/>
      <c r="G113" s="13"/>
      <c r="H113" s="13"/>
      <c r="I113" s="13">
        <v>3896.0</v>
      </c>
      <c r="J113" s="13">
        <v>2747.25</v>
      </c>
      <c r="K113" s="12"/>
      <c r="L113" s="12">
        <v>0.0</v>
      </c>
      <c r="M113" s="12">
        <v>0.0</v>
      </c>
      <c r="N113" s="12">
        <v>0.0</v>
      </c>
      <c r="O113" s="12">
        <f t="shared" si="25"/>
        <v>6643.25</v>
      </c>
      <c r="P113" s="12"/>
      <c r="Q113" s="12"/>
      <c r="R113" s="12"/>
      <c r="S113" s="12"/>
      <c r="T113" s="12"/>
      <c r="U113" s="12"/>
      <c r="V113" s="12">
        <v>1651.5</v>
      </c>
      <c r="W113" s="12"/>
      <c r="X113" s="12"/>
      <c r="Y113" s="12"/>
      <c r="Z113" s="12"/>
      <c r="AA113" s="12"/>
      <c r="AB113" s="12"/>
      <c r="AC113" s="12">
        <v>1110.2</v>
      </c>
      <c r="AD113" s="12"/>
      <c r="AE113" s="12"/>
      <c r="AF113" s="12"/>
      <c r="AG113" s="12"/>
      <c r="AH113" s="12"/>
      <c r="AI113" s="12"/>
      <c r="AJ113" s="12"/>
      <c r="AK113" s="12"/>
      <c r="AL113" s="12">
        <v>0.0</v>
      </c>
      <c r="AM113" s="12"/>
      <c r="AN113" s="12"/>
      <c r="AO113" s="12"/>
      <c r="AP113" s="12"/>
      <c r="AQ113" s="12"/>
      <c r="AR113" s="12"/>
      <c r="AS113" s="12">
        <v>0.0</v>
      </c>
      <c r="AT113" s="12">
        <f t="shared" si="24"/>
        <v>9404.95</v>
      </c>
      <c r="AU113" s="18">
        <f t="shared" si="27"/>
        <v>364539.13</v>
      </c>
      <c r="AV113" s="18"/>
      <c r="AW113" s="18"/>
      <c r="AX113" s="12">
        <f t="shared" si="1"/>
        <v>9404.95</v>
      </c>
      <c r="AY113" s="12"/>
      <c r="AZ113" s="12">
        <v>0.0</v>
      </c>
      <c r="BA113" s="18">
        <f t="shared" si="28"/>
        <v>48079.83</v>
      </c>
      <c r="BB113" s="10">
        <f t="shared" si="16"/>
        <v>389679.7597</v>
      </c>
      <c r="BC113" s="16">
        <f t="shared" si="22"/>
        <v>58914.85</v>
      </c>
      <c r="BD113" s="16"/>
      <c r="BE113" s="16"/>
      <c r="BF113" s="6"/>
      <c r="BG113" s="6"/>
      <c r="BH113" s="6"/>
      <c r="BI113" s="16">
        <f t="shared" si="26"/>
        <v>13778.25097</v>
      </c>
      <c r="BJ113" s="6"/>
      <c r="BK113" s="15">
        <f t="shared" si="17"/>
        <v>0.6825938954</v>
      </c>
      <c r="BN113" s="16">
        <f t="shared" si="14"/>
        <v>-4373.300968</v>
      </c>
      <c r="BO113" s="16">
        <f t="shared" si="29"/>
        <v>-35030.14806</v>
      </c>
      <c r="BY113" s="6">
        <f t="shared" si="2"/>
        <v>2024</v>
      </c>
      <c r="BZ113" s="6" t="str">
        <f t="shared" si="3"/>
        <v>enero</v>
      </c>
      <c r="CA113" s="6" t="str">
        <f t="shared" si="4"/>
        <v>1</v>
      </c>
    </row>
    <row r="114">
      <c r="A114" s="8">
        <v>45321.0</v>
      </c>
      <c r="B114" s="13"/>
      <c r="C114" s="13"/>
      <c r="D114" s="13"/>
      <c r="E114" s="13"/>
      <c r="F114" s="13"/>
      <c r="G114" s="13"/>
      <c r="H114" s="13"/>
      <c r="I114" s="13">
        <v>6432.0</v>
      </c>
      <c r="J114" s="13">
        <v>3587.99</v>
      </c>
      <c r="K114" s="12"/>
      <c r="L114" s="12">
        <v>0.0</v>
      </c>
      <c r="M114" s="12">
        <v>0.0</v>
      </c>
      <c r="N114" s="12">
        <v>0.0</v>
      </c>
      <c r="O114" s="12">
        <f t="shared" si="25"/>
        <v>10019.99</v>
      </c>
      <c r="P114" s="12"/>
      <c r="Q114" s="12"/>
      <c r="R114" s="12"/>
      <c r="S114" s="12"/>
      <c r="T114" s="12"/>
      <c r="U114" s="12"/>
      <c r="V114" s="12">
        <v>1904.77</v>
      </c>
      <c r="W114" s="12"/>
      <c r="X114" s="12"/>
      <c r="Y114" s="12"/>
      <c r="Z114" s="12"/>
      <c r="AA114" s="12"/>
      <c r="AB114" s="12"/>
      <c r="AC114" s="12">
        <v>962.48</v>
      </c>
      <c r="AD114" s="12"/>
      <c r="AE114" s="12"/>
      <c r="AF114" s="12"/>
      <c r="AG114" s="12"/>
      <c r="AH114" s="12"/>
      <c r="AI114" s="12"/>
      <c r="AJ114" s="12"/>
      <c r="AK114" s="12"/>
      <c r="AL114" s="12">
        <v>481.13</v>
      </c>
      <c r="AM114" s="12"/>
      <c r="AN114" s="12"/>
      <c r="AO114" s="12"/>
      <c r="AP114" s="12"/>
      <c r="AQ114" s="12"/>
      <c r="AR114" s="12"/>
      <c r="AS114" s="12">
        <v>0.0</v>
      </c>
      <c r="AT114" s="12">
        <f t="shared" si="24"/>
        <v>13368.37</v>
      </c>
      <c r="AU114" s="18">
        <f t="shared" si="27"/>
        <v>377907.5</v>
      </c>
      <c r="AV114" s="18"/>
      <c r="AW114" s="18"/>
      <c r="AX114" s="12">
        <f t="shared" si="1"/>
        <v>13368.37</v>
      </c>
      <c r="AY114" s="12"/>
      <c r="AZ114" s="12">
        <v>1220.44</v>
      </c>
      <c r="BA114" s="18">
        <f t="shared" si="28"/>
        <v>49300.27</v>
      </c>
      <c r="BB114" s="10">
        <f t="shared" si="16"/>
        <v>390504.4167</v>
      </c>
      <c r="BC114" s="16">
        <f t="shared" si="22"/>
        <v>58914.85</v>
      </c>
      <c r="BD114" s="16"/>
      <c r="BE114" s="16"/>
      <c r="BF114" s="6"/>
      <c r="BG114" s="6"/>
      <c r="BH114" s="6"/>
      <c r="BI114" s="16">
        <f t="shared" si="26"/>
        <v>13778.25097</v>
      </c>
      <c r="BJ114" s="6"/>
      <c r="BK114" s="15">
        <f t="shared" si="17"/>
        <v>0.9702515966</v>
      </c>
      <c r="BN114" s="16">
        <f t="shared" si="14"/>
        <v>-409.8809677</v>
      </c>
      <c r="BO114" s="16">
        <f t="shared" si="29"/>
        <v>-35440.02903</v>
      </c>
      <c r="BY114" s="6">
        <f t="shared" si="2"/>
        <v>2024</v>
      </c>
      <c r="BZ114" s="6" t="str">
        <f t="shared" si="3"/>
        <v>enero</v>
      </c>
      <c r="CA114" s="6" t="str">
        <f t="shared" si="4"/>
        <v>1</v>
      </c>
    </row>
    <row r="115">
      <c r="A115" s="8">
        <v>45322.0</v>
      </c>
      <c r="B115" s="14"/>
      <c r="C115" s="14"/>
      <c r="D115" s="14"/>
      <c r="E115" s="14"/>
      <c r="F115" s="14"/>
      <c r="G115" s="14"/>
      <c r="H115" s="13"/>
      <c r="I115" s="13">
        <v>25798.0</v>
      </c>
      <c r="J115" s="14">
        <v>7135.5</v>
      </c>
      <c r="K115" s="12"/>
      <c r="L115" s="12">
        <v>0.0</v>
      </c>
      <c r="M115" s="12">
        <v>0.0</v>
      </c>
      <c r="N115" s="12">
        <v>0.0</v>
      </c>
      <c r="O115" s="12">
        <f t="shared" si="25"/>
        <v>32933.5</v>
      </c>
      <c r="P115" s="12"/>
      <c r="Q115" s="12"/>
      <c r="R115" s="12"/>
      <c r="S115" s="12"/>
      <c r="T115" s="12"/>
      <c r="U115" s="12"/>
      <c r="V115" s="12">
        <v>6859.99</v>
      </c>
      <c r="W115" s="12"/>
      <c r="X115" s="12"/>
      <c r="Y115" s="12"/>
      <c r="Z115" s="12"/>
      <c r="AA115" s="12"/>
      <c r="AB115" s="12"/>
      <c r="AC115" s="12">
        <v>2507.81</v>
      </c>
      <c r="AD115" s="12"/>
      <c r="AE115" s="12"/>
      <c r="AF115" s="12"/>
      <c r="AG115" s="12"/>
      <c r="AH115" s="12"/>
      <c r="AI115" s="12"/>
      <c r="AJ115" s="12"/>
      <c r="AK115" s="12"/>
      <c r="AL115" s="12">
        <v>2784.82</v>
      </c>
      <c r="AM115" s="12"/>
      <c r="AN115" s="12"/>
      <c r="AO115" s="12"/>
      <c r="AP115" s="12"/>
      <c r="AQ115" s="12"/>
      <c r="AR115" s="12"/>
      <c r="AS115" s="12">
        <v>23098.0</v>
      </c>
      <c r="AT115" s="12">
        <f t="shared" si="24"/>
        <v>68184.12</v>
      </c>
      <c r="AU115" s="18">
        <f t="shared" si="27"/>
        <v>446091.62</v>
      </c>
      <c r="AV115" s="18"/>
      <c r="AW115" s="18"/>
      <c r="AX115" s="12">
        <f t="shared" si="1"/>
        <v>68184.12</v>
      </c>
      <c r="AY115" s="12"/>
      <c r="AZ115" s="12">
        <v>15331.76</v>
      </c>
      <c r="BA115" s="18">
        <f t="shared" si="28"/>
        <v>64632.03</v>
      </c>
      <c r="BB115" s="10">
        <f t="shared" si="16"/>
        <v>446091.62</v>
      </c>
      <c r="BC115" s="16">
        <f t="shared" si="22"/>
        <v>58914.85</v>
      </c>
      <c r="BD115" s="16"/>
      <c r="BE115" s="16"/>
      <c r="BF115" s="6"/>
      <c r="BG115" s="6"/>
      <c r="BH115" s="6"/>
      <c r="BI115" s="16">
        <f t="shared" si="26"/>
        <v>13778.25097</v>
      </c>
      <c r="BK115" s="15">
        <f t="shared" si="17"/>
        <v>4.94867746</v>
      </c>
      <c r="BN115" s="16">
        <f t="shared" si="14"/>
        <v>54405.86903</v>
      </c>
      <c r="BO115" s="16">
        <f t="shared" si="29"/>
        <v>18965.84</v>
      </c>
      <c r="BY115" s="6">
        <f t="shared" si="2"/>
        <v>2024</v>
      </c>
      <c r="BZ115" s="6" t="str">
        <f t="shared" si="3"/>
        <v>enero</v>
      </c>
      <c r="CA115" s="6" t="str">
        <f t="shared" si="4"/>
        <v>1</v>
      </c>
    </row>
    <row r="116">
      <c r="A116" s="8">
        <v>45323.0</v>
      </c>
      <c r="B116" s="24"/>
      <c r="C116" s="24"/>
      <c r="D116" s="24"/>
      <c r="E116" s="24"/>
      <c r="F116" s="24"/>
      <c r="G116" s="24"/>
      <c r="H116" s="24"/>
      <c r="I116" s="24">
        <v>7800.0</v>
      </c>
      <c r="J116" s="24">
        <v>6500.0</v>
      </c>
      <c r="K116" s="24"/>
      <c r="L116" s="24">
        <v>0.0</v>
      </c>
      <c r="M116" s="24">
        <v>0.0</v>
      </c>
      <c r="N116" s="24">
        <v>0.0</v>
      </c>
      <c r="O116" s="25">
        <f t="shared" ref="O116:O141" si="30">IF(I116="","",SUM(C116:N116))</f>
        <v>14300</v>
      </c>
      <c r="P116" s="25"/>
      <c r="Q116" s="25"/>
      <c r="R116" s="25"/>
      <c r="S116" s="25"/>
      <c r="T116" s="25"/>
      <c r="U116" s="25"/>
      <c r="V116" s="25">
        <v>2500.0</v>
      </c>
      <c r="W116" s="25"/>
      <c r="X116" s="25"/>
      <c r="Y116" s="25"/>
      <c r="Z116" s="25"/>
      <c r="AA116" s="25"/>
      <c r="AB116" s="25"/>
      <c r="AC116" s="25">
        <v>80.0</v>
      </c>
      <c r="AD116" s="25"/>
      <c r="AE116" s="25"/>
      <c r="AF116" s="25"/>
      <c r="AG116" s="25"/>
      <c r="AH116" s="25"/>
      <c r="AI116" s="25"/>
      <c r="AJ116" s="25"/>
      <c r="AK116" s="25"/>
      <c r="AL116" s="25">
        <v>150.0</v>
      </c>
      <c r="AM116" s="26"/>
      <c r="AN116" s="26"/>
      <c r="AO116" s="26"/>
      <c r="AP116" s="26"/>
      <c r="AQ116" s="26"/>
      <c r="AR116" s="26"/>
      <c r="AS116" s="26"/>
      <c r="AT116" s="12">
        <f t="shared" si="24"/>
        <v>17030</v>
      </c>
      <c r="AU116" s="18">
        <f>IF(AT116="","",+AT116)</f>
        <v>17030</v>
      </c>
      <c r="AV116" s="18"/>
      <c r="AW116" s="18"/>
      <c r="AX116" s="12">
        <f t="shared" si="1"/>
        <v>17030</v>
      </c>
      <c r="AY116" s="27"/>
      <c r="AZ116" s="27">
        <v>1500.0</v>
      </c>
      <c r="BA116" s="28">
        <f>IF(AZ116="","",AZ116)</f>
        <v>1500</v>
      </c>
      <c r="BB116" s="10">
        <f t="shared" si="16"/>
        <v>493870</v>
      </c>
      <c r="BC116" s="16">
        <f t="shared" si="22"/>
        <v>58914.85</v>
      </c>
      <c r="BD116" s="16"/>
      <c r="BE116" s="16"/>
      <c r="BF116" s="6"/>
      <c r="BG116" s="5">
        <v>2.0</v>
      </c>
      <c r="BH116" s="6"/>
      <c r="BI116" s="29">
        <f t="shared" si="26"/>
        <v>14728.47517</v>
      </c>
      <c r="BK116" s="15">
        <f t="shared" si="17"/>
        <v>1.156263619</v>
      </c>
      <c r="BN116" s="16">
        <f t="shared" si="14"/>
        <v>2301.524828</v>
      </c>
      <c r="BO116" s="16">
        <f t="shared" si="29"/>
        <v>21267.36483</v>
      </c>
      <c r="BY116" s="6">
        <f t="shared" si="2"/>
        <v>2024</v>
      </c>
      <c r="BZ116" s="6" t="str">
        <f t="shared" si="3"/>
        <v>febrero</v>
      </c>
      <c r="CA116" s="6" t="str">
        <f t="shared" si="4"/>
        <v>2</v>
      </c>
    </row>
    <row r="117">
      <c r="A117" s="8">
        <v>45324.0</v>
      </c>
      <c r="B117" s="30"/>
      <c r="C117" s="30"/>
      <c r="D117" s="30"/>
      <c r="E117" s="30"/>
      <c r="F117" s="30"/>
      <c r="G117" s="30"/>
      <c r="H117" s="30"/>
      <c r="I117" s="30">
        <v>8000.0</v>
      </c>
      <c r="J117" s="30">
        <v>6500.0</v>
      </c>
      <c r="K117" s="30"/>
      <c r="L117" s="30">
        <v>0.0</v>
      </c>
      <c r="M117" s="30">
        <v>0.0</v>
      </c>
      <c r="N117" s="30">
        <v>0.0</v>
      </c>
      <c r="O117" s="25">
        <f t="shared" si="30"/>
        <v>14500</v>
      </c>
      <c r="P117" s="31"/>
      <c r="Q117" s="31"/>
      <c r="R117" s="31"/>
      <c r="S117" s="31"/>
      <c r="T117" s="31"/>
      <c r="U117" s="31"/>
      <c r="V117" s="31">
        <v>1000.0</v>
      </c>
      <c r="W117" s="31"/>
      <c r="X117" s="31"/>
      <c r="Y117" s="31"/>
      <c r="Z117" s="31"/>
      <c r="AA117" s="31"/>
      <c r="AB117" s="31"/>
      <c r="AC117" s="31">
        <v>75.0</v>
      </c>
      <c r="AD117" s="31"/>
      <c r="AE117" s="31"/>
      <c r="AF117" s="31"/>
      <c r="AG117" s="31"/>
      <c r="AH117" s="31"/>
      <c r="AI117" s="31"/>
      <c r="AJ117" s="31"/>
      <c r="AK117" s="31"/>
      <c r="AL117" s="31">
        <v>90.0</v>
      </c>
      <c r="AM117" s="32"/>
      <c r="AN117" s="32"/>
      <c r="AO117" s="32"/>
      <c r="AP117" s="32"/>
      <c r="AQ117" s="32"/>
      <c r="AR117" s="32"/>
      <c r="AS117" s="32"/>
      <c r="AT117" s="12">
        <f t="shared" si="24"/>
        <v>15665</v>
      </c>
      <c r="AU117" s="18">
        <f t="shared" ref="AU117:AU144" si="31">IF(AT117="","",AU116+AT117)</f>
        <v>32695</v>
      </c>
      <c r="AV117" s="18"/>
      <c r="AW117" s="18"/>
      <c r="AX117" s="12">
        <f t="shared" si="1"/>
        <v>15665</v>
      </c>
      <c r="AY117" s="33"/>
      <c r="AZ117" s="33">
        <v>950.0</v>
      </c>
      <c r="BA117" s="28">
        <f t="shared" ref="BA117:BA144" si="32">IF(AZ117="","",BA116+AZ117)</f>
        <v>2450</v>
      </c>
      <c r="BB117" s="10">
        <f t="shared" si="16"/>
        <v>474077.5</v>
      </c>
      <c r="BC117" s="16">
        <f t="shared" si="22"/>
        <v>58914.85</v>
      </c>
      <c r="BD117" s="16"/>
      <c r="BE117" s="16"/>
      <c r="BF117" s="6"/>
      <c r="BG117" s="6"/>
      <c r="BH117" s="6"/>
      <c r="BI117" s="29">
        <f t="shared" si="26"/>
        <v>14728.47517</v>
      </c>
      <c r="BK117" s="15">
        <f t="shared" si="17"/>
        <v>1.063586</v>
      </c>
      <c r="BN117" s="16">
        <f t="shared" si="14"/>
        <v>936.5248276</v>
      </c>
      <c r="BO117" s="16">
        <f t="shared" si="29"/>
        <v>22203.88966</v>
      </c>
      <c r="BY117" s="6">
        <f t="shared" si="2"/>
        <v>2024</v>
      </c>
      <c r="BZ117" s="6" t="str">
        <f t="shared" si="3"/>
        <v>febrero</v>
      </c>
      <c r="CA117" s="6" t="str">
        <f t="shared" si="4"/>
        <v>2</v>
      </c>
    </row>
    <row r="118">
      <c r="A118" s="8">
        <v>45325.0</v>
      </c>
      <c r="B118" s="30"/>
      <c r="C118" s="30"/>
      <c r="D118" s="30"/>
      <c r="E118" s="30"/>
      <c r="F118" s="30"/>
      <c r="G118" s="30"/>
      <c r="H118" s="30"/>
      <c r="I118" s="30">
        <v>0.0</v>
      </c>
      <c r="J118" s="30">
        <v>0.0</v>
      </c>
      <c r="K118" s="30"/>
      <c r="L118" s="30">
        <v>0.0</v>
      </c>
      <c r="M118" s="30">
        <v>0.0</v>
      </c>
      <c r="N118" s="30">
        <v>0.0</v>
      </c>
      <c r="O118" s="25">
        <f t="shared" si="30"/>
        <v>0</v>
      </c>
      <c r="P118" s="31"/>
      <c r="Q118" s="31"/>
      <c r="R118" s="31"/>
      <c r="S118" s="31"/>
      <c r="T118" s="31"/>
      <c r="U118" s="31"/>
      <c r="V118" s="31">
        <v>0.0</v>
      </c>
      <c r="W118" s="31"/>
      <c r="X118" s="31"/>
      <c r="Y118" s="31"/>
      <c r="Z118" s="31"/>
      <c r="AA118" s="31"/>
      <c r="AB118" s="31"/>
      <c r="AC118" s="31">
        <v>0.0</v>
      </c>
      <c r="AD118" s="31"/>
      <c r="AE118" s="31"/>
      <c r="AF118" s="31"/>
      <c r="AG118" s="31"/>
      <c r="AH118" s="31"/>
      <c r="AI118" s="31"/>
      <c r="AJ118" s="31"/>
      <c r="AK118" s="31"/>
      <c r="AL118" s="31">
        <v>0.0</v>
      </c>
      <c r="AM118" s="31"/>
      <c r="AN118" s="31"/>
      <c r="AO118" s="31"/>
      <c r="AP118" s="31"/>
      <c r="AQ118" s="31"/>
      <c r="AR118" s="31"/>
      <c r="AS118" s="31">
        <v>0.0</v>
      </c>
      <c r="AT118" s="12">
        <f t="shared" si="24"/>
        <v>0</v>
      </c>
      <c r="AU118" s="18">
        <f t="shared" si="31"/>
        <v>32695</v>
      </c>
      <c r="AV118" s="18"/>
      <c r="AW118" s="18"/>
      <c r="AX118" s="12">
        <f t="shared" si="1"/>
        <v>0</v>
      </c>
      <c r="AY118" s="33"/>
      <c r="AZ118" s="33">
        <v>0.0</v>
      </c>
      <c r="BA118" s="28">
        <f t="shared" si="32"/>
        <v>2450</v>
      </c>
      <c r="BB118" s="10">
        <f t="shared" si="16"/>
        <v>316051.6667</v>
      </c>
      <c r="BC118" s="16">
        <f t="shared" si="22"/>
        <v>58914.85</v>
      </c>
      <c r="BD118" s="16"/>
      <c r="BE118" s="16"/>
      <c r="BF118" s="6"/>
      <c r="BG118" s="6"/>
      <c r="BH118" s="6"/>
      <c r="BI118" s="29">
        <f t="shared" si="26"/>
        <v>14728.47517</v>
      </c>
      <c r="BJ118" s="6"/>
      <c r="BK118" s="15">
        <f t="shared" si="17"/>
        <v>0</v>
      </c>
      <c r="BN118" s="16">
        <f t="shared" si="14"/>
        <v>-14728.47517</v>
      </c>
      <c r="BO118" s="16">
        <f t="shared" si="29"/>
        <v>7475.414483</v>
      </c>
      <c r="BY118" s="6">
        <f t="shared" si="2"/>
        <v>2024</v>
      </c>
      <c r="BZ118" s="6" t="str">
        <f t="shared" si="3"/>
        <v>febrero</v>
      </c>
      <c r="CA118" s="6" t="str">
        <f t="shared" si="4"/>
        <v>2</v>
      </c>
    </row>
    <row r="119">
      <c r="A119" s="8">
        <v>45326.0</v>
      </c>
      <c r="B119" s="30"/>
      <c r="C119" s="30"/>
      <c r="D119" s="30"/>
      <c r="E119" s="30"/>
      <c r="F119" s="30"/>
      <c r="G119" s="30"/>
      <c r="H119" s="30"/>
      <c r="I119" s="30">
        <v>0.0</v>
      </c>
      <c r="J119" s="30">
        <v>0.0</v>
      </c>
      <c r="K119" s="30"/>
      <c r="L119" s="30">
        <v>0.0</v>
      </c>
      <c r="M119" s="30">
        <v>0.0</v>
      </c>
      <c r="N119" s="30">
        <v>0.0</v>
      </c>
      <c r="O119" s="25">
        <f t="shared" si="30"/>
        <v>0</v>
      </c>
      <c r="P119" s="31"/>
      <c r="Q119" s="31"/>
      <c r="R119" s="31"/>
      <c r="S119" s="31"/>
      <c r="T119" s="31"/>
      <c r="U119" s="31"/>
      <c r="V119" s="31">
        <v>0.0</v>
      </c>
      <c r="W119" s="31"/>
      <c r="X119" s="31"/>
      <c r="Y119" s="31"/>
      <c r="Z119" s="31"/>
      <c r="AA119" s="31"/>
      <c r="AB119" s="31"/>
      <c r="AC119" s="31">
        <v>0.0</v>
      </c>
      <c r="AD119" s="31"/>
      <c r="AE119" s="31"/>
      <c r="AF119" s="31"/>
      <c r="AG119" s="31"/>
      <c r="AH119" s="31"/>
      <c r="AI119" s="31"/>
      <c r="AJ119" s="31"/>
      <c r="AK119" s="31"/>
      <c r="AL119" s="31">
        <v>0.0</v>
      </c>
      <c r="AM119" s="31"/>
      <c r="AN119" s="31"/>
      <c r="AO119" s="31"/>
      <c r="AP119" s="31"/>
      <c r="AQ119" s="31"/>
      <c r="AR119" s="31"/>
      <c r="AS119" s="31">
        <v>0.0</v>
      </c>
      <c r="AT119" s="12">
        <f t="shared" si="24"/>
        <v>0</v>
      </c>
      <c r="AU119" s="18">
        <f t="shared" si="31"/>
        <v>32695</v>
      </c>
      <c r="AV119" s="18"/>
      <c r="AW119" s="18"/>
      <c r="AX119" s="12">
        <f t="shared" si="1"/>
        <v>0</v>
      </c>
      <c r="AY119" s="33"/>
      <c r="AZ119" s="33">
        <v>0.0</v>
      </c>
      <c r="BA119" s="28">
        <f t="shared" si="32"/>
        <v>2450</v>
      </c>
      <c r="BB119" s="34">
        <f t="shared" si="16"/>
        <v>237038.75</v>
      </c>
      <c r="BC119" s="16">
        <f t="shared" si="22"/>
        <v>58914.85</v>
      </c>
      <c r="BD119" s="35"/>
      <c r="BE119" s="35"/>
      <c r="BF119" s="36"/>
      <c r="BG119" s="36"/>
      <c r="BH119" s="36"/>
      <c r="BI119" s="29">
        <f t="shared" si="26"/>
        <v>14728.47517</v>
      </c>
      <c r="BJ119" s="36"/>
      <c r="BK119" s="15">
        <f t="shared" si="17"/>
        <v>0</v>
      </c>
      <c r="BN119" s="16">
        <f t="shared" si="14"/>
        <v>-14728.47517</v>
      </c>
      <c r="BO119" s="16">
        <f t="shared" si="29"/>
        <v>-7253.06069</v>
      </c>
      <c r="BP119" s="36"/>
      <c r="BQ119" s="36"/>
      <c r="BR119" s="36"/>
      <c r="BS119" s="36"/>
      <c r="BT119" s="36"/>
      <c r="BU119" s="36"/>
      <c r="BV119" s="36"/>
      <c r="BW119" s="36"/>
      <c r="BX119" s="36"/>
      <c r="BY119" s="6">
        <f t="shared" si="2"/>
        <v>2024</v>
      </c>
      <c r="BZ119" s="6" t="str">
        <f t="shared" si="3"/>
        <v>febrero</v>
      </c>
      <c r="CA119" s="6" t="str">
        <f t="shared" si="4"/>
        <v>2</v>
      </c>
    </row>
    <row r="120">
      <c r="A120" s="8">
        <v>45327.0</v>
      </c>
      <c r="B120" s="30"/>
      <c r="C120" s="30"/>
      <c r="D120" s="30"/>
      <c r="E120" s="30"/>
      <c r="F120" s="30"/>
      <c r="G120" s="30"/>
      <c r="H120" s="30"/>
      <c r="I120" s="30">
        <v>2500.0</v>
      </c>
      <c r="J120" s="30">
        <v>3500.0</v>
      </c>
      <c r="K120" s="30"/>
      <c r="L120" s="30">
        <v>0.0</v>
      </c>
      <c r="M120" s="30">
        <v>0.0</v>
      </c>
      <c r="N120" s="30">
        <v>0.0</v>
      </c>
      <c r="O120" s="25">
        <f t="shared" si="30"/>
        <v>6000</v>
      </c>
      <c r="P120" s="31"/>
      <c r="Q120" s="31"/>
      <c r="R120" s="31"/>
      <c r="S120" s="31"/>
      <c r="T120" s="31"/>
      <c r="U120" s="31"/>
      <c r="V120" s="31">
        <v>1135.19</v>
      </c>
      <c r="W120" s="31"/>
      <c r="X120" s="31"/>
      <c r="Y120" s="31"/>
      <c r="Z120" s="31"/>
      <c r="AA120" s="31"/>
      <c r="AB120" s="31"/>
      <c r="AC120" s="31">
        <v>23.0</v>
      </c>
      <c r="AD120" s="31"/>
      <c r="AE120" s="31"/>
      <c r="AF120" s="31"/>
      <c r="AG120" s="31"/>
      <c r="AH120" s="31"/>
      <c r="AI120" s="31"/>
      <c r="AJ120" s="31"/>
      <c r="AK120" s="31"/>
      <c r="AL120" s="31">
        <v>25.0</v>
      </c>
      <c r="AM120" s="31"/>
      <c r="AN120" s="31"/>
      <c r="AO120" s="31"/>
      <c r="AP120" s="31"/>
      <c r="AQ120" s="31"/>
      <c r="AR120" s="31"/>
      <c r="AS120" s="31">
        <v>0.0</v>
      </c>
      <c r="AT120" s="12">
        <f t="shared" si="24"/>
        <v>7183.19</v>
      </c>
      <c r="AU120" s="18">
        <f t="shared" si="31"/>
        <v>39878.19</v>
      </c>
      <c r="AV120" s="18"/>
      <c r="AW120" s="18"/>
      <c r="AX120" s="12">
        <f t="shared" si="1"/>
        <v>7183.19</v>
      </c>
      <c r="AY120" s="33"/>
      <c r="AZ120" s="33">
        <v>650.0</v>
      </c>
      <c r="BA120" s="28">
        <f t="shared" si="32"/>
        <v>3100</v>
      </c>
      <c r="BB120" s="34">
        <f t="shared" si="16"/>
        <v>231293.502</v>
      </c>
      <c r="BC120" s="16">
        <f t="shared" si="22"/>
        <v>58914.85</v>
      </c>
      <c r="BD120" s="35"/>
      <c r="BE120" s="35"/>
      <c r="BF120" s="36"/>
      <c r="BG120" s="36"/>
      <c r="BH120" s="36"/>
      <c r="BI120" s="29">
        <f t="shared" si="26"/>
        <v>14728.47517</v>
      </c>
      <c r="BJ120" s="36"/>
      <c r="BK120" s="15">
        <f t="shared" si="17"/>
        <v>0.487707649</v>
      </c>
      <c r="BN120" s="16">
        <f t="shared" si="14"/>
        <v>-7545.285172</v>
      </c>
      <c r="BO120" s="16">
        <f t="shared" si="29"/>
        <v>-14798.34586</v>
      </c>
      <c r="BY120" s="6">
        <f t="shared" si="2"/>
        <v>2024</v>
      </c>
      <c r="BZ120" s="6" t="str">
        <f t="shared" si="3"/>
        <v>febrero</v>
      </c>
      <c r="CA120" s="6" t="str">
        <f t="shared" si="4"/>
        <v>2</v>
      </c>
    </row>
    <row r="121">
      <c r="A121" s="8">
        <v>45328.0</v>
      </c>
      <c r="B121" s="30"/>
      <c r="C121" s="30"/>
      <c r="D121" s="30"/>
      <c r="E121" s="30"/>
      <c r="F121" s="30"/>
      <c r="G121" s="30"/>
      <c r="H121" s="30"/>
      <c r="I121" s="30">
        <v>5247.31</v>
      </c>
      <c r="J121" s="30">
        <v>6245.36</v>
      </c>
      <c r="K121" s="30"/>
      <c r="L121" s="30">
        <v>355.98</v>
      </c>
      <c r="M121" s="30">
        <v>0.0</v>
      </c>
      <c r="N121" s="30">
        <v>0.0</v>
      </c>
      <c r="O121" s="25">
        <f t="shared" si="30"/>
        <v>11848.65</v>
      </c>
      <c r="P121" s="31"/>
      <c r="Q121" s="31"/>
      <c r="R121" s="31"/>
      <c r="S121" s="31"/>
      <c r="T121" s="31"/>
      <c r="U121" s="31"/>
      <c r="V121" s="31">
        <v>1000.0</v>
      </c>
      <c r="W121" s="31"/>
      <c r="X121" s="31"/>
      <c r="Y121" s="31"/>
      <c r="Z121" s="31"/>
      <c r="AA121" s="31"/>
      <c r="AB121" s="31"/>
      <c r="AC121" s="31">
        <v>17.65</v>
      </c>
      <c r="AD121" s="31"/>
      <c r="AE121" s="31"/>
      <c r="AF121" s="31"/>
      <c r="AG121" s="31"/>
      <c r="AH121" s="31"/>
      <c r="AI121" s="31"/>
      <c r="AJ121" s="31"/>
      <c r="AK121" s="31"/>
      <c r="AL121" s="31">
        <v>24.49</v>
      </c>
      <c r="AM121" s="31"/>
      <c r="AN121" s="31"/>
      <c r="AO121" s="31"/>
      <c r="AP121" s="31"/>
      <c r="AQ121" s="31"/>
      <c r="AR121" s="31"/>
      <c r="AS121" s="31">
        <v>0.0</v>
      </c>
      <c r="AT121" s="12">
        <f t="shared" si="24"/>
        <v>12890.79</v>
      </c>
      <c r="AU121" s="18">
        <f t="shared" si="31"/>
        <v>52768.98</v>
      </c>
      <c r="AV121" s="18"/>
      <c r="AW121" s="18"/>
      <c r="AX121" s="12">
        <f t="shared" si="1"/>
        <v>12890.79</v>
      </c>
      <c r="AY121" s="33"/>
      <c r="AZ121" s="33">
        <v>521.3</v>
      </c>
      <c r="BA121" s="28">
        <f t="shared" si="32"/>
        <v>3621.3</v>
      </c>
      <c r="BB121" s="34">
        <f t="shared" si="16"/>
        <v>255050.07</v>
      </c>
      <c r="BC121" s="16">
        <f t="shared" si="22"/>
        <v>58914.85</v>
      </c>
      <c r="BD121" s="35"/>
      <c r="BE121" s="35"/>
      <c r="BF121" s="36"/>
      <c r="BG121" s="36"/>
      <c r="BH121" s="36"/>
      <c r="BI121" s="29">
        <f t="shared" si="26"/>
        <v>14728.47517</v>
      </c>
      <c r="BJ121" s="36"/>
      <c r="BK121" s="15">
        <f t="shared" si="17"/>
        <v>0.8752290953</v>
      </c>
      <c r="BN121" s="16">
        <f t="shared" si="14"/>
        <v>-1837.685172</v>
      </c>
      <c r="BO121" s="16">
        <f t="shared" si="29"/>
        <v>-16636.03103</v>
      </c>
      <c r="BY121" s="6">
        <f t="shared" si="2"/>
        <v>2024</v>
      </c>
      <c r="BZ121" s="6" t="str">
        <f t="shared" si="3"/>
        <v>febrero</v>
      </c>
      <c r="CA121" s="6" t="str">
        <f t="shared" si="4"/>
        <v>2</v>
      </c>
    </row>
    <row r="122">
      <c r="A122" s="8">
        <v>45329.0</v>
      </c>
      <c r="B122" s="24"/>
      <c r="C122" s="24"/>
      <c r="D122" s="24"/>
      <c r="E122" s="24"/>
      <c r="F122" s="24"/>
      <c r="G122" s="24"/>
      <c r="H122" s="24"/>
      <c r="I122" s="24">
        <v>1835.77</v>
      </c>
      <c r="J122" s="24">
        <v>1488.54</v>
      </c>
      <c r="K122" s="24"/>
      <c r="L122" s="24">
        <v>0.0</v>
      </c>
      <c r="M122" s="24">
        <v>0.0</v>
      </c>
      <c r="N122" s="24">
        <v>0.0</v>
      </c>
      <c r="O122" s="25">
        <f t="shared" si="30"/>
        <v>3324.31</v>
      </c>
      <c r="P122" s="25"/>
      <c r="Q122" s="25"/>
      <c r="R122" s="25"/>
      <c r="S122" s="25"/>
      <c r="T122" s="25"/>
      <c r="U122" s="25"/>
      <c r="V122" s="25">
        <v>753.78</v>
      </c>
      <c r="W122" s="25"/>
      <c r="X122" s="25"/>
      <c r="Y122" s="25"/>
      <c r="Z122" s="25"/>
      <c r="AA122" s="25"/>
      <c r="AB122" s="25"/>
      <c r="AC122" s="25">
        <v>2.6</v>
      </c>
      <c r="AD122" s="25"/>
      <c r="AE122" s="25"/>
      <c r="AF122" s="25"/>
      <c r="AG122" s="25"/>
      <c r="AH122" s="25"/>
      <c r="AI122" s="25"/>
      <c r="AJ122" s="25"/>
      <c r="AK122" s="25"/>
      <c r="AL122" s="25">
        <v>1837.24</v>
      </c>
      <c r="AM122" s="25"/>
      <c r="AN122" s="25"/>
      <c r="AO122" s="25"/>
      <c r="AP122" s="25"/>
      <c r="AQ122" s="25"/>
      <c r="AR122" s="25"/>
      <c r="AS122" s="25">
        <v>9022.0</v>
      </c>
      <c r="AT122" s="12">
        <f t="shared" si="24"/>
        <v>14939.93</v>
      </c>
      <c r="AU122" s="18">
        <f t="shared" si="31"/>
        <v>67708.91</v>
      </c>
      <c r="AV122" s="18"/>
      <c r="AW122" s="18"/>
      <c r="AX122" s="12">
        <f t="shared" si="1"/>
        <v>14939.93</v>
      </c>
      <c r="AY122" s="27"/>
      <c r="AZ122" s="27">
        <v>0.0</v>
      </c>
      <c r="BA122" s="28">
        <f t="shared" si="32"/>
        <v>3621.3</v>
      </c>
      <c r="BB122" s="34">
        <f t="shared" si="16"/>
        <v>280508.3414</v>
      </c>
      <c r="BC122" s="16">
        <f t="shared" si="22"/>
        <v>58914.85</v>
      </c>
      <c r="BD122" s="35"/>
      <c r="BE122" s="35"/>
      <c r="BF122" s="36"/>
      <c r="BG122" s="36"/>
      <c r="BH122" s="36"/>
      <c r="BI122" s="29">
        <f t="shared" si="26"/>
        <v>14728.47517</v>
      </c>
      <c r="BJ122" s="36"/>
      <c r="BK122" s="15">
        <f t="shared" si="17"/>
        <v>1.014356872</v>
      </c>
      <c r="BN122" s="16">
        <f t="shared" si="14"/>
        <v>211.4548276</v>
      </c>
      <c r="BO122" s="16">
        <f t="shared" si="29"/>
        <v>-16424.57621</v>
      </c>
      <c r="BY122" s="6">
        <f t="shared" si="2"/>
        <v>2024</v>
      </c>
      <c r="BZ122" s="6" t="str">
        <f t="shared" si="3"/>
        <v>febrero</v>
      </c>
      <c r="CA122" s="6" t="str">
        <f t="shared" si="4"/>
        <v>2</v>
      </c>
    </row>
    <row r="123">
      <c r="A123" s="8">
        <v>45330.0</v>
      </c>
      <c r="B123" s="24"/>
      <c r="C123" s="24"/>
      <c r="D123" s="24"/>
      <c r="E123" s="24"/>
      <c r="F123" s="24"/>
      <c r="G123" s="24"/>
      <c r="H123" s="24"/>
      <c r="I123" s="24">
        <v>10223.98</v>
      </c>
      <c r="J123" s="24">
        <v>2995.22</v>
      </c>
      <c r="K123" s="24"/>
      <c r="L123" s="24">
        <v>13355.3</v>
      </c>
      <c r="M123" s="24">
        <v>0.0</v>
      </c>
      <c r="N123" s="24">
        <v>0.0</v>
      </c>
      <c r="O123" s="25">
        <f t="shared" si="30"/>
        <v>26574.5</v>
      </c>
      <c r="P123" s="25"/>
      <c r="Q123" s="25"/>
      <c r="R123" s="25"/>
      <c r="S123" s="25"/>
      <c r="T123" s="25"/>
      <c r="U123" s="25"/>
      <c r="V123" s="25">
        <v>2804.44</v>
      </c>
      <c r="W123" s="25"/>
      <c r="X123" s="25"/>
      <c r="Y123" s="25"/>
      <c r="Z123" s="25"/>
      <c r="AA123" s="25"/>
      <c r="AB123" s="25"/>
      <c r="AC123" s="25">
        <v>4560.6</v>
      </c>
      <c r="AD123" s="25"/>
      <c r="AE123" s="25"/>
      <c r="AF123" s="25"/>
      <c r="AG123" s="25"/>
      <c r="AH123" s="25"/>
      <c r="AI123" s="25"/>
      <c r="AJ123" s="25"/>
      <c r="AK123" s="25"/>
      <c r="AL123" s="25">
        <v>1600.28</v>
      </c>
      <c r="AM123" s="25"/>
      <c r="AN123" s="25"/>
      <c r="AO123" s="25"/>
      <c r="AP123" s="25"/>
      <c r="AQ123" s="25"/>
      <c r="AR123" s="25"/>
      <c r="AS123" s="25">
        <v>9074.16</v>
      </c>
      <c r="AT123" s="12">
        <f t="shared" si="24"/>
        <v>44613.98</v>
      </c>
      <c r="AU123" s="18">
        <f t="shared" si="31"/>
        <v>112322.89</v>
      </c>
      <c r="AV123" s="18"/>
      <c r="AW123" s="18"/>
      <c r="AX123" s="12">
        <f t="shared" si="1"/>
        <v>44613.98</v>
      </c>
      <c r="AY123" s="27"/>
      <c r="AZ123" s="27">
        <v>3527.2</v>
      </c>
      <c r="BA123" s="28">
        <f t="shared" si="32"/>
        <v>7148.5</v>
      </c>
      <c r="BB123" s="34">
        <f t="shared" si="16"/>
        <v>407170.4763</v>
      </c>
      <c r="BC123" s="16">
        <f t="shared" si="22"/>
        <v>58914.85</v>
      </c>
      <c r="BD123" s="35"/>
      <c r="BE123" s="35"/>
      <c r="BF123" s="36"/>
      <c r="BG123" s="36"/>
      <c r="BH123" s="36"/>
      <c r="BI123" s="29">
        <f t="shared" si="26"/>
        <v>14728.47517</v>
      </c>
      <c r="BJ123" s="36"/>
      <c r="BK123" s="15">
        <f t="shared" si="17"/>
        <v>3.029097003</v>
      </c>
      <c r="BN123" s="16">
        <f t="shared" si="14"/>
        <v>29885.50483</v>
      </c>
      <c r="BO123" s="16">
        <f t="shared" si="29"/>
        <v>13460.92862</v>
      </c>
      <c r="BY123" s="6">
        <f t="shared" si="2"/>
        <v>2024</v>
      </c>
      <c r="BZ123" s="6" t="str">
        <f t="shared" si="3"/>
        <v>febrero</v>
      </c>
      <c r="CA123" s="6" t="str">
        <f t="shared" si="4"/>
        <v>2</v>
      </c>
    </row>
    <row r="124">
      <c r="A124" s="8">
        <v>45331.0</v>
      </c>
      <c r="B124" s="30"/>
      <c r="C124" s="30"/>
      <c r="D124" s="30"/>
      <c r="E124" s="30"/>
      <c r="F124" s="30"/>
      <c r="G124" s="30"/>
      <c r="H124" s="30"/>
      <c r="I124" s="30">
        <v>0.0</v>
      </c>
      <c r="J124" s="30">
        <v>0.0</v>
      </c>
      <c r="K124" s="30"/>
      <c r="L124" s="30">
        <v>0.0</v>
      </c>
      <c r="M124" s="30">
        <v>0.0</v>
      </c>
      <c r="N124" s="30">
        <v>0.0</v>
      </c>
      <c r="O124" s="25">
        <f t="shared" si="30"/>
        <v>0</v>
      </c>
      <c r="P124" s="31"/>
      <c r="Q124" s="31"/>
      <c r="R124" s="31"/>
      <c r="S124" s="31"/>
      <c r="T124" s="31"/>
      <c r="U124" s="31"/>
      <c r="V124" s="31">
        <v>0.0</v>
      </c>
      <c r="W124" s="31"/>
      <c r="X124" s="31"/>
      <c r="Y124" s="31"/>
      <c r="Z124" s="31"/>
      <c r="AA124" s="31"/>
      <c r="AB124" s="31"/>
      <c r="AC124" s="31">
        <v>1100.0</v>
      </c>
      <c r="AD124" s="31"/>
      <c r="AE124" s="31"/>
      <c r="AF124" s="31"/>
      <c r="AG124" s="31"/>
      <c r="AH124" s="31"/>
      <c r="AI124" s="31"/>
      <c r="AJ124" s="31"/>
      <c r="AK124" s="31"/>
      <c r="AL124" s="31">
        <v>0.0</v>
      </c>
      <c r="AM124" s="31"/>
      <c r="AN124" s="31"/>
      <c r="AO124" s="31"/>
      <c r="AP124" s="31"/>
      <c r="AQ124" s="31"/>
      <c r="AR124" s="31"/>
      <c r="AS124" s="31">
        <v>4683.0</v>
      </c>
      <c r="AT124" s="12">
        <f t="shared" si="24"/>
        <v>5783</v>
      </c>
      <c r="AU124" s="18">
        <f t="shared" si="31"/>
        <v>118105.89</v>
      </c>
      <c r="AV124" s="18"/>
      <c r="AW124" s="18"/>
      <c r="AX124" s="12">
        <f t="shared" si="1"/>
        <v>5783</v>
      </c>
      <c r="AY124" s="33"/>
      <c r="AZ124" s="33">
        <v>0.0</v>
      </c>
      <c r="BA124" s="28">
        <f t="shared" si="32"/>
        <v>7148.5</v>
      </c>
      <c r="BB124" s="34">
        <f t="shared" si="16"/>
        <v>380563.4233</v>
      </c>
      <c r="BC124" s="16">
        <f t="shared" si="22"/>
        <v>58914.85</v>
      </c>
      <c r="BD124" s="35"/>
      <c r="BE124" s="35"/>
      <c r="BF124" s="36"/>
      <c r="BG124" s="36"/>
      <c r="BH124" s="36"/>
      <c r="BI124" s="29">
        <f t="shared" si="26"/>
        <v>14728.47517</v>
      </c>
      <c r="BJ124" s="36"/>
      <c r="BK124" s="15">
        <f t="shared" si="17"/>
        <v>0.3926407814</v>
      </c>
      <c r="BN124" s="16">
        <f t="shared" si="14"/>
        <v>-8945.475172</v>
      </c>
      <c r="BO124" s="16">
        <f t="shared" si="29"/>
        <v>4515.453448</v>
      </c>
      <c r="BY124" s="6">
        <f t="shared" si="2"/>
        <v>2024</v>
      </c>
      <c r="BZ124" s="6" t="str">
        <f t="shared" si="3"/>
        <v>febrero</v>
      </c>
      <c r="CA124" s="6" t="str">
        <f t="shared" si="4"/>
        <v>2</v>
      </c>
    </row>
    <row r="125">
      <c r="A125" s="8">
        <v>45332.0</v>
      </c>
      <c r="B125" s="30"/>
      <c r="C125" s="30"/>
      <c r="D125" s="30"/>
      <c r="E125" s="30"/>
      <c r="F125" s="30"/>
      <c r="G125" s="30"/>
      <c r="H125" s="30"/>
      <c r="I125" s="30">
        <v>8499.64</v>
      </c>
      <c r="J125" s="30">
        <v>425.94</v>
      </c>
      <c r="K125" s="30"/>
      <c r="L125" s="30">
        <v>0.0</v>
      </c>
      <c r="M125" s="30">
        <v>0.0</v>
      </c>
      <c r="N125" s="30">
        <v>0.0</v>
      </c>
      <c r="O125" s="25">
        <f t="shared" si="30"/>
        <v>8925.58</v>
      </c>
      <c r="P125" s="31"/>
      <c r="Q125" s="31"/>
      <c r="R125" s="31"/>
      <c r="S125" s="31"/>
      <c r="T125" s="31"/>
      <c r="U125" s="31"/>
      <c r="V125" s="31">
        <v>1087.21</v>
      </c>
      <c r="W125" s="31"/>
      <c r="X125" s="31"/>
      <c r="Y125" s="31"/>
      <c r="Z125" s="31"/>
      <c r="AA125" s="31"/>
      <c r="AB125" s="31"/>
      <c r="AC125" s="31">
        <v>0.39</v>
      </c>
      <c r="AD125" s="31"/>
      <c r="AE125" s="31"/>
      <c r="AF125" s="31"/>
      <c r="AG125" s="31"/>
      <c r="AH125" s="31"/>
      <c r="AI125" s="31"/>
      <c r="AJ125" s="31"/>
      <c r="AK125" s="31"/>
      <c r="AL125" s="31">
        <v>448.13</v>
      </c>
      <c r="AM125" s="31"/>
      <c r="AN125" s="31"/>
      <c r="AO125" s="31"/>
      <c r="AP125" s="31"/>
      <c r="AQ125" s="31"/>
      <c r="AR125" s="31"/>
      <c r="AS125" s="31">
        <v>0.0</v>
      </c>
      <c r="AT125" s="12">
        <f t="shared" si="24"/>
        <v>10461.31</v>
      </c>
      <c r="AU125" s="18">
        <f t="shared" si="31"/>
        <v>128567.2</v>
      </c>
      <c r="AV125" s="18"/>
      <c r="AW125" s="18"/>
      <c r="AX125" s="12">
        <f t="shared" si="1"/>
        <v>10461.31</v>
      </c>
      <c r="AY125" s="33"/>
      <c r="AZ125" s="33">
        <v>4923.91</v>
      </c>
      <c r="BA125" s="28">
        <f t="shared" si="32"/>
        <v>12072.41</v>
      </c>
      <c r="BB125" s="34">
        <f t="shared" si="16"/>
        <v>372844.88</v>
      </c>
      <c r="BC125" s="16">
        <f t="shared" si="22"/>
        <v>58914.85</v>
      </c>
      <c r="BD125" s="35"/>
      <c r="BE125" s="35"/>
      <c r="BF125" s="36"/>
      <c r="BG125" s="36"/>
      <c r="BH125" s="36"/>
      <c r="BI125" s="29">
        <f t="shared" si="26"/>
        <v>14728.47517</v>
      </c>
      <c r="BJ125" s="36"/>
      <c r="BK125" s="15">
        <f t="shared" si="17"/>
        <v>0.7102778718</v>
      </c>
      <c r="BN125" s="16">
        <f t="shared" si="14"/>
        <v>-4267.165172</v>
      </c>
      <c r="BO125" s="16">
        <f t="shared" si="29"/>
        <v>248.2882759</v>
      </c>
      <c r="BY125" s="6">
        <f t="shared" si="2"/>
        <v>2024</v>
      </c>
      <c r="BZ125" s="6" t="str">
        <f t="shared" si="3"/>
        <v>febrero</v>
      </c>
      <c r="CA125" s="6" t="str">
        <f t="shared" si="4"/>
        <v>2</v>
      </c>
    </row>
    <row r="126">
      <c r="A126" s="8">
        <v>45333.0</v>
      </c>
      <c r="B126" s="30"/>
      <c r="C126" s="30"/>
      <c r="D126" s="30"/>
      <c r="E126" s="30"/>
      <c r="F126" s="30"/>
      <c r="G126" s="30"/>
      <c r="H126" s="30"/>
      <c r="I126" s="30">
        <v>0.0</v>
      </c>
      <c r="J126" s="30">
        <v>0.0</v>
      </c>
      <c r="K126" s="30"/>
      <c r="L126" s="30">
        <v>0.0</v>
      </c>
      <c r="M126" s="30">
        <v>0.0</v>
      </c>
      <c r="N126" s="30">
        <v>0.0</v>
      </c>
      <c r="O126" s="25">
        <f t="shared" si="30"/>
        <v>0</v>
      </c>
      <c r="P126" s="31"/>
      <c r="Q126" s="31"/>
      <c r="R126" s="31"/>
      <c r="S126" s="31"/>
      <c r="T126" s="31"/>
      <c r="U126" s="31"/>
      <c r="V126" s="31">
        <v>0.0</v>
      </c>
      <c r="W126" s="31"/>
      <c r="X126" s="31"/>
      <c r="Y126" s="31"/>
      <c r="Z126" s="31"/>
      <c r="AA126" s="31"/>
      <c r="AB126" s="31"/>
      <c r="AC126" s="31">
        <v>0.0</v>
      </c>
      <c r="AD126" s="31"/>
      <c r="AE126" s="31"/>
      <c r="AF126" s="31"/>
      <c r="AG126" s="31"/>
      <c r="AH126" s="31"/>
      <c r="AI126" s="31"/>
      <c r="AJ126" s="31"/>
      <c r="AK126" s="31"/>
      <c r="AL126" s="31">
        <v>0.0</v>
      </c>
      <c r="AM126" s="31"/>
      <c r="AN126" s="31"/>
      <c r="AO126" s="31"/>
      <c r="AP126" s="31"/>
      <c r="AQ126" s="31"/>
      <c r="AR126" s="31"/>
      <c r="AS126" s="31">
        <v>0.0</v>
      </c>
      <c r="AT126" s="12">
        <f t="shared" si="24"/>
        <v>0</v>
      </c>
      <c r="AU126" s="18">
        <f t="shared" si="31"/>
        <v>128567.2</v>
      </c>
      <c r="AV126" s="18"/>
      <c r="AW126" s="18"/>
      <c r="AX126" s="12">
        <f t="shared" si="1"/>
        <v>0</v>
      </c>
      <c r="AY126" s="33"/>
      <c r="AZ126" s="33">
        <v>0.0</v>
      </c>
      <c r="BA126" s="28">
        <f t="shared" si="32"/>
        <v>12072.41</v>
      </c>
      <c r="BB126" s="34">
        <f t="shared" si="16"/>
        <v>338949.8909</v>
      </c>
      <c r="BC126" s="16">
        <f t="shared" si="22"/>
        <v>58914.85</v>
      </c>
      <c r="BD126" s="35"/>
      <c r="BE126" s="35"/>
      <c r="BF126" s="36"/>
      <c r="BG126" s="36"/>
      <c r="BH126" s="36"/>
      <c r="BI126" s="29">
        <f t="shared" si="26"/>
        <v>14728.47517</v>
      </c>
      <c r="BJ126" s="36"/>
      <c r="BK126" s="15">
        <f t="shared" si="17"/>
        <v>0</v>
      </c>
      <c r="BN126" s="16">
        <f t="shared" si="14"/>
        <v>-14728.47517</v>
      </c>
      <c r="BO126" s="16">
        <f t="shared" si="29"/>
        <v>-14480.1869</v>
      </c>
      <c r="BY126" s="6">
        <f t="shared" si="2"/>
        <v>2024</v>
      </c>
      <c r="BZ126" s="6" t="str">
        <f t="shared" si="3"/>
        <v>febrero</v>
      </c>
      <c r="CA126" s="6" t="str">
        <f t="shared" si="4"/>
        <v>2</v>
      </c>
    </row>
    <row r="127">
      <c r="A127" s="8">
        <v>45334.0</v>
      </c>
      <c r="B127" s="24"/>
      <c r="C127" s="24"/>
      <c r="D127" s="24"/>
      <c r="E127" s="24"/>
      <c r="F127" s="24"/>
      <c r="G127" s="24"/>
      <c r="H127" s="24"/>
      <c r="I127" s="24">
        <v>7580.0</v>
      </c>
      <c r="J127" s="24">
        <v>3229.93</v>
      </c>
      <c r="K127" s="24"/>
      <c r="L127" s="24">
        <v>0.0</v>
      </c>
      <c r="M127" s="24">
        <v>0.0</v>
      </c>
      <c r="N127" s="24">
        <v>0.0</v>
      </c>
      <c r="O127" s="25">
        <f t="shared" si="30"/>
        <v>10809.93</v>
      </c>
      <c r="P127" s="25"/>
      <c r="Q127" s="25"/>
      <c r="R127" s="25"/>
      <c r="S127" s="25"/>
      <c r="T127" s="25"/>
      <c r="U127" s="25"/>
      <c r="V127" s="25">
        <v>1902.1</v>
      </c>
      <c r="W127" s="25"/>
      <c r="X127" s="25"/>
      <c r="Y127" s="25"/>
      <c r="Z127" s="25"/>
      <c r="AA127" s="25"/>
      <c r="AB127" s="25"/>
      <c r="AC127" s="25">
        <v>566.29</v>
      </c>
      <c r="AD127" s="25"/>
      <c r="AE127" s="25"/>
      <c r="AF127" s="25"/>
      <c r="AG127" s="25"/>
      <c r="AH127" s="25"/>
      <c r="AI127" s="25"/>
      <c r="AJ127" s="25"/>
      <c r="AK127" s="25"/>
      <c r="AL127" s="25">
        <v>984.53</v>
      </c>
      <c r="AM127" s="25"/>
      <c r="AN127" s="25"/>
      <c r="AO127" s="25"/>
      <c r="AP127" s="25"/>
      <c r="AQ127" s="25"/>
      <c r="AR127" s="25"/>
      <c r="AS127" s="25">
        <v>2808.0</v>
      </c>
      <c r="AT127" s="12">
        <f t="shared" si="24"/>
        <v>17070.85</v>
      </c>
      <c r="AU127" s="18">
        <f t="shared" si="31"/>
        <v>145638.05</v>
      </c>
      <c r="AV127" s="18"/>
      <c r="AW127" s="18"/>
      <c r="AX127" s="12">
        <f t="shared" si="1"/>
        <v>17070.85</v>
      </c>
      <c r="AY127" s="27"/>
      <c r="AZ127" s="27">
        <v>3693.52</v>
      </c>
      <c r="BA127" s="28">
        <f t="shared" si="32"/>
        <v>15765.93</v>
      </c>
      <c r="BB127" s="34">
        <f t="shared" si="16"/>
        <v>351958.6208</v>
      </c>
      <c r="BC127" s="16">
        <f t="shared" si="22"/>
        <v>58914.85</v>
      </c>
      <c r="BD127" s="35"/>
      <c r="BE127" s="35"/>
      <c r="BF127" s="36"/>
      <c r="BG127" s="36"/>
      <c r="BH127" s="36"/>
      <c r="BI127" s="29">
        <f t="shared" si="26"/>
        <v>14728.47517</v>
      </c>
      <c r="BJ127" s="36"/>
      <c r="BK127" s="15">
        <f t="shared" si="17"/>
        <v>1.159037158</v>
      </c>
      <c r="BN127" s="16">
        <f t="shared" si="14"/>
        <v>2342.374828</v>
      </c>
      <c r="BO127" s="16">
        <f t="shared" si="29"/>
        <v>-12137.81207</v>
      </c>
      <c r="BY127" s="6">
        <f t="shared" si="2"/>
        <v>2024</v>
      </c>
      <c r="BZ127" s="6" t="str">
        <f t="shared" si="3"/>
        <v>febrero</v>
      </c>
      <c r="CA127" s="6" t="str">
        <f t="shared" si="4"/>
        <v>2</v>
      </c>
    </row>
    <row r="128">
      <c r="A128" s="8">
        <v>45335.0</v>
      </c>
      <c r="B128" s="30"/>
      <c r="C128" s="30"/>
      <c r="D128" s="30"/>
      <c r="E128" s="30"/>
      <c r="F128" s="30"/>
      <c r="G128" s="30"/>
      <c r="H128" s="30"/>
      <c r="I128" s="30">
        <v>7345.62</v>
      </c>
      <c r="J128" s="30">
        <v>4910.84</v>
      </c>
      <c r="K128" s="30"/>
      <c r="L128" s="30">
        <v>0.0</v>
      </c>
      <c r="M128" s="30">
        <v>0.0</v>
      </c>
      <c r="N128" s="30">
        <v>0.0</v>
      </c>
      <c r="O128" s="25">
        <f t="shared" si="30"/>
        <v>12256.46</v>
      </c>
      <c r="P128" s="31"/>
      <c r="Q128" s="31"/>
      <c r="R128" s="31"/>
      <c r="S128" s="31"/>
      <c r="T128" s="31"/>
      <c r="U128" s="31"/>
      <c r="V128" s="31">
        <v>1693.99</v>
      </c>
      <c r="W128" s="31"/>
      <c r="X128" s="31"/>
      <c r="Y128" s="31"/>
      <c r="Z128" s="31"/>
      <c r="AA128" s="31"/>
      <c r="AB128" s="31"/>
      <c r="AC128" s="31">
        <v>69.24</v>
      </c>
      <c r="AD128" s="31"/>
      <c r="AE128" s="31"/>
      <c r="AF128" s="31"/>
      <c r="AG128" s="31"/>
      <c r="AH128" s="31"/>
      <c r="AI128" s="31"/>
      <c r="AJ128" s="31"/>
      <c r="AK128" s="31"/>
      <c r="AL128" s="31">
        <v>748.99</v>
      </c>
      <c r="AM128" s="31"/>
      <c r="AN128" s="31"/>
      <c r="AO128" s="31"/>
      <c r="AP128" s="31"/>
      <c r="AQ128" s="31"/>
      <c r="AR128" s="31"/>
      <c r="AS128" s="31">
        <v>0.0</v>
      </c>
      <c r="AT128" s="12">
        <f t="shared" si="24"/>
        <v>14768.68</v>
      </c>
      <c r="AU128" s="18">
        <f t="shared" si="31"/>
        <v>160406.73</v>
      </c>
      <c r="AV128" s="18"/>
      <c r="AW128" s="18"/>
      <c r="AX128" s="12">
        <f t="shared" si="1"/>
        <v>14768.68</v>
      </c>
      <c r="AY128" s="37"/>
      <c r="AZ128" s="37">
        <v>3349.27</v>
      </c>
      <c r="BA128" s="28">
        <f t="shared" si="32"/>
        <v>19115.2</v>
      </c>
      <c r="BB128" s="34">
        <f t="shared" si="16"/>
        <v>357830.3977</v>
      </c>
      <c r="BC128" s="16">
        <f t="shared" si="22"/>
        <v>58914.85</v>
      </c>
      <c r="BD128" s="35"/>
      <c r="BE128" s="35"/>
      <c r="BF128" s="36"/>
      <c r="BG128" s="36"/>
      <c r="BH128" s="36"/>
      <c r="BI128" s="29">
        <f t="shared" si="26"/>
        <v>14728.47517</v>
      </c>
      <c r="BJ128" s="36"/>
      <c r="BK128" s="15">
        <f t="shared" si="17"/>
        <v>1.002729735</v>
      </c>
      <c r="BN128" s="16">
        <f t="shared" si="14"/>
        <v>40.20482759</v>
      </c>
      <c r="BO128" s="16">
        <f t="shared" si="29"/>
        <v>-12097.60724</v>
      </c>
      <c r="BY128" s="6">
        <f t="shared" si="2"/>
        <v>2024</v>
      </c>
      <c r="BZ128" s="6" t="str">
        <f t="shared" si="3"/>
        <v>febrero</v>
      </c>
      <c r="CA128" s="6" t="str">
        <f t="shared" si="4"/>
        <v>2</v>
      </c>
    </row>
    <row r="129">
      <c r="A129" s="8">
        <v>45336.0</v>
      </c>
      <c r="B129" s="25"/>
      <c r="C129" s="25"/>
      <c r="D129" s="25"/>
      <c r="E129" s="25"/>
      <c r="F129" s="25"/>
      <c r="G129" s="25"/>
      <c r="H129" s="25"/>
      <c r="I129" s="25">
        <v>7053.41</v>
      </c>
      <c r="J129" s="25">
        <v>4574.75</v>
      </c>
      <c r="K129" s="25"/>
      <c r="L129" s="25">
        <v>6659.75</v>
      </c>
      <c r="M129" s="25">
        <v>1314.81</v>
      </c>
      <c r="N129" s="25">
        <v>0.0</v>
      </c>
      <c r="O129" s="25">
        <f t="shared" si="30"/>
        <v>19602.72</v>
      </c>
      <c r="P129" s="25"/>
      <c r="Q129" s="25"/>
      <c r="R129" s="25"/>
      <c r="S129" s="25"/>
      <c r="T129" s="25"/>
      <c r="U129" s="25"/>
      <c r="V129" s="25">
        <v>2279.53</v>
      </c>
      <c r="W129" s="25"/>
      <c r="X129" s="25"/>
      <c r="Y129" s="25"/>
      <c r="Z129" s="25"/>
      <c r="AA129" s="25"/>
      <c r="AB129" s="25"/>
      <c r="AC129" s="25">
        <v>300.0</v>
      </c>
      <c r="AD129" s="38"/>
      <c r="AE129" s="38"/>
      <c r="AF129" s="38"/>
      <c r="AG129" s="38"/>
      <c r="AH129" s="38"/>
      <c r="AI129" s="38"/>
      <c r="AJ129" s="38"/>
      <c r="AK129" s="38"/>
      <c r="AL129" s="38">
        <v>8901.69</v>
      </c>
      <c r="AM129" s="25"/>
      <c r="AN129" s="25"/>
      <c r="AO129" s="25"/>
      <c r="AP129" s="25"/>
      <c r="AQ129" s="25"/>
      <c r="AR129" s="25"/>
      <c r="AS129" s="25">
        <v>0.0</v>
      </c>
      <c r="AT129" s="12">
        <f t="shared" si="24"/>
        <v>31083.94</v>
      </c>
      <c r="AU129" s="18">
        <f t="shared" si="31"/>
        <v>191490.67</v>
      </c>
      <c r="AV129" s="18"/>
      <c r="AW129" s="18"/>
      <c r="AX129" s="12">
        <f t="shared" si="1"/>
        <v>31083.94</v>
      </c>
      <c r="AY129" s="25"/>
      <c r="AZ129" s="25">
        <v>2727.11</v>
      </c>
      <c r="BA129" s="28">
        <f t="shared" si="32"/>
        <v>21842.31</v>
      </c>
      <c r="BB129" s="34">
        <f t="shared" si="16"/>
        <v>396659.245</v>
      </c>
      <c r="BC129" s="16">
        <f t="shared" si="22"/>
        <v>58914.85</v>
      </c>
      <c r="BD129" s="35"/>
      <c r="BE129" s="35"/>
      <c r="BF129" s="36"/>
      <c r="BG129" s="36"/>
      <c r="BH129" s="36"/>
      <c r="BI129" s="29">
        <f t="shared" si="26"/>
        <v>14728.47517</v>
      </c>
      <c r="BJ129" s="36"/>
      <c r="BK129" s="15">
        <f t="shared" si="17"/>
        <v>2.110465587</v>
      </c>
      <c r="BN129" s="16">
        <f t="shared" si="14"/>
        <v>16355.46483</v>
      </c>
      <c r="BO129" s="16">
        <f t="shared" si="29"/>
        <v>4257.857586</v>
      </c>
      <c r="BY129" s="6">
        <f t="shared" si="2"/>
        <v>2024</v>
      </c>
      <c r="BZ129" s="6" t="str">
        <f t="shared" si="3"/>
        <v>febrero</v>
      </c>
      <c r="CA129" s="6" t="str">
        <f t="shared" si="4"/>
        <v>2</v>
      </c>
    </row>
    <row r="130">
      <c r="A130" s="8">
        <v>45337.0</v>
      </c>
      <c r="B130" s="31"/>
      <c r="C130" s="31"/>
      <c r="D130" s="31"/>
      <c r="E130" s="31"/>
      <c r="F130" s="31"/>
      <c r="G130" s="31"/>
      <c r="H130" s="31"/>
      <c r="I130" s="31">
        <v>1922.01</v>
      </c>
      <c r="J130" s="31">
        <v>786.73</v>
      </c>
      <c r="K130" s="31"/>
      <c r="L130" s="31">
        <v>0.0</v>
      </c>
      <c r="M130" s="31">
        <v>0.0</v>
      </c>
      <c r="N130" s="31">
        <v>0.0</v>
      </c>
      <c r="O130" s="25">
        <f t="shared" si="30"/>
        <v>2708.74</v>
      </c>
      <c r="P130" s="31"/>
      <c r="Q130" s="31"/>
      <c r="R130" s="31"/>
      <c r="S130" s="31"/>
      <c r="T130" s="31"/>
      <c r="U130" s="31"/>
      <c r="V130" s="31">
        <v>1625.73</v>
      </c>
      <c r="W130" s="31"/>
      <c r="X130" s="31"/>
      <c r="Y130" s="31"/>
      <c r="Z130" s="31"/>
      <c r="AA130" s="31"/>
      <c r="AB130" s="31"/>
      <c r="AC130" s="31">
        <v>1104.27</v>
      </c>
      <c r="AD130" s="31"/>
      <c r="AE130" s="31"/>
      <c r="AF130" s="31"/>
      <c r="AG130" s="31"/>
      <c r="AH130" s="31"/>
      <c r="AI130" s="31"/>
      <c r="AJ130" s="31"/>
      <c r="AK130" s="31"/>
      <c r="AL130" s="31">
        <v>1162.46</v>
      </c>
      <c r="AM130" s="31"/>
      <c r="AN130" s="31"/>
      <c r="AO130" s="31"/>
      <c r="AP130" s="31"/>
      <c r="AQ130" s="31"/>
      <c r="AR130" s="31"/>
      <c r="AS130" s="31">
        <v>6734.0</v>
      </c>
      <c r="AT130" s="12">
        <f t="shared" si="24"/>
        <v>13335.2</v>
      </c>
      <c r="AU130" s="18">
        <f t="shared" si="31"/>
        <v>204825.87</v>
      </c>
      <c r="AV130" s="18"/>
      <c r="AW130" s="18"/>
      <c r="AX130" s="12">
        <f t="shared" si="1"/>
        <v>13335.2</v>
      </c>
      <c r="AY130" s="31"/>
      <c r="AZ130" s="31">
        <v>616.26</v>
      </c>
      <c r="BA130" s="28">
        <f t="shared" si="32"/>
        <v>22458.57</v>
      </c>
      <c r="BB130" s="34">
        <f t="shared" si="16"/>
        <v>395996.682</v>
      </c>
      <c r="BC130" s="16">
        <f t="shared" si="22"/>
        <v>58914.85</v>
      </c>
      <c r="BD130" s="35"/>
      <c r="BE130" s="35"/>
      <c r="BF130" s="36"/>
      <c r="BG130" s="36"/>
      <c r="BH130" s="36"/>
      <c r="BI130" s="29">
        <f t="shared" si="26"/>
        <v>14728.47517</v>
      </c>
      <c r="BJ130" s="36"/>
      <c r="BK130" s="15">
        <f t="shared" si="17"/>
        <v>0.9054026193</v>
      </c>
      <c r="BN130" s="16">
        <f t="shared" si="14"/>
        <v>-1393.275172</v>
      </c>
      <c r="BO130" s="16">
        <f t="shared" si="29"/>
        <v>2864.582414</v>
      </c>
      <c r="BY130" s="6">
        <f t="shared" si="2"/>
        <v>2024</v>
      </c>
      <c r="BZ130" s="6" t="str">
        <f t="shared" si="3"/>
        <v>febrero</v>
      </c>
      <c r="CA130" s="6" t="str">
        <f t="shared" si="4"/>
        <v>2</v>
      </c>
    </row>
    <row r="131">
      <c r="A131" s="8">
        <v>45338.0</v>
      </c>
      <c r="B131" s="25"/>
      <c r="C131" s="25"/>
      <c r="D131" s="25"/>
      <c r="E131" s="25"/>
      <c r="F131" s="25"/>
      <c r="G131" s="25"/>
      <c r="H131" s="25"/>
      <c r="I131" s="25">
        <v>10033.1</v>
      </c>
      <c r="J131" s="25">
        <v>4012.16</v>
      </c>
      <c r="K131" s="25"/>
      <c r="L131" s="25">
        <v>0.0</v>
      </c>
      <c r="M131" s="25">
        <v>0.0</v>
      </c>
      <c r="N131" s="25">
        <v>0.0</v>
      </c>
      <c r="O131" s="25">
        <f t="shared" si="30"/>
        <v>14045.26</v>
      </c>
      <c r="P131" s="25"/>
      <c r="Q131" s="25"/>
      <c r="R131" s="25"/>
      <c r="S131" s="25"/>
      <c r="T131" s="25"/>
      <c r="U131" s="25"/>
      <c r="V131" s="25">
        <v>2817.26</v>
      </c>
      <c r="W131" s="25"/>
      <c r="X131" s="25"/>
      <c r="Y131" s="25"/>
      <c r="Z131" s="25"/>
      <c r="AA131" s="25"/>
      <c r="AB131" s="25"/>
      <c r="AC131" s="25">
        <v>1050.87</v>
      </c>
      <c r="AD131" s="38"/>
      <c r="AE131" s="38"/>
      <c r="AF131" s="38">
        <v>236.0</v>
      </c>
      <c r="AG131" s="38">
        <v>286.61</v>
      </c>
      <c r="AH131" s="25"/>
      <c r="AI131" s="25"/>
      <c r="AJ131" s="25"/>
      <c r="AK131" s="25"/>
      <c r="AL131" s="25">
        <f>AF131+AG131</f>
        <v>522.61</v>
      </c>
      <c r="AM131" s="25"/>
      <c r="AN131" s="25"/>
      <c r="AO131" s="25"/>
      <c r="AP131" s="25"/>
      <c r="AQ131" s="25"/>
      <c r="AR131" s="25"/>
      <c r="AS131" s="25">
        <v>0.0</v>
      </c>
      <c r="AT131" s="12">
        <f t="shared" si="24"/>
        <v>18958.61</v>
      </c>
      <c r="AU131" s="18">
        <f t="shared" si="31"/>
        <v>223784.48</v>
      </c>
      <c r="AV131" s="18"/>
      <c r="AW131" s="18"/>
      <c r="AX131" s="12">
        <f t="shared" si="1"/>
        <v>18958.61</v>
      </c>
      <c r="AY131" s="25"/>
      <c r="AZ131" s="25">
        <v>4561.24</v>
      </c>
      <c r="BA131" s="28">
        <f t="shared" si="32"/>
        <v>27019.81</v>
      </c>
      <c r="BB131" s="34">
        <f t="shared" si="16"/>
        <v>405609.37</v>
      </c>
      <c r="BC131" s="16">
        <f t="shared" si="22"/>
        <v>58914.85</v>
      </c>
      <c r="BD131" s="35"/>
      <c r="BE131" s="35"/>
      <c r="BF131" s="36"/>
      <c r="BG131" s="36"/>
      <c r="BH131" s="36"/>
      <c r="BI131" s="29">
        <f t="shared" si="26"/>
        <v>14728.47517</v>
      </c>
      <c r="BJ131" s="36"/>
      <c r="BK131" s="15">
        <f t="shared" si="17"/>
        <v>1.287207927</v>
      </c>
      <c r="BN131" s="16">
        <f t="shared" si="14"/>
        <v>4230.134828</v>
      </c>
      <c r="BO131" s="16">
        <f t="shared" si="29"/>
        <v>7094.717241</v>
      </c>
      <c r="BY131" s="6">
        <f t="shared" si="2"/>
        <v>2024</v>
      </c>
      <c r="BZ131" s="6" t="str">
        <f t="shared" si="3"/>
        <v>febrero</v>
      </c>
      <c r="CA131" s="6" t="str">
        <f t="shared" si="4"/>
        <v>2</v>
      </c>
    </row>
    <row r="132">
      <c r="A132" s="8">
        <v>45339.0</v>
      </c>
      <c r="B132" s="31"/>
      <c r="C132" s="31"/>
      <c r="D132" s="31"/>
      <c r="E132" s="31"/>
      <c r="F132" s="31"/>
      <c r="G132" s="31"/>
      <c r="H132" s="31"/>
      <c r="I132" s="31">
        <v>0.0</v>
      </c>
      <c r="J132" s="31">
        <v>0.0</v>
      </c>
      <c r="K132" s="31"/>
      <c r="L132" s="31">
        <v>0.0</v>
      </c>
      <c r="M132" s="31">
        <v>0.0</v>
      </c>
      <c r="N132" s="31">
        <v>0.0</v>
      </c>
      <c r="O132" s="25">
        <f t="shared" si="30"/>
        <v>0</v>
      </c>
      <c r="P132" s="12"/>
      <c r="Q132" s="12"/>
      <c r="R132" s="12"/>
      <c r="S132" s="12"/>
      <c r="T132" s="12"/>
      <c r="U132" s="12"/>
      <c r="V132" s="12">
        <v>0.0</v>
      </c>
      <c r="W132" s="12"/>
      <c r="X132" s="12"/>
      <c r="Y132" s="12"/>
      <c r="Z132" s="12"/>
      <c r="AA132" s="12"/>
      <c r="AB132" s="12"/>
      <c r="AC132" s="12">
        <v>0.0</v>
      </c>
      <c r="AD132" s="12"/>
      <c r="AE132" s="12"/>
      <c r="AF132" s="12"/>
      <c r="AG132" s="12"/>
      <c r="AH132" s="12"/>
      <c r="AI132" s="12"/>
      <c r="AJ132" s="12"/>
      <c r="AK132" s="12"/>
      <c r="AL132" s="12">
        <v>0.0</v>
      </c>
      <c r="AM132" s="12"/>
      <c r="AN132" s="12"/>
      <c r="AO132" s="12"/>
      <c r="AP132" s="12"/>
      <c r="AQ132" s="12"/>
      <c r="AR132" s="12"/>
      <c r="AS132" s="12">
        <v>0.0</v>
      </c>
      <c r="AT132" s="12">
        <f t="shared" si="24"/>
        <v>0</v>
      </c>
      <c r="AU132" s="18">
        <f t="shared" si="31"/>
        <v>223784.48</v>
      </c>
      <c r="AV132" s="18"/>
      <c r="AW132" s="18"/>
      <c r="AX132" s="12">
        <f t="shared" si="1"/>
        <v>0</v>
      </c>
      <c r="AY132" s="39"/>
      <c r="AZ132" s="39">
        <v>0.0</v>
      </c>
      <c r="BA132" s="28">
        <f t="shared" si="32"/>
        <v>27019.81</v>
      </c>
      <c r="BB132" s="34">
        <f t="shared" si="16"/>
        <v>381749.9953</v>
      </c>
      <c r="BC132" s="16">
        <f t="shared" si="22"/>
        <v>58914.85</v>
      </c>
      <c r="BD132" s="35"/>
      <c r="BE132" s="35"/>
      <c r="BF132" s="36"/>
      <c r="BG132" s="36"/>
      <c r="BH132" s="36"/>
      <c r="BI132" s="29">
        <f t="shared" si="26"/>
        <v>14728.47517</v>
      </c>
      <c r="BJ132" s="36"/>
      <c r="BK132" s="15">
        <f t="shared" si="17"/>
        <v>0</v>
      </c>
      <c r="BN132" s="16">
        <f t="shared" si="14"/>
        <v>-14728.47517</v>
      </c>
      <c r="BO132" s="16">
        <f t="shared" si="29"/>
        <v>-7633.757931</v>
      </c>
      <c r="BY132" s="6">
        <f t="shared" si="2"/>
        <v>2024</v>
      </c>
      <c r="BZ132" s="6" t="str">
        <f t="shared" si="3"/>
        <v>febrero</v>
      </c>
      <c r="CA132" s="6" t="str">
        <f t="shared" si="4"/>
        <v>2</v>
      </c>
    </row>
    <row r="133">
      <c r="A133" s="8">
        <v>45340.0</v>
      </c>
      <c r="B133" s="25"/>
      <c r="C133" s="25"/>
      <c r="D133" s="25"/>
      <c r="E133" s="25"/>
      <c r="F133" s="25"/>
      <c r="G133" s="25"/>
      <c r="H133" s="25"/>
      <c r="I133" s="25">
        <v>0.0</v>
      </c>
      <c r="J133" s="25">
        <v>0.0</v>
      </c>
      <c r="K133" s="25"/>
      <c r="L133" s="25">
        <v>0.0</v>
      </c>
      <c r="M133" s="25">
        <v>0.0</v>
      </c>
      <c r="N133" s="25">
        <v>0.0</v>
      </c>
      <c r="O133" s="25">
        <f t="shared" si="30"/>
        <v>0</v>
      </c>
      <c r="P133" s="12"/>
      <c r="Q133" s="12"/>
      <c r="R133" s="12"/>
      <c r="S133" s="12"/>
      <c r="T133" s="12"/>
      <c r="U133" s="12"/>
      <c r="V133" s="12">
        <v>0.0</v>
      </c>
      <c r="W133" s="12"/>
      <c r="X133" s="12"/>
      <c r="Y133" s="12"/>
      <c r="Z133" s="12"/>
      <c r="AA133" s="12"/>
      <c r="AB133" s="12"/>
      <c r="AC133" s="12">
        <v>0.0</v>
      </c>
      <c r="AD133" s="12"/>
      <c r="AE133" s="12"/>
      <c r="AF133" s="12"/>
      <c r="AG133" s="12"/>
      <c r="AH133" s="12"/>
      <c r="AI133" s="12"/>
      <c r="AJ133" s="12"/>
      <c r="AK133" s="12"/>
      <c r="AL133" s="12">
        <v>0.0</v>
      </c>
      <c r="AM133" s="12"/>
      <c r="AN133" s="12"/>
      <c r="AO133" s="12"/>
      <c r="AP133" s="12"/>
      <c r="AQ133" s="12"/>
      <c r="AR133" s="12"/>
      <c r="AS133" s="12">
        <v>0.0</v>
      </c>
      <c r="AT133" s="12">
        <f t="shared" si="24"/>
        <v>0</v>
      </c>
      <c r="AU133" s="18">
        <f t="shared" si="31"/>
        <v>223784.48</v>
      </c>
      <c r="AV133" s="18"/>
      <c r="AW133" s="18"/>
      <c r="AX133" s="12">
        <f t="shared" si="1"/>
        <v>0</v>
      </c>
      <c r="AY133" s="39"/>
      <c r="AZ133" s="39">
        <v>0.0</v>
      </c>
      <c r="BA133" s="28">
        <f t="shared" si="32"/>
        <v>27019.81</v>
      </c>
      <c r="BB133" s="34">
        <f t="shared" si="16"/>
        <v>360541.6622</v>
      </c>
      <c r="BC133" s="16">
        <f t="shared" si="22"/>
        <v>58914.85</v>
      </c>
      <c r="BD133" s="35"/>
      <c r="BE133" s="35"/>
      <c r="BF133" s="36"/>
      <c r="BG133" s="36"/>
      <c r="BH133" s="36"/>
      <c r="BI133" s="29">
        <f t="shared" si="26"/>
        <v>14728.47517</v>
      </c>
      <c r="BJ133" s="36"/>
      <c r="BK133" s="15">
        <f t="shared" si="17"/>
        <v>0</v>
      </c>
      <c r="BN133" s="16">
        <f t="shared" si="14"/>
        <v>-14728.47517</v>
      </c>
      <c r="BO133" s="16">
        <f t="shared" si="29"/>
        <v>-22362.2331</v>
      </c>
      <c r="BY133" s="6">
        <f t="shared" si="2"/>
        <v>2024</v>
      </c>
      <c r="BZ133" s="6" t="str">
        <f t="shared" si="3"/>
        <v>febrero</v>
      </c>
      <c r="CA133" s="6" t="str">
        <f t="shared" si="4"/>
        <v>2</v>
      </c>
    </row>
    <row r="134">
      <c r="A134" s="8">
        <v>45341.0</v>
      </c>
      <c r="B134" s="25"/>
      <c r="C134" s="25"/>
      <c r="D134" s="25"/>
      <c r="E134" s="25"/>
      <c r="F134" s="25"/>
      <c r="G134" s="25"/>
      <c r="H134" s="25"/>
      <c r="I134" s="25">
        <v>0.0</v>
      </c>
      <c r="J134" s="25">
        <v>0.0</v>
      </c>
      <c r="K134" s="25"/>
      <c r="L134" s="25">
        <v>0.0</v>
      </c>
      <c r="M134" s="25">
        <v>0.0</v>
      </c>
      <c r="N134" s="25">
        <v>0.0</v>
      </c>
      <c r="O134" s="25">
        <f t="shared" si="30"/>
        <v>0</v>
      </c>
      <c r="P134" s="12"/>
      <c r="Q134" s="12"/>
      <c r="R134" s="12"/>
      <c r="S134" s="12"/>
      <c r="T134" s="12"/>
      <c r="U134" s="12"/>
      <c r="V134" s="12">
        <v>0.0</v>
      </c>
      <c r="W134" s="12"/>
      <c r="X134" s="12"/>
      <c r="Y134" s="12"/>
      <c r="Z134" s="12"/>
      <c r="AA134" s="12"/>
      <c r="AB134" s="12"/>
      <c r="AC134" s="12">
        <v>1100.0</v>
      </c>
      <c r="AD134" s="12"/>
      <c r="AE134" s="12"/>
      <c r="AF134" s="12"/>
      <c r="AG134" s="12"/>
      <c r="AH134" s="12"/>
      <c r="AI134" s="12"/>
      <c r="AJ134" s="12"/>
      <c r="AK134" s="12"/>
      <c r="AL134" s="12">
        <v>0.0</v>
      </c>
      <c r="AM134" s="12"/>
      <c r="AN134" s="12"/>
      <c r="AO134" s="12"/>
      <c r="AP134" s="12"/>
      <c r="AQ134" s="12"/>
      <c r="AR134" s="12"/>
      <c r="AS134" s="12">
        <v>3469.0</v>
      </c>
      <c r="AT134" s="12">
        <f t="shared" si="24"/>
        <v>4569</v>
      </c>
      <c r="AU134" s="18">
        <f t="shared" si="31"/>
        <v>228353.48</v>
      </c>
      <c r="AV134" s="18"/>
      <c r="AW134" s="18"/>
      <c r="AX134" s="12">
        <f t="shared" si="1"/>
        <v>4569</v>
      </c>
      <c r="AY134" s="39"/>
      <c r="AZ134" s="39">
        <v>0.0</v>
      </c>
      <c r="BA134" s="28">
        <f t="shared" si="32"/>
        <v>27019.81</v>
      </c>
      <c r="BB134" s="34">
        <f t="shared" si="16"/>
        <v>348539.5221</v>
      </c>
      <c r="BC134" s="16">
        <f t="shared" si="22"/>
        <v>58914.85</v>
      </c>
      <c r="BD134" s="35"/>
      <c r="BE134" s="35"/>
      <c r="BF134" s="36"/>
      <c r="BG134" s="36"/>
      <c r="BH134" s="36"/>
      <c r="BI134" s="29">
        <f t="shared" si="26"/>
        <v>14728.47517</v>
      </c>
      <c r="BJ134" s="36"/>
      <c r="BK134" s="15">
        <f t="shared" si="17"/>
        <v>0.3102154124</v>
      </c>
      <c r="BN134" s="16">
        <f t="shared" si="14"/>
        <v>-10159.47517</v>
      </c>
      <c r="BO134" s="16">
        <f t="shared" si="29"/>
        <v>-32521.70828</v>
      </c>
      <c r="BY134" s="6">
        <f t="shared" si="2"/>
        <v>2024</v>
      </c>
      <c r="BZ134" s="6" t="str">
        <f t="shared" si="3"/>
        <v>febrero</v>
      </c>
      <c r="CA134" s="6" t="str">
        <f t="shared" si="4"/>
        <v>2</v>
      </c>
    </row>
    <row r="135">
      <c r="A135" s="8">
        <v>45342.0</v>
      </c>
      <c r="B135" s="12"/>
      <c r="C135" s="12"/>
      <c r="D135" s="12"/>
      <c r="E135" s="12"/>
      <c r="F135" s="12"/>
      <c r="G135" s="12"/>
      <c r="H135" s="12"/>
      <c r="I135" s="12">
        <v>1327.25</v>
      </c>
      <c r="J135" s="12">
        <v>0.0</v>
      </c>
      <c r="K135" s="12"/>
      <c r="L135" s="12">
        <v>0.0</v>
      </c>
      <c r="M135" s="12">
        <v>0.0</v>
      </c>
      <c r="N135" s="12">
        <v>0.0</v>
      </c>
      <c r="O135" s="25">
        <f t="shared" si="30"/>
        <v>1327.25</v>
      </c>
      <c r="P135" s="12"/>
      <c r="Q135" s="12"/>
      <c r="R135" s="12"/>
      <c r="S135" s="12"/>
      <c r="T135" s="12"/>
      <c r="U135" s="12"/>
      <c r="V135" s="12">
        <v>558.06</v>
      </c>
      <c r="W135" s="12"/>
      <c r="X135" s="12"/>
      <c r="Y135" s="12"/>
      <c r="Z135" s="12"/>
      <c r="AA135" s="12"/>
      <c r="AB135" s="12"/>
      <c r="AC135" s="12">
        <v>0.0</v>
      </c>
      <c r="AD135" s="12"/>
      <c r="AE135" s="12"/>
      <c r="AF135" s="12"/>
      <c r="AG135" s="12"/>
      <c r="AH135" s="12"/>
      <c r="AI135" s="12"/>
      <c r="AJ135" s="12"/>
      <c r="AK135" s="12"/>
      <c r="AL135" s="12">
        <v>0.0</v>
      </c>
      <c r="AM135" s="12"/>
      <c r="AN135" s="12"/>
      <c r="AO135" s="12"/>
      <c r="AP135" s="12"/>
      <c r="AQ135" s="12"/>
      <c r="AR135" s="12"/>
      <c r="AS135" s="12">
        <v>0.0</v>
      </c>
      <c r="AT135" s="12">
        <f t="shared" si="24"/>
        <v>1885.31</v>
      </c>
      <c r="AU135" s="18">
        <f t="shared" si="31"/>
        <v>230238.79</v>
      </c>
      <c r="AV135" s="18"/>
      <c r="AW135" s="18"/>
      <c r="AX135" s="12">
        <f t="shared" si="1"/>
        <v>1885.31</v>
      </c>
      <c r="AY135" s="39"/>
      <c r="AZ135" s="39">
        <v>157.78</v>
      </c>
      <c r="BA135" s="28">
        <f t="shared" si="32"/>
        <v>27177.59</v>
      </c>
      <c r="BB135" s="34">
        <f t="shared" si="16"/>
        <v>333846.2455</v>
      </c>
      <c r="BC135" s="16">
        <f t="shared" si="22"/>
        <v>58914.85</v>
      </c>
      <c r="BD135" s="35"/>
      <c r="BE135" s="35"/>
      <c r="BF135" s="36"/>
      <c r="BG135" s="36"/>
      <c r="BH135" s="36"/>
      <c r="BI135" s="29">
        <f t="shared" si="26"/>
        <v>14728.47517</v>
      </c>
      <c r="BJ135" s="36"/>
      <c r="BK135" s="15">
        <f t="shared" si="17"/>
        <v>0.1280044253</v>
      </c>
      <c r="BN135" s="16">
        <f t="shared" si="14"/>
        <v>-12843.16517</v>
      </c>
      <c r="BO135" s="16">
        <f t="shared" si="29"/>
        <v>-45364.87345</v>
      </c>
      <c r="BY135" s="6">
        <f t="shared" si="2"/>
        <v>2024</v>
      </c>
      <c r="BZ135" s="6" t="str">
        <f t="shared" si="3"/>
        <v>febrero</v>
      </c>
      <c r="CA135" s="6" t="str">
        <f t="shared" si="4"/>
        <v>2</v>
      </c>
    </row>
    <row r="136">
      <c r="A136" s="8">
        <v>45343.0</v>
      </c>
      <c r="B136" s="12"/>
      <c r="C136" s="12"/>
      <c r="D136" s="12"/>
      <c r="E136" s="12"/>
      <c r="F136" s="12"/>
      <c r="G136" s="12"/>
      <c r="H136" s="12"/>
      <c r="I136" s="12">
        <v>19063.16</v>
      </c>
      <c r="J136" s="12">
        <v>2740.07</v>
      </c>
      <c r="K136" s="12"/>
      <c r="L136" s="12">
        <v>9.91</v>
      </c>
      <c r="M136" s="12">
        <v>0.0</v>
      </c>
      <c r="N136" s="12">
        <v>0.0</v>
      </c>
      <c r="O136" s="25">
        <f t="shared" si="30"/>
        <v>21813.14</v>
      </c>
      <c r="P136" s="12"/>
      <c r="Q136" s="12"/>
      <c r="R136" s="12"/>
      <c r="S136" s="12"/>
      <c r="T136" s="12"/>
      <c r="U136" s="12"/>
      <c r="V136" s="12">
        <v>3377.91</v>
      </c>
      <c r="W136" s="12"/>
      <c r="X136" s="12"/>
      <c r="Y136" s="12"/>
      <c r="Z136" s="12"/>
      <c r="AA136" s="12"/>
      <c r="AB136" s="12"/>
      <c r="AC136" s="12">
        <v>1177.61</v>
      </c>
      <c r="AD136" s="12"/>
      <c r="AE136" s="12"/>
      <c r="AF136" s="12"/>
      <c r="AG136" s="12"/>
      <c r="AH136" s="12"/>
      <c r="AI136" s="12"/>
      <c r="AJ136" s="12"/>
      <c r="AK136" s="12"/>
      <c r="AL136" s="12">
        <v>1547.97</v>
      </c>
      <c r="AM136" s="12"/>
      <c r="AN136" s="12"/>
      <c r="AO136" s="12"/>
      <c r="AP136" s="12"/>
      <c r="AQ136" s="12"/>
      <c r="AR136" s="12"/>
      <c r="AS136" s="12">
        <v>0.0</v>
      </c>
      <c r="AT136" s="12">
        <f t="shared" si="24"/>
        <v>27916.63</v>
      </c>
      <c r="AU136" s="18">
        <f t="shared" si="31"/>
        <v>258155.42</v>
      </c>
      <c r="AV136" s="18"/>
      <c r="AW136" s="18"/>
      <c r="AX136" s="12">
        <f t="shared" si="1"/>
        <v>27916.63</v>
      </c>
      <c r="AY136" s="39"/>
      <c r="AZ136" s="39">
        <v>3104.63</v>
      </c>
      <c r="BA136" s="28">
        <f t="shared" si="32"/>
        <v>30282.22</v>
      </c>
      <c r="BB136" s="34">
        <f t="shared" si="16"/>
        <v>356500.3419</v>
      </c>
      <c r="BC136" s="16">
        <f t="shared" si="22"/>
        <v>58914.85</v>
      </c>
      <c r="BD136" s="35"/>
      <c r="BE136" s="35"/>
      <c r="BF136" s="36"/>
      <c r="BG136" s="36"/>
      <c r="BH136" s="36"/>
      <c r="BI136" s="29">
        <f t="shared" si="26"/>
        <v>14728.47517</v>
      </c>
      <c r="BJ136" s="36"/>
      <c r="BK136" s="15">
        <f t="shared" si="17"/>
        <v>1.895418886</v>
      </c>
      <c r="BN136" s="16">
        <f t="shared" si="14"/>
        <v>13188.15483</v>
      </c>
      <c r="BO136" s="16">
        <f t="shared" si="29"/>
        <v>-32176.71862</v>
      </c>
      <c r="BY136" s="6">
        <f t="shared" si="2"/>
        <v>2024</v>
      </c>
      <c r="BZ136" s="6" t="str">
        <f t="shared" si="3"/>
        <v>febrero</v>
      </c>
      <c r="CA136" s="6" t="str">
        <f t="shared" si="4"/>
        <v>2</v>
      </c>
    </row>
    <row r="137">
      <c r="A137" s="8">
        <v>45344.0</v>
      </c>
      <c r="B137" s="12"/>
      <c r="C137" s="12"/>
      <c r="D137" s="12"/>
      <c r="E137" s="12"/>
      <c r="F137" s="12"/>
      <c r="G137" s="12"/>
      <c r="H137" s="12"/>
      <c r="I137" s="12">
        <v>14655.58</v>
      </c>
      <c r="J137" s="12">
        <v>1550.48</v>
      </c>
      <c r="K137" s="12"/>
      <c r="L137" s="12">
        <v>0.0</v>
      </c>
      <c r="M137" s="12">
        <v>0.0</v>
      </c>
      <c r="N137" s="12">
        <v>0.0</v>
      </c>
      <c r="O137" s="25">
        <f t="shared" si="30"/>
        <v>16206.06</v>
      </c>
      <c r="P137" s="12"/>
      <c r="Q137" s="12"/>
      <c r="R137" s="12"/>
      <c r="S137" s="12"/>
      <c r="T137" s="12"/>
      <c r="U137" s="12"/>
      <c r="V137" s="12">
        <v>4363.33</v>
      </c>
      <c r="W137" s="12"/>
      <c r="X137" s="12"/>
      <c r="Y137" s="12"/>
      <c r="Z137" s="12"/>
      <c r="AA137" s="12"/>
      <c r="AB137" s="12"/>
      <c r="AC137" s="12">
        <v>9.94</v>
      </c>
      <c r="AD137" s="12"/>
      <c r="AE137" s="12"/>
      <c r="AF137" s="12"/>
      <c r="AG137" s="12"/>
      <c r="AH137" s="12"/>
      <c r="AI137" s="12"/>
      <c r="AJ137" s="12"/>
      <c r="AK137" s="12"/>
      <c r="AL137" s="12">
        <v>1250.26</v>
      </c>
      <c r="AM137" s="12"/>
      <c r="AN137" s="12"/>
      <c r="AO137" s="12"/>
      <c r="AP137" s="12"/>
      <c r="AQ137" s="12"/>
      <c r="AR137" s="12"/>
      <c r="AS137" s="12">
        <v>0.0</v>
      </c>
      <c r="AT137" s="12">
        <f t="shared" si="24"/>
        <v>21829.59</v>
      </c>
      <c r="AU137" s="18">
        <f t="shared" si="31"/>
        <v>279985.01</v>
      </c>
      <c r="AV137" s="18"/>
      <c r="AW137" s="18"/>
      <c r="AX137" s="12">
        <f t="shared" si="1"/>
        <v>21829.59</v>
      </c>
      <c r="AY137" s="39"/>
      <c r="AZ137" s="39">
        <v>7652.55</v>
      </c>
      <c r="BA137" s="28">
        <f t="shared" si="32"/>
        <v>37934.77</v>
      </c>
      <c r="BB137" s="34">
        <f t="shared" si="16"/>
        <v>369071.1495</v>
      </c>
      <c r="BC137" s="16">
        <f t="shared" si="22"/>
        <v>58914.85</v>
      </c>
      <c r="BD137" s="35"/>
      <c r="BE137" s="35"/>
      <c r="BF137" s="36"/>
      <c r="BG137" s="36"/>
      <c r="BH137" s="36"/>
      <c r="BI137" s="29">
        <f t="shared" si="26"/>
        <v>14728.47517</v>
      </c>
      <c r="BJ137" s="36"/>
      <c r="BK137" s="15">
        <f t="shared" si="17"/>
        <v>1.482135098</v>
      </c>
      <c r="BN137" s="16">
        <f t="shared" si="14"/>
        <v>7101.114828</v>
      </c>
      <c r="BO137" s="16">
        <f t="shared" si="29"/>
        <v>-25075.60379</v>
      </c>
      <c r="BY137" s="6">
        <f t="shared" si="2"/>
        <v>2024</v>
      </c>
      <c r="BZ137" s="6" t="str">
        <f t="shared" si="3"/>
        <v>febrero</v>
      </c>
      <c r="CA137" s="6" t="str">
        <f t="shared" si="4"/>
        <v>2</v>
      </c>
    </row>
    <row r="138">
      <c r="A138" s="8">
        <v>45345.0</v>
      </c>
      <c r="B138" s="12"/>
      <c r="C138" s="12"/>
      <c r="D138" s="12"/>
      <c r="E138" s="12"/>
      <c r="F138" s="12"/>
      <c r="G138" s="12"/>
      <c r="H138" s="12"/>
      <c r="I138" s="12">
        <v>14322.24</v>
      </c>
      <c r="J138" s="12">
        <v>10199.31</v>
      </c>
      <c r="K138" s="12"/>
      <c r="L138" s="12">
        <v>0.0</v>
      </c>
      <c r="M138" s="12">
        <v>0.0</v>
      </c>
      <c r="N138" s="12">
        <v>0.0</v>
      </c>
      <c r="O138" s="25">
        <f t="shared" si="30"/>
        <v>24521.55</v>
      </c>
      <c r="P138" s="12"/>
      <c r="Q138" s="12"/>
      <c r="R138" s="12"/>
      <c r="S138" s="12"/>
      <c r="T138" s="12"/>
      <c r="U138" s="12"/>
      <c r="V138" s="12">
        <v>3365.34</v>
      </c>
      <c r="W138" s="12"/>
      <c r="X138" s="12"/>
      <c r="Y138" s="12"/>
      <c r="Z138" s="12"/>
      <c r="AA138" s="12"/>
      <c r="AB138" s="12"/>
      <c r="AC138" s="12">
        <v>403.86</v>
      </c>
      <c r="AD138" s="12"/>
      <c r="AE138" s="12"/>
      <c r="AF138" s="12"/>
      <c r="AG138" s="12"/>
      <c r="AH138" s="12"/>
      <c r="AI138" s="12"/>
      <c r="AJ138" s="12"/>
      <c r="AK138" s="12"/>
      <c r="AL138" s="12">
        <v>2670.03</v>
      </c>
      <c r="AM138" s="12"/>
      <c r="AN138" s="12"/>
      <c r="AO138" s="12"/>
      <c r="AP138" s="12"/>
      <c r="AQ138" s="12"/>
      <c r="AR138" s="12"/>
      <c r="AS138" s="12">
        <v>0.0</v>
      </c>
      <c r="AT138" s="12">
        <f t="shared" si="24"/>
        <v>30960.78</v>
      </c>
      <c r="AU138" s="18">
        <f t="shared" si="31"/>
        <v>310945.79</v>
      </c>
      <c r="AV138" s="18"/>
      <c r="AW138" s="18"/>
      <c r="AX138" s="12">
        <f t="shared" si="1"/>
        <v>30960.78</v>
      </c>
      <c r="AY138" s="39"/>
      <c r="AZ138" s="39">
        <v>1772.6</v>
      </c>
      <c r="BA138" s="28">
        <f t="shared" si="32"/>
        <v>39707.37</v>
      </c>
      <c r="BB138" s="34">
        <f t="shared" si="16"/>
        <v>392062.083</v>
      </c>
      <c r="BC138" s="16">
        <f t="shared" si="22"/>
        <v>58914.85</v>
      </c>
      <c r="BD138" s="35"/>
      <c r="BE138" s="35"/>
      <c r="BF138" s="36"/>
      <c r="BG138" s="36"/>
      <c r="BH138" s="36"/>
      <c r="BI138" s="29">
        <f t="shared" si="26"/>
        <v>14728.47517</v>
      </c>
      <c r="BJ138" s="36"/>
      <c r="BK138" s="15">
        <f t="shared" si="17"/>
        <v>2.102103554</v>
      </c>
      <c r="BN138" s="16">
        <f t="shared" si="14"/>
        <v>16232.30483</v>
      </c>
      <c r="BO138" s="16">
        <f t="shared" si="29"/>
        <v>-8843.298966</v>
      </c>
      <c r="BY138" s="6">
        <f t="shared" si="2"/>
        <v>2024</v>
      </c>
      <c r="BZ138" s="6" t="str">
        <f t="shared" si="3"/>
        <v>febrero</v>
      </c>
      <c r="CA138" s="6" t="str">
        <f t="shared" si="4"/>
        <v>2</v>
      </c>
    </row>
    <row r="139">
      <c r="A139" s="8">
        <v>45346.0</v>
      </c>
      <c r="B139" s="12"/>
      <c r="C139" s="12"/>
      <c r="D139" s="12"/>
      <c r="E139" s="12"/>
      <c r="F139" s="12"/>
      <c r="G139" s="12"/>
      <c r="H139" s="12"/>
      <c r="I139" s="12">
        <v>0.0</v>
      </c>
      <c r="J139" s="12">
        <v>0.0</v>
      </c>
      <c r="K139" s="12"/>
      <c r="L139" s="12">
        <v>0.0</v>
      </c>
      <c r="M139" s="12">
        <v>0.0</v>
      </c>
      <c r="N139" s="12">
        <v>0.0</v>
      </c>
      <c r="O139" s="25">
        <f t="shared" si="30"/>
        <v>0</v>
      </c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2">
        <f t="shared" si="24"/>
        <v>0</v>
      </c>
      <c r="AU139" s="18">
        <f t="shared" si="31"/>
        <v>310945.79</v>
      </c>
      <c r="AV139" s="18"/>
      <c r="AW139" s="18"/>
      <c r="AX139" s="12">
        <f t="shared" si="1"/>
        <v>0</v>
      </c>
      <c r="AY139" s="39"/>
      <c r="AZ139" s="39">
        <v>0.0</v>
      </c>
      <c r="BA139" s="28">
        <f t="shared" si="32"/>
        <v>39707.37</v>
      </c>
      <c r="BB139" s="34">
        <f t="shared" si="16"/>
        <v>375726.1629</v>
      </c>
      <c r="BC139" s="16">
        <f t="shared" si="22"/>
        <v>58914.85</v>
      </c>
      <c r="BD139" s="35"/>
      <c r="BE139" s="35"/>
      <c r="BF139" s="36"/>
      <c r="BG139" s="36"/>
      <c r="BH139" s="36"/>
      <c r="BI139" s="29">
        <f t="shared" si="26"/>
        <v>14728.47517</v>
      </c>
      <c r="BJ139" s="36"/>
      <c r="BK139" s="15">
        <f t="shared" si="17"/>
        <v>0</v>
      </c>
      <c r="BN139" s="16">
        <f t="shared" si="14"/>
        <v>-14728.47517</v>
      </c>
      <c r="BO139" s="16">
        <f t="shared" si="29"/>
        <v>-23571.77414</v>
      </c>
      <c r="BY139" s="6">
        <f t="shared" si="2"/>
        <v>2024</v>
      </c>
      <c r="BZ139" s="6" t="str">
        <f t="shared" si="3"/>
        <v>febrero</v>
      </c>
      <c r="CA139" s="6" t="str">
        <f t="shared" si="4"/>
        <v>2</v>
      </c>
    </row>
    <row r="140">
      <c r="A140" s="8">
        <v>45347.0</v>
      </c>
      <c r="B140" s="12"/>
      <c r="C140" s="12"/>
      <c r="D140" s="12"/>
      <c r="E140" s="12"/>
      <c r="F140" s="12"/>
      <c r="G140" s="12"/>
      <c r="H140" s="12"/>
      <c r="I140" s="12">
        <v>0.0</v>
      </c>
      <c r="J140" s="12">
        <v>0.0</v>
      </c>
      <c r="K140" s="12"/>
      <c r="L140" s="12">
        <v>0.0</v>
      </c>
      <c r="M140" s="12">
        <v>0.0</v>
      </c>
      <c r="N140" s="12">
        <v>0.0</v>
      </c>
      <c r="O140" s="25">
        <f t="shared" si="30"/>
        <v>0</v>
      </c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2">
        <f t="shared" si="24"/>
        <v>0</v>
      </c>
      <c r="AU140" s="18">
        <f t="shared" si="31"/>
        <v>310945.79</v>
      </c>
      <c r="AV140" s="18"/>
      <c r="AW140" s="18"/>
      <c r="AX140" s="12">
        <f t="shared" si="1"/>
        <v>0</v>
      </c>
      <c r="AY140" s="39"/>
      <c r="AZ140" s="39">
        <v>0.0</v>
      </c>
      <c r="BA140" s="28">
        <f t="shared" si="32"/>
        <v>39707.37</v>
      </c>
      <c r="BB140" s="34">
        <f t="shared" si="16"/>
        <v>360697.1164</v>
      </c>
      <c r="BC140" s="16">
        <f t="shared" si="22"/>
        <v>58914.85</v>
      </c>
      <c r="BD140" s="35"/>
      <c r="BE140" s="35"/>
      <c r="BF140" s="36"/>
      <c r="BG140" s="36"/>
      <c r="BH140" s="36"/>
      <c r="BI140" s="29">
        <f t="shared" si="26"/>
        <v>14728.47517</v>
      </c>
      <c r="BJ140" s="36"/>
      <c r="BK140" s="15">
        <f t="shared" si="17"/>
        <v>0</v>
      </c>
      <c r="BN140" s="16">
        <f t="shared" si="14"/>
        <v>-14728.47517</v>
      </c>
      <c r="BO140" s="16">
        <f t="shared" si="29"/>
        <v>-38300.24931</v>
      </c>
      <c r="BY140" s="6">
        <f t="shared" si="2"/>
        <v>2024</v>
      </c>
      <c r="BZ140" s="6" t="str">
        <f t="shared" si="3"/>
        <v>febrero</v>
      </c>
      <c r="CA140" s="6" t="str">
        <f t="shared" si="4"/>
        <v>2</v>
      </c>
    </row>
    <row r="141">
      <c r="A141" s="8">
        <v>45348.0</v>
      </c>
      <c r="B141" s="12"/>
      <c r="C141" s="12"/>
      <c r="D141" s="12"/>
      <c r="E141" s="12"/>
      <c r="F141" s="12"/>
      <c r="G141" s="12"/>
      <c r="H141" s="12"/>
      <c r="I141" s="12">
        <v>6283.28</v>
      </c>
      <c r="J141" s="12">
        <v>944.51</v>
      </c>
      <c r="K141" s="12"/>
      <c r="L141" s="12">
        <v>14270.03</v>
      </c>
      <c r="M141" s="12">
        <v>0.0</v>
      </c>
      <c r="N141" s="12">
        <v>0.0</v>
      </c>
      <c r="O141" s="25">
        <f t="shared" si="30"/>
        <v>21497.82</v>
      </c>
      <c r="P141" s="12"/>
      <c r="Q141" s="12"/>
      <c r="R141" s="12"/>
      <c r="S141" s="12"/>
      <c r="T141" s="12"/>
      <c r="U141" s="12"/>
      <c r="V141" s="12">
        <v>1448.62</v>
      </c>
      <c r="W141" s="12"/>
      <c r="X141" s="12"/>
      <c r="Y141" s="12"/>
      <c r="Z141" s="12"/>
      <c r="AA141" s="12"/>
      <c r="AB141" s="12"/>
      <c r="AC141" s="12">
        <v>1900.27</v>
      </c>
      <c r="AD141" s="12"/>
      <c r="AE141" s="12"/>
      <c r="AF141" s="12"/>
      <c r="AG141" s="12"/>
      <c r="AH141" s="12"/>
      <c r="AI141" s="12"/>
      <c r="AJ141" s="12"/>
      <c r="AK141" s="12"/>
      <c r="AL141" s="12">
        <v>18513.15</v>
      </c>
      <c r="AM141" s="12"/>
      <c r="AN141" s="12"/>
      <c r="AO141" s="12"/>
      <c r="AP141" s="12"/>
      <c r="AQ141" s="12"/>
      <c r="AR141" s="12"/>
      <c r="AS141" s="12">
        <v>16505.0</v>
      </c>
      <c r="AT141" s="12">
        <f t="shared" si="24"/>
        <v>59864.86</v>
      </c>
      <c r="AU141" s="18">
        <f t="shared" si="31"/>
        <v>370810.65</v>
      </c>
      <c r="AV141" s="18"/>
      <c r="AW141" s="18"/>
      <c r="AX141" s="12">
        <f t="shared" si="1"/>
        <v>59864.86</v>
      </c>
      <c r="AY141" s="39"/>
      <c r="AZ141" s="39">
        <v>13278.78</v>
      </c>
      <c r="BA141" s="28">
        <f t="shared" si="32"/>
        <v>52986.15</v>
      </c>
      <c r="BB141" s="34">
        <f t="shared" si="16"/>
        <v>413596.4942</v>
      </c>
      <c r="BC141" s="16">
        <f t="shared" si="22"/>
        <v>58914.85</v>
      </c>
      <c r="BD141" s="35"/>
      <c r="BE141" s="35"/>
      <c r="BF141" s="36"/>
      <c r="BG141" s="36"/>
      <c r="BH141" s="36"/>
      <c r="BI141" s="29">
        <f t="shared" si="26"/>
        <v>14728.47517</v>
      </c>
      <c r="BJ141" s="36"/>
      <c r="BK141" s="15">
        <f t="shared" si="17"/>
        <v>4.06456604</v>
      </c>
      <c r="BN141" s="16">
        <f t="shared" si="14"/>
        <v>45136.38483</v>
      </c>
      <c r="BO141" s="16">
        <f t="shared" si="29"/>
        <v>6836.135517</v>
      </c>
      <c r="BY141" s="6">
        <f t="shared" si="2"/>
        <v>2024</v>
      </c>
      <c r="BZ141" s="6" t="str">
        <f t="shared" si="3"/>
        <v>febrero</v>
      </c>
      <c r="CA141" s="6" t="str">
        <f t="shared" si="4"/>
        <v>2</v>
      </c>
    </row>
    <row r="142">
      <c r="A142" s="8">
        <v>45349.0</v>
      </c>
      <c r="B142" s="12"/>
      <c r="C142" s="12"/>
      <c r="D142" s="12"/>
      <c r="E142" s="12"/>
      <c r="F142" s="12"/>
      <c r="G142" s="12"/>
      <c r="H142" s="12"/>
      <c r="I142" s="12">
        <v>4803.48</v>
      </c>
      <c r="J142" s="12">
        <v>1886.95</v>
      </c>
      <c r="K142" s="12"/>
      <c r="L142" s="12">
        <v>6659.99</v>
      </c>
      <c r="M142" s="12">
        <v>0.0</v>
      </c>
      <c r="N142" s="12">
        <v>0.0</v>
      </c>
      <c r="O142" s="16">
        <f t="shared" ref="O142:O285" si="33">+N142+M142+L142+J142+I142</f>
        <v>13350.42</v>
      </c>
      <c r="P142" s="12"/>
      <c r="Q142" s="12"/>
      <c r="R142" s="12"/>
      <c r="S142" s="12"/>
      <c r="T142" s="12"/>
      <c r="U142" s="12"/>
      <c r="V142" s="12">
        <v>899.88</v>
      </c>
      <c r="W142" s="12"/>
      <c r="X142" s="12"/>
      <c r="Y142" s="12"/>
      <c r="Z142" s="12"/>
      <c r="AA142" s="12"/>
      <c r="AB142" s="12"/>
      <c r="AC142" s="12">
        <v>30.8</v>
      </c>
      <c r="AD142" s="12"/>
      <c r="AE142" s="12"/>
      <c r="AF142" s="12"/>
      <c r="AG142" s="12"/>
      <c r="AH142" s="12"/>
      <c r="AI142" s="12"/>
      <c r="AJ142" s="12"/>
      <c r="AK142" s="12"/>
      <c r="AL142" s="12">
        <v>16383.12</v>
      </c>
      <c r="AM142" s="12"/>
      <c r="AN142" s="12"/>
      <c r="AO142" s="12"/>
      <c r="AP142" s="12"/>
      <c r="AQ142" s="12"/>
      <c r="AR142" s="12"/>
      <c r="AS142" s="12">
        <v>0.0</v>
      </c>
      <c r="AT142" s="16">
        <f t="shared" ref="AT142:AT143" si="34">AS142+AL142+AC142+V142+O142</f>
        <v>30664.22</v>
      </c>
      <c r="AU142" s="18">
        <f t="shared" si="31"/>
        <v>401474.87</v>
      </c>
      <c r="AV142" s="18"/>
      <c r="AW142" s="18"/>
      <c r="AX142" s="12">
        <f t="shared" si="1"/>
        <v>30664.22</v>
      </c>
      <c r="AY142" s="12"/>
      <c r="AZ142" s="12">
        <v>2360.27</v>
      </c>
      <c r="BA142" s="28">
        <f t="shared" si="32"/>
        <v>55346.42</v>
      </c>
      <c r="BB142" s="34">
        <f t="shared" si="16"/>
        <v>431213.7493</v>
      </c>
      <c r="BC142" s="16">
        <f t="shared" si="22"/>
        <v>58914.85</v>
      </c>
      <c r="BD142" s="16"/>
      <c r="BE142" s="16"/>
      <c r="BF142" s="6"/>
      <c r="BG142" s="6"/>
      <c r="BH142" s="6"/>
      <c r="BI142" s="29">
        <f t="shared" si="26"/>
        <v>14728.47517</v>
      </c>
      <c r="BK142" s="15">
        <f t="shared" si="17"/>
        <v>2.081968408</v>
      </c>
      <c r="BN142" s="16">
        <f t="shared" si="14"/>
        <v>15935.74483</v>
      </c>
      <c r="BO142" s="16">
        <f t="shared" si="29"/>
        <v>22771.88034</v>
      </c>
      <c r="BY142" s="6">
        <f t="shared" si="2"/>
        <v>2024</v>
      </c>
      <c r="BZ142" s="6" t="str">
        <f t="shared" si="3"/>
        <v>febrero</v>
      </c>
      <c r="CA142" s="6" t="str">
        <f t="shared" si="4"/>
        <v>2</v>
      </c>
    </row>
    <row r="143">
      <c r="A143" s="8">
        <v>45350.0</v>
      </c>
      <c r="B143" s="12"/>
      <c r="C143" s="12"/>
      <c r="D143" s="12"/>
      <c r="E143" s="12"/>
      <c r="F143" s="12"/>
      <c r="G143" s="12"/>
      <c r="H143" s="12">
        <f t="shared" ref="H143:H145" si="35">B143+C143+E143+F143+G143</f>
        <v>0</v>
      </c>
      <c r="I143" s="12">
        <v>4853.25</v>
      </c>
      <c r="J143" s="12">
        <v>2459.0</v>
      </c>
      <c r="K143" s="12"/>
      <c r="L143" s="12">
        <v>0.0</v>
      </c>
      <c r="M143" s="12">
        <v>0.0</v>
      </c>
      <c r="N143" s="12">
        <v>0.0</v>
      </c>
      <c r="O143" s="16">
        <f t="shared" si="33"/>
        <v>7312.25</v>
      </c>
      <c r="P143" s="12"/>
      <c r="Q143" s="12"/>
      <c r="R143" s="12"/>
      <c r="S143" s="12"/>
      <c r="T143" s="12"/>
      <c r="U143" s="12"/>
      <c r="V143" s="12">
        <v>2085.65</v>
      </c>
      <c r="W143" s="12"/>
      <c r="X143" s="12"/>
      <c r="Y143" s="12"/>
      <c r="Z143" s="12"/>
      <c r="AA143" s="12"/>
      <c r="AB143" s="12"/>
      <c r="AC143" s="12">
        <v>55.33</v>
      </c>
      <c r="AD143" s="12"/>
      <c r="AE143" s="12"/>
      <c r="AF143" s="12"/>
      <c r="AG143" s="12"/>
      <c r="AH143" s="12"/>
      <c r="AI143" s="12"/>
      <c r="AJ143" s="12"/>
      <c r="AK143" s="12"/>
      <c r="AL143" s="12">
        <v>353.99</v>
      </c>
      <c r="AM143" s="12"/>
      <c r="AN143" s="12"/>
      <c r="AO143" s="12"/>
      <c r="AP143" s="12"/>
      <c r="AQ143" s="12"/>
      <c r="AR143" s="12"/>
      <c r="AS143" s="12">
        <v>0.0</v>
      </c>
      <c r="AT143" s="16">
        <f t="shared" si="34"/>
        <v>9807.22</v>
      </c>
      <c r="AU143" s="18">
        <f t="shared" si="31"/>
        <v>411282.09</v>
      </c>
      <c r="AV143" s="18"/>
      <c r="AW143" s="18"/>
      <c r="AX143" s="12">
        <f t="shared" si="1"/>
        <v>9807.22</v>
      </c>
      <c r="AY143" s="12"/>
      <c r="AZ143" s="12">
        <v>0.0</v>
      </c>
      <c r="BA143" s="28">
        <f t="shared" si="32"/>
        <v>55346.42</v>
      </c>
      <c r="BB143" s="34">
        <f t="shared" si="16"/>
        <v>425970.7361</v>
      </c>
      <c r="BC143" s="16">
        <f t="shared" si="22"/>
        <v>58914.85</v>
      </c>
      <c r="BD143" s="16"/>
      <c r="BE143" s="16"/>
      <c r="BF143" s="6"/>
      <c r="BG143" s="6"/>
      <c r="BH143" s="6"/>
      <c r="BI143" s="29">
        <f t="shared" ref="BI143:BI144" si="36">IF(AT143="","",$BG$85/DAY(EOMONTH(A143,0)))</f>
        <v>14728.47517</v>
      </c>
      <c r="BJ143" s="6"/>
      <c r="BK143" s="15">
        <f t="shared" si="17"/>
        <v>0.6658679792</v>
      </c>
      <c r="BN143" s="16">
        <f t="shared" si="14"/>
        <v>-4921.255172</v>
      </c>
      <c r="BO143" s="16">
        <f t="shared" si="29"/>
        <v>17850.62517</v>
      </c>
      <c r="BY143" s="6">
        <f t="shared" si="2"/>
        <v>2024</v>
      </c>
      <c r="BZ143" s="6" t="str">
        <f t="shared" si="3"/>
        <v>febrero</v>
      </c>
      <c r="CA143" s="6" t="str">
        <f t="shared" si="4"/>
        <v>2</v>
      </c>
    </row>
    <row r="144">
      <c r="A144" s="8">
        <v>45351.0</v>
      </c>
      <c r="B144" s="12">
        <v>28168.0</v>
      </c>
      <c r="C144" s="12">
        <v>17543.53</v>
      </c>
      <c r="D144" s="12"/>
      <c r="E144" s="12">
        <v>0.0</v>
      </c>
      <c r="F144" s="12">
        <v>0.0</v>
      </c>
      <c r="G144" s="12">
        <v>0.0</v>
      </c>
      <c r="H144" s="12">
        <f t="shared" si="35"/>
        <v>45711.53</v>
      </c>
      <c r="I144" s="12">
        <v>21595.82</v>
      </c>
      <c r="J144" s="12">
        <v>19629.64</v>
      </c>
      <c r="K144" s="12"/>
      <c r="L144" s="12">
        <v>0.0</v>
      </c>
      <c r="M144" s="12">
        <v>0.0</v>
      </c>
      <c r="N144" s="12">
        <v>0.0</v>
      </c>
      <c r="O144" s="16">
        <f t="shared" si="33"/>
        <v>41225.46</v>
      </c>
      <c r="P144" s="12">
        <v>4618.05</v>
      </c>
      <c r="Q144" s="12">
        <v>2286.39</v>
      </c>
      <c r="R144" s="12"/>
      <c r="S144" s="12">
        <v>0.0</v>
      </c>
      <c r="T144" s="12">
        <v>0.0</v>
      </c>
      <c r="U144" s="12">
        <v>0.0</v>
      </c>
      <c r="V144" s="16">
        <f t="shared" ref="V144:V285" si="37">P144+Q144+S144+T144+U144</f>
        <v>6904.44</v>
      </c>
      <c r="W144" s="12">
        <v>3108.54</v>
      </c>
      <c r="X144" s="12">
        <v>0.0</v>
      </c>
      <c r="Y144" s="12"/>
      <c r="Z144" s="12">
        <v>0.0</v>
      </c>
      <c r="AA144" s="12">
        <v>0.0</v>
      </c>
      <c r="AB144" s="12">
        <v>0.0</v>
      </c>
      <c r="AC144" s="16">
        <f t="shared" ref="AC144:AC285" si="38">W144+X144+Z144+AA144+AB144</f>
        <v>3108.54</v>
      </c>
      <c r="AD144" s="12"/>
      <c r="AE144" s="12"/>
      <c r="AF144" s="12">
        <v>311.17</v>
      </c>
      <c r="AG144" s="12">
        <v>903.82</v>
      </c>
      <c r="AH144" s="12"/>
      <c r="AI144" s="12">
        <v>0.0</v>
      </c>
      <c r="AJ144" s="12">
        <v>0.0</v>
      </c>
      <c r="AK144" s="12">
        <v>0.0</v>
      </c>
      <c r="AL144" s="16">
        <f t="shared" ref="AL144:AL166" si="39">AF144+AG144+AI144+AJ144+AK144</f>
        <v>1214.99</v>
      </c>
      <c r="AM144" s="12">
        <v>26231.0</v>
      </c>
      <c r="AN144" s="12">
        <v>0.0</v>
      </c>
      <c r="AO144" s="12"/>
      <c r="AP144" s="12">
        <v>0.0</v>
      </c>
      <c r="AQ144" s="12">
        <v>0.0</v>
      </c>
      <c r="AR144" s="12">
        <v>0.0</v>
      </c>
      <c r="AS144" s="16">
        <f t="shared" ref="AS144:AS145" si="40">AM144+AN144+AP144+AQ144+AR144</f>
        <v>26231</v>
      </c>
      <c r="AT144" s="16">
        <f t="shared" ref="AT144:AT145" si="41">IF(AS144+AL144+AC144+V144+O144=0,"",AS144+AL144+AC144+V144+O144)</f>
        <v>78684.43</v>
      </c>
      <c r="AU144" s="18">
        <f t="shared" si="31"/>
        <v>489966.52</v>
      </c>
      <c r="AV144" s="18"/>
      <c r="AW144" s="18"/>
      <c r="AX144" s="12">
        <f t="shared" si="1"/>
        <v>78684.43</v>
      </c>
      <c r="AY144" s="12"/>
      <c r="AZ144" s="12">
        <v>2057.33</v>
      </c>
      <c r="BA144" s="28">
        <f t="shared" si="32"/>
        <v>57403.75</v>
      </c>
      <c r="BB144" s="10">
        <f t="shared" si="16"/>
        <v>489966.52</v>
      </c>
      <c r="BC144" s="16">
        <f t="shared" si="22"/>
        <v>58914.85</v>
      </c>
      <c r="BD144" s="16"/>
      <c r="BE144" s="16"/>
      <c r="BF144" s="6"/>
      <c r="BG144" s="6"/>
      <c r="BH144" s="6"/>
      <c r="BI144" s="29">
        <f t="shared" si="36"/>
        <v>14728.47517</v>
      </c>
      <c r="BK144" s="15">
        <f t="shared" si="17"/>
        <v>5.34233375</v>
      </c>
      <c r="BN144" s="16">
        <f t="shared" si="14"/>
        <v>63955.95483</v>
      </c>
      <c r="BO144" s="16">
        <f t="shared" si="29"/>
        <v>81806.58</v>
      </c>
      <c r="BY144" s="6">
        <f t="shared" si="2"/>
        <v>2024</v>
      </c>
      <c r="BZ144" s="6" t="str">
        <f t="shared" si="3"/>
        <v>febrero</v>
      </c>
      <c r="CA144" s="6" t="str">
        <f t="shared" si="4"/>
        <v>2</v>
      </c>
    </row>
    <row r="145">
      <c r="A145" s="8">
        <v>45352.0</v>
      </c>
      <c r="B145" s="12">
        <v>984.87</v>
      </c>
      <c r="C145" s="12">
        <v>1517.74</v>
      </c>
      <c r="D145" s="12"/>
      <c r="E145" s="12">
        <v>0.0</v>
      </c>
      <c r="F145" s="12">
        <v>0.0</v>
      </c>
      <c r="G145" s="12">
        <v>0.0</v>
      </c>
      <c r="H145" s="12">
        <f t="shared" si="35"/>
        <v>2502.61</v>
      </c>
      <c r="I145" s="12">
        <v>338.25</v>
      </c>
      <c r="J145" s="12">
        <v>91.57</v>
      </c>
      <c r="K145" s="12"/>
      <c r="L145" s="12">
        <v>0.0</v>
      </c>
      <c r="M145" s="12">
        <v>0.0</v>
      </c>
      <c r="N145" s="12">
        <v>0.0</v>
      </c>
      <c r="O145" s="16">
        <f t="shared" si="33"/>
        <v>429.82</v>
      </c>
      <c r="P145" s="12">
        <v>297.62</v>
      </c>
      <c r="Q145" s="12">
        <v>81.02</v>
      </c>
      <c r="R145" s="12"/>
      <c r="S145" s="12">
        <v>0.0</v>
      </c>
      <c r="T145" s="12">
        <v>0.0</v>
      </c>
      <c r="U145" s="12">
        <v>0.0</v>
      </c>
      <c r="V145" s="16">
        <f t="shared" si="37"/>
        <v>378.64</v>
      </c>
      <c r="W145" s="12">
        <v>0.0</v>
      </c>
      <c r="X145" s="12">
        <v>0.0</v>
      </c>
      <c r="Y145" s="12"/>
      <c r="Z145" s="12">
        <v>0.0</v>
      </c>
      <c r="AA145" s="12">
        <v>0.0</v>
      </c>
      <c r="AB145" s="12">
        <v>0.0</v>
      </c>
      <c r="AC145" s="16">
        <f t="shared" si="38"/>
        <v>0</v>
      </c>
      <c r="AD145" s="12"/>
      <c r="AE145" s="12"/>
      <c r="AF145" s="12">
        <v>0.0</v>
      </c>
      <c r="AG145" s="12">
        <v>0.49</v>
      </c>
      <c r="AH145" s="12"/>
      <c r="AI145" s="12">
        <v>0.0</v>
      </c>
      <c r="AJ145" s="12">
        <v>0.0</v>
      </c>
      <c r="AK145" s="12">
        <v>0.0</v>
      </c>
      <c r="AL145" s="16">
        <f t="shared" si="39"/>
        <v>0.49</v>
      </c>
      <c r="AM145" s="12">
        <v>0.0</v>
      </c>
      <c r="AN145" s="12">
        <v>0.0</v>
      </c>
      <c r="AO145" s="12"/>
      <c r="AP145" s="12">
        <v>0.0</v>
      </c>
      <c r="AQ145" s="12">
        <v>0.0</v>
      </c>
      <c r="AR145" s="12">
        <v>0.0</v>
      </c>
      <c r="AS145" s="16">
        <f t="shared" si="40"/>
        <v>0</v>
      </c>
      <c r="AT145" s="16">
        <f t="shared" si="41"/>
        <v>808.95</v>
      </c>
      <c r="AU145" s="18">
        <f>IF(AT145="","",AT145)</f>
        <v>808.95</v>
      </c>
      <c r="AV145" s="18"/>
      <c r="AW145" s="18"/>
      <c r="AX145" s="12">
        <f t="shared" si="1"/>
        <v>808.95</v>
      </c>
      <c r="AY145" s="12"/>
      <c r="AZ145" s="12">
        <v>0.0</v>
      </c>
      <c r="BA145" s="18">
        <f t="shared" ref="BA145:BA147" si="42">IF(AZ145="","",AZ145)</f>
        <v>0</v>
      </c>
      <c r="BB145" s="10">
        <f t="shared" si="16"/>
        <v>25077.45</v>
      </c>
      <c r="BC145" s="16">
        <f t="shared" si="22"/>
        <v>58914.85</v>
      </c>
      <c r="BD145" s="16"/>
      <c r="BE145" s="16"/>
      <c r="BF145" s="6"/>
      <c r="BG145" s="40">
        <v>470648.75</v>
      </c>
      <c r="BH145" s="6"/>
      <c r="BI145" s="29">
        <f t="shared" ref="BI145:BI175" si="43">IF(AT145="","",$BG$145/DAY(EOMONTH(A145,0)))</f>
        <v>15182.21774</v>
      </c>
      <c r="BJ145" s="6"/>
      <c r="BK145" s="15">
        <f t="shared" si="17"/>
        <v>0.05328272942</v>
      </c>
      <c r="BN145" s="16">
        <f t="shared" si="14"/>
        <v>-14373.26774</v>
      </c>
      <c r="BO145" s="16">
        <f>IF(AT145="","",BN145)</f>
        <v>-14373.26774</v>
      </c>
      <c r="BY145" s="6">
        <f t="shared" si="2"/>
        <v>2024</v>
      </c>
      <c r="BZ145" s="6" t="str">
        <f t="shared" si="3"/>
        <v>marzo</v>
      </c>
      <c r="CA145" s="6" t="str">
        <f t="shared" si="4"/>
        <v>3</v>
      </c>
    </row>
    <row r="146">
      <c r="A146" s="8">
        <v>45353.0</v>
      </c>
      <c r="B146" s="12">
        <v>0.0</v>
      </c>
      <c r="C146" s="12">
        <v>0.0</v>
      </c>
      <c r="D146" s="12"/>
      <c r="E146" s="12">
        <v>0.0</v>
      </c>
      <c r="F146" s="12">
        <v>0.0</v>
      </c>
      <c r="G146" s="12">
        <v>0.0</v>
      </c>
      <c r="H146" s="12">
        <v>0.0</v>
      </c>
      <c r="I146" s="12">
        <v>0.0</v>
      </c>
      <c r="J146" s="12">
        <v>0.0</v>
      </c>
      <c r="K146" s="12"/>
      <c r="L146" s="12">
        <v>0.0</v>
      </c>
      <c r="M146" s="12">
        <v>0.0</v>
      </c>
      <c r="N146" s="12">
        <v>0.0</v>
      </c>
      <c r="O146" s="16">
        <f t="shared" si="33"/>
        <v>0</v>
      </c>
      <c r="P146" s="12">
        <v>0.0</v>
      </c>
      <c r="Q146" s="12">
        <v>0.0</v>
      </c>
      <c r="R146" s="12"/>
      <c r="S146" s="12">
        <v>0.0</v>
      </c>
      <c r="T146" s="12">
        <v>0.0</v>
      </c>
      <c r="U146" s="12">
        <v>0.0</v>
      </c>
      <c r="V146" s="16">
        <f t="shared" si="37"/>
        <v>0</v>
      </c>
      <c r="W146" s="12">
        <v>0.0</v>
      </c>
      <c r="X146" s="12">
        <v>0.0</v>
      </c>
      <c r="Y146" s="12"/>
      <c r="Z146" s="12">
        <v>0.0</v>
      </c>
      <c r="AA146" s="12">
        <v>0.0</v>
      </c>
      <c r="AB146" s="12">
        <v>0.0</v>
      </c>
      <c r="AC146" s="16">
        <f t="shared" si="38"/>
        <v>0</v>
      </c>
      <c r="AD146" s="12"/>
      <c r="AE146" s="12"/>
      <c r="AF146" s="12">
        <v>0.0</v>
      </c>
      <c r="AG146" s="12">
        <v>0.0</v>
      </c>
      <c r="AH146" s="12"/>
      <c r="AI146" s="12">
        <v>0.0</v>
      </c>
      <c r="AJ146" s="12">
        <v>0.0</v>
      </c>
      <c r="AK146" s="12">
        <v>0.0</v>
      </c>
      <c r="AL146" s="16">
        <f t="shared" si="39"/>
        <v>0</v>
      </c>
      <c r="AM146" s="12">
        <v>0.0</v>
      </c>
      <c r="AN146" s="12">
        <v>0.0</v>
      </c>
      <c r="AO146" s="12"/>
      <c r="AP146" s="12">
        <v>0.0</v>
      </c>
      <c r="AQ146" s="12">
        <v>0.0</v>
      </c>
      <c r="AR146" s="12">
        <v>0.0</v>
      </c>
      <c r="AS146" s="12">
        <v>0.0</v>
      </c>
      <c r="AT146" s="5">
        <v>0.0</v>
      </c>
      <c r="AU146" s="18">
        <f t="shared" ref="AU146:AU175" si="44">IF(AT146="","",AT146)+AU145</f>
        <v>808.95</v>
      </c>
      <c r="AV146" s="18"/>
      <c r="AW146" s="18"/>
      <c r="AX146" s="12">
        <f t="shared" si="1"/>
        <v>0</v>
      </c>
      <c r="AY146" s="12"/>
      <c r="AZ146" s="12">
        <v>0.0</v>
      </c>
      <c r="BA146" s="18">
        <f t="shared" si="42"/>
        <v>0</v>
      </c>
      <c r="BB146" s="10">
        <f t="shared" si="16"/>
        <v>12538.725</v>
      </c>
      <c r="BC146" s="16">
        <f t="shared" si="22"/>
        <v>58914.85</v>
      </c>
      <c r="BD146" s="16"/>
      <c r="BE146" s="16"/>
      <c r="BF146" s="6"/>
      <c r="BG146" s="6"/>
      <c r="BH146" s="6"/>
      <c r="BI146" s="29">
        <f t="shared" si="43"/>
        <v>15182.21774</v>
      </c>
      <c r="BJ146" s="6"/>
      <c r="BK146" s="15">
        <f t="shared" si="17"/>
        <v>0</v>
      </c>
      <c r="BN146" s="41">
        <f t="shared" si="14"/>
        <v>-15182.21774</v>
      </c>
      <c r="BO146" s="16">
        <f t="shared" ref="BO146:BO175" si="45">IF(AT146="","",BO145+BN146)</f>
        <v>-29555.48548</v>
      </c>
      <c r="BY146" s="6">
        <f t="shared" si="2"/>
        <v>2024</v>
      </c>
      <c r="BZ146" s="6" t="str">
        <f t="shared" si="3"/>
        <v>marzo</v>
      </c>
      <c r="CA146" s="6" t="str">
        <f t="shared" si="4"/>
        <v>3</v>
      </c>
    </row>
    <row r="147">
      <c r="A147" s="8">
        <v>45354.0</v>
      </c>
      <c r="B147" s="12">
        <v>0.0</v>
      </c>
      <c r="C147" s="12">
        <v>0.0</v>
      </c>
      <c r="D147" s="12"/>
      <c r="E147" s="12">
        <v>0.0</v>
      </c>
      <c r="F147" s="12">
        <v>0.0</v>
      </c>
      <c r="G147" s="12">
        <v>0.0</v>
      </c>
      <c r="H147" s="12">
        <f t="shared" ref="H147:H285" si="46">B147+C147+E147+F147+G147</f>
        <v>0</v>
      </c>
      <c r="I147" s="12">
        <v>0.0</v>
      </c>
      <c r="J147" s="12">
        <v>0.0</v>
      </c>
      <c r="K147" s="12"/>
      <c r="L147" s="12">
        <v>0.0</v>
      </c>
      <c r="M147" s="12">
        <v>0.0</v>
      </c>
      <c r="N147" s="12">
        <v>0.0</v>
      </c>
      <c r="O147" s="16">
        <f t="shared" si="33"/>
        <v>0</v>
      </c>
      <c r="P147" s="12">
        <v>0.0</v>
      </c>
      <c r="Q147" s="12">
        <v>0.0</v>
      </c>
      <c r="R147" s="12"/>
      <c r="S147" s="12">
        <v>0.0</v>
      </c>
      <c r="T147" s="12">
        <v>0.0</v>
      </c>
      <c r="U147" s="12">
        <v>0.0</v>
      </c>
      <c r="V147" s="16">
        <f t="shared" si="37"/>
        <v>0</v>
      </c>
      <c r="W147" s="12">
        <v>0.0</v>
      </c>
      <c r="X147" s="12">
        <v>0.0</v>
      </c>
      <c r="Y147" s="12"/>
      <c r="Z147" s="12">
        <v>0.0</v>
      </c>
      <c r="AA147" s="12">
        <v>0.0</v>
      </c>
      <c r="AB147" s="12">
        <v>0.0</v>
      </c>
      <c r="AC147" s="16">
        <f t="shared" si="38"/>
        <v>0</v>
      </c>
      <c r="AD147" s="12"/>
      <c r="AE147" s="12"/>
      <c r="AF147" s="12">
        <v>0.0</v>
      </c>
      <c r="AG147" s="12">
        <v>0.0</v>
      </c>
      <c r="AH147" s="12"/>
      <c r="AI147" s="12">
        <v>0.0</v>
      </c>
      <c r="AJ147" s="12">
        <v>0.0</v>
      </c>
      <c r="AK147" s="12">
        <v>0.0</v>
      </c>
      <c r="AL147" s="16">
        <f t="shared" si="39"/>
        <v>0</v>
      </c>
      <c r="AM147" s="12">
        <v>0.0</v>
      </c>
      <c r="AN147" s="12">
        <v>0.0</v>
      </c>
      <c r="AO147" s="12"/>
      <c r="AP147" s="12">
        <v>0.0</v>
      </c>
      <c r="AQ147" s="12">
        <v>0.0</v>
      </c>
      <c r="AR147" s="12">
        <v>0.0</v>
      </c>
      <c r="AS147" s="12">
        <v>0.0</v>
      </c>
      <c r="AT147" s="5">
        <v>0.0</v>
      </c>
      <c r="AU147" s="18">
        <f t="shared" si="44"/>
        <v>808.95</v>
      </c>
      <c r="AV147" s="18"/>
      <c r="AW147" s="18"/>
      <c r="AX147" s="12">
        <f t="shared" si="1"/>
        <v>0</v>
      </c>
      <c r="AY147" s="12"/>
      <c r="AZ147" s="12">
        <v>0.0</v>
      </c>
      <c r="BA147" s="18">
        <f t="shared" si="42"/>
        <v>0</v>
      </c>
      <c r="BB147" s="10">
        <f t="shared" si="16"/>
        <v>8359.15</v>
      </c>
      <c r="BC147" s="16">
        <f t="shared" si="22"/>
        <v>58914.85</v>
      </c>
      <c r="BD147" s="16"/>
      <c r="BE147" s="16"/>
      <c r="BF147" s="6"/>
      <c r="BG147" s="6"/>
      <c r="BH147" s="6"/>
      <c r="BI147" s="29">
        <f t="shared" si="43"/>
        <v>15182.21774</v>
      </c>
      <c r="BJ147" s="6"/>
      <c r="BK147" s="15">
        <f t="shared" si="17"/>
        <v>0</v>
      </c>
      <c r="BN147" s="41">
        <f t="shared" si="14"/>
        <v>-15182.21774</v>
      </c>
      <c r="BO147" s="16">
        <f t="shared" si="45"/>
        <v>-44737.70323</v>
      </c>
      <c r="BY147" s="6">
        <f t="shared" si="2"/>
        <v>2024</v>
      </c>
      <c r="BZ147" s="6" t="str">
        <f t="shared" si="3"/>
        <v>marzo</v>
      </c>
      <c r="CA147" s="6" t="str">
        <f t="shared" si="4"/>
        <v>3</v>
      </c>
    </row>
    <row r="148">
      <c r="A148" s="8">
        <v>45355.0</v>
      </c>
      <c r="B148" s="12">
        <v>8500.0</v>
      </c>
      <c r="C148" s="12">
        <v>2798.0</v>
      </c>
      <c r="D148" s="12"/>
      <c r="E148" s="12">
        <v>0.0</v>
      </c>
      <c r="F148" s="12">
        <v>0.0</v>
      </c>
      <c r="G148" s="12">
        <v>0.0</v>
      </c>
      <c r="H148" s="12">
        <f t="shared" si="46"/>
        <v>11298</v>
      </c>
      <c r="I148" s="12">
        <v>4987.0</v>
      </c>
      <c r="J148" s="12">
        <v>580.0</v>
      </c>
      <c r="K148" s="12"/>
      <c r="L148" s="12">
        <v>0.0</v>
      </c>
      <c r="M148" s="12">
        <v>0.0</v>
      </c>
      <c r="N148" s="12">
        <v>0.0</v>
      </c>
      <c r="O148" s="16">
        <f t="shared" si="33"/>
        <v>5567</v>
      </c>
      <c r="P148" s="12">
        <v>1649.55</v>
      </c>
      <c r="Q148" s="12">
        <v>169.0</v>
      </c>
      <c r="R148" s="12"/>
      <c r="S148" s="12">
        <v>0.0</v>
      </c>
      <c r="T148" s="12">
        <v>0.0</v>
      </c>
      <c r="U148" s="12">
        <v>0.0</v>
      </c>
      <c r="V148" s="16">
        <f t="shared" si="37"/>
        <v>1818.55</v>
      </c>
      <c r="W148" s="12">
        <v>80.0</v>
      </c>
      <c r="X148" s="12">
        <v>0.0</v>
      </c>
      <c r="Y148" s="12"/>
      <c r="Z148" s="12">
        <v>0.0</v>
      </c>
      <c r="AA148" s="12">
        <v>0.0</v>
      </c>
      <c r="AB148" s="12">
        <v>0.0</v>
      </c>
      <c r="AC148" s="16">
        <f t="shared" si="38"/>
        <v>80</v>
      </c>
      <c r="AD148" s="12"/>
      <c r="AE148" s="12"/>
      <c r="AF148" s="12">
        <v>498.0</v>
      </c>
      <c r="AG148" s="12">
        <v>0.0</v>
      </c>
      <c r="AH148" s="12"/>
      <c r="AI148" s="12">
        <v>0.0</v>
      </c>
      <c r="AJ148" s="12">
        <v>0.0</v>
      </c>
      <c r="AK148" s="12">
        <v>0.0</v>
      </c>
      <c r="AL148" s="16">
        <f t="shared" si="39"/>
        <v>498</v>
      </c>
      <c r="AM148" s="12">
        <v>0.0</v>
      </c>
      <c r="AN148" s="12">
        <v>0.0</v>
      </c>
      <c r="AO148" s="12"/>
      <c r="AP148" s="12">
        <v>0.0</v>
      </c>
      <c r="AQ148" s="12">
        <v>0.0</v>
      </c>
      <c r="AR148" s="12">
        <v>0.0</v>
      </c>
      <c r="AS148" s="12">
        <v>0.0</v>
      </c>
      <c r="AT148" s="16">
        <f t="shared" ref="AT148:AT152" si="47">IF(AS148+AL148+AC148+V148+O148=0,"",AS148+AL148+AC148+V148+O148)</f>
        <v>7963.55</v>
      </c>
      <c r="AU148" s="18">
        <f t="shared" si="44"/>
        <v>8772.5</v>
      </c>
      <c r="AV148" s="18"/>
      <c r="AW148" s="18"/>
      <c r="AX148" s="12">
        <f t="shared" si="1"/>
        <v>7963.55</v>
      </c>
      <c r="AY148" s="12"/>
      <c r="AZ148" s="12">
        <v>2486.01</v>
      </c>
      <c r="BA148" s="18">
        <f t="shared" ref="BA148:BA175" si="48">IF(AZ148="","",AZ148+BA147)</f>
        <v>2486.01</v>
      </c>
      <c r="BB148" s="10">
        <f t="shared" si="16"/>
        <v>67986.875</v>
      </c>
      <c r="BC148" s="16">
        <f t="shared" si="22"/>
        <v>58914.85</v>
      </c>
      <c r="BD148" s="16"/>
      <c r="BE148" s="16"/>
      <c r="BF148" s="6"/>
      <c r="BG148" s="6"/>
      <c r="BH148" s="6"/>
      <c r="BI148" s="29">
        <f t="shared" si="43"/>
        <v>15182.21774</v>
      </c>
      <c r="BJ148" s="6"/>
      <c r="BK148" s="15">
        <f t="shared" si="17"/>
        <v>0.5245314048</v>
      </c>
      <c r="BN148" s="16">
        <f t="shared" si="14"/>
        <v>-7218.667742</v>
      </c>
      <c r="BO148" s="16">
        <f t="shared" si="45"/>
        <v>-51956.37097</v>
      </c>
      <c r="BY148" s="6">
        <f t="shared" si="2"/>
        <v>2024</v>
      </c>
      <c r="BZ148" s="6" t="str">
        <f t="shared" si="3"/>
        <v>marzo</v>
      </c>
      <c r="CA148" s="6" t="str">
        <f t="shared" si="4"/>
        <v>3</v>
      </c>
    </row>
    <row r="149">
      <c r="A149" s="8">
        <v>45356.0</v>
      </c>
      <c r="B149" s="12">
        <v>4265.32</v>
      </c>
      <c r="C149" s="12">
        <v>3067.26</v>
      </c>
      <c r="D149" s="12"/>
      <c r="E149" s="12">
        <v>0.0</v>
      </c>
      <c r="F149" s="12">
        <v>0.0</v>
      </c>
      <c r="G149" s="12">
        <v>0.0</v>
      </c>
      <c r="H149" s="12">
        <f t="shared" si="46"/>
        <v>7332.58</v>
      </c>
      <c r="I149" s="12">
        <v>2468.88</v>
      </c>
      <c r="J149" s="12">
        <v>1026.1</v>
      </c>
      <c r="K149" s="12"/>
      <c r="L149" s="12">
        <v>0.0</v>
      </c>
      <c r="M149" s="12">
        <v>0.0</v>
      </c>
      <c r="N149" s="12">
        <v>0.0</v>
      </c>
      <c r="O149" s="16">
        <f t="shared" si="33"/>
        <v>3494.98</v>
      </c>
      <c r="P149" s="12">
        <v>1402.36</v>
      </c>
      <c r="Q149" s="12">
        <v>236.34</v>
      </c>
      <c r="R149" s="12"/>
      <c r="S149" s="12">
        <v>0.0</v>
      </c>
      <c r="T149" s="12">
        <v>0.0</v>
      </c>
      <c r="U149" s="12">
        <v>0.0</v>
      </c>
      <c r="V149" s="16">
        <f t="shared" si="37"/>
        <v>1638.7</v>
      </c>
      <c r="W149" s="12">
        <v>73.0</v>
      </c>
      <c r="X149" s="12">
        <v>961.8</v>
      </c>
      <c r="Y149" s="12"/>
      <c r="Z149" s="12">
        <v>0.0</v>
      </c>
      <c r="AA149" s="12">
        <v>0.0</v>
      </c>
      <c r="AB149" s="12">
        <v>0.0</v>
      </c>
      <c r="AC149" s="16">
        <f t="shared" si="38"/>
        <v>1034.8</v>
      </c>
      <c r="AD149" s="12"/>
      <c r="AE149" s="12"/>
      <c r="AF149" s="12">
        <v>1359.61</v>
      </c>
      <c r="AG149" s="12">
        <v>267.04</v>
      </c>
      <c r="AH149" s="12"/>
      <c r="AI149" s="12">
        <v>0.0</v>
      </c>
      <c r="AJ149" s="12">
        <v>0.0</v>
      </c>
      <c r="AK149" s="12">
        <v>0.0</v>
      </c>
      <c r="AL149" s="16">
        <f t="shared" si="39"/>
        <v>1626.65</v>
      </c>
      <c r="AM149" s="12">
        <v>0.0</v>
      </c>
      <c r="AN149" s="12">
        <v>0.0</v>
      </c>
      <c r="AO149" s="12"/>
      <c r="AP149" s="12">
        <v>0.0</v>
      </c>
      <c r="AQ149" s="12">
        <v>0.0</v>
      </c>
      <c r="AR149" s="12">
        <v>0.0</v>
      </c>
      <c r="AS149" s="12">
        <v>0.0</v>
      </c>
      <c r="AT149" s="16">
        <f t="shared" si="47"/>
        <v>7795.13</v>
      </c>
      <c r="AU149" s="18">
        <f t="shared" si="44"/>
        <v>16567.63</v>
      </c>
      <c r="AV149" s="18"/>
      <c r="AW149" s="18"/>
      <c r="AX149" s="12">
        <f t="shared" si="1"/>
        <v>7795.13</v>
      </c>
      <c r="AY149" s="12"/>
      <c r="AZ149" s="12">
        <v>1147.39</v>
      </c>
      <c r="BA149" s="18">
        <f t="shared" si="48"/>
        <v>3633.4</v>
      </c>
      <c r="BB149" s="10">
        <f t="shared" si="16"/>
        <v>102719.306</v>
      </c>
      <c r="BC149" s="16">
        <f t="shared" si="22"/>
        <v>58914.85</v>
      </c>
      <c r="BD149" s="16"/>
      <c r="BE149" s="16"/>
      <c r="BF149" s="6"/>
      <c r="BG149" s="6"/>
      <c r="BH149" s="6"/>
      <c r="BI149" s="29">
        <f t="shared" si="43"/>
        <v>15182.21774</v>
      </c>
      <c r="BJ149" s="6"/>
      <c r="BK149" s="15">
        <f t="shared" si="17"/>
        <v>0.5134381638</v>
      </c>
      <c r="BN149" s="16">
        <f t="shared" si="14"/>
        <v>-7387.087742</v>
      </c>
      <c r="BO149" s="16">
        <f t="shared" si="45"/>
        <v>-59343.45871</v>
      </c>
      <c r="BY149" s="6">
        <f t="shared" si="2"/>
        <v>2024</v>
      </c>
      <c r="BZ149" s="6" t="str">
        <f t="shared" si="3"/>
        <v>marzo</v>
      </c>
      <c r="CA149" s="6" t="str">
        <f t="shared" si="4"/>
        <v>3</v>
      </c>
    </row>
    <row r="150">
      <c r="A150" s="8">
        <v>45357.0</v>
      </c>
      <c r="B150" s="12">
        <v>7910.27</v>
      </c>
      <c r="C150" s="12">
        <v>4558.31</v>
      </c>
      <c r="D150" s="12"/>
      <c r="E150" s="12">
        <v>1497.74</v>
      </c>
      <c r="F150" s="12">
        <v>0.0</v>
      </c>
      <c r="G150" s="12">
        <v>0.0</v>
      </c>
      <c r="H150" s="12">
        <f t="shared" si="46"/>
        <v>13966.32</v>
      </c>
      <c r="I150" s="12">
        <v>5934.78</v>
      </c>
      <c r="J150" s="12">
        <v>3499.45</v>
      </c>
      <c r="K150" s="12"/>
      <c r="L150" s="12">
        <v>480.68</v>
      </c>
      <c r="M150" s="12">
        <v>784.0</v>
      </c>
      <c r="N150" s="12">
        <v>0.0</v>
      </c>
      <c r="O150" s="16">
        <f t="shared" si="33"/>
        <v>10698.91</v>
      </c>
      <c r="P150" s="12">
        <v>1219.55</v>
      </c>
      <c r="Q150" s="12">
        <v>550.12</v>
      </c>
      <c r="R150" s="12"/>
      <c r="S150" s="12">
        <v>0.0</v>
      </c>
      <c r="T150" s="12">
        <v>0.0</v>
      </c>
      <c r="U150" s="12">
        <v>0.0</v>
      </c>
      <c r="V150" s="16">
        <f t="shared" si="37"/>
        <v>1769.67</v>
      </c>
      <c r="W150" s="12">
        <v>0.56</v>
      </c>
      <c r="X150" s="12">
        <v>0.49</v>
      </c>
      <c r="Y150" s="12"/>
      <c r="Z150" s="12">
        <v>0.0</v>
      </c>
      <c r="AA150" s="12">
        <v>0.0</v>
      </c>
      <c r="AB150" s="12">
        <v>0.0</v>
      </c>
      <c r="AC150" s="16">
        <f t="shared" si="38"/>
        <v>1.05</v>
      </c>
      <c r="AD150" s="12"/>
      <c r="AE150" s="12"/>
      <c r="AF150" s="12">
        <v>395.09</v>
      </c>
      <c r="AG150" s="12">
        <v>1.25</v>
      </c>
      <c r="AH150" s="12"/>
      <c r="AI150" s="12">
        <v>0.0</v>
      </c>
      <c r="AJ150" s="12">
        <v>0.0</v>
      </c>
      <c r="AK150" s="12">
        <v>0.0</v>
      </c>
      <c r="AL150" s="16">
        <f t="shared" si="39"/>
        <v>396.34</v>
      </c>
      <c r="AM150" s="12">
        <v>0.0</v>
      </c>
      <c r="AN150" s="12">
        <v>0.0</v>
      </c>
      <c r="AO150" s="12"/>
      <c r="AP150" s="12">
        <v>0.0</v>
      </c>
      <c r="AQ150" s="12">
        <v>0.0</v>
      </c>
      <c r="AR150" s="12">
        <v>0.0</v>
      </c>
      <c r="AS150" s="12">
        <v>0.0</v>
      </c>
      <c r="AT150" s="16">
        <f t="shared" si="47"/>
        <v>12865.97</v>
      </c>
      <c r="AU150" s="18">
        <f t="shared" si="44"/>
        <v>29433.6</v>
      </c>
      <c r="AV150" s="18"/>
      <c r="AW150" s="18"/>
      <c r="AX150" s="12">
        <f t="shared" si="1"/>
        <v>12865.97</v>
      </c>
      <c r="AY150" s="12"/>
      <c r="AZ150" s="12">
        <v>0.0</v>
      </c>
      <c r="BA150" s="18">
        <f t="shared" si="48"/>
        <v>3633.4</v>
      </c>
      <c r="BB150" s="10">
        <f t="shared" si="16"/>
        <v>152073.6</v>
      </c>
      <c r="BC150" s="16">
        <f t="shared" si="22"/>
        <v>58914.85</v>
      </c>
      <c r="BD150" s="16"/>
      <c r="BE150" s="16"/>
      <c r="BF150" s="6"/>
      <c r="BG150" s="6"/>
      <c r="BH150" s="6"/>
      <c r="BI150" s="29">
        <f t="shared" si="43"/>
        <v>15182.21774</v>
      </c>
      <c r="BJ150" s="6"/>
      <c r="BK150" s="15">
        <f t="shared" si="17"/>
        <v>0.8474367987</v>
      </c>
      <c r="BN150" s="16">
        <f t="shared" si="14"/>
        <v>-2316.247742</v>
      </c>
      <c r="BO150" s="16">
        <f t="shared" si="45"/>
        <v>-61659.70645</v>
      </c>
      <c r="BY150" s="6">
        <f t="shared" si="2"/>
        <v>2024</v>
      </c>
      <c r="BZ150" s="6" t="str">
        <f t="shared" si="3"/>
        <v>marzo</v>
      </c>
      <c r="CA150" s="6" t="str">
        <f t="shared" si="4"/>
        <v>3</v>
      </c>
    </row>
    <row r="151">
      <c r="A151" s="8">
        <v>45358.0</v>
      </c>
      <c r="B151" s="12">
        <v>3500.0</v>
      </c>
      <c r="C151" s="12">
        <v>2489.0</v>
      </c>
      <c r="D151" s="12"/>
      <c r="E151" s="12">
        <v>0.0</v>
      </c>
      <c r="F151" s="12">
        <v>0.0</v>
      </c>
      <c r="G151" s="12">
        <v>0.0</v>
      </c>
      <c r="H151" s="12">
        <f t="shared" si="46"/>
        <v>5989</v>
      </c>
      <c r="I151" s="12">
        <v>2500.0</v>
      </c>
      <c r="J151" s="12">
        <v>700.0</v>
      </c>
      <c r="K151" s="12"/>
      <c r="L151" s="12">
        <v>700.0</v>
      </c>
      <c r="M151" s="12">
        <v>0.0</v>
      </c>
      <c r="N151" s="12">
        <v>0.0</v>
      </c>
      <c r="O151" s="16">
        <f t="shared" si="33"/>
        <v>3900</v>
      </c>
      <c r="P151" s="12">
        <v>1200.0</v>
      </c>
      <c r="Q151" s="12">
        <v>400.0</v>
      </c>
      <c r="R151" s="12"/>
      <c r="S151" s="12">
        <v>0.0</v>
      </c>
      <c r="T151" s="12">
        <v>0.0</v>
      </c>
      <c r="U151" s="12">
        <v>0.0</v>
      </c>
      <c r="V151" s="16">
        <f t="shared" si="37"/>
        <v>1600</v>
      </c>
      <c r="W151" s="12">
        <v>0.0</v>
      </c>
      <c r="X151" s="12">
        <v>0.0</v>
      </c>
      <c r="Y151" s="12"/>
      <c r="Z151" s="12">
        <v>0.0</v>
      </c>
      <c r="AA151" s="12">
        <v>0.0</v>
      </c>
      <c r="AB151" s="12">
        <v>0.0</v>
      </c>
      <c r="AC151" s="16">
        <f t="shared" si="38"/>
        <v>0</v>
      </c>
      <c r="AD151" s="12"/>
      <c r="AE151" s="12"/>
      <c r="AF151" s="12">
        <v>35.0</v>
      </c>
      <c r="AG151" s="12">
        <v>0.0</v>
      </c>
      <c r="AH151" s="12"/>
      <c r="AI151" s="12">
        <v>0.0</v>
      </c>
      <c r="AJ151" s="12">
        <v>0.0</v>
      </c>
      <c r="AK151" s="12">
        <v>0.0</v>
      </c>
      <c r="AL151" s="16">
        <f t="shared" si="39"/>
        <v>35</v>
      </c>
      <c r="AM151" s="12">
        <v>0.0</v>
      </c>
      <c r="AN151" s="12">
        <v>0.0</v>
      </c>
      <c r="AO151" s="12"/>
      <c r="AP151" s="12">
        <v>0.0</v>
      </c>
      <c r="AQ151" s="12">
        <v>0.0</v>
      </c>
      <c r="AR151" s="12">
        <v>0.0</v>
      </c>
      <c r="AS151" s="12">
        <v>0.0</v>
      </c>
      <c r="AT151" s="16">
        <f t="shared" si="47"/>
        <v>5535</v>
      </c>
      <c r="AU151" s="18">
        <f t="shared" si="44"/>
        <v>34968.6</v>
      </c>
      <c r="AV151" s="18"/>
      <c r="AW151" s="18"/>
      <c r="AX151" s="12">
        <f t="shared" si="1"/>
        <v>5535</v>
      </c>
      <c r="AY151" s="12"/>
      <c r="AZ151" s="12">
        <v>1250.0</v>
      </c>
      <c r="BA151" s="18">
        <f t="shared" si="48"/>
        <v>4883.4</v>
      </c>
      <c r="BB151" s="10">
        <f t="shared" si="16"/>
        <v>154860.9429</v>
      </c>
      <c r="BC151" s="16">
        <f t="shared" si="22"/>
        <v>58914.85</v>
      </c>
      <c r="BD151" s="16"/>
      <c r="BE151" s="16"/>
      <c r="BF151" s="6"/>
      <c r="BG151" s="6"/>
      <c r="BH151" s="6"/>
      <c r="BI151" s="29">
        <f t="shared" si="43"/>
        <v>15182.21774</v>
      </c>
      <c r="BJ151" s="6"/>
      <c r="BK151" s="15">
        <f t="shared" si="17"/>
        <v>0.3645712434</v>
      </c>
      <c r="BN151" s="16">
        <f t="shared" si="14"/>
        <v>-9647.217742</v>
      </c>
      <c r="BO151" s="16">
        <f t="shared" si="45"/>
        <v>-71306.92419</v>
      </c>
      <c r="BY151" s="6">
        <f t="shared" si="2"/>
        <v>2024</v>
      </c>
      <c r="BZ151" s="6" t="str">
        <f t="shared" si="3"/>
        <v>marzo</v>
      </c>
      <c r="CA151" s="6" t="str">
        <f t="shared" si="4"/>
        <v>3</v>
      </c>
    </row>
    <row r="152">
      <c r="A152" s="8">
        <v>45359.0</v>
      </c>
      <c r="B152" s="12">
        <v>3800.0</v>
      </c>
      <c r="C152" s="12">
        <v>3000.0</v>
      </c>
      <c r="D152" s="12"/>
      <c r="E152" s="12">
        <v>0.0</v>
      </c>
      <c r="F152" s="12">
        <v>0.0</v>
      </c>
      <c r="G152" s="12">
        <v>0.0</v>
      </c>
      <c r="H152" s="12">
        <f t="shared" si="46"/>
        <v>6800</v>
      </c>
      <c r="I152" s="12">
        <v>5200.0</v>
      </c>
      <c r="J152" s="12">
        <v>650.0</v>
      </c>
      <c r="K152" s="12"/>
      <c r="L152" s="12">
        <v>650.0</v>
      </c>
      <c r="M152" s="12">
        <v>0.0</v>
      </c>
      <c r="N152" s="12">
        <v>0.0</v>
      </c>
      <c r="O152" s="16">
        <f t="shared" si="33"/>
        <v>6500</v>
      </c>
      <c r="P152" s="12">
        <v>1000.0</v>
      </c>
      <c r="Q152" s="12">
        <v>350.0</v>
      </c>
      <c r="R152" s="12"/>
      <c r="S152" s="12">
        <v>0.0</v>
      </c>
      <c r="T152" s="12">
        <v>0.0</v>
      </c>
      <c r="U152" s="12">
        <v>0.0</v>
      </c>
      <c r="V152" s="16">
        <f t="shared" si="37"/>
        <v>1350</v>
      </c>
      <c r="W152" s="12">
        <v>0.0</v>
      </c>
      <c r="X152" s="12">
        <v>0.0</v>
      </c>
      <c r="Y152" s="12"/>
      <c r="Z152" s="12">
        <v>0.0</v>
      </c>
      <c r="AA152" s="12">
        <v>0.0</v>
      </c>
      <c r="AB152" s="12">
        <v>0.0</v>
      </c>
      <c r="AC152" s="16">
        <f t="shared" si="38"/>
        <v>0</v>
      </c>
      <c r="AD152" s="12"/>
      <c r="AE152" s="12"/>
      <c r="AF152" s="12">
        <v>100.0</v>
      </c>
      <c r="AG152" s="12">
        <v>0.0</v>
      </c>
      <c r="AH152" s="12"/>
      <c r="AI152" s="12">
        <v>0.0</v>
      </c>
      <c r="AJ152" s="12">
        <v>0.0</v>
      </c>
      <c r="AK152" s="12">
        <v>0.0</v>
      </c>
      <c r="AL152" s="16">
        <f t="shared" si="39"/>
        <v>100</v>
      </c>
      <c r="AM152" s="12">
        <v>0.0</v>
      </c>
      <c r="AN152" s="12">
        <v>0.0</v>
      </c>
      <c r="AO152" s="12"/>
      <c r="AP152" s="12">
        <v>0.0</v>
      </c>
      <c r="AQ152" s="12">
        <v>0.0</v>
      </c>
      <c r="AR152" s="12">
        <v>0.0</v>
      </c>
      <c r="AS152" s="12">
        <v>0.0</v>
      </c>
      <c r="AT152" s="16">
        <f t="shared" si="47"/>
        <v>7950</v>
      </c>
      <c r="AU152" s="18">
        <f t="shared" si="44"/>
        <v>42918.6</v>
      </c>
      <c r="AV152" s="18"/>
      <c r="AW152" s="18"/>
      <c r="AX152" s="12">
        <f t="shared" si="1"/>
        <v>7950</v>
      </c>
      <c r="AY152" s="12"/>
      <c r="AZ152" s="12">
        <v>1479.8</v>
      </c>
      <c r="BA152" s="18">
        <f t="shared" si="48"/>
        <v>6363.2</v>
      </c>
      <c r="BB152" s="10">
        <f t="shared" si="16"/>
        <v>166309.575</v>
      </c>
      <c r="BC152" s="16">
        <f t="shared" si="22"/>
        <v>58914.85</v>
      </c>
      <c r="BD152" s="16"/>
      <c r="BE152" s="16"/>
      <c r="BF152" s="6"/>
      <c r="BG152" s="6"/>
      <c r="BH152" s="6"/>
      <c r="BI152" s="29">
        <f t="shared" si="43"/>
        <v>15182.21774</v>
      </c>
      <c r="BJ152" s="6"/>
      <c r="BK152" s="15">
        <f t="shared" si="17"/>
        <v>0.5236389133</v>
      </c>
      <c r="BN152" s="16">
        <f t="shared" si="14"/>
        <v>-7232.217742</v>
      </c>
      <c r="BO152" s="16">
        <f t="shared" si="45"/>
        <v>-78539.14194</v>
      </c>
      <c r="BY152" s="6">
        <f t="shared" si="2"/>
        <v>2024</v>
      </c>
      <c r="BZ152" s="6" t="str">
        <f t="shared" si="3"/>
        <v>marzo</v>
      </c>
      <c r="CA152" s="6" t="str">
        <f t="shared" si="4"/>
        <v>3</v>
      </c>
    </row>
    <row r="153">
      <c r="A153" s="8">
        <v>45360.0</v>
      </c>
      <c r="B153" s="12">
        <v>0.0</v>
      </c>
      <c r="C153" s="12">
        <v>0.0</v>
      </c>
      <c r="D153" s="12"/>
      <c r="E153" s="12">
        <v>0.0</v>
      </c>
      <c r="F153" s="12">
        <v>0.0</v>
      </c>
      <c r="G153" s="12">
        <v>0.0</v>
      </c>
      <c r="H153" s="12">
        <f t="shared" si="46"/>
        <v>0</v>
      </c>
      <c r="I153" s="12">
        <v>0.0</v>
      </c>
      <c r="J153" s="12">
        <v>0.0</v>
      </c>
      <c r="K153" s="12"/>
      <c r="L153" s="12">
        <v>0.0</v>
      </c>
      <c r="M153" s="12">
        <v>0.0</v>
      </c>
      <c r="N153" s="12">
        <v>0.0</v>
      </c>
      <c r="O153" s="16">
        <f t="shared" si="33"/>
        <v>0</v>
      </c>
      <c r="P153" s="12">
        <v>0.0</v>
      </c>
      <c r="Q153" s="12">
        <v>0.0</v>
      </c>
      <c r="R153" s="12"/>
      <c r="S153" s="12">
        <v>0.0</v>
      </c>
      <c r="T153" s="12">
        <v>0.0</v>
      </c>
      <c r="U153" s="12">
        <v>0.0</v>
      </c>
      <c r="V153" s="16">
        <f t="shared" si="37"/>
        <v>0</v>
      </c>
      <c r="W153" s="12">
        <v>0.0</v>
      </c>
      <c r="X153" s="12">
        <v>0.0</v>
      </c>
      <c r="Y153" s="12"/>
      <c r="Z153" s="12">
        <v>0.0</v>
      </c>
      <c r="AA153" s="12">
        <v>0.0</v>
      </c>
      <c r="AB153" s="12">
        <v>0.0</v>
      </c>
      <c r="AC153" s="16">
        <f t="shared" si="38"/>
        <v>0</v>
      </c>
      <c r="AD153" s="12"/>
      <c r="AE153" s="12"/>
      <c r="AF153" s="12">
        <v>0.0</v>
      </c>
      <c r="AG153" s="12">
        <v>0.0</v>
      </c>
      <c r="AH153" s="12"/>
      <c r="AI153" s="12">
        <v>0.0</v>
      </c>
      <c r="AJ153" s="12">
        <v>0.0</v>
      </c>
      <c r="AK153" s="12">
        <v>0.0</v>
      </c>
      <c r="AL153" s="16">
        <f t="shared" si="39"/>
        <v>0</v>
      </c>
      <c r="AM153" s="12">
        <v>0.0</v>
      </c>
      <c r="AN153" s="12">
        <v>0.0</v>
      </c>
      <c r="AO153" s="12"/>
      <c r="AP153" s="12">
        <v>0.0</v>
      </c>
      <c r="AQ153" s="12">
        <v>0.0</v>
      </c>
      <c r="AR153" s="12">
        <v>0.0</v>
      </c>
      <c r="AS153" s="12">
        <v>0.0</v>
      </c>
      <c r="AT153" s="5">
        <v>0.0</v>
      </c>
      <c r="AU153" s="18">
        <f t="shared" si="44"/>
        <v>42918.6</v>
      </c>
      <c r="AV153" s="18"/>
      <c r="AW153" s="18"/>
      <c r="AX153" s="12">
        <f t="shared" si="1"/>
        <v>0</v>
      </c>
      <c r="AY153" s="12"/>
      <c r="AZ153" s="12">
        <v>0.0</v>
      </c>
      <c r="BA153" s="18">
        <f t="shared" si="48"/>
        <v>6363.2</v>
      </c>
      <c r="BB153" s="10">
        <f t="shared" si="16"/>
        <v>147830.7333</v>
      </c>
      <c r="BC153" s="16">
        <f t="shared" si="22"/>
        <v>58914.85</v>
      </c>
      <c r="BD153" s="16"/>
      <c r="BE153" s="16"/>
      <c r="BF153" s="6"/>
      <c r="BG153" s="6"/>
      <c r="BH153" s="6"/>
      <c r="BI153" s="29">
        <f t="shared" si="43"/>
        <v>15182.21774</v>
      </c>
      <c r="BJ153" s="6"/>
      <c r="BK153" s="15">
        <f t="shared" si="17"/>
        <v>0</v>
      </c>
      <c r="BN153" s="41">
        <f t="shared" si="14"/>
        <v>-15182.21774</v>
      </c>
      <c r="BO153" s="16">
        <f t="shared" si="45"/>
        <v>-93721.35968</v>
      </c>
      <c r="BY153" s="6">
        <f t="shared" si="2"/>
        <v>2024</v>
      </c>
      <c r="BZ153" s="6" t="str">
        <f t="shared" si="3"/>
        <v>marzo</v>
      </c>
      <c r="CA153" s="6" t="str">
        <f t="shared" si="4"/>
        <v>3</v>
      </c>
    </row>
    <row r="154">
      <c r="A154" s="8">
        <v>45361.0</v>
      </c>
      <c r="B154" s="12">
        <v>0.0</v>
      </c>
      <c r="C154" s="12">
        <v>0.0</v>
      </c>
      <c r="D154" s="12"/>
      <c r="E154" s="12">
        <v>0.0</v>
      </c>
      <c r="F154" s="12">
        <v>0.0</v>
      </c>
      <c r="G154" s="12">
        <v>0.0</v>
      </c>
      <c r="H154" s="12">
        <f t="shared" si="46"/>
        <v>0</v>
      </c>
      <c r="I154" s="12">
        <v>0.0</v>
      </c>
      <c r="J154" s="12">
        <v>0.0</v>
      </c>
      <c r="K154" s="12"/>
      <c r="L154" s="12">
        <v>0.0</v>
      </c>
      <c r="M154" s="12">
        <v>0.0</v>
      </c>
      <c r="N154" s="12">
        <v>0.0</v>
      </c>
      <c r="O154" s="16">
        <f t="shared" si="33"/>
        <v>0</v>
      </c>
      <c r="P154" s="12">
        <v>0.0</v>
      </c>
      <c r="Q154" s="12">
        <v>0.0</v>
      </c>
      <c r="R154" s="12"/>
      <c r="S154" s="12">
        <v>0.0</v>
      </c>
      <c r="T154" s="12">
        <v>0.0</v>
      </c>
      <c r="U154" s="12">
        <v>0.0</v>
      </c>
      <c r="V154" s="16">
        <f t="shared" si="37"/>
        <v>0</v>
      </c>
      <c r="W154" s="12">
        <v>0.0</v>
      </c>
      <c r="X154" s="12">
        <v>0.0</v>
      </c>
      <c r="Y154" s="12"/>
      <c r="Z154" s="12">
        <v>0.0</v>
      </c>
      <c r="AA154" s="12">
        <v>0.0</v>
      </c>
      <c r="AB154" s="12">
        <v>0.0</v>
      </c>
      <c r="AC154" s="16">
        <f t="shared" si="38"/>
        <v>0</v>
      </c>
      <c r="AD154" s="12"/>
      <c r="AE154" s="12"/>
      <c r="AF154" s="12">
        <v>0.0</v>
      </c>
      <c r="AG154" s="12">
        <v>0.0</v>
      </c>
      <c r="AH154" s="12"/>
      <c r="AI154" s="12">
        <v>0.0</v>
      </c>
      <c r="AJ154" s="12">
        <v>0.0</v>
      </c>
      <c r="AK154" s="12">
        <v>0.0</v>
      </c>
      <c r="AL154" s="16">
        <f t="shared" si="39"/>
        <v>0</v>
      </c>
      <c r="AM154" s="12">
        <v>0.0</v>
      </c>
      <c r="AN154" s="12">
        <v>0.0</v>
      </c>
      <c r="AO154" s="12"/>
      <c r="AP154" s="12">
        <v>0.0</v>
      </c>
      <c r="AQ154" s="12">
        <v>0.0</v>
      </c>
      <c r="AR154" s="12">
        <v>0.0</v>
      </c>
      <c r="AS154" s="12">
        <v>0.0</v>
      </c>
      <c r="AT154" s="5">
        <v>0.0</v>
      </c>
      <c r="AU154" s="18">
        <f t="shared" si="44"/>
        <v>42918.6</v>
      </c>
      <c r="AV154" s="18"/>
      <c r="AW154" s="18"/>
      <c r="AX154" s="12">
        <f t="shared" si="1"/>
        <v>0</v>
      </c>
      <c r="AY154" s="12"/>
      <c r="AZ154" s="12">
        <v>0.0</v>
      </c>
      <c r="BA154" s="18">
        <f t="shared" si="48"/>
        <v>6363.2</v>
      </c>
      <c r="BB154" s="10">
        <f t="shared" si="16"/>
        <v>133047.66</v>
      </c>
      <c r="BC154" s="16">
        <f t="shared" si="22"/>
        <v>58914.85</v>
      </c>
      <c r="BD154" s="16"/>
      <c r="BE154" s="16"/>
      <c r="BF154" s="6"/>
      <c r="BG154" s="6"/>
      <c r="BH154" s="6"/>
      <c r="BI154" s="29">
        <f t="shared" si="43"/>
        <v>15182.21774</v>
      </c>
      <c r="BJ154" s="6"/>
      <c r="BK154" s="15">
        <f t="shared" si="17"/>
        <v>0</v>
      </c>
      <c r="BN154" s="41">
        <f t="shared" si="14"/>
        <v>-15182.21774</v>
      </c>
      <c r="BO154" s="16">
        <f t="shared" si="45"/>
        <v>-108903.5774</v>
      </c>
      <c r="BY154" s="6">
        <f t="shared" si="2"/>
        <v>2024</v>
      </c>
      <c r="BZ154" s="6" t="str">
        <f t="shared" si="3"/>
        <v>marzo</v>
      </c>
      <c r="CA154" s="6" t="str">
        <f t="shared" si="4"/>
        <v>3</v>
      </c>
    </row>
    <row r="155">
      <c r="A155" s="8">
        <v>45362.0</v>
      </c>
      <c r="B155" s="12">
        <v>132352.84</v>
      </c>
      <c r="C155" s="12">
        <v>405.09</v>
      </c>
      <c r="D155" s="12"/>
      <c r="E155" s="12">
        <v>0.0</v>
      </c>
      <c r="F155" s="12">
        <v>0.0</v>
      </c>
      <c r="G155" s="12">
        <v>0.0</v>
      </c>
      <c r="H155" s="12">
        <f t="shared" si="46"/>
        <v>132757.93</v>
      </c>
      <c r="I155" s="12">
        <v>922.91</v>
      </c>
      <c r="J155" s="12">
        <v>1115.0</v>
      </c>
      <c r="K155" s="12"/>
      <c r="L155" s="12">
        <v>6160.94</v>
      </c>
      <c r="M155" s="12">
        <v>0.0</v>
      </c>
      <c r="N155" s="12">
        <v>0.0</v>
      </c>
      <c r="O155" s="16">
        <f t="shared" si="33"/>
        <v>8198.85</v>
      </c>
      <c r="P155" s="12">
        <v>870.73</v>
      </c>
      <c r="Q155" s="12">
        <v>178.35</v>
      </c>
      <c r="R155" s="12"/>
      <c r="S155" s="12">
        <v>0.0</v>
      </c>
      <c r="T155" s="12">
        <v>0.0</v>
      </c>
      <c r="U155" s="12">
        <v>0.0</v>
      </c>
      <c r="V155" s="16">
        <f t="shared" si="37"/>
        <v>1049.08</v>
      </c>
      <c r="W155" s="12">
        <v>4601.47</v>
      </c>
      <c r="X155" s="12">
        <v>0.25</v>
      </c>
      <c r="Y155" s="12"/>
      <c r="Z155" s="12">
        <v>0.0</v>
      </c>
      <c r="AA155" s="12">
        <v>0.0</v>
      </c>
      <c r="AB155" s="12">
        <v>0.0</v>
      </c>
      <c r="AC155" s="16">
        <f t="shared" si="38"/>
        <v>4601.72</v>
      </c>
      <c r="AD155" s="12"/>
      <c r="AE155" s="12"/>
      <c r="AF155" s="12">
        <v>60.43</v>
      </c>
      <c r="AG155" s="12">
        <v>9.73</v>
      </c>
      <c r="AH155" s="12"/>
      <c r="AI155" s="12">
        <v>7618.45</v>
      </c>
      <c r="AJ155" s="12">
        <v>0.0</v>
      </c>
      <c r="AK155" s="12">
        <v>0.0</v>
      </c>
      <c r="AL155" s="16">
        <f t="shared" si="39"/>
        <v>7688.61</v>
      </c>
      <c r="AM155" s="12">
        <v>20841.0</v>
      </c>
      <c r="AN155" s="12">
        <v>0.0</v>
      </c>
      <c r="AO155" s="12"/>
      <c r="AP155" s="12">
        <v>0.0</v>
      </c>
      <c r="AQ155" s="12">
        <v>0.0</v>
      </c>
      <c r="AR155" s="12">
        <v>0.0</v>
      </c>
      <c r="AS155" s="12">
        <f t="shared" ref="AS155:AS183" si="49">AR155+AQ155+AP155+AN155+AM155</f>
        <v>20841</v>
      </c>
      <c r="AT155" s="16">
        <f t="shared" ref="AT155:AT159" si="50">IF(AS155+AL155+AC155+V155+O155=0,"",AS155+AL155+AC155+V155+O155)</f>
        <v>42379.26</v>
      </c>
      <c r="AU155" s="18">
        <f t="shared" si="44"/>
        <v>85297.86</v>
      </c>
      <c r="AV155" s="18"/>
      <c r="AW155" s="18"/>
      <c r="AX155" s="12">
        <f t="shared" si="1"/>
        <v>42379.26</v>
      </c>
      <c r="AY155" s="12"/>
      <c r="AZ155" s="12">
        <v>11770.11</v>
      </c>
      <c r="BA155" s="18">
        <f t="shared" si="48"/>
        <v>18133.31</v>
      </c>
      <c r="BB155" s="10">
        <f t="shared" si="16"/>
        <v>240384.8782</v>
      </c>
      <c r="BC155" s="16">
        <f t="shared" si="22"/>
        <v>58914.85</v>
      </c>
      <c r="BD155" s="16"/>
      <c r="BE155" s="16"/>
      <c r="BF155" s="6"/>
      <c r="BG155" s="6"/>
      <c r="BH155" s="6"/>
      <c r="BI155" s="29">
        <f t="shared" si="43"/>
        <v>15182.21774</v>
      </c>
      <c r="BK155" s="15">
        <f t="shared" si="17"/>
        <v>2.791374799</v>
      </c>
      <c r="BN155" s="16">
        <f t="shared" si="14"/>
        <v>27197.04226</v>
      </c>
      <c r="BO155" s="16">
        <f t="shared" si="45"/>
        <v>-81706.53516</v>
      </c>
      <c r="BY155" s="6">
        <f t="shared" si="2"/>
        <v>2024</v>
      </c>
      <c r="BZ155" s="6" t="str">
        <f t="shared" si="3"/>
        <v>marzo</v>
      </c>
      <c r="CA155" s="6" t="str">
        <f t="shared" si="4"/>
        <v>3</v>
      </c>
    </row>
    <row r="156">
      <c r="A156" s="8">
        <v>45363.0</v>
      </c>
      <c r="B156" s="12">
        <v>7874.38</v>
      </c>
      <c r="C156" s="12">
        <v>10155.3</v>
      </c>
      <c r="D156" s="12"/>
      <c r="E156" s="12">
        <v>0.0</v>
      </c>
      <c r="F156" s="12">
        <v>1115.46</v>
      </c>
      <c r="G156" s="12">
        <v>0.0</v>
      </c>
      <c r="H156" s="12">
        <f t="shared" si="46"/>
        <v>19145.14</v>
      </c>
      <c r="I156" s="12">
        <v>4327.77</v>
      </c>
      <c r="J156" s="12">
        <v>11192.48</v>
      </c>
      <c r="K156" s="12"/>
      <c r="L156" s="12">
        <v>0.0</v>
      </c>
      <c r="M156" s="12">
        <v>11.24</v>
      </c>
      <c r="N156" s="12">
        <v>0.0</v>
      </c>
      <c r="O156" s="16">
        <f t="shared" si="33"/>
        <v>15531.49</v>
      </c>
      <c r="P156" s="12">
        <v>945.69</v>
      </c>
      <c r="Q156" s="12">
        <v>2529.15</v>
      </c>
      <c r="R156" s="12"/>
      <c r="S156" s="12">
        <v>0.0</v>
      </c>
      <c r="T156" s="12">
        <v>0.0</v>
      </c>
      <c r="U156" s="12">
        <v>0.0</v>
      </c>
      <c r="V156" s="16">
        <f t="shared" si="37"/>
        <v>3474.84</v>
      </c>
      <c r="W156" s="12">
        <v>1100.25</v>
      </c>
      <c r="X156" s="12">
        <v>0.42</v>
      </c>
      <c r="Y156" s="12"/>
      <c r="Z156" s="12">
        <v>0.0</v>
      </c>
      <c r="AA156" s="12">
        <v>0.0</v>
      </c>
      <c r="AB156" s="12">
        <v>0.0</v>
      </c>
      <c r="AC156" s="16">
        <f t="shared" si="38"/>
        <v>1100.67</v>
      </c>
      <c r="AD156" s="12"/>
      <c r="AE156" s="12"/>
      <c r="AF156" s="12">
        <v>0.0</v>
      </c>
      <c r="AG156" s="12">
        <v>2036.18</v>
      </c>
      <c r="AH156" s="12"/>
      <c r="AI156" s="12">
        <v>0.0</v>
      </c>
      <c r="AJ156" s="12">
        <v>0.0</v>
      </c>
      <c r="AK156" s="12">
        <v>0.0</v>
      </c>
      <c r="AL156" s="16">
        <f t="shared" si="39"/>
        <v>2036.18</v>
      </c>
      <c r="AM156" s="12">
        <v>4189.0</v>
      </c>
      <c r="AN156" s="12">
        <v>0.0</v>
      </c>
      <c r="AO156" s="12"/>
      <c r="AP156" s="12">
        <v>0.0</v>
      </c>
      <c r="AQ156" s="12">
        <v>0.0</v>
      </c>
      <c r="AR156" s="12">
        <v>0.0</v>
      </c>
      <c r="AS156" s="12">
        <f t="shared" si="49"/>
        <v>4189</v>
      </c>
      <c r="AT156" s="16">
        <f t="shared" si="50"/>
        <v>26332.18</v>
      </c>
      <c r="AU156" s="18">
        <f t="shared" si="44"/>
        <v>111630.04</v>
      </c>
      <c r="AV156" s="18"/>
      <c r="AW156" s="18"/>
      <c r="AX156" s="12">
        <f t="shared" si="1"/>
        <v>26332.18</v>
      </c>
      <c r="AY156" s="12"/>
      <c r="AZ156" s="12">
        <v>1827.7</v>
      </c>
      <c r="BA156" s="18">
        <f t="shared" si="48"/>
        <v>19961.01</v>
      </c>
      <c r="BB156" s="10">
        <f t="shared" si="16"/>
        <v>288377.6033</v>
      </c>
      <c r="BC156" s="16">
        <f t="shared" si="22"/>
        <v>58914.85</v>
      </c>
      <c r="BD156" s="16"/>
      <c r="BE156" s="16"/>
      <c r="BF156" s="6"/>
      <c r="BG156" s="6"/>
      <c r="BH156" s="6"/>
      <c r="BI156" s="29">
        <f t="shared" si="43"/>
        <v>15182.21774</v>
      </c>
      <c r="BK156" s="15">
        <f t="shared" si="17"/>
        <v>1.734409323</v>
      </c>
      <c r="BN156" s="16">
        <f t="shared" si="14"/>
        <v>11149.96226</v>
      </c>
      <c r="BO156" s="16">
        <f t="shared" si="45"/>
        <v>-70556.5729</v>
      </c>
      <c r="BY156" s="6">
        <f t="shared" si="2"/>
        <v>2024</v>
      </c>
      <c r="BZ156" s="6" t="str">
        <f t="shared" si="3"/>
        <v>marzo</v>
      </c>
      <c r="CA156" s="6" t="str">
        <f t="shared" si="4"/>
        <v>3</v>
      </c>
    </row>
    <row r="157">
      <c r="A157" s="8">
        <v>45364.0</v>
      </c>
      <c r="B157" s="12">
        <v>40059.39</v>
      </c>
      <c r="C157" s="12">
        <f>15063.39+80000</f>
        <v>95063.39</v>
      </c>
      <c r="D157" s="12"/>
      <c r="E157" s="12">
        <v>0.0</v>
      </c>
      <c r="F157" s="12">
        <v>35000.0</v>
      </c>
      <c r="G157" s="12">
        <v>0.0</v>
      </c>
      <c r="H157" s="12">
        <f t="shared" si="46"/>
        <v>170122.78</v>
      </c>
      <c r="I157" s="12">
        <v>15339.7</v>
      </c>
      <c r="J157" s="12">
        <v>5200.94</v>
      </c>
      <c r="K157" s="12"/>
      <c r="L157" s="12">
        <v>0.0</v>
      </c>
      <c r="M157" s="12">
        <v>0.0</v>
      </c>
      <c r="N157" s="12">
        <v>0.0</v>
      </c>
      <c r="O157" s="16">
        <f t="shared" si="33"/>
        <v>20540.64</v>
      </c>
      <c r="P157" s="12">
        <v>4224.03</v>
      </c>
      <c r="Q157" s="12">
        <v>987.17</v>
      </c>
      <c r="R157" s="12"/>
      <c r="S157" s="12">
        <v>0.0</v>
      </c>
      <c r="T157" s="12">
        <v>0.0</v>
      </c>
      <c r="U157" s="12">
        <v>0.0</v>
      </c>
      <c r="V157" s="16">
        <f t="shared" si="37"/>
        <v>5211.2</v>
      </c>
      <c r="W157" s="12">
        <v>155.49</v>
      </c>
      <c r="X157" s="12">
        <v>1.06</v>
      </c>
      <c r="Y157" s="12"/>
      <c r="Z157" s="12">
        <v>0.0</v>
      </c>
      <c r="AA157" s="12">
        <v>0.0</v>
      </c>
      <c r="AB157" s="12">
        <v>0.0</v>
      </c>
      <c r="AC157" s="16">
        <f t="shared" si="38"/>
        <v>156.55</v>
      </c>
      <c r="AD157" s="12"/>
      <c r="AE157" s="12"/>
      <c r="AF157" s="12">
        <v>2675.99</v>
      </c>
      <c r="AG157" s="12">
        <v>955.78</v>
      </c>
      <c r="AH157" s="12"/>
      <c r="AI157" s="12">
        <v>0.0</v>
      </c>
      <c r="AJ157" s="12">
        <v>0.0</v>
      </c>
      <c r="AK157" s="12">
        <v>0.0</v>
      </c>
      <c r="AL157" s="16">
        <f t="shared" si="39"/>
        <v>3631.77</v>
      </c>
      <c r="AM157" s="12">
        <v>0.0</v>
      </c>
      <c r="AN157" s="12">
        <v>0.0</v>
      </c>
      <c r="AO157" s="12"/>
      <c r="AP157" s="12">
        <v>0.0</v>
      </c>
      <c r="AQ157" s="12">
        <v>0.0</v>
      </c>
      <c r="AR157" s="12">
        <v>0.0</v>
      </c>
      <c r="AS157" s="12">
        <f t="shared" si="49"/>
        <v>0</v>
      </c>
      <c r="AT157" s="16">
        <f t="shared" si="50"/>
        <v>29540.16</v>
      </c>
      <c r="AU157" s="18">
        <f t="shared" si="44"/>
        <v>141170.2</v>
      </c>
      <c r="AV157" s="18"/>
      <c r="AW157" s="18"/>
      <c r="AX157" s="12">
        <f t="shared" si="1"/>
        <v>29540.16</v>
      </c>
      <c r="AY157" s="12"/>
      <c r="AZ157" s="12">
        <v>5470.55</v>
      </c>
      <c r="BA157" s="18">
        <f t="shared" si="48"/>
        <v>25431.56</v>
      </c>
      <c r="BB157" s="10">
        <f t="shared" si="16"/>
        <v>336636.6308</v>
      </c>
      <c r="BC157" s="16">
        <f t="shared" si="22"/>
        <v>58914.85</v>
      </c>
      <c r="BD157" s="16"/>
      <c r="BE157" s="16"/>
      <c r="BF157" s="6"/>
      <c r="BG157" s="6"/>
      <c r="BH157" s="6"/>
      <c r="BI157" s="29">
        <f t="shared" si="43"/>
        <v>15182.21774</v>
      </c>
      <c r="BK157" s="15">
        <f t="shared" si="17"/>
        <v>1.945707834</v>
      </c>
      <c r="BN157" s="16">
        <f t="shared" si="14"/>
        <v>14357.94226</v>
      </c>
      <c r="BO157" s="16">
        <f t="shared" si="45"/>
        <v>-56198.63065</v>
      </c>
      <c r="BY157" s="6">
        <f t="shared" si="2"/>
        <v>2024</v>
      </c>
      <c r="BZ157" s="6" t="str">
        <f t="shared" si="3"/>
        <v>marzo</v>
      </c>
      <c r="CA157" s="6" t="str">
        <f t="shared" si="4"/>
        <v>3</v>
      </c>
    </row>
    <row r="158">
      <c r="A158" s="8">
        <v>45365.0</v>
      </c>
      <c r="B158" s="12">
        <v>2769.47</v>
      </c>
      <c r="C158" s="12">
        <v>2946.75</v>
      </c>
      <c r="D158" s="12"/>
      <c r="E158" s="12">
        <v>0.0</v>
      </c>
      <c r="F158" s="12">
        <v>0.0</v>
      </c>
      <c r="G158" s="12">
        <v>0.0</v>
      </c>
      <c r="H158" s="12">
        <f t="shared" si="46"/>
        <v>5716.22</v>
      </c>
      <c r="I158" s="12">
        <v>3832.32</v>
      </c>
      <c r="J158" s="12">
        <v>1975.38</v>
      </c>
      <c r="K158" s="12"/>
      <c r="L158" s="12">
        <v>0.0</v>
      </c>
      <c r="M158" s="12">
        <v>0.0</v>
      </c>
      <c r="N158" s="12">
        <v>0.0</v>
      </c>
      <c r="O158" s="16">
        <f t="shared" si="33"/>
        <v>5807.7</v>
      </c>
      <c r="P158" s="12">
        <v>751.8</v>
      </c>
      <c r="Q158" s="12">
        <v>373.19</v>
      </c>
      <c r="R158" s="12"/>
      <c r="S158" s="12">
        <v>0.0</v>
      </c>
      <c r="T158" s="12">
        <v>0.0</v>
      </c>
      <c r="U158" s="12">
        <v>0.0</v>
      </c>
      <c r="V158" s="16">
        <f t="shared" si="37"/>
        <v>1124.99</v>
      </c>
      <c r="W158" s="12">
        <f>1.3+1100</f>
        <v>1101.3</v>
      </c>
      <c r="X158" s="12">
        <v>0.0</v>
      </c>
      <c r="Y158" s="12"/>
      <c r="Z158" s="12">
        <v>0.0</v>
      </c>
      <c r="AA158" s="12">
        <v>0.0</v>
      </c>
      <c r="AB158" s="12">
        <v>0.0</v>
      </c>
      <c r="AC158" s="16">
        <f t="shared" si="38"/>
        <v>1101.3</v>
      </c>
      <c r="AD158" s="12"/>
      <c r="AE158" s="12"/>
      <c r="AF158" s="12">
        <v>33.14</v>
      </c>
      <c r="AG158" s="12">
        <v>0.0</v>
      </c>
      <c r="AH158" s="12"/>
      <c r="AI158" s="12">
        <v>0.0</v>
      </c>
      <c r="AJ158" s="12">
        <v>0.0</v>
      </c>
      <c r="AK158" s="12">
        <v>0.0</v>
      </c>
      <c r="AL158" s="16">
        <f t="shared" si="39"/>
        <v>33.14</v>
      </c>
      <c r="AM158" s="12">
        <v>6832.0</v>
      </c>
      <c r="AN158" s="12">
        <v>0.0</v>
      </c>
      <c r="AO158" s="12"/>
      <c r="AP158" s="12">
        <v>0.0</v>
      </c>
      <c r="AQ158" s="12">
        <v>0.0</v>
      </c>
      <c r="AR158" s="12">
        <v>0.0</v>
      </c>
      <c r="AS158" s="12">
        <f t="shared" si="49"/>
        <v>6832</v>
      </c>
      <c r="AT158" s="16">
        <f t="shared" si="50"/>
        <v>14899.13</v>
      </c>
      <c r="AU158" s="18">
        <f t="shared" si="44"/>
        <v>156069.33</v>
      </c>
      <c r="AV158" s="18"/>
      <c r="AW158" s="18"/>
      <c r="AX158" s="12">
        <f t="shared" si="1"/>
        <v>14899.13</v>
      </c>
      <c r="AY158" s="12"/>
      <c r="AZ158" s="12">
        <v>1720.32</v>
      </c>
      <c r="BA158" s="18">
        <f t="shared" si="48"/>
        <v>27151.88</v>
      </c>
      <c r="BB158" s="10">
        <f t="shared" si="16"/>
        <v>345582.0879</v>
      </c>
      <c r="BC158" s="16">
        <f t="shared" si="22"/>
        <v>58914.85</v>
      </c>
      <c r="BD158" s="16"/>
      <c r="BE158" s="16"/>
      <c r="BF158" s="6"/>
      <c r="BG158" s="6"/>
      <c r="BH158" s="6"/>
      <c r="BI158" s="29">
        <f t="shared" si="43"/>
        <v>15182.21774</v>
      </c>
      <c r="BJ158" s="6"/>
      <c r="BK158" s="15">
        <f t="shared" si="17"/>
        <v>0.9813539928</v>
      </c>
      <c r="BN158" s="16">
        <f t="shared" si="14"/>
        <v>-283.0877419</v>
      </c>
      <c r="BO158" s="16">
        <f t="shared" si="45"/>
        <v>-56481.71839</v>
      </c>
      <c r="BY158" s="6">
        <f t="shared" si="2"/>
        <v>2024</v>
      </c>
      <c r="BZ158" s="6" t="str">
        <f t="shared" si="3"/>
        <v>marzo</v>
      </c>
      <c r="CA158" s="6" t="str">
        <f t="shared" si="4"/>
        <v>3</v>
      </c>
    </row>
    <row r="159">
      <c r="A159" s="8">
        <v>45366.0</v>
      </c>
      <c r="B159" s="12">
        <v>6368.54</v>
      </c>
      <c r="C159" s="12">
        <v>109.71</v>
      </c>
      <c r="D159" s="12"/>
      <c r="E159" s="12">
        <v>15517.3</v>
      </c>
      <c r="F159" s="12">
        <v>0.0</v>
      </c>
      <c r="G159" s="12">
        <v>0.0</v>
      </c>
      <c r="H159" s="12">
        <f t="shared" si="46"/>
        <v>21995.55</v>
      </c>
      <c r="I159" s="12">
        <v>4140.86</v>
      </c>
      <c r="J159" s="12">
        <v>325.12</v>
      </c>
      <c r="K159" s="12"/>
      <c r="L159" s="12">
        <v>7789.69</v>
      </c>
      <c r="M159" s="12">
        <v>0.0</v>
      </c>
      <c r="N159" s="12">
        <v>0.0</v>
      </c>
      <c r="O159" s="16">
        <f t="shared" si="33"/>
        <v>12255.67</v>
      </c>
      <c r="P159" s="12">
        <v>1071.44</v>
      </c>
      <c r="Q159" s="12">
        <v>10.2</v>
      </c>
      <c r="R159" s="12"/>
      <c r="S159" s="12">
        <v>0.0</v>
      </c>
      <c r="T159" s="12">
        <v>0.0</v>
      </c>
      <c r="U159" s="12">
        <v>0.0</v>
      </c>
      <c r="V159" s="16">
        <f t="shared" si="37"/>
        <v>1081.64</v>
      </c>
      <c r="W159" s="12">
        <v>0.0</v>
      </c>
      <c r="X159" s="12">
        <v>0.0</v>
      </c>
      <c r="Y159" s="12"/>
      <c r="Z159" s="12">
        <v>0.0</v>
      </c>
      <c r="AA159" s="12">
        <v>0.0</v>
      </c>
      <c r="AB159" s="12">
        <v>0.0</v>
      </c>
      <c r="AC159" s="16">
        <f t="shared" si="38"/>
        <v>0</v>
      </c>
      <c r="AD159" s="12"/>
      <c r="AE159" s="12"/>
      <c r="AF159" s="12">
        <v>3.76</v>
      </c>
      <c r="AG159" s="12">
        <v>3.01</v>
      </c>
      <c r="AH159" s="12"/>
      <c r="AI159" s="12">
        <v>10579.3</v>
      </c>
      <c r="AJ159" s="12">
        <v>0.0</v>
      </c>
      <c r="AK159" s="12">
        <v>0.0</v>
      </c>
      <c r="AL159" s="16">
        <f t="shared" si="39"/>
        <v>10586.07</v>
      </c>
      <c r="AM159" s="12">
        <v>0.0</v>
      </c>
      <c r="AN159" s="12">
        <v>0.0</v>
      </c>
      <c r="AO159" s="12"/>
      <c r="AP159" s="12">
        <v>0.0</v>
      </c>
      <c r="AQ159" s="12">
        <v>0.0</v>
      </c>
      <c r="AR159" s="12">
        <v>0.0</v>
      </c>
      <c r="AS159" s="12">
        <f t="shared" si="49"/>
        <v>0</v>
      </c>
      <c r="AT159" s="16">
        <f t="shared" si="50"/>
        <v>23923.38</v>
      </c>
      <c r="AU159" s="18">
        <f t="shared" si="44"/>
        <v>179992.71</v>
      </c>
      <c r="AV159" s="18"/>
      <c r="AW159" s="18"/>
      <c r="AX159" s="12">
        <f t="shared" si="1"/>
        <v>23923.38</v>
      </c>
      <c r="AY159" s="12"/>
      <c r="AZ159" s="12">
        <v>0.0</v>
      </c>
      <c r="BA159" s="18">
        <f t="shared" si="48"/>
        <v>27151.88</v>
      </c>
      <c r="BB159" s="10">
        <f t="shared" si="16"/>
        <v>371984.934</v>
      </c>
      <c r="BC159" s="16">
        <f t="shared" si="22"/>
        <v>58914.85</v>
      </c>
      <c r="BD159" s="16"/>
      <c r="BE159" s="16"/>
      <c r="BF159" s="6"/>
      <c r="BG159" s="6"/>
      <c r="BH159" s="6"/>
      <c r="BI159" s="29">
        <f t="shared" si="43"/>
        <v>15182.21774</v>
      </c>
      <c r="BK159" s="15">
        <f t="shared" si="17"/>
        <v>1.575750026</v>
      </c>
      <c r="BN159" s="16">
        <f t="shared" si="14"/>
        <v>8741.162258</v>
      </c>
      <c r="BO159" s="16">
        <f t="shared" si="45"/>
        <v>-47740.55613</v>
      </c>
      <c r="BY159" s="6">
        <f t="shared" si="2"/>
        <v>2024</v>
      </c>
      <c r="BZ159" s="6" t="str">
        <f t="shared" si="3"/>
        <v>marzo</v>
      </c>
      <c r="CA159" s="6" t="str">
        <f t="shared" si="4"/>
        <v>3</v>
      </c>
    </row>
    <row r="160">
      <c r="A160" s="8">
        <v>45367.0</v>
      </c>
      <c r="B160" s="12">
        <v>0.0</v>
      </c>
      <c r="C160" s="12">
        <v>0.0</v>
      </c>
      <c r="D160" s="12"/>
      <c r="E160" s="12">
        <v>0.0</v>
      </c>
      <c r="F160" s="12">
        <v>0.0</v>
      </c>
      <c r="G160" s="12">
        <v>0.0</v>
      </c>
      <c r="H160" s="12">
        <f t="shared" si="46"/>
        <v>0</v>
      </c>
      <c r="I160" s="12">
        <v>0.0</v>
      </c>
      <c r="J160" s="12">
        <v>0.0</v>
      </c>
      <c r="K160" s="12"/>
      <c r="L160" s="12">
        <v>0.0</v>
      </c>
      <c r="M160" s="12">
        <v>0.0</v>
      </c>
      <c r="N160" s="12">
        <v>0.0</v>
      </c>
      <c r="O160" s="16">
        <f t="shared" si="33"/>
        <v>0</v>
      </c>
      <c r="P160" s="12">
        <v>0.0</v>
      </c>
      <c r="Q160" s="12">
        <v>0.0</v>
      </c>
      <c r="R160" s="12"/>
      <c r="S160" s="12">
        <v>0.0</v>
      </c>
      <c r="T160" s="12">
        <v>0.0</v>
      </c>
      <c r="U160" s="12">
        <v>0.0</v>
      </c>
      <c r="V160" s="16">
        <f t="shared" si="37"/>
        <v>0</v>
      </c>
      <c r="W160" s="12">
        <v>0.0</v>
      </c>
      <c r="X160" s="12">
        <v>0.0</v>
      </c>
      <c r="Y160" s="12"/>
      <c r="Z160" s="12">
        <v>0.0</v>
      </c>
      <c r="AA160" s="12">
        <v>0.0</v>
      </c>
      <c r="AB160" s="12">
        <v>0.0</v>
      </c>
      <c r="AC160" s="16">
        <f t="shared" si="38"/>
        <v>0</v>
      </c>
      <c r="AD160" s="12"/>
      <c r="AE160" s="12"/>
      <c r="AF160" s="12">
        <v>0.0</v>
      </c>
      <c r="AG160" s="12">
        <v>0.0</v>
      </c>
      <c r="AH160" s="12"/>
      <c r="AI160" s="12">
        <v>0.0</v>
      </c>
      <c r="AJ160" s="12">
        <v>0.0</v>
      </c>
      <c r="AK160" s="12">
        <v>0.0</v>
      </c>
      <c r="AL160" s="16">
        <f t="shared" si="39"/>
        <v>0</v>
      </c>
      <c r="AM160" s="12">
        <v>0.0</v>
      </c>
      <c r="AN160" s="12">
        <v>0.0</v>
      </c>
      <c r="AO160" s="12"/>
      <c r="AP160" s="12">
        <v>0.0</v>
      </c>
      <c r="AQ160" s="12">
        <v>0.0</v>
      </c>
      <c r="AR160" s="12">
        <v>0.0</v>
      </c>
      <c r="AS160" s="12">
        <f t="shared" si="49"/>
        <v>0</v>
      </c>
      <c r="AT160" s="5">
        <v>0.0</v>
      </c>
      <c r="AU160" s="18">
        <f t="shared" si="44"/>
        <v>179992.71</v>
      </c>
      <c r="AV160" s="18"/>
      <c r="AW160" s="18"/>
      <c r="AX160" s="12">
        <f t="shared" si="1"/>
        <v>0</v>
      </c>
      <c r="AY160" s="12"/>
      <c r="AZ160" s="12">
        <v>0.0</v>
      </c>
      <c r="BA160" s="18">
        <f t="shared" si="48"/>
        <v>27151.88</v>
      </c>
      <c r="BB160" s="10">
        <f t="shared" si="16"/>
        <v>348735.8756</v>
      </c>
      <c r="BC160" s="16">
        <f t="shared" si="22"/>
        <v>58914.85</v>
      </c>
      <c r="BD160" s="16"/>
      <c r="BE160" s="16"/>
      <c r="BF160" s="6"/>
      <c r="BG160" s="6"/>
      <c r="BH160" s="6"/>
      <c r="BI160" s="29">
        <f t="shared" si="43"/>
        <v>15182.21774</v>
      </c>
      <c r="BJ160" s="6"/>
      <c r="BK160" s="15">
        <f t="shared" si="17"/>
        <v>0</v>
      </c>
      <c r="BN160" s="41">
        <f t="shared" si="14"/>
        <v>-15182.21774</v>
      </c>
      <c r="BO160" s="16">
        <f t="shared" si="45"/>
        <v>-62922.77387</v>
      </c>
      <c r="BY160" s="6">
        <f t="shared" si="2"/>
        <v>2024</v>
      </c>
      <c r="BZ160" s="6" t="str">
        <f t="shared" si="3"/>
        <v>marzo</v>
      </c>
      <c r="CA160" s="6" t="str">
        <f t="shared" si="4"/>
        <v>3</v>
      </c>
    </row>
    <row r="161">
      <c r="A161" s="8">
        <v>45368.0</v>
      </c>
      <c r="B161" s="12">
        <v>0.0</v>
      </c>
      <c r="C161" s="12">
        <v>0.0</v>
      </c>
      <c r="D161" s="12"/>
      <c r="E161" s="12">
        <v>0.0</v>
      </c>
      <c r="F161" s="12">
        <v>0.0</v>
      </c>
      <c r="G161" s="12">
        <v>0.0</v>
      </c>
      <c r="H161" s="12">
        <f t="shared" si="46"/>
        <v>0</v>
      </c>
      <c r="I161" s="12">
        <v>0.0</v>
      </c>
      <c r="J161" s="12">
        <v>0.0</v>
      </c>
      <c r="K161" s="12"/>
      <c r="L161" s="12">
        <v>0.0</v>
      </c>
      <c r="M161" s="12">
        <v>0.0</v>
      </c>
      <c r="N161" s="12">
        <v>0.0</v>
      </c>
      <c r="O161" s="16">
        <f t="shared" si="33"/>
        <v>0</v>
      </c>
      <c r="P161" s="12">
        <v>0.0</v>
      </c>
      <c r="Q161" s="12">
        <v>0.0</v>
      </c>
      <c r="R161" s="12"/>
      <c r="S161" s="12">
        <v>0.0</v>
      </c>
      <c r="T161" s="12">
        <v>0.0</v>
      </c>
      <c r="U161" s="12">
        <v>0.0</v>
      </c>
      <c r="V161" s="16">
        <f t="shared" si="37"/>
        <v>0</v>
      </c>
      <c r="W161" s="12">
        <v>0.0</v>
      </c>
      <c r="X161" s="12">
        <v>0.0</v>
      </c>
      <c r="Y161" s="12"/>
      <c r="Z161" s="12">
        <v>0.0</v>
      </c>
      <c r="AA161" s="12">
        <v>0.0</v>
      </c>
      <c r="AB161" s="12">
        <v>0.0</v>
      </c>
      <c r="AC161" s="16">
        <f t="shared" si="38"/>
        <v>0</v>
      </c>
      <c r="AD161" s="12"/>
      <c r="AE161" s="12"/>
      <c r="AF161" s="12">
        <v>0.0</v>
      </c>
      <c r="AG161" s="12">
        <v>0.0</v>
      </c>
      <c r="AH161" s="12"/>
      <c r="AI161" s="12">
        <v>0.0</v>
      </c>
      <c r="AJ161" s="12">
        <v>0.0</v>
      </c>
      <c r="AK161" s="12">
        <v>0.0</v>
      </c>
      <c r="AL161" s="16">
        <f t="shared" si="39"/>
        <v>0</v>
      </c>
      <c r="AM161" s="12">
        <v>0.0</v>
      </c>
      <c r="AN161" s="12">
        <v>0.0</v>
      </c>
      <c r="AO161" s="12"/>
      <c r="AP161" s="12">
        <v>0.0</v>
      </c>
      <c r="AQ161" s="12">
        <v>0.0</v>
      </c>
      <c r="AR161" s="12">
        <v>0.0</v>
      </c>
      <c r="AS161" s="12">
        <f t="shared" si="49"/>
        <v>0</v>
      </c>
      <c r="AT161" s="5">
        <v>0.0</v>
      </c>
      <c r="AU161" s="18">
        <f t="shared" si="44"/>
        <v>179992.71</v>
      </c>
      <c r="AV161" s="18"/>
      <c r="AW161" s="18"/>
      <c r="AX161" s="12">
        <f t="shared" si="1"/>
        <v>0</v>
      </c>
      <c r="AY161" s="12"/>
      <c r="AZ161" s="12">
        <v>0.0</v>
      </c>
      <c r="BA161" s="18">
        <f t="shared" si="48"/>
        <v>27151.88</v>
      </c>
      <c r="BB161" s="10">
        <f t="shared" si="16"/>
        <v>328222.0006</v>
      </c>
      <c r="BC161" s="16">
        <f t="shared" si="22"/>
        <v>58914.85</v>
      </c>
      <c r="BD161" s="16"/>
      <c r="BE161" s="16"/>
      <c r="BF161" s="6"/>
      <c r="BG161" s="6"/>
      <c r="BH161" s="6"/>
      <c r="BI161" s="29">
        <f t="shared" si="43"/>
        <v>15182.21774</v>
      </c>
      <c r="BJ161" s="6"/>
      <c r="BK161" s="15">
        <f t="shared" si="17"/>
        <v>0</v>
      </c>
      <c r="BN161" s="41">
        <f t="shared" si="14"/>
        <v>-15182.21774</v>
      </c>
      <c r="BO161" s="16">
        <f t="shared" si="45"/>
        <v>-78104.99161</v>
      </c>
      <c r="BY161" s="6">
        <f t="shared" si="2"/>
        <v>2024</v>
      </c>
      <c r="BZ161" s="6" t="str">
        <f t="shared" si="3"/>
        <v>marzo</v>
      </c>
      <c r="CA161" s="6" t="str">
        <f t="shared" si="4"/>
        <v>3</v>
      </c>
    </row>
    <row r="162">
      <c r="A162" s="8">
        <v>45369.0</v>
      </c>
      <c r="B162" s="12">
        <v>22305.99</v>
      </c>
      <c r="C162" s="12">
        <v>2295.67</v>
      </c>
      <c r="D162" s="12"/>
      <c r="E162" s="12">
        <v>0.0</v>
      </c>
      <c r="F162" s="12">
        <v>0.0</v>
      </c>
      <c r="G162" s="12">
        <v>0.0</v>
      </c>
      <c r="H162" s="12">
        <f t="shared" si="46"/>
        <v>24601.66</v>
      </c>
      <c r="I162" s="12">
        <v>13795.63</v>
      </c>
      <c r="J162" s="12">
        <v>1633.08</v>
      </c>
      <c r="K162" s="12"/>
      <c r="L162" s="12">
        <v>0.0</v>
      </c>
      <c r="M162" s="12">
        <v>0.0</v>
      </c>
      <c r="N162" s="12">
        <v>0.0</v>
      </c>
      <c r="O162" s="16">
        <f t="shared" si="33"/>
        <v>15428.71</v>
      </c>
      <c r="P162" s="12">
        <v>3348.37</v>
      </c>
      <c r="Q162" s="12">
        <v>459.55</v>
      </c>
      <c r="R162" s="12"/>
      <c r="S162" s="12">
        <v>0.0</v>
      </c>
      <c r="T162" s="12">
        <v>0.0</v>
      </c>
      <c r="U162" s="12">
        <v>0.0</v>
      </c>
      <c r="V162" s="16">
        <f t="shared" si="37"/>
        <v>3807.92</v>
      </c>
      <c r="W162" s="12">
        <v>25.21</v>
      </c>
      <c r="X162" s="12">
        <v>0.0</v>
      </c>
      <c r="Y162" s="12"/>
      <c r="Z162" s="12">
        <v>0.0</v>
      </c>
      <c r="AA162" s="12">
        <v>0.0</v>
      </c>
      <c r="AB162" s="12">
        <v>0.0</v>
      </c>
      <c r="AC162" s="16">
        <f t="shared" si="38"/>
        <v>25.21</v>
      </c>
      <c r="AD162" s="12"/>
      <c r="AE162" s="12"/>
      <c r="AF162" s="12">
        <v>1907.9</v>
      </c>
      <c r="AG162" s="12">
        <v>1769.91</v>
      </c>
      <c r="AH162" s="12"/>
      <c r="AI162" s="12">
        <v>0.0</v>
      </c>
      <c r="AJ162" s="12">
        <v>0.0</v>
      </c>
      <c r="AK162" s="12">
        <v>0.0</v>
      </c>
      <c r="AL162" s="16">
        <f t="shared" si="39"/>
        <v>3677.81</v>
      </c>
      <c r="AM162" s="12">
        <v>0.0</v>
      </c>
      <c r="AN162" s="12">
        <v>0.0</v>
      </c>
      <c r="AO162" s="12"/>
      <c r="AP162" s="12">
        <v>0.0</v>
      </c>
      <c r="AQ162" s="12">
        <v>0.0</v>
      </c>
      <c r="AR162" s="12">
        <v>0.0</v>
      </c>
      <c r="AS162" s="12">
        <f t="shared" si="49"/>
        <v>0</v>
      </c>
      <c r="AT162" s="16">
        <f t="shared" ref="AT162:AT166" si="51">IF(AS162+AL162+AC162+V162+O162=0,"",AS162+AL162+AC162+V162+O162)</f>
        <v>22939.65</v>
      </c>
      <c r="AU162" s="18">
        <f t="shared" si="44"/>
        <v>202932.36</v>
      </c>
      <c r="AV162" s="18"/>
      <c r="AW162" s="18"/>
      <c r="AX162" s="12">
        <f t="shared" si="1"/>
        <v>22939.65</v>
      </c>
      <c r="AY162" s="12"/>
      <c r="AZ162" s="12">
        <v>1616.51</v>
      </c>
      <c r="BA162" s="18">
        <f t="shared" si="48"/>
        <v>28768.39</v>
      </c>
      <c r="BB162" s="10">
        <f t="shared" si="16"/>
        <v>349494.62</v>
      </c>
      <c r="BC162" s="16">
        <f t="shared" si="22"/>
        <v>58914.85</v>
      </c>
      <c r="BD162" s="16"/>
      <c r="BE162" s="16"/>
      <c r="BF162" s="6"/>
      <c r="BG162" s="6"/>
      <c r="BH162" s="6"/>
      <c r="BI162" s="29">
        <f t="shared" si="43"/>
        <v>15182.21774</v>
      </c>
      <c r="BK162" s="15">
        <f t="shared" si="17"/>
        <v>1.510955144</v>
      </c>
      <c r="BN162" s="16">
        <f t="shared" si="14"/>
        <v>7757.432258</v>
      </c>
      <c r="BO162" s="16">
        <f t="shared" si="45"/>
        <v>-70347.55935</v>
      </c>
      <c r="BY162" s="6">
        <f t="shared" si="2"/>
        <v>2024</v>
      </c>
      <c r="BZ162" s="6" t="str">
        <f t="shared" si="3"/>
        <v>marzo</v>
      </c>
      <c r="CA162" s="6" t="str">
        <f t="shared" si="4"/>
        <v>3</v>
      </c>
    </row>
    <row r="163">
      <c r="A163" s="8">
        <v>45370.0</v>
      </c>
      <c r="B163" s="12">
        <v>16068.6</v>
      </c>
      <c r="C163" s="12">
        <v>1345.18</v>
      </c>
      <c r="D163" s="12"/>
      <c r="E163" s="12">
        <v>84.8</v>
      </c>
      <c r="F163" s="12">
        <v>0.0</v>
      </c>
      <c r="G163" s="12">
        <v>0.0</v>
      </c>
      <c r="H163" s="12">
        <f t="shared" si="46"/>
        <v>17498.58</v>
      </c>
      <c r="I163" s="12">
        <v>13274.96</v>
      </c>
      <c r="J163" s="12">
        <v>270.3</v>
      </c>
      <c r="K163" s="12"/>
      <c r="L163" s="12">
        <v>10642.63</v>
      </c>
      <c r="M163" s="12">
        <v>0.0</v>
      </c>
      <c r="N163" s="12">
        <v>0.0</v>
      </c>
      <c r="O163" s="16">
        <f t="shared" si="33"/>
        <v>24187.89</v>
      </c>
      <c r="P163" s="12">
        <v>2853.43</v>
      </c>
      <c r="Q163" s="12">
        <v>200.42</v>
      </c>
      <c r="R163" s="12"/>
      <c r="S163" s="12">
        <v>0.0</v>
      </c>
      <c r="T163" s="12">
        <v>0.0</v>
      </c>
      <c r="U163" s="12">
        <v>0.0</v>
      </c>
      <c r="V163" s="16">
        <f t="shared" si="37"/>
        <v>3053.85</v>
      </c>
      <c r="W163" s="12">
        <v>2205.08</v>
      </c>
      <c r="X163" s="12">
        <v>0.63</v>
      </c>
      <c r="Y163" s="12"/>
      <c r="Z163" s="12">
        <v>0.0</v>
      </c>
      <c r="AA163" s="12">
        <v>0.0</v>
      </c>
      <c r="AB163" s="12">
        <v>0.0</v>
      </c>
      <c r="AC163" s="16">
        <f t="shared" si="38"/>
        <v>2205.71</v>
      </c>
      <c r="AD163" s="12"/>
      <c r="AE163" s="12"/>
      <c r="AF163" s="12">
        <v>3866.89</v>
      </c>
      <c r="AG163" s="12">
        <v>37.23</v>
      </c>
      <c r="AH163" s="12"/>
      <c r="AI163" s="12">
        <v>0.0</v>
      </c>
      <c r="AJ163" s="12">
        <v>0.0</v>
      </c>
      <c r="AK163" s="12">
        <v>0.0</v>
      </c>
      <c r="AL163" s="16">
        <f t="shared" si="39"/>
        <v>3904.12</v>
      </c>
      <c r="AM163" s="12">
        <v>7632.0</v>
      </c>
      <c r="AN163" s="12">
        <v>0.0</v>
      </c>
      <c r="AO163" s="12"/>
      <c r="AP163" s="12">
        <v>0.0</v>
      </c>
      <c r="AQ163" s="12">
        <v>0.0</v>
      </c>
      <c r="AR163" s="12">
        <v>0.0</v>
      </c>
      <c r="AS163" s="12">
        <f t="shared" si="49"/>
        <v>7632</v>
      </c>
      <c r="AT163" s="16">
        <f t="shared" si="51"/>
        <v>40983.57</v>
      </c>
      <c r="AU163" s="18">
        <f t="shared" si="44"/>
        <v>243915.93</v>
      </c>
      <c r="AV163" s="18"/>
      <c r="AW163" s="18"/>
      <c r="AX163" s="12">
        <f t="shared" si="1"/>
        <v>40983.57</v>
      </c>
      <c r="AY163" s="12"/>
      <c r="AZ163" s="12">
        <v>15139.79</v>
      </c>
      <c r="BA163" s="18">
        <f t="shared" si="48"/>
        <v>43908.18</v>
      </c>
      <c r="BB163" s="10">
        <f t="shared" si="16"/>
        <v>397968.0963</v>
      </c>
      <c r="BC163" s="16">
        <f t="shared" si="22"/>
        <v>58914.85</v>
      </c>
      <c r="BD163" s="16"/>
      <c r="BE163" s="16"/>
      <c r="BF163" s="6"/>
      <c r="BG163" s="6"/>
      <c r="BH163" s="6"/>
      <c r="BI163" s="29">
        <f t="shared" si="43"/>
        <v>15182.21774</v>
      </c>
      <c r="BK163" s="15">
        <f t="shared" si="17"/>
        <v>2.699445542</v>
      </c>
      <c r="BN163" s="16">
        <f t="shared" si="14"/>
        <v>25801.35226</v>
      </c>
      <c r="BO163" s="16">
        <f t="shared" si="45"/>
        <v>-44546.2071</v>
      </c>
      <c r="BY163" s="6">
        <f t="shared" si="2"/>
        <v>2024</v>
      </c>
      <c r="BZ163" s="6" t="str">
        <f t="shared" si="3"/>
        <v>marzo</v>
      </c>
      <c r="CA163" s="6" t="str">
        <f t="shared" si="4"/>
        <v>3</v>
      </c>
    </row>
    <row r="164">
      <c r="A164" s="8">
        <v>45371.0</v>
      </c>
      <c r="B164" s="12">
        <v>5410.8</v>
      </c>
      <c r="C164" s="12">
        <v>1292.42</v>
      </c>
      <c r="D164" s="12"/>
      <c r="E164" s="12">
        <v>0.0</v>
      </c>
      <c r="F164" s="12">
        <v>1202.02</v>
      </c>
      <c r="G164" s="12">
        <v>0.0</v>
      </c>
      <c r="H164" s="12">
        <f t="shared" si="46"/>
        <v>7905.24</v>
      </c>
      <c r="I164" s="12">
        <v>2502.24</v>
      </c>
      <c r="J164" s="12">
        <v>1509.32</v>
      </c>
      <c r="K164" s="12"/>
      <c r="L164" s="12">
        <v>0.0</v>
      </c>
      <c r="M164" s="12">
        <v>197.98</v>
      </c>
      <c r="N164" s="12">
        <v>0.0</v>
      </c>
      <c r="O164" s="16">
        <f t="shared" si="33"/>
        <v>4209.54</v>
      </c>
      <c r="P164" s="12">
        <v>739.13</v>
      </c>
      <c r="Q164" s="12">
        <v>624.37</v>
      </c>
      <c r="R164" s="12"/>
      <c r="S164" s="12">
        <v>0.0</v>
      </c>
      <c r="T164" s="12">
        <v>0.0</v>
      </c>
      <c r="U164" s="12">
        <v>0.0</v>
      </c>
      <c r="V164" s="16">
        <f t="shared" si="37"/>
        <v>1363.5</v>
      </c>
      <c r="W164" s="12">
        <v>0.0</v>
      </c>
      <c r="X164" s="12">
        <v>0.0</v>
      </c>
      <c r="Y164" s="12"/>
      <c r="Z164" s="12">
        <v>0.0</v>
      </c>
      <c r="AA164" s="12">
        <v>3.78</v>
      </c>
      <c r="AB164" s="12">
        <v>0.0</v>
      </c>
      <c r="AC164" s="16">
        <f t="shared" si="38"/>
        <v>3.78</v>
      </c>
      <c r="AD164" s="12"/>
      <c r="AE164" s="12"/>
      <c r="AF164" s="12">
        <v>1537.25</v>
      </c>
      <c r="AG164" s="12">
        <v>1039.54</v>
      </c>
      <c r="AH164" s="12"/>
      <c r="AI164" s="12">
        <v>0.0</v>
      </c>
      <c r="AJ164" s="12">
        <v>0.0</v>
      </c>
      <c r="AK164" s="12">
        <v>0.0</v>
      </c>
      <c r="AL164" s="16">
        <f t="shared" si="39"/>
        <v>2576.79</v>
      </c>
      <c r="AM164" s="12">
        <v>0.0</v>
      </c>
      <c r="AN164" s="12">
        <v>0.0</v>
      </c>
      <c r="AO164" s="12"/>
      <c r="AP164" s="12">
        <v>0.0</v>
      </c>
      <c r="AQ164" s="12">
        <v>0.0</v>
      </c>
      <c r="AR164" s="12">
        <v>0.0</v>
      </c>
      <c r="AS164" s="12">
        <f t="shared" si="49"/>
        <v>0</v>
      </c>
      <c r="AT164" s="16">
        <f t="shared" si="51"/>
        <v>8153.61</v>
      </c>
      <c r="AU164" s="18">
        <f t="shared" si="44"/>
        <v>252069.54</v>
      </c>
      <c r="AV164" s="18"/>
      <c r="AW164" s="18"/>
      <c r="AX164" s="12">
        <f t="shared" si="1"/>
        <v>8153.61</v>
      </c>
      <c r="AY164" s="12"/>
      <c r="AZ164" s="12">
        <v>0.0</v>
      </c>
      <c r="BA164" s="18">
        <f t="shared" si="48"/>
        <v>43908.18</v>
      </c>
      <c r="BB164" s="10">
        <f t="shared" si="16"/>
        <v>390707.787</v>
      </c>
      <c r="BC164" s="16">
        <f t="shared" si="22"/>
        <v>58914.85</v>
      </c>
      <c r="BD164" s="16"/>
      <c r="BE164" s="16"/>
      <c r="BF164" s="6"/>
      <c r="BG164" s="6"/>
      <c r="BH164" s="6"/>
      <c r="BI164" s="29">
        <f t="shared" si="43"/>
        <v>15182.21774</v>
      </c>
      <c r="BJ164" s="6"/>
      <c r="BK164" s="15">
        <f t="shared" si="17"/>
        <v>0.5370499975</v>
      </c>
      <c r="BN164" s="16">
        <f t="shared" si="14"/>
        <v>-7028.607742</v>
      </c>
      <c r="BO164" s="16">
        <f t="shared" si="45"/>
        <v>-51574.81484</v>
      </c>
      <c r="BY164" s="6">
        <f t="shared" si="2"/>
        <v>2024</v>
      </c>
      <c r="BZ164" s="6" t="str">
        <f t="shared" si="3"/>
        <v>marzo</v>
      </c>
      <c r="CA164" s="6" t="str">
        <f t="shared" si="4"/>
        <v>3</v>
      </c>
    </row>
    <row r="165">
      <c r="A165" s="8">
        <v>45372.0</v>
      </c>
      <c r="B165" s="12">
        <v>10633.25</v>
      </c>
      <c r="C165" s="12">
        <v>4741.14</v>
      </c>
      <c r="D165" s="12"/>
      <c r="E165" s="12">
        <v>0.0</v>
      </c>
      <c r="F165" s="12">
        <v>0.0</v>
      </c>
      <c r="G165" s="12">
        <v>0.0</v>
      </c>
      <c r="H165" s="12">
        <f t="shared" si="46"/>
        <v>15374.39</v>
      </c>
      <c r="I165" s="12">
        <v>6225.08</v>
      </c>
      <c r="J165" s="12">
        <v>3482.27</v>
      </c>
      <c r="K165" s="12"/>
      <c r="L165" s="12">
        <v>0.0</v>
      </c>
      <c r="M165" s="12">
        <v>840.0</v>
      </c>
      <c r="N165" s="12">
        <v>0.0</v>
      </c>
      <c r="O165" s="16">
        <f t="shared" si="33"/>
        <v>10547.35</v>
      </c>
      <c r="P165" s="12">
        <v>1901.05</v>
      </c>
      <c r="Q165" s="12">
        <v>528.61</v>
      </c>
      <c r="R165" s="12"/>
      <c r="S165" s="12">
        <v>0.0</v>
      </c>
      <c r="T165" s="12">
        <v>0.0</v>
      </c>
      <c r="U165" s="12">
        <v>0.0</v>
      </c>
      <c r="V165" s="16">
        <f t="shared" si="37"/>
        <v>2429.66</v>
      </c>
      <c r="W165" s="12">
        <v>151.25</v>
      </c>
      <c r="X165" s="12">
        <v>0.55</v>
      </c>
      <c r="Y165" s="12"/>
      <c r="Z165" s="12">
        <v>0.0</v>
      </c>
      <c r="AA165" s="12">
        <v>0.0</v>
      </c>
      <c r="AB165" s="12">
        <v>0.0</v>
      </c>
      <c r="AC165" s="16">
        <f t="shared" si="38"/>
        <v>151.8</v>
      </c>
      <c r="AD165" s="12"/>
      <c r="AE165" s="12"/>
      <c r="AF165" s="12">
        <v>721.87</v>
      </c>
      <c r="AG165" s="12">
        <v>553.54</v>
      </c>
      <c r="AH165" s="12"/>
      <c r="AI165" s="12">
        <v>0.0</v>
      </c>
      <c r="AJ165" s="12">
        <v>0.0</v>
      </c>
      <c r="AK165" s="12">
        <v>0.0</v>
      </c>
      <c r="AL165" s="16">
        <f t="shared" si="39"/>
        <v>1275.41</v>
      </c>
      <c r="AM165" s="12">
        <v>0.0</v>
      </c>
      <c r="AN165" s="12">
        <v>0.0</v>
      </c>
      <c r="AO165" s="12"/>
      <c r="AP165" s="12">
        <v>0.0</v>
      </c>
      <c r="AQ165" s="12">
        <v>0.0</v>
      </c>
      <c r="AR165" s="12">
        <v>0.0</v>
      </c>
      <c r="AS165" s="12">
        <f t="shared" si="49"/>
        <v>0</v>
      </c>
      <c r="AT165" s="16">
        <f t="shared" si="51"/>
        <v>14404.22</v>
      </c>
      <c r="AU165" s="18">
        <f t="shared" si="44"/>
        <v>266473.76</v>
      </c>
      <c r="AV165" s="18"/>
      <c r="AW165" s="18"/>
      <c r="AX165" s="12">
        <f t="shared" si="1"/>
        <v>14404.22</v>
      </c>
      <c r="AY165" s="12"/>
      <c r="AZ165" s="12">
        <v>2462.55</v>
      </c>
      <c r="BA165" s="18">
        <f t="shared" si="48"/>
        <v>46370.73</v>
      </c>
      <c r="BB165" s="10">
        <f t="shared" si="16"/>
        <v>393366.0267</v>
      </c>
      <c r="BC165" s="16">
        <f t="shared" si="22"/>
        <v>58914.85</v>
      </c>
      <c r="BD165" s="16"/>
      <c r="BE165" s="16"/>
      <c r="BF165" s="6"/>
      <c r="BG165" s="6"/>
      <c r="BH165" s="6"/>
      <c r="BI165" s="29">
        <f t="shared" si="43"/>
        <v>15182.21774</v>
      </c>
      <c r="BJ165" s="6"/>
      <c r="BK165" s="15">
        <f t="shared" si="17"/>
        <v>0.9487559884</v>
      </c>
      <c r="BN165" s="16">
        <f t="shared" si="14"/>
        <v>-777.9977419</v>
      </c>
      <c r="BO165" s="16">
        <f t="shared" si="45"/>
        <v>-52352.81258</v>
      </c>
      <c r="BY165" s="6">
        <f t="shared" si="2"/>
        <v>2024</v>
      </c>
      <c r="BZ165" s="6" t="str">
        <f t="shared" si="3"/>
        <v>marzo</v>
      </c>
      <c r="CA165" s="6" t="str">
        <f t="shared" si="4"/>
        <v>3</v>
      </c>
    </row>
    <row r="166">
      <c r="A166" s="8">
        <v>45373.0</v>
      </c>
      <c r="B166" s="12">
        <v>7101.39</v>
      </c>
      <c r="C166" s="12">
        <v>2644.08</v>
      </c>
      <c r="D166" s="12"/>
      <c r="E166" s="12">
        <v>0.0</v>
      </c>
      <c r="F166" s="12">
        <v>0.0</v>
      </c>
      <c r="G166" s="12">
        <v>0.0</v>
      </c>
      <c r="H166" s="12">
        <f t="shared" si="46"/>
        <v>9745.47</v>
      </c>
      <c r="I166" s="12">
        <v>4482.36</v>
      </c>
      <c r="J166" s="12">
        <v>1458.06</v>
      </c>
      <c r="K166" s="12"/>
      <c r="L166" s="12">
        <v>0.0</v>
      </c>
      <c r="M166" s="12">
        <v>0.0</v>
      </c>
      <c r="N166" s="12">
        <v>0.0</v>
      </c>
      <c r="O166" s="16">
        <f t="shared" si="33"/>
        <v>5940.42</v>
      </c>
      <c r="P166" s="12">
        <v>1358.83</v>
      </c>
      <c r="Q166" s="12">
        <v>433.27</v>
      </c>
      <c r="R166" s="12"/>
      <c r="S166" s="12">
        <v>0.0</v>
      </c>
      <c r="T166" s="12">
        <v>0.0</v>
      </c>
      <c r="U166" s="12">
        <v>0.0</v>
      </c>
      <c r="V166" s="16">
        <f t="shared" si="37"/>
        <v>1792.1</v>
      </c>
      <c r="W166" s="12">
        <v>2208.95</v>
      </c>
      <c r="X166" s="12">
        <v>337.06</v>
      </c>
      <c r="Y166" s="12"/>
      <c r="Z166" s="12">
        <v>0.0</v>
      </c>
      <c r="AA166" s="12">
        <v>0.0</v>
      </c>
      <c r="AB166" s="12">
        <v>0.0</v>
      </c>
      <c r="AC166" s="16">
        <f t="shared" si="38"/>
        <v>2546.01</v>
      </c>
      <c r="AD166" s="12"/>
      <c r="AE166" s="12"/>
      <c r="AF166" s="12">
        <v>763.27</v>
      </c>
      <c r="AG166" s="12">
        <v>1688.26</v>
      </c>
      <c r="AH166" s="12"/>
      <c r="AI166" s="12">
        <v>0.0</v>
      </c>
      <c r="AJ166" s="12">
        <v>0.0</v>
      </c>
      <c r="AK166" s="12">
        <v>0.0</v>
      </c>
      <c r="AL166" s="16">
        <f t="shared" si="39"/>
        <v>2451.53</v>
      </c>
      <c r="AM166" s="12">
        <v>12066.0</v>
      </c>
      <c r="AN166" s="12">
        <v>0.0</v>
      </c>
      <c r="AO166" s="12"/>
      <c r="AP166" s="12">
        <v>0.0</v>
      </c>
      <c r="AQ166" s="12">
        <v>0.0</v>
      </c>
      <c r="AR166" s="12">
        <v>0.0</v>
      </c>
      <c r="AS166" s="12">
        <f t="shared" si="49"/>
        <v>12066</v>
      </c>
      <c r="AT166" s="16">
        <f t="shared" si="51"/>
        <v>24796.06</v>
      </c>
      <c r="AU166" s="18">
        <f t="shared" si="44"/>
        <v>291269.82</v>
      </c>
      <c r="AV166" s="18"/>
      <c r="AW166" s="18"/>
      <c r="AX166" s="12">
        <f t="shared" si="1"/>
        <v>24796.06</v>
      </c>
      <c r="AY166" s="12"/>
      <c r="AZ166" s="12">
        <v>3202.1</v>
      </c>
      <c r="BA166" s="18">
        <f t="shared" si="48"/>
        <v>49572.83</v>
      </c>
      <c r="BB166" s="10">
        <f t="shared" si="16"/>
        <v>410425.6555</v>
      </c>
      <c r="BC166" s="16">
        <f t="shared" si="22"/>
        <v>58914.85</v>
      </c>
      <c r="BD166" s="16"/>
      <c r="BE166" s="16"/>
      <c r="BF166" s="6"/>
      <c r="BG166" s="6"/>
      <c r="BH166" s="6"/>
      <c r="BI166" s="29">
        <f t="shared" si="43"/>
        <v>15182.21774</v>
      </c>
      <c r="BK166" s="15">
        <f t="shared" si="17"/>
        <v>1.633230429</v>
      </c>
      <c r="BN166" s="16">
        <f t="shared" si="14"/>
        <v>9613.842258</v>
      </c>
      <c r="BO166" s="16">
        <f t="shared" si="45"/>
        <v>-42738.97032</v>
      </c>
      <c r="BY166" s="6">
        <f t="shared" si="2"/>
        <v>2024</v>
      </c>
      <c r="BZ166" s="6" t="str">
        <f t="shared" si="3"/>
        <v>marzo</v>
      </c>
      <c r="CA166" s="6" t="str">
        <f t="shared" si="4"/>
        <v>3</v>
      </c>
    </row>
    <row r="167">
      <c r="A167" s="8">
        <v>45374.0</v>
      </c>
      <c r="B167" s="12">
        <v>0.0</v>
      </c>
      <c r="C167" s="12">
        <v>0.0</v>
      </c>
      <c r="D167" s="12"/>
      <c r="E167" s="12">
        <v>0.0</v>
      </c>
      <c r="F167" s="12">
        <v>0.0</v>
      </c>
      <c r="G167" s="12">
        <v>0.0</v>
      </c>
      <c r="H167" s="12">
        <f t="shared" si="46"/>
        <v>0</v>
      </c>
      <c r="I167" s="12">
        <v>0.0</v>
      </c>
      <c r="J167" s="12">
        <v>0.0</v>
      </c>
      <c r="K167" s="12"/>
      <c r="L167" s="12">
        <v>0.0</v>
      </c>
      <c r="M167" s="12">
        <v>0.0</v>
      </c>
      <c r="N167" s="12">
        <v>0.0</v>
      </c>
      <c r="O167" s="16">
        <f t="shared" si="33"/>
        <v>0</v>
      </c>
      <c r="P167" s="12">
        <v>0.0</v>
      </c>
      <c r="Q167" s="12">
        <v>0.0</v>
      </c>
      <c r="R167" s="12"/>
      <c r="S167" s="12">
        <v>0.0</v>
      </c>
      <c r="T167" s="12">
        <v>0.0</v>
      </c>
      <c r="U167" s="12">
        <v>0.0</v>
      </c>
      <c r="V167" s="16">
        <f t="shared" si="37"/>
        <v>0</v>
      </c>
      <c r="W167" s="12">
        <v>0.0</v>
      </c>
      <c r="X167" s="12">
        <v>0.0</v>
      </c>
      <c r="Y167" s="12"/>
      <c r="Z167" s="12">
        <v>0.0</v>
      </c>
      <c r="AA167" s="12">
        <v>0.0</v>
      </c>
      <c r="AB167" s="12">
        <v>0.0</v>
      </c>
      <c r="AC167" s="16">
        <f t="shared" si="38"/>
        <v>0</v>
      </c>
      <c r="AD167" s="12"/>
      <c r="AE167" s="12"/>
      <c r="AF167" s="12">
        <v>0.0</v>
      </c>
      <c r="AG167" s="12">
        <v>0.0</v>
      </c>
      <c r="AH167" s="12"/>
      <c r="AI167" s="12">
        <v>0.0</v>
      </c>
      <c r="AJ167" s="12">
        <v>0.0</v>
      </c>
      <c r="AK167" s="12">
        <v>0.0</v>
      </c>
      <c r="AL167" s="12">
        <v>0.0</v>
      </c>
      <c r="AM167" s="12">
        <v>0.0</v>
      </c>
      <c r="AN167" s="12">
        <v>0.0</v>
      </c>
      <c r="AO167" s="12"/>
      <c r="AP167" s="12">
        <v>0.0</v>
      </c>
      <c r="AQ167" s="12">
        <v>0.0</v>
      </c>
      <c r="AR167" s="12">
        <v>0.0</v>
      </c>
      <c r="AS167" s="12">
        <f t="shared" si="49"/>
        <v>0</v>
      </c>
      <c r="AT167" s="5">
        <v>0.0</v>
      </c>
      <c r="AU167" s="18">
        <f t="shared" si="44"/>
        <v>291269.82</v>
      </c>
      <c r="AV167" s="18"/>
      <c r="AW167" s="18"/>
      <c r="AX167" s="12">
        <f t="shared" si="1"/>
        <v>0</v>
      </c>
      <c r="AY167" s="12"/>
      <c r="AZ167" s="12">
        <v>0.0</v>
      </c>
      <c r="BA167" s="18">
        <f t="shared" si="48"/>
        <v>49572.83</v>
      </c>
      <c r="BB167" s="10">
        <f t="shared" si="16"/>
        <v>392581.0617</v>
      </c>
      <c r="BC167" s="16">
        <f t="shared" si="22"/>
        <v>58914.85</v>
      </c>
      <c r="BD167" s="16"/>
      <c r="BE167" s="16"/>
      <c r="BF167" s="6"/>
      <c r="BG167" s="6"/>
      <c r="BH167" s="6"/>
      <c r="BI167" s="29">
        <f t="shared" si="43"/>
        <v>15182.21774</v>
      </c>
      <c r="BJ167" s="6"/>
      <c r="BK167" s="15">
        <f t="shared" si="17"/>
        <v>0</v>
      </c>
      <c r="BN167" s="41">
        <f t="shared" si="14"/>
        <v>-15182.21774</v>
      </c>
      <c r="BO167" s="16">
        <f t="shared" si="45"/>
        <v>-57921.18806</v>
      </c>
      <c r="BY167" s="6">
        <f t="shared" si="2"/>
        <v>2024</v>
      </c>
      <c r="BZ167" s="6" t="str">
        <f t="shared" si="3"/>
        <v>marzo</v>
      </c>
      <c r="CA167" s="6" t="str">
        <f t="shared" si="4"/>
        <v>3</v>
      </c>
    </row>
    <row r="168">
      <c r="A168" s="8">
        <v>45375.0</v>
      </c>
      <c r="B168" s="12">
        <v>0.0</v>
      </c>
      <c r="C168" s="12">
        <v>0.0</v>
      </c>
      <c r="D168" s="12"/>
      <c r="E168" s="12">
        <v>0.0</v>
      </c>
      <c r="F168" s="12">
        <v>0.0</v>
      </c>
      <c r="G168" s="12">
        <v>0.0</v>
      </c>
      <c r="H168" s="12">
        <f t="shared" si="46"/>
        <v>0</v>
      </c>
      <c r="I168" s="12">
        <v>0.0</v>
      </c>
      <c r="J168" s="12">
        <v>0.0</v>
      </c>
      <c r="K168" s="12"/>
      <c r="L168" s="12">
        <v>0.0</v>
      </c>
      <c r="M168" s="12">
        <v>0.0</v>
      </c>
      <c r="N168" s="12">
        <v>0.0</v>
      </c>
      <c r="O168" s="16">
        <f t="shared" si="33"/>
        <v>0</v>
      </c>
      <c r="P168" s="12">
        <v>0.0</v>
      </c>
      <c r="Q168" s="12">
        <v>0.0</v>
      </c>
      <c r="R168" s="12"/>
      <c r="S168" s="12">
        <v>0.0</v>
      </c>
      <c r="T168" s="12">
        <v>0.0</v>
      </c>
      <c r="U168" s="12">
        <v>0.0</v>
      </c>
      <c r="V168" s="16">
        <f t="shared" si="37"/>
        <v>0</v>
      </c>
      <c r="W168" s="12">
        <v>0.0</v>
      </c>
      <c r="X168" s="12">
        <v>0.0</v>
      </c>
      <c r="Y168" s="12"/>
      <c r="Z168" s="12">
        <v>0.0</v>
      </c>
      <c r="AA168" s="12">
        <v>0.0</v>
      </c>
      <c r="AB168" s="12">
        <v>0.0</v>
      </c>
      <c r="AC168" s="16">
        <f t="shared" si="38"/>
        <v>0</v>
      </c>
      <c r="AD168" s="12"/>
      <c r="AE168" s="12"/>
      <c r="AF168" s="12">
        <v>0.0</v>
      </c>
      <c r="AG168" s="12">
        <v>0.0</v>
      </c>
      <c r="AH168" s="12"/>
      <c r="AI168" s="12">
        <v>0.0</v>
      </c>
      <c r="AJ168" s="12">
        <v>0.0</v>
      </c>
      <c r="AK168" s="12">
        <v>0.0</v>
      </c>
      <c r="AL168" s="12">
        <v>0.0</v>
      </c>
      <c r="AM168" s="12">
        <v>0.0</v>
      </c>
      <c r="AN168" s="12">
        <v>0.0</v>
      </c>
      <c r="AO168" s="12"/>
      <c r="AP168" s="12">
        <v>0.0</v>
      </c>
      <c r="AQ168" s="12">
        <v>0.0</v>
      </c>
      <c r="AR168" s="12">
        <v>0.0</v>
      </c>
      <c r="AS168" s="12">
        <f t="shared" si="49"/>
        <v>0</v>
      </c>
      <c r="AT168" s="5">
        <v>0.0</v>
      </c>
      <c r="AU168" s="18">
        <f t="shared" si="44"/>
        <v>291269.82</v>
      </c>
      <c r="AV168" s="18"/>
      <c r="AW168" s="18"/>
      <c r="AX168" s="12">
        <f t="shared" si="1"/>
        <v>0</v>
      </c>
      <c r="AY168" s="12"/>
      <c r="AZ168" s="12">
        <v>0.0</v>
      </c>
      <c r="BA168" s="18">
        <f t="shared" si="48"/>
        <v>49572.83</v>
      </c>
      <c r="BB168" s="10">
        <f t="shared" si="16"/>
        <v>376223.5175</v>
      </c>
      <c r="BC168" s="16">
        <f t="shared" si="22"/>
        <v>58914.85</v>
      </c>
      <c r="BD168" s="16"/>
      <c r="BE168" s="16"/>
      <c r="BF168" s="6"/>
      <c r="BG168" s="6"/>
      <c r="BH168" s="6"/>
      <c r="BI168" s="29">
        <f t="shared" si="43"/>
        <v>15182.21774</v>
      </c>
      <c r="BJ168" s="6"/>
      <c r="BK168" s="15">
        <f t="shared" si="17"/>
        <v>0</v>
      </c>
      <c r="BN168" s="41">
        <f t="shared" si="14"/>
        <v>-15182.21774</v>
      </c>
      <c r="BO168" s="16">
        <f t="shared" si="45"/>
        <v>-73103.40581</v>
      </c>
      <c r="BY168" s="6">
        <f t="shared" si="2"/>
        <v>2024</v>
      </c>
      <c r="BZ168" s="6" t="str">
        <f t="shared" si="3"/>
        <v>marzo</v>
      </c>
      <c r="CA168" s="6" t="str">
        <f t="shared" si="4"/>
        <v>3</v>
      </c>
    </row>
    <row r="169">
      <c r="A169" s="8">
        <v>45376.0</v>
      </c>
      <c r="B169" s="12">
        <v>18020.14</v>
      </c>
      <c r="C169" s="12">
        <v>0.0</v>
      </c>
      <c r="D169" s="12"/>
      <c r="E169" s="12">
        <v>36.0</v>
      </c>
      <c r="F169" s="12">
        <v>431.16</v>
      </c>
      <c r="G169" s="12">
        <v>0.0</v>
      </c>
      <c r="H169" s="12">
        <f t="shared" si="46"/>
        <v>18487.3</v>
      </c>
      <c r="I169" s="12">
        <v>21548.91</v>
      </c>
      <c r="J169" s="12">
        <v>0.0</v>
      </c>
      <c r="K169" s="12"/>
      <c r="L169" s="12">
        <v>1511.47</v>
      </c>
      <c r="M169" s="12">
        <v>646.78</v>
      </c>
      <c r="N169" s="12">
        <v>0.0</v>
      </c>
      <c r="O169" s="16">
        <f t="shared" si="33"/>
        <v>23707.16</v>
      </c>
      <c r="P169" s="12">
        <v>2041.66</v>
      </c>
      <c r="Q169" s="12">
        <v>0.0</v>
      </c>
      <c r="R169" s="12"/>
      <c r="S169" s="12">
        <v>0.0</v>
      </c>
      <c r="T169" s="12">
        <v>0.0</v>
      </c>
      <c r="U169" s="12">
        <v>0.0</v>
      </c>
      <c r="V169" s="16">
        <f t="shared" si="37"/>
        <v>2041.66</v>
      </c>
      <c r="W169" s="12">
        <v>500.0</v>
      </c>
      <c r="X169" s="12">
        <v>500.0</v>
      </c>
      <c r="Y169" s="12"/>
      <c r="Z169" s="12">
        <v>0.0</v>
      </c>
      <c r="AA169" s="12">
        <v>0.0</v>
      </c>
      <c r="AB169" s="12">
        <v>0.0</v>
      </c>
      <c r="AC169" s="16">
        <f t="shared" si="38"/>
        <v>1000</v>
      </c>
      <c r="AD169" s="12"/>
      <c r="AE169" s="12"/>
      <c r="AF169" s="12">
        <v>0.0</v>
      </c>
      <c r="AG169" s="12">
        <v>0.0</v>
      </c>
      <c r="AH169" s="12"/>
      <c r="AI169" s="12">
        <v>0.0</v>
      </c>
      <c r="AJ169" s="12">
        <v>0.0</v>
      </c>
      <c r="AK169" s="12">
        <v>0.0</v>
      </c>
      <c r="AL169" s="12">
        <v>0.0</v>
      </c>
      <c r="AM169" s="12">
        <v>3340.0</v>
      </c>
      <c r="AN169" s="12">
        <v>912.0</v>
      </c>
      <c r="AO169" s="12"/>
      <c r="AP169" s="12">
        <v>0.0</v>
      </c>
      <c r="AQ169" s="12">
        <v>0.0</v>
      </c>
      <c r="AR169" s="12">
        <v>0.0</v>
      </c>
      <c r="AS169" s="12">
        <f t="shared" si="49"/>
        <v>4252</v>
      </c>
      <c r="AT169" s="16">
        <f t="shared" ref="AT169:AT170" si="52">IF(AS169+AL169+AC169+V169+O169=0,"",AS169+AL169+AC169+V169+O169)</f>
        <v>31000.82</v>
      </c>
      <c r="AU169" s="18">
        <f t="shared" si="44"/>
        <v>322270.64</v>
      </c>
      <c r="AV169" s="18"/>
      <c r="AW169" s="18"/>
      <c r="AX169" s="12">
        <f t="shared" si="1"/>
        <v>31000.82</v>
      </c>
      <c r="AY169" s="12"/>
      <c r="AZ169" s="12">
        <v>4401.84</v>
      </c>
      <c r="BA169" s="18">
        <f t="shared" si="48"/>
        <v>53974.67</v>
      </c>
      <c r="BB169" s="10">
        <f t="shared" si="16"/>
        <v>399615.5936</v>
      </c>
      <c r="BC169" s="16">
        <f t="shared" si="22"/>
        <v>58914.85</v>
      </c>
      <c r="BD169" s="16"/>
      <c r="BE169" s="16"/>
      <c r="BF169" s="6"/>
      <c r="BG169" s="6"/>
      <c r="BH169" s="6"/>
      <c r="BI169" s="29">
        <f t="shared" si="43"/>
        <v>15182.21774</v>
      </c>
      <c r="BK169" s="15">
        <f t="shared" si="17"/>
        <v>2.04191644</v>
      </c>
      <c r="BN169" s="16">
        <f t="shared" si="14"/>
        <v>15818.60226</v>
      </c>
      <c r="BO169" s="16">
        <f t="shared" si="45"/>
        <v>-57284.80355</v>
      </c>
      <c r="BY169" s="6">
        <f t="shared" si="2"/>
        <v>2024</v>
      </c>
      <c r="BZ169" s="6" t="str">
        <f t="shared" si="3"/>
        <v>marzo</v>
      </c>
      <c r="CA169" s="6" t="str">
        <f t="shared" si="4"/>
        <v>3</v>
      </c>
    </row>
    <row r="170">
      <c r="A170" s="8">
        <v>45377.0</v>
      </c>
      <c r="B170" s="12">
        <v>89760.08</v>
      </c>
      <c r="C170" s="12">
        <v>14487.01</v>
      </c>
      <c r="D170" s="12"/>
      <c r="E170" s="12">
        <v>2910.95</v>
      </c>
      <c r="F170" s="12">
        <v>0.0</v>
      </c>
      <c r="G170" s="12">
        <v>0.0</v>
      </c>
      <c r="H170" s="12">
        <f t="shared" si="46"/>
        <v>107158.04</v>
      </c>
      <c r="I170" s="12">
        <v>26916.21</v>
      </c>
      <c r="J170" s="12">
        <v>14009.65</v>
      </c>
      <c r="K170" s="12"/>
      <c r="L170" s="12">
        <v>626.72</v>
      </c>
      <c r="M170" s="12">
        <v>2875.67</v>
      </c>
      <c r="N170" s="12">
        <v>0.0</v>
      </c>
      <c r="O170" s="16">
        <f t="shared" si="33"/>
        <v>44428.25</v>
      </c>
      <c r="P170" s="12">
        <v>3807.9</v>
      </c>
      <c r="Q170" s="12">
        <v>1154.85</v>
      </c>
      <c r="R170" s="12"/>
      <c r="S170" s="12">
        <v>0.0</v>
      </c>
      <c r="T170" s="12">
        <v>0.0</v>
      </c>
      <c r="U170" s="12">
        <v>0.0</v>
      </c>
      <c r="V170" s="16">
        <f t="shared" si="37"/>
        <v>4962.75</v>
      </c>
      <c r="W170" s="12">
        <v>1650.0</v>
      </c>
      <c r="X170" s="12">
        <v>88.32</v>
      </c>
      <c r="Y170" s="12"/>
      <c r="Z170" s="12">
        <v>0.0</v>
      </c>
      <c r="AA170" s="12">
        <v>0.0</v>
      </c>
      <c r="AB170" s="12">
        <v>0.0</v>
      </c>
      <c r="AC170" s="16">
        <f t="shared" si="38"/>
        <v>1738.32</v>
      </c>
      <c r="AD170" s="12"/>
      <c r="AE170" s="12"/>
      <c r="AF170" s="12">
        <v>0.0</v>
      </c>
      <c r="AG170" s="12">
        <v>973.72</v>
      </c>
      <c r="AH170" s="12"/>
      <c r="AI170" s="12">
        <v>0.0</v>
      </c>
      <c r="AJ170" s="12">
        <v>0.0</v>
      </c>
      <c r="AK170" s="12">
        <v>0.0</v>
      </c>
      <c r="AL170" s="12">
        <f t="shared" ref="AL170:AL285" si="53">AK170+AJ170+AI170+AG170+AF170</f>
        <v>973.72</v>
      </c>
      <c r="AM170" s="12">
        <v>14266.0</v>
      </c>
      <c r="AN170" s="12">
        <v>0.0</v>
      </c>
      <c r="AO170" s="12"/>
      <c r="AP170" s="12">
        <v>0.0</v>
      </c>
      <c r="AQ170" s="12">
        <v>0.0</v>
      </c>
      <c r="AR170" s="12">
        <v>0.0</v>
      </c>
      <c r="AS170" s="12">
        <f t="shared" si="49"/>
        <v>14266</v>
      </c>
      <c r="AT170" s="16">
        <f t="shared" si="52"/>
        <v>66369.04</v>
      </c>
      <c r="AU170" s="18">
        <f t="shared" si="44"/>
        <v>388639.68</v>
      </c>
      <c r="AV170" s="18"/>
      <c r="AW170" s="18"/>
      <c r="AX170" s="12">
        <f t="shared" si="1"/>
        <v>66369.04</v>
      </c>
      <c r="AY170" s="12"/>
      <c r="AZ170" s="12">
        <v>2459.8</v>
      </c>
      <c r="BA170" s="18">
        <f t="shared" si="48"/>
        <v>56434.47</v>
      </c>
      <c r="BB170" s="10">
        <f t="shared" si="16"/>
        <v>463378.08</v>
      </c>
      <c r="BC170" s="16">
        <f t="shared" si="22"/>
        <v>58914.85</v>
      </c>
      <c r="BD170" s="16"/>
      <c r="BE170" s="16"/>
      <c r="BF170" s="6"/>
      <c r="BG170" s="6"/>
      <c r="BH170" s="6"/>
      <c r="BI170" s="29">
        <f t="shared" si="43"/>
        <v>15182.21774</v>
      </c>
      <c r="BK170" s="15">
        <f t="shared" si="17"/>
        <v>4.371498363</v>
      </c>
      <c r="BN170" s="16">
        <f t="shared" si="14"/>
        <v>51186.82226</v>
      </c>
      <c r="BO170" s="16">
        <f t="shared" si="45"/>
        <v>-6097.98129</v>
      </c>
      <c r="BY170" s="6">
        <f t="shared" si="2"/>
        <v>2024</v>
      </c>
      <c r="BZ170" s="6" t="str">
        <f t="shared" si="3"/>
        <v>marzo</v>
      </c>
      <c r="CA170" s="6" t="str">
        <f t="shared" si="4"/>
        <v>3</v>
      </c>
    </row>
    <row r="171">
      <c r="A171" s="8">
        <v>45378.0</v>
      </c>
      <c r="B171" s="12">
        <v>0.0</v>
      </c>
      <c r="C171" s="12">
        <v>0.0</v>
      </c>
      <c r="D171" s="12"/>
      <c r="E171" s="12">
        <v>0.0</v>
      </c>
      <c r="F171" s="12">
        <v>0.0</v>
      </c>
      <c r="G171" s="12">
        <v>0.0</v>
      </c>
      <c r="H171" s="12">
        <f t="shared" si="46"/>
        <v>0</v>
      </c>
      <c r="I171" s="12">
        <v>0.0</v>
      </c>
      <c r="J171" s="12">
        <v>0.0</v>
      </c>
      <c r="K171" s="12"/>
      <c r="L171" s="12">
        <v>0.0</v>
      </c>
      <c r="M171" s="12">
        <v>0.0</v>
      </c>
      <c r="N171" s="12">
        <v>0.0</v>
      </c>
      <c r="O171" s="16">
        <f t="shared" si="33"/>
        <v>0</v>
      </c>
      <c r="P171" s="12">
        <v>0.0</v>
      </c>
      <c r="Q171" s="12">
        <v>0.0</v>
      </c>
      <c r="R171" s="12"/>
      <c r="S171" s="12">
        <v>0.0</v>
      </c>
      <c r="T171" s="12">
        <v>0.0</v>
      </c>
      <c r="U171" s="12">
        <v>0.0</v>
      </c>
      <c r="V171" s="16">
        <f t="shared" si="37"/>
        <v>0</v>
      </c>
      <c r="W171" s="12">
        <v>0.0</v>
      </c>
      <c r="X171" s="12">
        <v>0.0</v>
      </c>
      <c r="Y171" s="12"/>
      <c r="Z171" s="12">
        <v>0.0</v>
      </c>
      <c r="AA171" s="12">
        <v>0.0</v>
      </c>
      <c r="AB171" s="12">
        <v>0.0</v>
      </c>
      <c r="AC171" s="16">
        <f t="shared" si="38"/>
        <v>0</v>
      </c>
      <c r="AD171" s="12"/>
      <c r="AE171" s="12"/>
      <c r="AF171" s="12">
        <v>0.0</v>
      </c>
      <c r="AG171" s="12">
        <v>0.0</v>
      </c>
      <c r="AH171" s="12"/>
      <c r="AI171" s="12">
        <v>0.0</v>
      </c>
      <c r="AJ171" s="12">
        <v>0.0</v>
      </c>
      <c r="AK171" s="12">
        <v>0.0</v>
      </c>
      <c r="AL171" s="12">
        <f t="shared" si="53"/>
        <v>0</v>
      </c>
      <c r="AM171" s="12">
        <v>0.0</v>
      </c>
      <c r="AN171" s="12">
        <v>0.0</v>
      </c>
      <c r="AO171" s="12"/>
      <c r="AP171" s="12">
        <v>0.0</v>
      </c>
      <c r="AQ171" s="12">
        <v>0.0</v>
      </c>
      <c r="AR171" s="12">
        <v>0.0</v>
      </c>
      <c r="AS171" s="12">
        <f t="shared" si="49"/>
        <v>0</v>
      </c>
      <c r="AT171" s="5">
        <v>0.0</v>
      </c>
      <c r="AU171" s="18">
        <f t="shared" si="44"/>
        <v>388639.68</v>
      </c>
      <c r="AV171" s="18"/>
      <c r="AW171" s="18"/>
      <c r="AX171" s="12">
        <f t="shared" si="1"/>
        <v>0</v>
      </c>
      <c r="AY171" s="12"/>
      <c r="AZ171" s="12">
        <v>0.0</v>
      </c>
      <c r="BA171" s="18">
        <f t="shared" si="48"/>
        <v>56434.47</v>
      </c>
      <c r="BB171" s="10">
        <f t="shared" si="16"/>
        <v>446215.9289</v>
      </c>
      <c r="BC171" s="16">
        <f t="shared" si="22"/>
        <v>58914.85</v>
      </c>
      <c r="BD171" s="16"/>
      <c r="BE171" s="16"/>
      <c r="BF171" s="6"/>
      <c r="BG171" s="6"/>
      <c r="BH171" s="6"/>
      <c r="BI171" s="29">
        <f t="shared" si="43"/>
        <v>15182.21774</v>
      </c>
      <c r="BJ171" s="6"/>
      <c r="BK171" s="15">
        <f t="shared" si="17"/>
        <v>0</v>
      </c>
      <c r="BN171" s="41">
        <f t="shared" si="14"/>
        <v>-15182.21774</v>
      </c>
      <c r="BO171" s="16">
        <f t="shared" si="45"/>
        <v>-21280.19903</v>
      </c>
      <c r="BY171" s="6">
        <f t="shared" si="2"/>
        <v>2024</v>
      </c>
      <c r="BZ171" s="6" t="str">
        <f t="shared" si="3"/>
        <v>marzo</v>
      </c>
      <c r="CA171" s="6" t="str">
        <f t="shared" si="4"/>
        <v>3</v>
      </c>
    </row>
    <row r="172">
      <c r="A172" s="8">
        <v>45379.0</v>
      </c>
      <c r="B172" s="12">
        <v>0.0</v>
      </c>
      <c r="C172" s="12">
        <v>0.0</v>
      </c>
      <c r="D172" s="12"/>
      <c r="E172" s="12">
        <v>0.0</v>
      </c>
      <c r="F172" s="12">
        <v>0.0</v>
      </c>
      <c r="G172" s="12">
        <v>0.0</v>
      </c>
      <c r="H172" s="12">
        <f t="shared" si="46"/>
        <v>0</v>
      </c>
      <c r="I172" s="12">
        <v>0.0</v>
      </c>
      <c r="J172" s="12">
        <v>0.0</v>
      </c>
      <c r="K172" s="12"/>
      <c r="L172" s="12">
        <v>0.0</v>
      </c>
      <c r="M172" s="12">
        <v>0.0</v>
      </c>
      <c r="N172" s="12">
        <v>0.0</v>
      </c>
      <c r="O172" s="16">
        <f t="shared" si="33"/>
        <v>0</v>
      </c>
      <c r="P172" s="12">
        <v>0.0</v>
      </c>
      <c r="Q172" s="12">
        <v>0.0</v>
      </c>
      <c r="R172" s="12"/>
      <c r="S172" s="12">
        <v>0.0</v>
      </c>
      <c r="T172" s="12">
        <v>0.0</v>
      </c>
      <c r="U172" s="12">
        <v>0.0</v>
      </c>
      <c r="V172" s="16">
        <f t="shared" si="37"/>
        <v>0</v>
      </c>
      <c r="W172" s="12">
        <v>0.0</v>
      </c>
      <c r="X172" s="12">
        <v>0.0</v>
      </c>
      <c r="Y172" s="12"/>
      <c r="Z172" s="12">
        <v>0.0</v>
      </c>
      <c r="AA172" s="12">
        <v>0.0</v>
      </c>
      <c r="AB172" s="12">
        <v>0.0</v>
      </c>
      <c r="AC172" s="16">
        <f t="shared" si="38"/>
        <v>0</v>
      </c>
      <c r="AD172" s="12"/>
      <c r="AE172" s="12"/>
      <c r="AF172" s="12">
        <v>0.0</v>
      </c>
      <c r="AG172" s="12">
        <v>0.0</v>
      </c>
      <c r="AH172" s="12"/>
      <c r="AI172" s="12">
        <v>0.0</v>
      </c>
      <c r="AJ172" s="12">
        <v>0.0</v>
      </c>
      <c r="AK172" s="12">
        <v>0.0</v>
      </c>
      <c r="AL172" s="12">
        <f t="shared" si="53"/>
        <v>0</v>
      </c>
      <c r="AM172" s="12">
        <v>0.0</v>
      </c>
      <c r="AN172" s="12">
        <v>0.0</v>
      </c>
      <c r="AO172" s="12"/>
      <c r="AP172" s="12">
        <v>0.0</v>
      </c>
      <c r="AQ172" s="12">
        <v>0.0</v>
      </c>
      <c r="AR172" s="12">
        <v>0.0</v>
      </c>
      <c r="AS172" s="12">
        <f t="shared" si="49"/>
        <v>0</v>
      </c>
      <c r="AT172" s="5">
        <v>0.0</v>
      </c>
      <c r="AU172" s="18">
        <f t="shared" si="44"/>
        <v>388639.68</v>
      </c>
      <c r="AV172" s="18"/>
      <c r="AW172" s="18"/>
      <c r="AX172" s="12">
        <f t="shared" si="1"/>
        <v>0</v>
      </c>
      <c r="AY172" s="12"/>
      <c r="AZ172" s="12">
        <v>0.0</v>
      </c>
      <c r="BA172" s="18">
        <f t="shared" si="48"/>
        <v>56434.47</v>
      </c>
      <c r="BB172" s="10">
        <f t="shared" si="16"/>
        <v>430279.6457</v>
      </c>
      <c r="BC172" s="16">
        <f t="shared" si="22"/>
        <v>58914.85</v>
      </c>
      <c r="BD172" s="16"/>
      <c r="BE172" s="16"/>
      <c r="BF172" s="6"/>
      <c r="BG172" s="6"/>
      <c r="BH172" s="6"/>
      <c r="BI172" s="29">
        <f t="shared" si="43"/>
        <v>15182.21774</v>
      </c>
      <c r="BJ172" s="6"/>
      <c r="BK172" s="15">
        <f t="shared" si="17"/>
        <v>0</v>
      </c>
      <c r="BN172" s="41">
        <f t="shared" si="14"/>
        <v>-15182.21774</v>
      </c>
      <c r="BO172" s="16">
        <f t="shared" si="45"/>
        <v>-36462.41677</v>
      </c>
      <c r="BY172" s="6">
        <f t="shared" si="2"/>
        <v>2024</v>
      </c>
      <c r="BZ172" s="6" t="str">
        <f t="shared" si="3"/>
        <v>marzo</v>
      </c>
      <c r="CA172" s="6" t="str">
        <f t="shared" si="4"/>
        <v>3</v>
      </c>
    </row>
    <row r="173">
      <c r="A173" s="8">
        <v>45380.0</v>
      </c>
      <c r="B173" s="12">
        <v>0.0</v>
      </c>
      <c r="C173" s="12">
        <v>0.0</v>
      </c>
      <c r="D173" s="12"/>
      <c r="E173" s="12">
        <v>0.0</v>
      </c>
      <c r="F173" s="12">
        <v>0.0</v>
      </c>
      <c r="G173" s="12">
        <v>0.0</v>
      </c>
      <c r="H173" s="12">
        <f t="shared" si="46"/>
        <v>0</v>
      </c>
      <c r="I173" s="12">
        <v>0.0</v>
      </c>
      <c r="J173" s="12">
        <v>0.0</v>
      </c>
      <c r="K173" s="12"/>
      <c r="L173" s="12">
        <v>0.0</v>
      </c>
      <c r="M173" s="12">
        <v>0.0</v>
      </c>
      <c r="N173" s="12">
        <v>0.0</v>
      </c>
      <c r="O173" s="16">
        <f t="shared" si="33"/>
        <v>0</v>
      </c>
      <c r="P173" s="12">
        <v>0.0</v>
      </c>
      <c r="Q173" s="12">
        <v>0.0</v>
      </c>
      <c r="R173" s="12"/>
      <c r="S173" s="12">
        <v>0.0</v>
      </c>
      <c r="T173" s="12">
        <v>0.0</v>
      </c>
      <c r="U173" s="12">
        <v>0.0</v>
      </c>
      <c r="V173" s="16">
        <f t="shared" si="37"/>
        <v>0</v>
      </c>
      <c r="W173" s="12">
        <v>0.0</v>
      </c>
      <c r="X173" s="12">
        <v>0.0</v>
      </c>
      <c r="Y173" s="12"/>
      <c r="Z173" s="12">
        <v>0.0</v>
      </c>
      <c r="AA173" s="12">
        <v>0.0</v>
      </c>
      <c r="AB173" s="12">
        <v>0.0</v>
      </c>
      <c r="AC173" s="16">
        <f t="shared" si="38"/>
        <v>0</v>
      </c>
      <c r="AD173" s="12"/>
      <c r="AE173" s="12"/>
      <c r="AF173" s="12">
        <v>0.0</v>
      </c>
      <c r="AG173" s="12">
        <v>0.0</v>
      </c>
      <c r="AH173" s="12"/>
      <c r="AI173" s="12">
        <v>0.0</v>
      </c>
      <c r="AJ173" s="12">
        <v>0.0</v>
      </c>
      <c r="AK173" s="12">
        <v>0.0</v>
      </c>
      <c r="AL173" s="12">
        <f t="shared" si="53"/>
        <v>0</v>
      </c>
      <c r="AM173" s="12">
        <v>0.0</v>
      </c>
      <c r="AN173" s="12">
        <v>0.0</v>
      </c>
      <c r="AO173" s="12"/>
      <c r="AP173" s="12">
        <v>0.0</v>
      </c>
      <c r="AQ173" s="12">
        <v>0.0</v>
      </c>
      <c r="AR173" s="12">
        <v>0.0</v>
      </c>
      <c r="AS173" s="12">
        <f t="shared" si="49"/>
        <v>0</v>
      </c>
      <c r="AT173" s="5">
        <v>0.0</v>
      </c>
      <c r="AU173" s="18">
        <f t="shared" si="44"/>
        <v>388639.68</v>
      </c>
      <c r="AV173" s="18"/>
      <c r="AW173" s="18"/>
      <c r="AX173" s="12">
        <f t="shared" si="1"/>
        <v>0</v>
      </c>
      <c r="AY173" s="12"/>
      <c r="AZ173" s="12">
        <v>0.0</v>
      </c>
      <c r="BA173" s="18">
        <f t="shared" si="48"/>
        <v>56434.47</v>
      </c>
      <c r="BB173" s="10">
        <f t="shared" si="16"/>
        <v>415442.4166</v>
      </c>
      <c r="BC173" s="16">
        <f t="shared" si="22"/>
        <v>58914.85</v>
      </c>
      <c r="BD173" s="16"/>
      <c r="BE173" s="16"/>
      <c r="BF173" s="6"/>
      <c r="BG173" s="6"/>
      <c r="BH173" s="6"/>
      <c r="BI173" s="29">
        <f t="shared" si="43"/>
        <v>15182.21774</v>
      </c>
      <c r="BJ173" s="6"/>
      <c r="BK173" s="15">
        <f t="shared" si="17"/>
        <v>0</v>
      </c>
      <c r="BN173" s="41">
        <f t="shared" si="14"/>
        <v>-15182.21774</v>
      </c>
      <c r="BO173" s="16">
        <f t="shared" si="45"/>
        <v>-51644.63452</v>
      </c>
      <c r="BY173" s="6">
        <f t="shared" si="2"/>
        <v>2024</v>
      </c>
      <c r="BZ173" s="6" t="str">
        <f t="shared" si="3"/>
        <v>marzo</v>
      </c>
      <c r="CA173" s="6" t="str">
        <f t="shared" si="4"/>
        <v>3</v>
      </c>
    </row>
    <row r="174">
      <c r="A174" s="8">
        <v>45381.0</v>
      </c>
      <c r="B174" s="12">
        <v>0.0</v>
      </c>
      <c r="C174" s="12">
        <v>0.0</v>
      </c>
      <c r="D174" s="12"/>
      <c r="E174" s="12">
        <v>0.0</v>
      </c>
      <c r="F174" s="12">
        <v>0.0</v>
      </c>
      <c r="G174" s="12">
        <v>0.0</v>
      </c>
      <c r="H174" s="12">
        <f t="shared" si="46"/>
        <v>0</v>
      </c>
      <c r="I174" s="12">
        <v>0.0</v>
      </c>
      <c r="J174" s="12">
        <v>0.0</v>
      </c>
      <c r="K174" s="12"/>
      <c r="L174" s="12">
        <v>0.0</v>
      </c>
      <c r="M174" s="12">
        <v>0.0</v>
      </c>
      <c r="N174" s="12">
        <v>0.0</v>
      </c>
      <c r="O174" s="16">
        <f t="shared" si="33"/>
        <v>0</v>
      </c>
      <c r="P174" s="12">
        <v>0.0</v>
      </c>
      <c r="Q174" s="12">
        <v>0.0</v>
      </c>
      <c r="R174" s="12"/>
      <c r="S174" s="12">
        <v>0.0</v>
      </c>
      <c r="T174" s="12">
        <v>0.0</v>
      </c>
      <c r="U174" s="12">
        <v>0.0</v>
      </c>
      <c r="V174" s="16">
        <f t="shared" si="37"/>
        <v>0</v>
      </c>
      <c r="W174" s="12">
        <v>0.0</v>
      </c>
      <c r="X174" s="12">
        <v>0.0</v>
      </c>
      <c r="Y174" s="12"/>
      <c r="Z174" s="12">
        <v>0.0</v>
      </c>
      <c r="AA174" s="12">
        <v>0.0</v>
      </c>
      <c r="AB174" s="12">
        <v>0.0</v>
      </c>
      <c r="AC174" s="16">
        <f t="shared" si="38"/>
        <v>0</v>
      </c>
      <c r="AD174" s="12"/>
      <c r="AE174" s="12"/>
      <c r="AF174" s="12">
        <v>0.0</v>
      </c>
      <c r="AG174" s="12">
        <v>0.0</v>
      </c>
      <c r="AH174" s="12"/>
      <c r="AI174" s="12">
        <v>0.0</v>
      </c>
      <c r="AJ174" s="12">
        <v>0.0</v>
      </c>
      <c r="AK174" s="12">
        <v>0.0</v>
      </c>
      <c r="AL174" s="12">
        <f t="shared" si="53"/>
        <v>0</v>
      </c>
      <c r="AM174" s="12">
        <v>0.0</v>
      </c>
      <c r="AN174" s="12">
        <v>0.0</v>
      </c>
      <c r="AO174" s="12"/>
      <c r="AP174" s="12">
        <v>0.0</v>
      </c>
      <c r="AQ174" s="12">
        <v>0.0</v>
      </c>
      <c r="AR174" s="12">
        <v>0.0</v>
      </c>
      <c r="AS174" s="12">
        <f t="shared" si="49"/>
        <v>0</v>
      </c>
      <c r="AT174" s="5">
        <v>0.0</v>
      </c>
      <c r="AU174" s="18">
        <f t="shared" si="44"/>
        <v>388639.68</v>
      </c>
      <c r="AV174" s="18"/>
      <c r="AW174" s="18"/>
      <c r="AX174" s="12">
        <f t="shared" si="1"/>
        <v>0</v>
      </c>
      <c r="AY174" s="12"/>
      <c r="AZ174" s="12">
        <v>0.0</v>
      </c>
      <c r="BA174" s="18">
        <f t="shared" si="48"/>
        <v>56434.47</v>
      </c>
      <c r="BB174" s="10">
        <f t="shared" si="16"/>
        <v>401594.336</v>
      </c>
      <c r="BC174" s="16">
        <f t="shared" si="22"/>
        <v>58914.85</v>
      </c>
      <c r="BD174" s="16"/>
      <c r="BE174" s="16"/>
      <c r="BF174" s="6"/>
      <c r="BG174" s="6"/>
      <c r="BH174" s="6"/>
      <c r="BI174" s="29">
        <f t="shared" si="43"/>
        <v>15182.21774</v>
      </c>
      <c r="BJ174" s="6"/>
      <c r="BK174" s="15">
        <f t="shared" si="17"/>
        <v>0</v>
      </c>
      <c r="BN174" s="41">
        <f t="shared" si="14"/>
        <v>-15182.21774</v>
      </c>
      <c r="BO174" s="16">
        <f t="shared" si="45"/>
        <v>-66826.85226</v>
      </c>
      <c r="BY174" s="6">
        <f t="shared" si="2"/>
        <v>2024</v>
      </c>
      <c r="BZ174" s="6" t="str">
        <f t="shared" si="3"/>
        <v>marzo</v>
      </c>
      <c r="CA174" s="6" t="str">
        <f t="shared" si="4"/>
        <v>3</v>
      </c>
    </row>
    <row r="175">
      <c r="A175" s="8">
        <v>45382.0</v>
      </c>
      <c r="B175" s="12">
        <f>12546.02+19598.94+2780.82+4296.41</f>
        <v>39222.19</v>
      </c>
      <c r="C175" s="12">
        <f>19586.27+8623.39+2250.85</f>
        <v>30460.51</v>
      </c>
      <c r="D175" s="12"/>
      <c r="E175" s="12">
        <v>1966.29</v>
      </c>
      <c r="F175" s="12">
        <v>0.0</v>
      </c>
      <c r="G175" s="12">
        <v>0.0</v>
      </c>
      <c r="H175" s="12">
        <f t="shared" si="46"/>
        <v>71648.99</v>
      </c>
      <c r="I175" s="12">
        <f>10267+12768.13+2667.97+1601.69</f>
        <v>27304.79</v>
      </c>
      <c r="J175" s="12">
        <f>3531.01+6211.15+1656.05</f>
        <v>11398.21</v>
      </c>
      <c r="K175" s="12"/>
      <c r="L175" s="12">
        <v>466.11</v>
      </c>
      <c r="M175" s="12">
        <v>0.0</v>
      </c>
      <c r="N175" s="12">
        <v>0.0</v>
      </c>
      <c r="O175" s="16">
        <f t="shared" si="33"/>
        <v>39169.11</v>
      </c>
      <c r="P175" s="12">
        <f>2363.53+3127.8+656.76+495.38</f>
        <v>6643.47</v>
      </c>
      <c r="Q175" s="12">
        <f>831.9+882.35+257.67</f>
        <v>1971.92</v>
      </c>
      <c r="R175" s="12"/>
      <c r="S175" s="12">
        <v>0.0</v>
      </c>
      <c r="T175" s="12">
        <v>0.0</v>
      </c>
      <c r="U175" s="12">
        <v>0.0</v>
      </c>
      <c r="V175" s="16">
        <f t="shared" si="37"/>
        <v>8615.39</v>
      </c>
      <c r="W175" s="12">
        <f>1100+2.29+0.03</f>
        <v>1102.32</v>
      </c>
      <c r="X175" s="12">
        <v>0.46</v>
      </c>
      <c r="Y175" s="12"/>
      <c r="Z175" s="12">
        <v>0.0</v>
      </c>
      <c r="AA175" s="12">
        <v>0.0</v>
      </c>
      <c r="AB175" s="12">
        <v>0.0</v>
      </c>
      <c r="AC175" s="16">
        <f t="shared" si="38"/>
        <v>1102.78</v>
      </c>
      <c r="AD175" s="12"/>
      <c r="AE175" s="12"/>
      <c r="AF175" s="12">
        <f>1593.56+3918.54+487.7+1155.16</f>
        <v>7154.96</v>
      </c>
      <c r="AG175" s="12">
        <v>380.72</v>
      </c>
      <c r="AH175" s="12"/>
      <c r="AI175" s="12">
        <v>0.0</v>
      </c>
      <c r="AJ175" s="12">
        <v>0.0</v>
      </c>
      <c r="AK175" s="12">
        <v>0.0</v>
      </c>
      <c r="AL175" s="12">
        <f t="shared" si="53"/>
        <v>7535.68</v>
      </c>
      <c r="AM175" s="12">
        <v>2784.0</v>
      </c>
      <c r="AN175" s="12">
        <v>0.0</v>
      </c>
      <c r="AO175" s="12"/>
      <c r="AP175" s="12">
        <v>0.0</v>
      </c>
      <c r="AQ175" s="12">
        <v>0.0</v>
      </c>
      <c r="AR175" s="12">
        <v>0.0</v>
      </c>
      <c r="AS175" s="12">
        <f t="shared" si="49"/>
        <v>2784</v>
      </c>
      <c r="AT175" s="16">
        <f t="shared" ref="AT175:AT180" si="54">IF(AS175+AL175+AC175+V175+O175=0,"",AS175+AL175+AC175+V175+O175)</f>
        <v>59206.96</v>
      </c>
      <c r="AU175" s="18">
        <f t="shared" si="44"/>
        <v>447846.64</v>
      </c>
      <c r="AV175" s="18"/>
      <c r="AW175" s="18"/>
      <c r="AX175" s="12">
        <f t="shared" si="1"/>
        <v>59206.96</v>
      </c>
      <c r="AY175" s="12"/>
      <c r="AZ175" s="12">
        <f>5230.63+1960.65+1404.53</f>
        <v>8595.81</v>
      </c>
      <c r="BA175" s="18">
        <f t="shared" si="48"/>
        <v>65030.28</v>
      </c>
      <c r="BB175" s="10">
        <f t="shared" si="16"/>
        <v>447846.64</v>
      </c>
      <c r="BC175" s="16">
        <f t="shared" si="22"/>
        <v>58914.85</v>
      </c>
      <c r="BD175" s="16"/>
      <c r="BE175" s="16"/>
      <c r="BF175" s="6"/>
      <c r="BG175" s="6"/>
      <c r="BH175" s="6"/>
      <c r="BI175" s="29">
        <f t="shared" si="43"/>
        <v>15182.21774</v>
      </c>
      <c r="BK175" s="15">
        <f t="shared" si="17"/>
        <v>3.899757006</v>
      </c>
      <c r="BN175" s="16">
        <f t="shared" si="14"/>
        <v>44024.74226</v>
      </c>
      <c r="BO175" s="16">
        <f t="shared" si="45"/>
        <v>-22802.11</v>
      </c>
      <c r="BY175" s="6">
        <f t="shared" si="2"/>
        <v>2024</v>
      </c>
      <c r="BZ175" s="6" t="str">
        <f t="shared" si="3"/>
        <v>marzo</v>
      </c>
      <c r="CA175" s="6" t="str">
        <f t="shared" si="4"/>
        <v>3</v>
      </c>
    </row>
    <row r="176">
      <c r="A176" s="8">
        <v>45383.0</v>
      </c>
      <c r="B176" s="12">
        <v>1876.0</v>
      </c>
      <c r="C176" s="12">
        <v>2963.0</v>
      </c>
      <c r="D176" s="12"/>
      <c r="E176" s="12">
        <v>780.0</v>
      </c>
      <c r="F176" s="12">
        <v>0.0</v>
      </c>
      <c r="G176" s="12">
        <v>0.0</v>
      </c>
      <c r="H176" s="12">
        <f t="shared" si="46"/>
        <v>5619</v>
      </c>
      <c r="I176" s="12">
        <v>780.0</v>
      </c>
      <c r="J176" s="12">
        <v>1960.0</v>
      </c>
      <c r="K176" s="12"/>
      <c r="L176" s="12">
        <v>0.0</v>
      </c>
      <c r="M176" s="12">
        <v>0.0</v>
      </c>
      <c r="N176" s="12">
        <v>0.0</v>
      </c>
      <c r="O176" s="16">
        <f t="shared" si="33"/>
        <v>2740</v>
      </c>
      <c r="P176" s="12">
        <v>236.0</v>
      </c>
      <c r="Q176" s="12">
        <v>160.0</v>
      </c>
      <c r="R176" s="12"/>
      <c r="S176" s="12">
        <v>0.0</v>
      </c>
      <c r="T176" s="12">
        <v>0.0</v>
      </c>
      <c r="U176" s="12">
        <v>0.0</v>
      </c>
      <c r="V176" s="16">
        <f t="shared" si="37"/>
        <v>396</v>
      </c>
      <c r="W176" s="12">
        <v>0.0</v>
      </c>
      <c r="X176" s="12">
        <v>0.0</v>
      </c>
      <c r="Y176" s="12"/>
      <c r="Z176" s="12">
        <v>0.0</v>
      </c>
      <c r="AA176" s="12">
        <v>0.0</v>
      </c>
      <c r="AB176" s="12">
        <v>0.0</v>
      </c>
      <c r="AC176" s="16">
        <f t="shared" si="38"/>
        <v>0</v>
      </c>
      <c r="AD176" s="12"/>
      <c r="AE176" s="12"/>
      <c r="AF176" s="12">
        <v>489.0</v>
      </c>
      <c r="AG176" s="12">
        <v>0.0</v>
      </c>
      <c r="AH176" s="12"/>
      <c r="AI176" s="12">
        <v>0.0</v>
      </c>
      <c r="AJ176" s="12">
        <v>0.0</v>
      </c>
      <c r="AK176" s="12">
        <v>0.0</v>
      </c>
      <c r="AL176" s="12">
        <f t="shared" si="53"/>
        <v>489</v>
      </c>
      <c r="AM176" s="12">
        <v>0.0</v>
      </c>
      <c r="AN176" s="12">
        <v>0.0</v>
      </c>
      <c r="AO176" s="12"/>
      <c r="AP176" s="12">
        <v>0.0</v>
      </c>
      <c r="AQ176" s="12">
        <v>0.0</v>
      </c>
      <c r="AR176" s="12">
        <v>0.0</v>
      </c>
      <c r="AS176" s="12">
        <f t="shared" si="49"/>
        <v>0</v>
      </c>
      <c r="AT176" s="16">
        <f t="shared" si="54"/>
        <v>3625</v>
      </c>
      <c r="AU176" s="18">
        <f>IF(AT176="","",AT176)</f>
        <v>3625</v>
      </c>
      <c r="AV176" s="18"/>
      <c r="AW176" s="18"/>
      <c r="AX176" s="12">
        <f t="shared" si="1"/>
        <v>3625</v>
      </c>
      <c r="AY176" s="12"/>
      <c r="AZ176" s="12">
        <v>1253.0</v>
      </c>
      <c r="BA176" s="18">
        <f>IF(AZ176="","",AZ176)</f>
        <v>1253</v>
      </c>
      <c r="BB176" s="10">
        <f t="shared" si="16"/>
        <v>108750</v>
      </c>
      <c r="BC176" s="16">
        <f t="shared" si="22"/>
        <v>58914.85</v>
      </c>
      <c r="BD176" s="16"/>
      <c r="BE176" s="16"/>
      <c r="BF176" s="6"/>
      <c r="BG176" s="12">
        <v>460202.62</v>
      </c>
      <c r="BH176" s="6"/>
      <c r="BI176" s="29">
        <f t="shared" ref="BI176:BI205" si="55">IF(AT176="","",$BG$176/DAY(EOMONTH(A176,0)))</f>
        <v>15340.08733</v>
      </c>
      <c r="BJ176" s="6"/>
      <c r="BK176" s="15">
        <f t="shared" si="17"/>
        <v>0.2363089545</v>
      </c>
      <c r="BN176" s="16">
        <f t="shared" si="14"/>
        <v>-11715.08733</v>
      </c>
      <c r="BO176" s="16">
        <f>IF(AT176="","",BN176)</f>
        <v>-11715.08733</v>
      </c>
      <c r="BY176" s="6">
        <f t="shared" si="2"/>
        <v>2024</v>
      </c>
      <c r="BZ176" s="6" t="str">
        <f t="shared" si="3"/>
        <v>abril</v>
      </c>
      <c r="CA176" s="6" t="str">
        <f t="shared" si="4"/>
        <v>4</v>
      </c>
    </row>
    <row r="177">
      <c r="A177" s="8">
        <v>45384.0</v>
      </c>
      <c r="B177" s="12">
        <v>1370.63</v>
      </c>
      <c r="C177" s="12">
        <v>3716.38</v>
      </c>
      <c r="D177" s="12"/>
      <c r="E177" s="12">
        <v>751.29</v>
      </c>
      <c r="F177" s="12">
        <v>0.0</v>
      </c>
      <c r="G177" s="12">
        <v>0.0</v>
      </c>
      <c r="H177" s="12">
        <f t="shared" si="46"/>
        <v>5838.3</v>
      </c>
      <c r="I177" s="12">
        <v>771.21</v>
      </c>
      <c r="J177" s="12">
        <v>2259.84</v>
      </c>
      <c r="K177" s="12"/>
      <c r="L177" s="12">
        <v>470.61</v>
      </c>
      <c r="M177" s="12">
        <v>0.0</v>
      </c>
      <c r="N177" s="12">
        <v>0.0</v>
      </c>
      <c r="O177" s="16">
        <f t="shared" si="33"/>
        <v>3501.66</v>
      </c>
      <c r="P177" s="12">
        <v>332.09</v>
      </c>
      <c r="Q177" s="12">
        <v>519.03</v>
      </c>
      <c r="R177" s="12"/>
      <c r="S177" s="12">
        <v>0.0</v>
      </c>
      <c r="T177" s="12">
        <v>0.0</v>
      </c>
      <c r="U177" s="12">
        <v>0.0</v>
      </c>
      <c r="V177" s="16">
        <f t="shared" si="37"/>
        <v>851.12</v>
      </c>
      <c r="W177" s="12">
        <v>0.0</v>
      </c>
      <c r="X177" s="12">
        <v>0.0</v>
      </c>
      <c r="Y177" s="12"/>
      <c r="Z177" s="12">
        <v>0.0</v>
      </c>
      <c r="AA177" s="12">
        <v>0.0</v>
      </c>
      <c r="AB177" s="12">
        <v>0.0</v>
      </c>
      <c r="AC177" s="16">
        <f t="shared" si="38"/>
        <v>0</v>
      </c>
      <c r="AD177" s="12"/>
      <c r="AE177" s="12"/>
      <c r="AF177" s="12">
        <v>744.07</v>
      </c>
      <c r="AG177" s="12">
        <v>1.91</v>
      </c>
      <c r="AH177" s="12"/>
      <c r="AI177" s="12">
        <v>0.0</v>
      </c>
      <c r="AJ177" s="12">
        <v>0.0</v>
      </c>
      <c r="AK177" s="12">
        <v>0.0</v>
      </c>
      <c r="AL177" s="12">
        <f t="shared" si="53"/>
        <v>745.98</v>
      </c>
      <c r="AM177" s="12">
        <v>0.0</v>
      </c>
      <c r="AN177" s="12">
        <v>0.0</v>
      </c>
      <c r="AO177" s="12"/>
      <c r="AP177" s="12">
        <v>0.0</v>
      </c>
      <c r="AQ177" s="12">
        <v>0.0</v>
      </c>
      <c r="AR177" s="12">
        <v>0.0</v>
      </c>
      <c r="AS177" s="12">
        <f t="shared" si="49"/>
        <v>0</v>
      </c>
      <c r="AT177" s="16">
        <f t="shared" si="54"/>
        <v>5098.76</v>
      </c>
      <c r="AU177" s="18">
        <f t="shared" ref="AU177:AU199" si="56">IF(AT177="","",AT177)+AU176</f>
        <v>8723.76</v>
      </c>
      <c r="AV177" s="18"/>
      <c r="AW177" s="18"/>
      <c r="AX177" s="12">
        <f t="shared" si="1"/>
        <v>5098.76</v>
      </c>
      <c r="AY177" s="12"/>
      <c r="AZ177" s="12">
        <v>0.0</v>
      </c>
      <c r="BA177" s="18">
        <f t="shared" ref="BA177:BA205" si="57">IF(AZ177="","",AZ177)+BA176</f>
        <v>1253</v>
      </c>
      <c r="BB177" s="10">
        <f t="shared" si="16"/>
        <v>130856.4</v>
      </c>
      <c r="BC177" s="16">
        <f t="shared" si="22"/>
        <v>58914.85</v>
      </c>
      <c r="BD177" s="16"/>
      <c r="BE177" s="16"/>
      <c r="BF177" s="6"/>
      <c r="BG177" s="6"/>
      <c r="BH177" s="6"/>
      <c r="BI177" s="29">
        <f t="shared" si="55"/>
        <v>15340.08733</v>
      </c>
      <c r="BJ177" s="6"/>
      <c r="BK177" s="15">
        <f t="shared" si="17"/>
        <v>0.3323814193</v>
      </c>
      <c r="BN177" s="16">
        <f t="shared" si="14"/>
        <v>-10241.32733</v>
      </c>
      <c r="BO177" s="16">
        <f t="shared" ref="BO177:BO205" si="58">IF(AT177="","",BO176+BN177)</f>
        <v>-21956.41467</v>
      </c>
      <c r="BY177" s="6">
        <f t="shared" si="2"/>
        <v>2024</v>
      </c>
      <c r="BZ177" s="6" t="str">
        <f t="shared" si="3"/>
        <v>abril</v>
      </c>
      <c r="CA177" s="6" t="str">
        <f t="shared" si="4"/>
        <v>4</v>
      </c>
    </row>
    <row r="178">
      <c r="A178" s="8">
        <v>45385.0</v>
      </c>
      <c r="B178" s="12">
        <v>1609.0</v>
      </c>
      <c r="C178" s="12">
        <v>1000.0</v>
      </c>
      <c r="D178" s="12"/>
      <c r="E178" s="12">
        <v>0.0</v>
      </c>
      <c r="F178" s="12">
        <v>0.0</v>
      </c>
      <c r="G178" s="12">
        <v>0.0</v>
      </c>
      <c r="H178" s="12">
        <f t="shared" si="46"/>
        <v>2609</v>
      </c>
      <c r="I178" s="12">
        <v>1000.0</v>
      </c>
      <c r="J178" s="12">
        <v>2000.0</v>
      </c>
      <c r="K178" s="12"/>
      <c r="L178" s="12">
        <v>0.0</v>
      </c>
      <c r="M178" s="12">
        <v>0.0</v>
      </c>
      <c r="N178" s="12">
        <v>0.0</v>
      </c>
      <c r="O178" s="16">
        <f t="shared" si="33"/>
        <v>3000</v>
      </c>
      <c r="P178" s="12">
        <v>500.0</v>
      </c>
      <c r="Q178" s="12">
        <v>100.0</v>
      </c>
      <c r="R178" s="12"/>
      <c r="S178" s="12">
        <v>0.0</v>
      </c>
      <c r="T178" s="12">
        <v>0.0</v>
      </c>
      <c r="U178" s="12">
        <v>0.0</v>
      </c>
      <c r="V178" s="16">
        <f t="shared" si="37"/>
        <v>600</v>
      </c>
      <c r="W178" s="12">
        <v>0.0</v>
      </c>
      <c r="X178" s="12">
        <v>0.0</v>
      </c>
      <c r="Y178" s="12"/>
      <c r="Z178" s="12">
        <v>0.0</v>
      </c>
      <c r="AA178" s="12">
        <v>0.0</v>
      </c>
      <c r="AB178" s="12">
        <v>0.0</v>
      </c>
      <c r="AC178" s="16">
        <f t="shared" si="38"/>
        <v>0</v>
      </c>
      <c r="AD178" s="12"/>
      <c r="AE178" s="12"/>
      <c r="AF178" s="12">
        <v>0.0</v>
      </c>
      <c r="AG178" s="12">
        <v>0.0</v>
      </c>
      <c r="AH178" s="12"/>
      <c r="AI178" s="12">
        <v>0.0</v>
      </c>
      <c r="AJ178" s="12">
        <v>0.0</v>
      </c>
      <c r="AK178" s="12">
        <v>0.0</v>
      </c>
      <c r="AL178" s="12">
        <f t="shared" si="53"/>
        <v>0</v>
      </c>
      <c r="AM178" s="12">
        <v>0.0</v>
      </c>
      <c r="AN178" s="12">
        <v>5258.54</v>
      </c>
      <c r="AO178" s="12"/>
      <c r="AP178" s="12">
        <v>0.0</v>
      </c>
      <c r="AQ178" s="12">
        <v>0.0</v>
      </c>
      <c r="AR178" s="12">
        <v>0.0</v>
      </c>
      <c r="AS178" s="12">
        <f t="shared" si="49"/>
        <v>5258.54</v>
      </c>
      <c r="AT178" s="16">
        <f t="shared" si="54"/>
        <v>8858.54</v>
      </c>
      <c r="AU178" s="18">
        <f t="shared" si="56"/>
        <v>17582.3</v>
      </c>
      <c r="AV178" s="18"/>
      <c r="AW178" s="18"/>
      <c r="AX178" s="12">
        <f t="shared" si="1"/>
        <v>8858.54</v>
      </c>
      <c r="AY178" s="12"/>
      <c r="AZ178" s="12">
        <v>1200.0</v>
      </c>
      <c r="BA178" s="18">
        <f t="shared" si="57"/>
        <v>2453</v>
      </c>
      <c r="BB178" s="10">
        <f t="shared" si="16"/>
        <v>175823</v>
      </c>
      <c r="BC178" s="16">
        <f t="shared" si="22"/>
        <v>58914.85</v>
      </c>
      <c r="BD178" s="16"/>
      <c r="BE178" s="16"/>
      <c r="BF178" s="6"/>
      <c r="BG178" s="6"/>
      <c r="BH178" s="6"/>
      <c r="BI178" s="29">
        <f t="shared" si="55"/>
        <v>15340.08733</v>
      </c>
      <c r="BJ178" s="6"/>
      <c r="BK178" s="15">
        <f t="shared" si="17"/>
        <v>0.5774765037</v>
      </c>
      <c r="BN178" s="16">
        <f t="shared" si="14"/>
        <v>-6481.547333</v>
      </c>
      <c r="BO178" s="16">
        <f t="shared" si="58"/>
        <v>-28437.962</v>
      </c>
      <c r="BY178" s="6">
        <f t="shared" si="2"/>
        <v>2024</v>
      </c>
      <c r="BZ178" s="6" t="str">
        <f t="shared" si="3"/>
        <v>abril</v>
      </c>
      <c r="CA178" s="6" t="str">
        <f t="shared" si="4"/>
        <v>4</v>
      </c>
    </row>
    <row r="179">
      <c r="A179" s="8">
        <v>45386.0</v>
      </c>
      <c r="B179" s="12">
        <v>1359.0</v>
      </c>
      <c r="C179" s="12">
        <v>1800.0</v>
      </c>
      <c r="D179" s="12"/>
      <c r="E179" s="12">
        <v>0.0</v>
      </c>
      <c r="F179" s="12">
        <v>0.0</v>
      </c>
      <c r="G179" s="12">
        <v>0.0</v>
      </c>
      <c r="H179" s="12">
        <f t="shared" si="46"/>
        <v>3159</v>
      </c>
      <c r="I179" s="12">
        <v>2360.0</v>
      </c>
      <c r="J179" s="12">
        <v>2800.0</v>
      </c>
      <c r="K179" s="12"/>
      <c r="L179" s="12">
        <v>0.0</v>
      </c>
      <c r="M179" s="12">
        <v>0.0</v>
      </c>
      <c r="N179" s="12">
        <v>0.0</v>
      </c>
      <c r="O179" s="16">
        <f t="shared" si="33"/>
        <v>5160</v>
      </c>
      <c r="P179" s="12">
        <v>450.0</v>
      </c>
      <c r="Q179" s="12">
        <v>230.0</v>
      </c>
      <c r="R179" s="12"/>
      <c r="S179" s="12">
        <v>0.0</v>
      </c>
      <c r="T179" s="12">
        <v>0.0</v>
      </c>
      <c r="U179" s="12">
        <v>0.0</v>
      </c>
      <c r="V179" s="16">
        <f t="shared" si="37"/>
        <v>680</v>
      </c>
      <c r="W179" s="12">
        <v>1.25</v>
      </c>
      <c r="X179" s="12">
        <v>0.0</v>
      </c>
      <c r="Y179" s="12"/>
      <c r="Z179" s="12">
        <v>0.0</v>
      </c>
      <c r="AA179" s="12">
        <v>0.0</v>
      </c>
      <c r="AB179" s="12">
        <v>0.0</v>
      </c>
      <c r="AC179" s="16">
        <f t="shared" si="38"/>
        <v>1.25</v>
      </c>
      <c r="AD179" s="12"/>
      <c r="AE179" s="12"/>
      <c r="AF179" s="12">
        <v>0.0</v>
      </c>
      <c r="AG179" s="12">
        <v>0.0</v>
      </c>
      <c r="AH179" s="12"/>
      <c r="AI179" s="12">
        <v>0.0</v>
      </c>
      <c r="AJ179" s="12">
        <v>0.0</v>
      </c>
      <c r="AK179" s="12">
        <v>0.0</v>
      </c>
      <c r="AL179" s="12">
        <f t="shared" si="53"/>
        <v>0</v>
      </c>
      <c r="AM179" s="12">
        <v>0.0</v>
      </c>
      <c r="AN179" s="12">
        <v>0.0</v>
      </c>
      <c r="AO179" s="12"/>
      <c r="AP179" s="12">
        <v>0.0</v>
      </c>
      <c r="AQ179" s="12">
        <v>0.0</v>
      </c>
      <c r="AR179" s="12">
        <v>0.0</v>
      </c>
      <c r="AS179" s="12">
        <f t="shared" si="49"/>
        <v>0</v>
      </c>
      <c r="AT179" s="16">
        <f t="shared" si="54"/>
        <v>5841.25</v>
      </c>
      <c r="AU179" s="18">
        <f t="shared" si="56"/>
        <v>23423.55</v>
      </c>
      <c r="AV179" s="18"/>
      <c r="AW179" s="18"/>
      <c r="AX179" s="12">
        <f t="shared" si="1"/>
        <v>5841.25</v>
      </c>
      <c r="AY179" s="12"/>
      <c r="AZ179" s="12">
        <v>0.0</v>
      </c>
      <c r="BA179" s="18">
        <f t="shared" si="57"/>
        <v>2453</v>
      </c>
      <c r="BB179" s="10">
        <f t="shared" si="16"/>
        <v>175676.625</v>
      </c>
      <c r="BC179" s="16">
        <f t="shared" si="22"/>
        <v>58914.85</v>
      </c>
      <c r="BD179" s="16"/>
      <c r="BE179" s="16"/>
      <c r="BF179" s="6"/>
      <c r="BG179" s="6"/>
      <c r="BH179" s="6"/>
      <c r="BI179" s="29">
        <f t="shared" si="55"/>
        <v>15340.08733</v>
      </c>
      <c r="BJ179" s="6"/>
      <c r="BK179" s="15">
        <f t="shared" si="17"/>
        <v>0.3807833602</v>
      </c>
      <c r="BN179" s="16">
        <f t="shared" si="14"/>
        <v>-9498.837333</v>
      </c>
      <c r="BO179" s="16">
        <f t="shared" si="58"/>
        <v>-37936.79933</v>
      </c>
      <c r="BY179" s="6">
        <f t="shared" si="2"/>
        <v>2024</v>
      </c>
      <c r="BZ179" s="6" t="str">
        <f t="shared" si="3"/>
        <v>abril</v>
      </c>
      <c r="CA179" s="6" t="str">
        <f t="shared" si="4"/>
        <v>4</v>
      </c>
    </row>
    <row r="180">
      <c r="A180" s="8">
        <v>45387.0</v>
      </c>
      <c r="B180" s="12">
        <v>1200.0</v>
      </c>
      <c r="C180" s="12">
        <v>1002.0</v>
      </c>
      <c r="D180" s="12"/>
      <c r="E180" s="12">
        <v>0.0</v>
      </c>
      <c r="F180" s="12">
        <v>0.0</v>
      </c>
      <c r="G180" s="12">
        <v>0.0</v>
      </c>
      <c r="H180" s="12">
        <f t="shared" si="46"/>
        <v>2202</v>
      </c>
      <c r="I180" s="12">
        <v>2300.0</v>
      </c>
      <c r="J180" s="12">
        <v>1560.0</v>
      </c>
      <c r="K180" s="12"/>
      <c r="L180" s="12">
        <v>0.0</v>
      </c>
      <c r="M180" s="12">
        <v>0.0</v>
      </c>
      <c r="N180" s="12">
        <v>0.0</v>
      </c>
      <c r="O180" s="16">
        <f t="shared" si="33"/>
        <v>3860</v>
      </c>
      <c r="P180" s="12">
        <v>400.0</v>
      </c>
      <c r="Q180" s="12">
        <v>320.0</v>
      </c>
      <c r="R180" s="12"/>
      <c r="S180" s="12">
        <v>0.0</v>
      </c>
      <c r="T180" s="12">
        <v>0.0</v>
      </c>
      <c r="U180" s="12">
        <v>0.0</v>
      </c>
      <c r="V180" s="16">
        <f t="shared" si="37"/>
        <v>720</v>
      </c>
      <c r="W180" s="12">
        <v>98.0</v>
      </c>
      <c r="X180" s="12">
        <v>0.0</v>
      </c>
      <c r="Y180" s="12"/>
      <c r="Z180" s="12">
        <v>0.0</v>
      </c>
      <c r="AA180" s="12">
        <v>0.0</v>
      </c>
      <c r="AB180" s="12">
        <v>0.0</v>
      </c>
      <c r="AC180" s="16">
        <f t="shared" si="38"/>
        <v>98</v>
      </c>
      <c r="AD180" s="12"/>
      <c r="AE180" s="12"/>
      <c r="AF180" s="12">
        <v>0.0</v>
      </c>
      <c r="AG180" s="12">
        <v>0.0</v>
      </c>
      <c r="AH180" s="12"/>
      <c r="AI180" s="12">
        <v>0.0</v>
      </c>
      <c r="AJ180" s="12">
        <v>0.0</v>
      </c>
      <c r="AK180" s="12">
        <v>0.0</v>
      </c>
      <c r="AL180" s="12">
        <f t="shared" si="53"/>
        <v>0</v>
      </c>
      <c r="AM180" s="12">
        <v>0.0</v>
      </c>
      <c r="AN180" s="12">
        <v>0.0</v>
      </c>
      <c r="AO180" s="12"/>
      <c r="AP180" s="12">
        <v>0.0</v>
      </c>
      <c r="AQ180" s="12">
        <v>0.0</v>
      </c>
      <c r="AR180" s="12">
        <v>0.0</v>
      </c>
      <c r="AS180" s="12">
        <f t="shared" si="49"/>
        <v>0</v>
      </c>
      <c r="AT180" s="16">
        <f t="shared" si="54"/>
        <v>4678</v>
      </c>
      <c r="AU180" s="18">
        <f t="shared" si="56"/>
        <v>28101.55</v>
      </c>
      <c r="AV180" s="18"/>
      <c r="AW180" s="18"/>
      <c r="AX180" s="12">
        <f t="shared" si="1"/>
        <v>4678</v>
      </c>
      <c r="AY180" s="12"/>
      <c r="AZ180" s="12">
        <v>2500.0</v>
      </c>
      <c r="BA180" s="18">
        <f t="shared" si="57"/>
        <v>4953</v>
      </c>
      <c r="BB180" s="10">
        <f t="shared" si="16"/>
        <v>168609.3</v>
      </c>
      <c r="BC180" s="16">
        <f t="shared" si="22"/>
        <v>58914.85</v>
      </c>
      <c r="BD180" s="16"/>
      <c r="BE180" s="16"/>
      <c r="BF180" s="6"/>
      <c r="BG180" s="6"/>
      <c r="BH180" s="6"/>
      <c r="BI180" s="29">
        <f t="shared" si="55"/>
        <v>15340.08733</v>
      </c>
      <c r="BJ180" s="6"/>
      <c r="BK180" s="15">
        <f t="shared" si="17"/>
        <v>0.3049526315</v>
      </c>
      <c r="BN180" s="16">
        <f t="shared" si="14"/>
        <v>-10662.08733</v>
      </c>
      <c r="BO180" s="16">
        <f t="shared" si="58"/>
        <v>-48598.88667</v>
      </c>
      <c r="BY180" s="6">
        <f t="shared" si="2"/>
        <v>2024</v>
      </c>
      <c r="BZ180" s="6" t="str">
        <f t="shared" si="3"/>
        <v>abril</v>
      </c>
      <c r="CA180" s="6" t="str">
        <f t="shared" si="4"/>
        <v>4</v>
      </c>
    </row>
    <row r="181">
      <c r="A181" s="8">
        <v>45388.0</v>
      </c>
      <c r="B181" s="12">
        <v>0.0</v>
      </c>
      <c r="C181" s="12">
        <v>0.0</v>
      </c>
      <c r="D181" s="12"/>
      <c r="E181" s="12">
        <v>0.0</v>
      </c>
      <c r="F181" s="12">
        <v>0.0</v>
      </c>
      <c r="G181" s="12">
        <v>0.0</v>
      </c>
      <c r="H181" s="12">
        <f t="shared" si="46"/>
        <v>0</v>
      </c>
      <c r="I181" s="12">
        <v>0.0</v>
      </c>
      <c r="J181" s="12">
        <v>0.0</v>
      </c>
      <c r="K181" s="12"/>
      <c r="L181" s="12">
        <v>0.0</v>
      </c>
      <c r="M181" s="12">
        <v>0.0</v>
      </c>
      <c r="N181" s="12">
        <v>0.0</v>
      </c>
      <c r="O181" s="16">
        <f t="shared" si="33"/>
        <v>0</v>
      </c>
      <c r="P181" s="12">
        <v>0.0</v>
      </c>
      <c r="Q181" s="12">
        <v>0.0</v>
      </c>
      <c r="R181" s="12"/>
      <c r="S181" s="12">
        <v>0.0</v>
      </c>
      <c r="T181" s="12">
        <v>0.0</v>
      </c>
      <c r="U181" s="12">
        <v>0.0</v>
      </c>
      <c r="V181" s="16">
        <f t="shared" si="37"/>
        <v>0</v>
      </c>
      <c r="W181" s="12">
        <v>0.0</v>
      </c>
      <c r="X181" s="12">
        <v>0.0</v>
      </c>
      <c r="Y181" s="12"/>
      <c r="Z181" s="12">
        <v>0.0</v>
      </c>
      <c r="AA181" s="12">
        <v>0.0</v>
      </c>
      <c r="AB181" s="12">
        <v>0.0</v>
      </c>
      <c r="AC181" s="16">
        <f t="shared" si="38"/>
        <v>0</v>
      </c>
      <c r="AD181" s="12"/>
      <c r="AE181" s="12"/>
      <c r="AF181" s="12">
        <v>0.0</v>
      </c>
      <c r="AG181" s="12">
        <v>0.0</v>
      </c>
      <c r="AH181" s="12"/>
      <c r="AI181" s="12">
        <v>0.0</v>
      </c>
      <c r="AJ181" s="12">
        <v>0.0</v>
      </c>
      <c r="AK181" s="12">
        <v>0.0</v>
      </c>
      <c r="AL181" s="12">
        <f t="shared" si="53"/>
        <v>0</v>
      </c>
      <c r="AM181" s="12">
        <v>0.0</v>
      </c>
      <c r="AN181" s="12">
        <v>0.0</v>
      </c>
      <c r="AO181" s="12"/>
      <c r="AP181" s="12">
        <v>0.0</v>
      </c>
      <c r="AQ181" s="12">
        <v>0.0</v>
      </c>
      <c r="AR181" s="12">
        <v>0.0</v>
      </c>
      <c r="AS181" s="12">
        <f t="shared" si="49"/>
        <v>0</v>
      </c>
      <c r="AT181" s="6">
        <f t="shared" ref="AT181:AT193" si="59">IF(AS181+AL181+AC181+V181+O181=0,0,AS181+AL181+AC181+V181+O181)</f>
        <v>0</v>
      </c>
      <c r="AU181" s="18">
        <f t="shared" si="56"/>
        <v>28101.55</v>
      </c>
      <c r="AV181" s="18"/>
      <c r="AW181" s="18"/>
      <c r="AX181" s="12">
        <f t="shared" si="1"/>
        <v>0</v>
      </c>
      <c r="AY181" s="12"/>
      <c r="AZ181" s="12">
        <v>0.0</v>
      </c>
      <c r="BA181" s="18">
        <f t="shared" si="57"/>
        <v>4953</v>
      </c>
      <c r="BB181" s="10">
        <f t="shared" si="16"/>
        <v>140507.75</v>
      </c>
      <c r="BC181" s="16">
        <f t="shared" si="22"/>
        <v>58914.85</v>
      </c>
      <c r="BD181" s="16"/>
      <c r="BE181" s="16"/>
      <c r="BF181" s="6"/>
      <c r="BG181" s="6"/>
      <c r="BH181" s="6"/>
      <c r="BI181" s="29">
        <f t="shared" si="55"/>
        <v>15340.08733</v>
      </c>
      <c r="BJ181" s="6"/>
      <c r="BK181" s="15">
        <f t="shared" si="17"/>
        <v>0</v>
      </c>
      <c r="BN181" s="41">
        <f t="shared" si="14"/>
        <v>-15340.08733</v>
      </c>
      <c r="BO181" s="16">
        <f t="shared" si="58"/>
        <v>-63938.974</v>
      </c>
      <c r="BY181" s="6">
        <f t="shared" si="2"/>
        <v>2024</v>
      </c>
      <c r="BZ181" s="6" t="str">
        <f t="shared" si="3"/>
        <v>abril</v>
      </c>
      <c r="CA181" s="6" t="str">
        <f t="shared" si="4"/>
        <v>4</v>
      </c>
    </row>
    <row r="182">
      <c r="A182" s="8">
        <v>45389.0</v>
      </c>
      <c r="B182" s="12">
        <v>0.0</v>
      </c>
      <c r="C182" s="12">
        <v>0.0</v>
      </c>
      <c r="D182" s="12"/>
      <c r="E182" s="12">
        <v>0.0</v>
      </c>
      <c r="F182" s="12">
        <v>0.0</v>
      </c>
      <c r="G182" s="12">
        <v>0.0</v>
      </c>
      <c r="H182" s="12">
        <f t="shared" si="46"/>
        <v>0</v>
      </c>
      <c r="I182" s="12">
        <v>0.0</v>
      </c>
      <c r="J182" s="12">
        <v>0.0</v>
      </c>
      <c r="K182" s="12"/>
      <c r="L182" s="12">
        <v>0.0</v>
      </c>
      <c r="M182" s="12">
        <v>0.0</v>
      </c>
      <c r="N182" s="12">
        <v>0.0</v>
      </c>
      <c r="O182" s="16">
        <f t="shared" si="33"/>
        <v>0</v>
      </c>
      <c r="P182" s="12">
        <v>0.0</v>
      </c>
      <c r="Q182" s="12">
        <v>0.0</v>
      </c>
      <c r="R182" s="12"/>
      <c r="S182" s="12">
        <v>0.0</v>
      </c>
      <c r="T182" s="12">
        <v>0.0</v>
      </c>
      <c r="U182" s="12">
        <v>0.0</v>
      </c>
      <c r="V182" s="16">
        <f t="shared" si="37"/>
        <v>0</v>
      </c>
      <c r="W182" s="12">
        <v>0.0</v>
      </c>
      <c r="X182" s="12">
        <v>0.0</v>
      </c>
      <c r="Y182" s="12"/>
      <c r="Z182" s="12">
        <v>0.0</v>
      </c>
      <c r="AA182" s="12">
        <v>0.0</v>
      </c>
      <c r="AB182" s="12">
        <v>0.0</v>
      </c>
      <c r="AC182" s="16">
        <f t="shared" si="38"/>
        <v>0</v>
      </c>
      <c r="AD182" s="12"/>
      <c r="AE182" s="12"/>
      <c r="AF182" s="12">
        <v>0.0</v>
      </c>
      <c r="AG182" s="12">
        <v>0.0</v>
      </c>
      <c r="AH182" s="12"/>
      <c r="AI182" s="12">
        <v>0.0</v>
      </c>
      <c r="AJ182" s="12">
        <v>0.0</v>
      </c>
      <c r="AK182" s="12">
        <v>0.0</v>
      </c>
      <c r="AL182" s="12">
        <f t="shared" si="53"/>
        <v>0</v>
      </c>
      <c r="AM182" s="12">
        <v>0.0</v>
      </c>
      <c r="AN182" s="12">
        <v>0.0</v>
      </c>
      <c r="AO182" s="12"/>
      <c r="AP182" s="12">
        <v>0.0</v>
      </c>
      <c r="AQ182" s="12">
        <v>0.0</v>
      </c>
      <c r="AR182" s="12">
        <v>0.0</v>
      </c>
      <c r="AS182" s="12">
        <f t="shared" si="49"/>
        <v>0</v>
      </c>
      <c r="AT182" s="6">
        <f t="shared" si="59"/>
        <v>0</v>
      </c>
      <c r="AU182" s="18">
        <f t="shared" si="56"/>
        <v>28101.55</v>
      </c>
      <c r="AV182" s="18"/>
      <c r="AW182" s="18"/>
      <c r="AX182" s="12">
        <f t="shared" si="1"/>
        <v>0</v>
      </c>
      <c r="AY182" s="12"/>
      <c r="AZ182" s="12">
        <v>0.0</v>
      </c>
      <c r="BA182" s="18">
        <f t="shared" si="57"/>
        <v>4953</v>
      </c>
      <c r="BB182" s="10">
        <f t="shared" si="16"/>
        <v>120435.2143</v>
      </c>
      <c r="BC182" s="16">
        <f t="shared" si="22"/>
        <v>58914.85</v>
      </c>
      <c r="BD182" s="16"/>
      <c r="BE182" s="16"/>
      <c r="BF182" s="6"/>
      <c r="BG182" s="6"/>
      <c r="BH182" s="6"/>
      <c r="BI182" s="29">
        <f t="shared" si="55"/>
        <v>15340.08733</v>
      </c>
      <c r="BJ182" s="6"/>
      <c r="BK182" s="15">
        <f t="shared" si="17"/>
        <v>0</v>
      </c>
      <c r="BN182" s="41">
        <f t="shared" si="14"/>
        <v>-15340.08733</v>
      </c>
      <c r="BO182" s="16">
        <f t="shared" si="58"/>
        <v>-79279.06133</v>
      </c>
      <c r="BY182" s="6">
        <f t="shared" si="2"/>
        <v>2024</v>
      </c>
      <c r="BZ182" s="6" t="str">
        <f t="shared" si="3"/>
        <v>abril</v>
      </c>
      <c r="CA182" s="6" t="str">
        <f t="shared" si="4"/>
        <v>4</v>
      </c>
    </row>
    <row r="183">
      <c r="A183" s="8">
        <v>45390.0</v>
      </c>
      <c r="B183" s="12">
        <v>41824.04</v>
      </c>
      <c r="C183" s="12">
        <v>16533.09</v>
      </c>
      <c r="D183" s="12"/>
      <c r="E183" s="12">
        <v>0.0</v>
      </c>
      <c r="F183" s="12">
        <v>3432.64</v>
      </c>
      <c r="G183" s="12">
        <v>0.0</v>
      </c>
      <c r="H183" s="12">
        <f t="shared" si="46"/>
        <v>61789.77</v>
      </c>
      <c r="I183" s="12">
        <v>27498.7</v>
      </c>
      <c r="J183" s="12">
        <v>11806.47</v>
      </c>
      <c r="K183" s="12"/>
      <c r="L183" s="12">
        <v>10179.88</v>
      </c>
      <c r="M183" s="12">
        <v>620.85</v>
      </c>
      <c r="N183" s="12">
        <v>0.0</v>
      </c>
      <c r="O183" s="16">
        <f t="shared" si="33"/>
        <v>50105.9</v>
      </c>
      <c r="P183" s="12">
        <v>3935.37</v>
      </c>
      <c r="Q183" s="12">
        <v>706.96</v>
      </c>
      <c r="R183" s="12"/>
      <c r="S183" s="12">
        <v>0.0</v>
      </c>
      <c r="T183" s="12">
        <v>0.0</v>
      </c>
      <c r="U183" s="12">
        <v>0.0</v>
      </c>
      <c r="V183" s="16">
        <f t="shared" si="37"/>
        <v>4642.33</v>
      </c>
      <c r="W183" s="12">
        <f>21.01</f>
        <v>21.01</v>
      </c>
      <c r="X183" s="12">
        <f>1.19+550</f>
        <v>551.19</v>
      </c>
      <c r="Y183" s="12"/>
      <c r="Z183" s="12">
        <v>0.0</v>
      </c>
      <c r="AA183" s="12">
        <v>0.0</v>
      </c>
      <c r="AB183" s="12">
        <v>0.0</v>
      </c>
      <c r="AC183" s="16">
        <f t="shared" si="38"/>
        <v>572.2</v>
      </c>
      <c r="AD183" s="12"/>
      <c r="AE183" s="12"/>
      <c r="AF183" s="12">
        <v>5575.16</v>
      </c>
      <c r="AG183" s="12">
        <v>197.19</v>
      </c>
      <c r="AH183" s="12"/>
      <c r="AI183" s="12">
        <v>0.0</v>
      </c>
      <c r="AJ183" s="12">
        <v>448.84</v>
      </c>
      <c r="AK183" s="12">
        <v>0.0</v>
      </c>
      <c r="AL183" s="12">
        <f t="shared" si="53"/>
        <v>6221.19</v>
      </c>
      <c r="AM183" s="12">
        <v>0.0</v>
      </c>
      <c r="AN183" s="12">
        <v>0.0</v>
      </c>
      <c r="AO183" s="12"/>
      <c r="AP183" s="12">
        <v>0.0</v>
      </c>
      <c r="AQ183" s="12">
        <v>0.0</v>
      </c>
      <c r="AR183" s="12">
        <v>0.0</v>
      </c>
      <c r="AS183" s="12">
        <f t="shared" si="49"/>
        <v>0</v>
      </c>
      <c r="AT183" s="16">
        <f t="shared" si="59"/>
        <v>61541.62</v>
      </c>
      <c r="AU183" s="18">
        <f t="shared" si="56"/>
        <v>89643.17</v>
      </c>
      <c r="AV183" s="18"/>
      <c r="AW183" s="18"/>
      <c r="AX183" s="12">
        <f t="shared" si="1"/>
        <v>61541.62</v>
      </c>
      <c r="AY183" s="12"/>
      <c r="AZ183" s="12">
        <v>7250.36</v>
      </c>
      <c r="BA183" s="18">
        <f t="shared" si="57"/>
        <v>12203.36</v>
      </c>
      <c r="BB183" s="10">
        <f t="shared" si="16"/>
        <v>336161.8875</v>
      </c>
      <c r="BC183" s="16">
        <f>IFERROR(AU180/DAY(A180)*5,0)</f>
        <v>28101.55</v>
      </c>
      <c r="BD183" s="16"/>
      <c r="BE183" s="16"/>
      <c r="BF183" s="6"/>
      <c r="BG183" s="6"/>
      <c r="BH183" s="6"/>
      <c r="BI183" s="29">
        <f t="shared" si="55"/>
        <v>15340.08733</v>
      </c>
      <c r="BK183" s="15">
        <f t="shared" si="17"/>
        <v>4.011816795</v>
      </c>
      <c r="BN183" s="16">
        <f t="shared" si="14"/>
        <v>46201.53267</v>
      </c>
      <c r="BO183" s="16">
        <f t="shared" si="58"/>
        <v>-33077.52867</v>
      </c>
      <c r="BY183" s="6">
        <f t="shared" si="2"/>
        <v>2024</v>
      </c>
      <c r="BZ183" s="6" t="str">
        <f t="shared" si="3"/>
        <v>abril</v>
      </c>
      <c r="CA183" s="6" t="str">
        <f t="shared" si="4"/>
        <v>4</v>
      </c>
    </row>
    <row r="184">
      <c r="A184" s="8">
        <v>45391.0</v>
      </c>
      <c r="B184" s="12">
        <v>932.47</v>
      </c>
      <c r="C184" s="12">
        <v>3482.72</v>
      </c>
      <c r="D184" s="12"/>
      <c r="E184" s="12">
        <v>0.0</v>
      </c>
      <c r="F184" s="12">
        <v>0.0</v>
      </c>
      <c r="G184" s="12">
        <v>0.0</v>
      </c>
      <c r="H184" s="12">
        <f t="shared" si="46"/>
        <v>4415.19</v>
      </c>
      <c r="I184" s="12">
        <v>307.54</v>
      </c>
      <c r="J184" s="12">
        <v>2070.26</v>
      </c>
      <c r="K184" s="12"/>
      <c r="L184" s="12">
        <v>0.0</v>
      </c>
      <c r="M184" s="12">
        <v>3834.47</v>
      </c>
      <c r="N184" s="12">
        <v>0.0</v>
      </c>
      <c r="O184" s="16">
        <f t="shared" si="33"/>
        <v>6212.27</v>
      </c>
      <c r="P184" s="12">
        <v>260.55</v>
      </c>
      <c r="Q184" s="12">
        <v>581.45</v>
      </c>
      <c r="R184" s="12"/>
      <c r="S184" s="12">
        <v>0.0</v>
      </c>
      <c r="T184" s="12">
        <v>0.0</v>
      </c>
      <c r="U184" s="12">
        <v>0.0</v>
      </c>
      <c r="V184" s="16">
        <f t="shared" si="37"/>
        <v>842</v>
      </c>
      <c r="W184" s="12">
        <v>0.39</v>
      </c>
      <c r="X184" s="12">
        <v>1.11</v>
      </c>
      <c r="Y184" s="12"/>
      <c r="Z184" s="12">
        <v>0.0</v>
      </c>
      <c r="AA184" s="12">
        <v>3.78</v>
      </c>
      <c r="AB184" s="12">
        <v>0.0</v>
      </c>
      <c r="AC184" s="16">
        <f t="shared" si="38"/>
        <v>5.28</v>
      </c>
      <c r="AD184" s="12"/>
      <c r="AE184" s="12"/>
      <c r="AF184" s="12">
        <v>0.0</v>
      </c>
      <c r="AG184" s="12">
        <v>91.47</v>
      </c>
      <c r="AH184" s="12"/>
      <c r="AI184" s="12">
        <v>0.0</v>
      </c>
      <c r="AJ184" s="12">
        <v>0.0</v>
      </c>
      <c r="AK184" s="12">
        <v>0.0</v>
      </c>
      <c r="AL184" s="12">
        <f t="shared" si="53"/>
        <v>91.47</v>
      </c>
      <c r="AM184" s="12">
        <v>0.0</v>
      </c>
      <c r="AN184" s="12">
        <v>0.0</v>
      </c>
      <c r="AO184" s="12"/>
      <c r="AP184" s="12">
        <v>0.0</v>
      </c>
      <c r="AQ184" s="12">
        <v>0.0</v>
      </c>
      <c r="AR184" s="12">
        <v>0.0</v>
      </c>
      <c r="AS184" s="12">
        <v>0.0</v>
      </c>
      <c r="AT184" s="16">
        <f t="shared" si="59"/>
        <v>7151.02</v>
      </c>
      <c r="AU184" s="18">
        <f t="shared" si="56"/>
        <v>96794.19</v>
      </c>
      <c r="AV184" s="18"/>
      <c r="AW184" s="18"/>
      <c r="AX184" s="12">
        <f t="shared" si="1"/>
        <v>7151.02</v>
      </c>
      <c r="AY184" s="12"/>
      <c r="AZ184" s="12">
        <v>0.0</v>
      </c>
      <c r="BA184" s="18">
        <f t="shared" si="57"/>
        <v>12203.36</v>
      </c>
      <c r="BB184" s="10">
        <f t="shared" si="16"/>
        <v>322647.3</v>
      </c>
      <c r="BC184" s="16">
        <f t="shared" ref="BC184:BC189" si="60">BC183</f>
        <v>28101.55</v>
      </c>
      <c r="BD184" s="16"/>
      <c r="BE184" s="16"/>
      <c r="BF184" s="6"/>
      <c r="BG184" s="6"/>
      <c r="BH184" s="6"/>
      <c r="BI184" s="29">
        <f t="shared" si="55"/>
        <v>15340.08733</v>
      </c>
      <c r="BJ184" s="6"/>
      <c r="BK184" s="15">
        <f t="shared" si="17"/>
        <v>0.4661655338</v>
      </c>
      <c r="BN184" s="16">
        <f t="shared" si="14"/>
        <v>-8189.067333</v>
      </c>
      <c r="BO184" s="16">
        <f t="shared" si="58"/>
        <v>-41266.596</v>
      </c>
      <c r="BY184" s="6">
        <f t="shared" si="2"/>
        <v>2024</v>
      </c>
      <c r="BZ184" s="6" t="str">
        <f t="shared" si="3"/>
        <v>abril</v>
      </c>
      <c r="CA184" s="6" t="str">
        <f t="shared" si="4"/>
        <v>4</v>
      </c>
    </row>
    <row r="185">
      <c r="A185" s="8">
        <v>45392.0</v>
      </c>
      <c r="B185" s="12">
        <v>23171.7</v>
      </c>
      <c r="C185" s="12">
        <v>7025.95</v>
      </c>
      <c r="D185" s="12"/>
      <c r="E185" s="12">
        <v>971.91</v>
      </c>
      <c r="F185" s="12">
        <v>438.41</v>
      </c>
      <c r="G185" s="12">
        <v>0.0</v>
      </c>
      <c r="H185" s="12">
        <f t="shared" si="46"/>
        <v>31607.97</v>
      </c>
      <c r="I185" s="12">
        <v>17487.98</v>
      </c>
      <c r="J185" s="12">
        <v>6390.8</v>
      </c>
      <c r="K185" s="12"/>
      <c r="L185" s="12">
        <v>3805.92</v>
      </c>
      <c r="M185" s="12">
        <v>639.53</v>
      </c>
      <c r="N185" s="12">
        <v>0.0</v>
      </c>
      <c r="O185" s="16">
        <f t="shared" si="33"/>
        <v>28324.23</v>
      </c>
      <c r="P185" s="12">
        <v>5573.57</v>
      </c>
      <c r="Q185" s="12">
        <v>4727.91</v>
      </c>
      <c r="R185" s="12"/>
      <c r="S185" s="12">
        <v>0.0</v>
      </c>
      <c r="T185" s="12">
        <v>0.0</v>
      </c>
      <c r="U185" s="12">
        <v>0.0</v>
      </c>
      <c r="V185" s="16">
        <f t="shared" si="37"/>
        <v>10301.48</v>
      </c>
      <c r="W185" s="12">
        <v>552.16</v>
      </c>
      <c r="X185" s="12">
        <v>0.77</v>
      </c>
      <c r="Y185" s="12"/>
      <c r="Z185" s="12">
        <v>0.0</v>
      </c>
      <c r="AA185" s="12">
        <v>0.0</v>
      </c>
      <c r="AB185" s="12">
        <v>0.0</v>
      </c>
      <c r="AC185" s="16">
        <f t="shared" si="38"/>
        <v>552.93</v>
      </c>
      <c r="AD185" s="12"/>
      <c r="AE185" s="12"/>
      <c r="AF185" s="12">
        <v>1938.36</v>
      </c>
      <c r="AG185" s="12">
        <v>285.04</v>
      </c>
      <c r="AH185" s="12"/>
      <c r="AI185" s="12">
        <v>0.0</v>
      </c>
      <c r="AJ185" s="12">
        <v>144.12</v>
      </c>
      <c r="AK185" s="12">
        <v>0.0</v>
      </c>
      <c r="AL185" s="12">
        <f t="shared" si="53"/>
        <v>2367.52</v>
      </c>
      <c r="AM185" s="12">
        <v>942.0</v>
      </c>
      <c r="AN185" s="12">
        <v>0.0</v>
      </c>
      <c r="AO185" s="12"/>
      <c r="AP185" s="12">
        <v>0.0</v>
      </c>
      <c r="AQ185" s="12">
        <v>0.0</v>
      </c>
      <c r="AR185" s="12">
        <v>0.0</v>
      </c>
      <c r="AS185" s="16">
        <f t="shared" ref="AS185:AS238" si="61">AR185+AQ185+AP185+AN185+AM185</f>
        <v>942</v>
      </c>
      <c r="AT185" s="16">
        <f t="shared" si="59"/>
        <v>42488.16</v>
      </c>
      <c r="AU185" s="18">
        <f t="shared" si="56"/>
        <v>139282.35</v>
      </c>
      <c r="AV185" s="18"/>
      <c r="AW185" s="18"/>
      <c r="AX185" s="12">
        <f t="shared" si="1"/>
        <v>42488.16</v>
      </c>
      <c r="AY185" s="12"/>
      <c r="AZ185" s="12">
        <v>8428.09</v>
      </c>
      <c r="BA185" s="18">
        <f t="shared" si="57"/>
        <v>20631.45</v>
      </c>
      <c r="BB185" s="10">
        <f t="shared" si="16"/>
        <v>417847.05</v>
      </c>
      <c r="BC185" s="16">
        <f t="shared" si="60"/>
        <v>28101.55</v>
      </c>
      <c r="BD185" s="16"/>
      <c r="BE185" s="16"/>
      <c r="BF185" s="6"/>
      <c r="BG185" s="6"/>
      <c r="BH185" s="6"/>
      <c r="BI185" s="29">
        <f t="shared" si="55"/>
        <v>15340.08733</v>
      </c>
      <c r="BK185" s="15">
        <f t="shared" si="17"/>
        <v>2.769746943</v>
      </c>
      <c r="BN185" s="16">
        <f t="shared" si="14"/>
        <v>27148.07267</v>
      </c>
      <c r="BO185" s="16">
        <f t="shared" si="58"/>
        <v>-14118.52333</v>
      </c>
      <c r="BY185" s="6">
        <f t="shared" si="2"/>
        <v>2024</v>
      </c>
      <c r="BZ185" s="6" t="str">
        <f t="shared" si="3"/>
        <v>abril</v>
      </c>
      <c r="CA185" s="6" t="str">
        <f t="shared" si="4"/>
        <v>4</v>
      </c>
    </row>
    <row r="186">
      <c r="A186" s="8">
        <v>45393.0</v>
      </c>
      <c r="B186" s="12">
        <v>28433.5</v>
      </c>
      <c r="C186" s="12">
        <v>65814.88</v>
      </c>
      <c r="D186" s="12"/>
      <c r="E186" s="12">
        <v>36.6</v>
      </c>
      <c r="F186" s="12">
        <v>0.0</v>
      </c>
      <c r="G186" s="12">
        <v>0.0</v>
      </c>
      <c r="H186" s="12">
        <f t="shared" si="46"/>
        <v>94284.98</v>
      </c>
      <c r="I186" s="12">
        <v>14815.57</v>
      </c>
      <c r="J186" s="12">
        <v>1065.09</v>
      </c>
      <c r="K186" s="12"/>
      <c r="L186" s="12">
        <v>1511.29</v>
      </c>
      <c r="M186" s="12">
        <v>0.0</v>
      </c>
      <c r="N186" s="12">
        <v>0.0</v>
      </c>
      <c r="O186" s="16">
        <f t="shared" si="33"/>
        <v>17391.95</v>
      </c>
      <c r="P186" s="12">
        <v>1860.08</v>
      </c>
      <c r="Q186" s="12">
        <v>364.54</v>
      </c>
      <c r="R186" s="12"/>
      <c r="S186" s="12">
        <v>0.0</v>
      </c>
      <c r="T186" s="12">
        <v>0.0</v>
      </c>
      <c r="U186" s="12">
        <v>0.0</v>
      </c>
      <c r="V186" s="16">
        <f t="shared" si="37"/>
        <v>2224.62</v>
      </c>
      <c r="W186" s="12">
        <v>1100.79</v>
      </c>
      <c r="X186" s="12">
        <v>500.0</v>
      </c>
      <c r="Y186" s="12"/>
      <c r="Z186" s="12">
        <v>0.0</v>
      </c>
      <c r="AA186" s="12">
        <v>0.0</v>
      </c>
      <c r="AB186" s="12">
        <v>0.0</v>
      </c>
      <c r="AC186" s="16">
        <f t="shared" si="38"/>
        <v>1600.79</v>
      </c>
      <c r="AD186" s="12"/>
      <c r="AE186" s="12"/>
      <c r="AF186" s="12">
        <v>991.45</v>
      </c>
      <c r="AG186" s="12">
        <v>16.91</v>
      </c>
      <c r="AH186" s="12"/>
      <c r="AI186" s="12">
        <v>0.0</v>
      </c>
      <c r="AJ186" s="12">
        <v>0.0</v>
      </c>
      <c r="AK186" s="12">
        <v>0.0</v>
      </c>
      <c r="AL186" s="12">
        <f t="shared" si="53"/>
        <v>1008.36</v>
      </c>
      <c r="AM186" s="12">
        <v>3480.0</v>
      </c>
      <c r="AN186" s="12">
        <v>0.0</v>
      </c>
      <c r="AO186" s="12"/>
      <c r="AP186" s="12">
        <v>0.0</v>
      </c>
      <c r="AQ186" s="12">
        <v>0.0</v>
      </c>
      <c r="AR186" s="12">
        <v>0.0</v>
      </c>
      <c r="AS186" s="16">
        <f t="shared" si="61"/>
        <v>3480</v>
      </c>
      <c r="AT186" s="16">
        <f t="shared" si="59"/>
        <v>25705.72</v>
      </c>
      <c r="AU186" s="18">
        <f t="shared" si="56"/>
        <v>164988.07</v>
      </c>
      <c r="AV186" s="18"/>
      <c r="AW186" s="18"/>
      <c r="AX186" s="12">
        <f t="shared" si="1"/>
        <v>25705.72</v>
      </c>
      <c r="AY186" s="12"/>
      <c r="AZ186" s="12">
        <v>5586.48</v>
      </c>
      <c r="BA186" s="18">
        <f t="shared" si="57"/>
        <v>26217.93</v>
      </c>
      <c r="BB186" s="10">
        <f t="shared" si="16"/>
        <v>449967.4636</v>
      </c>
      <c r="BC186" s="16">
        <f t="shared" si="60"/>
        <v>28101.55</v>
      </c>
      <c r="BD186" s="16"/>
      <c r="BE186" s="16"/>
      <c r="BF186" s="6"/>
      <c r="BG186" s="6"/>
      <c r="BH186" s="6"/>
      <c r="BI186" s="29">
        <f t="shared" si="55"/>
        <v>15340.08733</v>
      </c>
      <c r="BK186" s="15">
        <f t="shared" si="17"/>
        <v>1.675721881</v>
      </c>
      <c r="BN186" s="16">
        <f t="shared" si="14"/>
        <v>10365.63267</v>
      </c>
      <c r="BO186" s="16">
        <f t="shared" si="58"/>
        <v>-3752.890667</v>
      </c>
      <c r="BY186" s="6">
        <f t="shared" si="2"/>
        <v>2024</v>
      </c>
      <c r="BZ186" s="6" t="str">
        <f t="shared" si="3"/>
        <v>abril</v>
      </c>
      <c r="CA186" s="6" t="str">
        <f t="shared" si="4"/>
        <v>4</v>
      </c>
    </row>
    <row r="187">
      <c r="A187" s="8">
        <v>45394.0</v>
      </c>
      <c r="B187" s="12">
        <v>4211.29</v>
      </c>
      <c r="C187" s="12">
        <v>280.12</v>
      </c>
      <c r="D187" s="12"/>
      <c r="E187" s="12">
        <v>0.0</v>
      </c>
      <c r="F187" s="12">
        <v>0.0</v>
      </c>
      <c r="G187" s="12">
        <v>0.0</v>
      </c>
      <c r="H187" s="12">
        <f t="shared" si="46"/>
        <v>4491.41</v>
      </c>
      <c r="I187" s="12">
        <v>1076.47</v>
      </c>
      <c r="J187" s="12">
        <v>395.23</v>
      </c>
      <c r="K187" s="12"/>
      <c r="L187" s="12">
        <v>0.0</v>
      </c>
      <c r="M187" s="12">
        <v>0.0</v>
      </c>
      <c r="N187" s="12">
        <v>0.0</v>
      </c>
      <c r="O187" s="16">
        <f t="shared" si="33"/>
        <v>1471.7</v>
      </c>
      <c r="P187" s="12">
        <v>810.23</v>
      </c>
      <c r="Q187" s="12">
        <v>285.18</v>
      </c>
      <c r="R187" s="12"/>
      <c r="S187" s="12">
        <v>0.0</v>
      </c>
      <c r="T187" s="12">
        <v>0.0</v>
      </c>
      <c r="U187" s="12">
        <v>0.0</v>
      </c>
      <c r="V187" s="16">
        <f t="shared" si="37"/>
        <v>1095.41</v>
      </c>
      <c r="W187" s="12">
        <v>700.0</v>
      </c>
      <c r="X187" s="12">
        <v>0.06</v>
      </c>
      <c r="Y187" s="12"/>
      <c r="Z187" s="12">
        <v>0.0</v>
      </c>
      <c r="AA187" s="12">
        <v>0.0</v>
      </c>
      <c r="AB187" s="12">
        <v>0.0</v>
      </c>
      <c r="AC187" s="16">
        <f t="shared" si="38"/>
        <v>700.06</v>
      </c>
      <c r="AD187" s="12"/>
      <c r="AE187" s="12"/>
      <c r="AF187" s="12">
        <v>538.17</v>
      </c>
      <c r="AG187" s="12">
        <v>275.09</v>
      </c>
      <c r="AH187" s="12"/>
      <c r="AI187" s="12">
        <v>0.0</v>
      </c>
      <c r="AJ187" s="12">
        <v>0.0</v>
      </c>
      <c r="AK187" s="12">
        <v>0.0</v>
      </c>
      <c r="AL187" s="12">
        <f t="shared" si="53"/>
        <v>813.26</v>
      </c>
      <c r="AM187" s="12">
        <v>1508.0</v>
      </c>
      <c r="AN187" s="12">
        <v>0.0</v>
      </c>
      <c r="AO187" s="12"/>
      <c r="AP187" s="12">
        <v>0.0</v>
      </c>
      <c r="AQ187" s="12">
        <v>0.0</v>
      </c>
      <c r="AR187" s="12">
        <v>0.0</v>
      </c>
      <c r="AS187" s="16">
        <f t="shared" si="61"/>
        <v>1508</v>
      </c>
      <c r="AT187" s="16">
        <f t="shared" si="59"/>
        <v>5588.43</v>
      </c>
      <c r="AU187" s="18">
        <f t="shared" si="56"/>
        <v>170576.5</v>
      </c>
      <c r="AV187" s="18"/>
      <c r="AW187" s="18"/>
      <c r="AX187" s="12">
        <f t="shared" si="1"/>
        <v>5588.43</v>
      </c>
      <c r="AY187" s="12"/>
      <c r="AZ187" s="12">
        <v>926.69</v>
      </c>
      <c r="BA187" s="18">
        <f t="shared" si="57"/>
        <v>27144.62</v>
      </c>
      <c r="BB187" s="10">
        <f t="shared" si="16"/>
        <v>426441.25</v>
      </c>
      <c r="BC187" s="16">
        <f t="shared" si="60"/>
        <v>28101.55</v>
      </c>
      <c r="BD187" s="16"/>
      <c r="BE187" s="16"/>
      <c r="BF187" s="6"/>
      <c r="BG187" s="6"/>
      <c r="BH187" s="6"/>
      <c r="BI187" s="29">
        <f t="shared" si="55"/>
        <v>15340.08733</v>
      </c>
      <c r="BJ187" s="6"/>
      <c r="BK187" s="15">
        <f t="shared" si="17"/>
        <v>0.3643023588</v>
      </c>
      <c r="BN187" s="16">
        <f t="shared" si="14"/>
        <v>-9751.657333</v>
      </c>
      <c r="BO187" s="16">
        <f t="shared" si="58"/>
        <v>-13504.548</v>
      </c>
      <c r="BY187" s="6">
        <f t="shared" si="2"/>
        <v>2024</v>
      </c>
      <c r="BZ187" s="6" t="str">
        <f t="shared" si="3"/>
        <v>abril</v>
      </c>
      <c r="CA187" s="6" t="str">
        <f t="shared" si="4"/>
        <v>4</v>
      </c>
    </row>
    <row r="188">
      <c r="A188" s="8">
        <v>45395.0</v>
      </c>
      <c r="B188" s="12">
        <v>0.0</v>
      </c>
      <c r="C188" s="12">
        <v>0.0</v>
      </c>
      <c r="D188" s="12"/>
      <c r="E188" s="12">
        <v>0.0</v>
      </c>
      <c r="F188" s="12">
        <v>0.0</v>
      </c>
      <c r="G188" s="12">
        <v>0.0</v>
      </c>
      <c r="H188" s="12">
        <f t="shared" si="46"/>
        <v>0</v>
      </c>
      <c r="I188" s="12">
        <v>0.0</v>
      </c>
      <c r="J188" s="12">
        <v>0.0</v>
      </c>
      <c r="K188" s="12"/>
      <c r="L188" s="12">
        <v>0.0</v>
      </c>
      <c r="M188" s="12">
        <v>0.0</v>
      </c>
      <c r="N188" s="12">
        <v>0.0</v>
      </c>
      <c r="O188" s="16">
        <f t="shared" si="33"/>
        <v>0</v>
      </c>
      <c r="P188" s="12">
        <v>0.0</v>
      </c>
      <c r="Q188" s="12">
        <v>0.0</v>
      </c>
      <c r="R188" s="12"/>
      <c r="S188" s="12">
        <v>0.0</v>
      </c>
      <c r="T188" s="12">
        <v>0.0</v>
      </c>
      <c r="U188" s="12">
        <v>0.0</v>
      </c>
      <c r="V188" s="16">
        <f t="shared" si="37"/>
        <v>0</v>
      </c>
      <c r="W188" s="12">
        <v>0.0</v>
      </c>
      <c r="X188" s="12">
        <v>0.0</v>
      </c>
      <c r="Y188" s="12"/>
      <c r="Z188" s="12">
        <v>0.0</v>
      </c>
      <c r="AA188" s="12">
        <v>0.0</v>
      </c>
      <c r="AB188" s="12">
        <v>0.0</v>
      </c>
      <c r="AC188" s="16">
        <f t="shared" si="38"/>
        <v>0</v>
      </c>
      <c r="AD188" s="12"/>
      <c r="AE188" s="12"/>
      <c r="AF188" s="12">
        <v>0.0</v>
      </c>
      <c r="AG188" s="12">
        <v>0.0</v>
      </c>
      <c r="AH188" s="12"/>
      <c r="AI188" s="12">
        <v>0.0</v>
      </c>
      <c r="AJ188" s="12">
        <v>0.0</v>
      </c>
      <c r="AK188" s="12">
        <v>0.0</v>
      </c>
      <c r="AL188" s="12">
        <f t="shared" si="53"/>
        <v>0</v>
      </c>
      <c r="AM188" s="12">
        <v>0.0</v>
      </c>
      <c r="AN188" s="12">
        <v>0.0</v>
      </c>
      <c r="AO188" s="12"/>
      <c r="AP188" s="12">
        <v>0.0</v>
      </c>
      <c r="AQ188" s="12">
        <v>0.0</v>
      </c>
      <c r="AR188" s="12">
        <v>0.0</v>
      </c>
      <c r="AS188" s="16">
        <f t="shared" si="61"/>
        <v>0</v>
      </c>
      <c r="AT188" s="6">
        <f t="shared" si="59"/>
        <v>0</v>
      </c>
      <c r="AU188" s="18">
        <f t="shared" si="56"/>
        <v>170576.5</v>
      </c>
      <c r="AV188" s="18"/>
      <c r="AW188" s="18"/>
      <c r="AX188" s="12">
        <f t="shared" si="1"/>
        <v>0</v>
      </c>
      <c r="AY188" s="12"/>
      <c r="AZ188" s="12">
        <v>0.0</v>
      </c>
      <c r="BA188" s="18">
        <f t="shared" si="57"/>
        <v>27144.62</v>
      </c>
      <c r="BB188" s="10">
        <f t="shared" si="16"/>
        <v>393638.0769</v>
      </c>
      <c r="BC188" s="16">
        <f t="shared" si="60"/>
        <v>28101.55</v>
      </c>
      <c r="BD188" s="16"/>
      <c r="BE188" s="16"/>
      <c r="BF188" s="6"/>
      <c r="BG188" s="6"/>
      <c r="BH188" s="6"/>
      <c r="BI188" s="29">
        <f t="shared" si="55"/>
        <v>15340.08733</v>
      </c>
      <c r="BJ188" s="6"/>
      <c r="BK188" s="15">
        <f t="shared" si="17"/>
        <v>0</v>
      </c>
      <c r="BN188" s="41">
        <f t="shared" si="14"/>
        <v>-15340.08733</v>
      </c>
      <c r="BO188" s="16">
        <f t="shared" si="58"/>
        <v>-28844.63533</v>
      </c>
      <c r="BY188" s="6">
        <f t="shared" si="2"/>
        <v>2024</v>
      </c>
      <c r="BZ188" s="6" t="str">
        <f t="shared" si="3"/>
        <v>abril</v>
      </c>
      <c r="CA188" s="6" t="str">
        <f t="shared" si="4"/>
        <v>4</v>
      </c>
    </row>
    <row r="189">
      <c r="A189" s="8">
        <v>45396.0</v>
      </c>
      <c r="B189" s="12">
        <v>0.0</v>
      </c>
      <c r="C189" s="12">
        <v>0.0</v>
      </c>
      <c r="D189" s="12"/>
      <c r="E189" s="12">
        <v>0.0</v>
      </c>
      <c r="F189" s="12">
        <v>0.0</v>
      </c>
      <c r="G189" s="12">
        <v>0.0</v>
      </c>
      <c r="H189" s="12">
        <f t="shared" si="46"/>
        <v>0</v>
      </c>
      <c r="I189" s="12">
        <v>0.0</v>
      </c>
      <c r="J189" s="12">
        <v>0.0</v>
      </c>
      <c r="K189" s="12"/>
      <c r="L189" s="12">
        <v>0.0</v>
      </c>
      <c r="M189" s="12">
        <v>0.0</v>
      </c>
      <c r="N189" s="12">
        <v>0.0</v>
      </c>
      <c r="O189" s="16">
        <f t="shared" si="33"/>
        <v>0</v>
      </c>
      <c r="P189" s="12">
        <v>0.0</v>
      </c>
      <c r="Q189" s="12">
        <v>0.0</v>
      </c>
      <c r="R189" s="12"/>
      <c r="S189" s="12">
        <v>0.0</v>
      </c>
      <c r="T189" s="12">
        <v>0.0</v>
      </c>
      <c r="U189" s="12">
        <v>0.0</v>
      </c>
      <c r="V189" s="16">
        <f t="shared" si="37"/>
        <v>0</v>
      </c>
      <c r="W189" s="12">
        <v>0.0</v>
      </c>
      <c r="X189" s="12">
        <v>0.0</v>
      </c>
      <c r="Y189" s="12"/>
      <c r="Z189" s="12">
        <v>0.0</v>
      </c>
      <c r="AA189" s="12">
        <v>0.0</v>
      </c>
      <c r="AB189" s="12">
        <v>0.0</v>
      </c>
      <c r="AC189" s="16">
        <f t="shared" si="38"/>
        <v>0</v>
      </c>
      <c r="AD189" s="12"/>
      <c r="AE189" s="12"/>
      <c r="AF189" s="12">
        <v>0.0</v>
      </c>
      <c r="AG189" s="12">
        <v>0.0</v>
      </c>
      <c r="AH189" s="12"/>
      <c r="AI189" s="12">
        <v>0.0</v>
      </c>
      <c r="AJ189" s="12">
        <v>0.0</v>
      </c>
      <c r="AK189" s="12">
        <v>0.0</v>
      </c>
      <c r="AL189" s="12">
        <f t="shared" si="53"/>
        <v>0</v>
      </c>
      <c r="AM189" s="12">
        <v>0.0</v>
      </c>
      <c r="AN189" s="12">
        <v>0.0</v>
      </c>
      <c r="AO189" s="12"/>
      <c r="AP189" s="12">
        <v>0.0</v>
      </c>
      <c r="AQ189" s="12">
        <v>0.0</v>
      </c>
      <c r="AR189" s="12">
        <v>0.0</v>
      </c>
      <c r="AS189" s="16">
        <f t="shared" si="61"/>
        <v>0</v>
      </c>
      <c r="AT189" s="6">
        <f t="shared" si="59"/>
        <v>0</v>
      </c>
      <c r="AU189" s="18">
        <f t="shared" si="56"/>
        <v>170576.5</v>
      </c>
      <c r="AV189" s="18"/>
      <c r="AW189" s="18"/>
      <c r="AX189" s="12">
        <f t="shared" si="1"/>
        <v>0</v>
      </c>
      <c r="AY189" s="12"/>
      <c r="AZ189" s="12">
        <v>0.0</v>
      </c>
      <c r="BA189" s="18">
        <f t="shared" si="57"/>
        <v>27144.62</v>
      </c>
      <c r="BB189" s="10">
        <f t="shared" si="16"/>
        <v>365521.0714</v>
      </c>
      <c r="BC189" s="16">
        <f t="shared" si="60"/>
        <v>28101.55</v>
      </c>
      <c r="BD189" s="16"/>
      <c r="BE189" s="16"/>
      <c r="BF189" s="6"/>
      <c r="BG189" s="6"/>
      <c r="BH189" s="6"/>
      <c r="BI189" s="29">
        <f t="shared" si="55"/>
        <v>15340.08733</v>
      </c>
      <c r="BJ189" s="6"/>
      <c r="BK189" s="15">
        <f t="shared" si="17"/>
        <v>0</v>
      </c>
      <c r="BN189" s="41">
        <f t="shared" si="14"/>
        <v>-15340.08733</v>
      </c>
      <c r="BO189" s="16">
        <f t="shared" si="58"/>
        <v>-44184.72267</v>
      </c>
      <c r="BY189" s="6">
        <f t="shared" si="2"/>
        <v>2024</v>
      </c>
      <c r="BZ189" s="6" t="str">
        <f t="shared" si="3"/>
        <v>abril</v>
      </c>
      <c r="CA189" s="6" t="str">
        <f t="shared" si="4"/>
        <v>4</v>
      </c>
    </row>
    <row r="190">
      <c r="A190" s="8">
        <v>45397.0</v>
      </c>
      <c r="B190" s="12">
        <v>2784.48</v>
      </c>
      <c r="C190" s="12">
        <v>8818.23</v>
      </c>
      <c r="D190" s="12"/>
      <c r="E190" s="12">
        <v>0.0</v>
      </c>
      <c r="F190" s="12">
        <v>0.0</v>
      </c>
      <c r="G190" s="12">
        <v>0.0</v>
      </c>
      <c r="H190" s="12">
        <f t="shared" si="46"/>
        <v>11602.71</v>
      </c>
      <c r="I190" s="12">
        <v>1253.66</v>
      </c>
      <c r="J190" s="12">
        <v>4520.89</v>
      </c>
      <c r="K190" s="12"/>
      <c r="L190" s="12">
        <v>0.0</v>
      </c>
      <c r="M190" s="12">
        <v>0.0</v>
      </c>
      <c r="N190" s="12">
        <v>0.0</v>
      </c>
      <c r="O190" s="16">
        <f t="shared" si="33"/>
        <v>5774.55</v>
      </c>
      <c r="P190" s="12">
        <v>842.05</v>
      </c>
      <c r="Q190" s="12">
        <v>1063.34</v>
      </c>
      <c r="R190" s="12"/>
      <c r="S190" s="12">
        <v>0.0</v>
      </c>
      <c r="T190" s="12">
        <v>0.0</v>
      </c>
      <c r="U190" s="12">
        <v>0.0</v>
      </c>
      <c r="V190" s="16">
        <f t="shared" si="37"/>
        <v>1905.39</v>
      </c>
      <c r="W190" s="12">
        <v>0.16</v>
      </c>
      <c r="X190" s="12">
        <v>0.16</v>
      </c>
      <c r="Y190" s="12"/>
      <c r="Z190" s="12">
        <v>0.0</v>
      </c>
      <c r="AA190" s="12">
        <v>0.0</v>
      </c>
      <c r="AB190" s="12">
        <v>0.0</v>
      </c>
      <c r="AC190" s="16">
        <f t="shared" si="38"/>
        <v>0.32</v>
      </c>
      <c r="AD190" s="12"/>
      <c r="AE190" s="12"/>
      <c r="AF190" s="12">
        <v>250.31</v>
      </c>
      <c r="AG190" s="12">
        <v>337.7</v>
      </c>
      <c r="AH190" s="12"/>
      <c r="AI190" s="12">
        <v>0.0</v>
      </c>
      <c r="AJ190" s="12">
        <v>0.0</v>
      </c>
      <c r="AK190" s="12">
        <v>0.0</v>
      </c>
      <c r="AL190" s="12">
        <f t="shared" si="53"/>
        <v>588.01</v>
      </c>
      <c r="AM190" s="12">
        <v>0.0</v>
      </c>
      <c r="AN190" s="12">
        <v>0.0</v>
      </c>
      <c r="AO190" s="12"/>
      <c r="AP190" s="12">
        <v>0.0</v>
      </c>
      <c r="AQ190" s="12">
        <v>0.0</v>
      </c>
      <c r="AR190" s="12">
        <v>0.0</v>
      </c>
      <c r="AS190" s="16">
        <f t="shared" si="61"/>
        <v>0</v>
      </c>
      <c r="AT190" s="16">
        <f t="shared" si="59"/>
        <v>8268.27</v>
      </c>
      <c r="AU190" s="18">
        <f t="shared" si="56"/>
        <v>178844.77</v>
      </c>
      <c r="AV190" s="18"/>
      <c r="AW190" s="18"/>
      <c r="AX190" s="12">
        <f t="shared" si="1"/>
        <v>8268.27</v>
      </c>
      <c r="AY190" s="12"/>
      <c r="AZ190" s="12">
        <v>1037.77</v>
      </c>
      <c r="BA190" s="18">
        <f t="shared" si="57"/>
        <v>28182.39</v>
      </c>
      <c r="BB190" s="10">
        <f t="shared" si="16"/>
        <v>357689.54</v>
      </c>
      <c r="BC190" s="16">
        <f>IFERROR(AU187/DAY(A187)*5,0)</f>
        <v>71073.54167</v>
      </c>
      <c r="BD190" s="16"/>
      <c r="BE190" s="16"/>
      <c r="BF190" s="6"/>
      <c r="BG190" s="6"/>
      <c r="BH190" s="6"/>
      <c r="BI190" s="29">
        <f t="shared" si="55"/>
        <v>15340.08733</v>
      </c>
      <c r="BJ190" s="6"/>
      <c r="BK190" s="15">
        <f t="shared" si="17"/>
        <v>0.5389975833</v>
      </c>
      <c r="BN190" s="16">
        <f t="shared" si="14"/>
        <v>-7071.817333</v>
      </c>
      <c r="BO190" s="16">
        <f t="shared" si="58"/>
        <v>-51256.54</v>
      </c>
      <c r="BY190" s="6">
        <f t="shared" si="2"/>
        <v>2024</v>
      </c>
      <c r="BZ190" s="6" t="str">
        <f t="shared" si="3"/>
        <v>abril</v>
      </c>
      <c r="CA190" s="6" t="str">
        <f t="shared" si="4"/>
        <v>4</v>
      </c>
    </row>
    <row r="191">
      <c r="A191" s="8">
        <v>45398.0</v>
      </c>
      <c r="B191" s="12">
        <v>17658.53</v>
      </c>
      <c r="C191" s="12">
        <v>3008.16</v>
      </c>
      <c r="D191" s="12"/>
      <c r="E191" s="12">
        <v>0.0</v>
      </c>
      <c r="F191" s="12">
        <v>0.0</v>
      </c>
      <c r="G191" s="12">
        <v>0.0</v>
      </c>
      <c r="H191" s="12">
        <f t="shared" si="46"/>
        <v>20666.69</v>
      </c>
      <c r="I191" s="12">
        <v>9425.27</v>
      </c>
      <c r="J191" s="12">
        <v>2678.79</v>
      </c>
      <c r="K191" s="12"/>
      <c r="L191" s="12">
        <v>0.0</v>
      </c>
      <c r="M191" s="12">
        <v>0.0</v>
      </c>
      <c r="N191" s="12">
        <v>0.0</v>
      </c>
      <c r="O191" s="16">
        <f t="shared" si="33"/>
        <v>12104.06</v>
      </c>
      <c r="P191" s="12">
        <v>3216.34</v>
      </c>
      <c r="Q191" s="12">
        <v>562.14</v>
      </c>
      <c r="R191" s="12"/>
      <c r="S191" s="12">
        <v>0.0</v>
      </c>
      <c r="T191" s="12">
        <v>0.0</v>
      </c>
      <c r="U191" s="12">
        <v>0.0</v>
      </c>
      <c r="V191" s="16">
        <f t="shared" si="37"/>
        <v>3778.48</v>
      </c>
      <c r="W191" s="12">
        <v>550.58</v>
      </c>
      <c r="X191" s="12">
        <v>1.27</v>
      </c>
      <c r="Y191" s="12"/>
      <c r="Z191" s="12">
        <v>0.0</v>
      </c>
      <c r="AA191" s="12">
        <v>0.0</v>
      </c>
      <c r="AB191" s="12">
        <v>0.0</v>
      </c>
      <c r="AC191" s="16">
        <f t="shared" si="38"/>
        <v>551.85</v>
      </c>
      <c r="AD191" s="12"/>
      <c r="AE191" s="12"/>
      <c r="AF191" s="12">
        <v>1375.23</v>
      </c>
      <c r="AG191" s="12">
        <v>1448.71</v>
      </c>
      <c r="AH191" s="12"/>
      <c r="AI191" s="12">
        <v>0.0</v>
      </c>
      <c r="AJ191" s="12">
        <v>0.0</v>
      </c>
      <c r="AK191" s="12">
        <v>0.0</v>
      </c>
      <c r="AL191" s="12">
        <f t="shared" si="53"/>
        <v>2823.94</v>
      </c>
      <c r="AM191" s="12">
        <v>5558.0</v>
      </c>
      <c r="AN191" s="12">
        <v>0.0</v>
      </c>
      <c r="AO191" s="12"/>
      <c r="AP191" s="12">
        <v>0.0</v>
      </c>
      <c r="AQ191" s="12">
        <v>0.0</v>
      </c>
      <c r="AR191" s="12">
        <v>0.0</v>
      </c>
      <c r="AS191" s="16">
        <f t="shared" si="61"/>
        <v>5558</v>
      </c>
      <c r="AT191" s="16">
        <f t="shared" si="59"/>
        <v>24816.33</v>
      </c>
      <c r="AU191" s="18">
        <f t="shared" si="56"/>
        <v>203661.1</v>
      </c>
      <c r="AV191" s="18"/>
      <c r="AW191" s="18"/>
      <c r="AX191" s="12">
        <f t="shared" si="1"/>
        <v>24816.33</v>
      </c>
      <c r="AY191" s="12"/>
      <c r="AZ191" s="12">
        <v>4481.97</v>
      </c>
      <c r="BA191" s="18">
        <f t="shared" si="57"/>
        <v>32664.36</v>
      </c>
      <c r="BB191" s="10">
        <f t="shared" si="16"/>
        <v>381864.5625</v>
      </c>
      <c r="BC191" s="16">
        <f t="shared" ref="BC191:BC196" si="62">BC190</f>
        <v>71073.54167</v>
      </c>
      <c r="BD191" s="16"/>
      <c r="BE191" s="16"/>
      <c r="BF191" s="6"/>
      <c r="BG191" s="6"/>
      <c r="BH191" s="6"/>
      <c r="BI191" s="29">
        <f t="shared" si="55"/>
        <v>15340.08733</v>
      </c>
      <c r="BK191" s="15">
        <f t="shared" si="17"/>
        <v>1.617743723</v>
      </c>
      <c r="BN191" s="16">
        <f t="shared" si="14"/>
        <v>9476.242667</v>
      </c>
      <c r="BO191" s="16">
        <f t="shared" si="58"/>
        <v>-41780.29733</v>
      </c>
      <c r="BY191" s="6">
        <f t="shared" si="2"/>
        <v>2024</v>
      </c>
      <c r="BZ191" s="6" t="str">
        <f t="shared" si="3"/>
        <v>abril</v>
      </c>
      <c r="CA191" s="6" t="str">
        <f t="shared" si="4"/>
        <v>4</v>
      </c>
    </row>
    <row r="192">
      <c r="A192" s="8">
        <v>45399.0</v>
      </c>
      <c r="B192" s="12">
        <v>10604.36</v>
      </c>
      <c r="C192" s="12">
        <v>140089.93</v>
      </c>
      <c r="D192" s="12"/>
      <c r="E192" s="12">
        <v>86.23</v>
      </c>
      <c r="F192" s="12">
        <v>0.0</v>
      </c>
      <c r="G192" s="12">
        <v>0.0</v>
      </c>
      <c r="H192" s="12">
        <f t="shared" si="46"/>
        <v>150780.52</v>
      </c>
      <c r="I192" s="12">
        <v>9672.61</v>
      </c>
      <c r="J192" s="12">
        <v>3316.11</v>
      </c>
      <c r="K192" s="12"/>
      <c r="L192" s="12">
        <v>3272.4</v>
      </c>
      <c r="M192" s="12">
        <v>632.17</v>
      </c>
      <c r="N192" s="12">
        <v>0.0</v>
      </c>
      <c r="O192" s="16">
        <f t="shared" si="33"/>
        <v>16893.29</v>
      </c>
      <c r="P192" s="12">
        <v>1422.02</v>
      </c>
      <c r="Q192" s="12">
        <v>1114.96</v>
      </c>
      <c r="R192" s="12"/>
      <c r="S192" s="12">
        <v>0.0</v>
      </c>
      <c r="T192" s="12">
        <v>0.0</v>
      </c>
      <c r="U192" s="12">
        <v>0.0</v>
      </c>
      <c r="V192" s="16">
        <f t="shared" si="37"/>
        <v>2536.98</v>
      </c>
      <c r="W192" s="12">
        <v>4205.0</v>
      </c>
      <c r="X192" s="12">
        <v>951.71</v>
      </c>
      <c r="Y192" s="12"/>
      <c r="Z192" s="12">
        <v>0.0</v>
      </c>
      <c r="AA192" s="12">
        <v>0.0</v>
      </c>
      <c r="AB192" s="12">
        <v>0.0</v>
      </c>
      <c r="AC192" s="16">
        <f t="shared" si="38"/>
        <v>5156.71</v>
      </c>
      <c r="AD192" s="12"/>
      <c r="AE192" s="12"/>
      <c r="AF192" s="12">
        <v>591.22</v>
      </c>
      <c r="AG192" s="12">
        <v>719.31</v>
      </c>
      <c r="AH192" s="12"/>
      <c r="AI192" s="12">
        <v>0.0</v>
      </c>
      <c r="AJ192" s="12">
        <v>0.0</v>
      </c>
      <c r="AK192" s="12">
        <v>0.0</v>
      </c>
      <c r="AL192" s="12">
        <f t="shared" si="53"/>
        <v>1310.53</v>
      </c>
      <c r="AM192" s="12">
        <v>2281.0</v>
      </c>
      <c r="AN192" s="12">
        <v>0.0</v>
      </c>
      <c r="AO192" s="12"/>
      <c r="AP192" s="12">
        <v>0.0</v>
      </c>
      <c r="AQ192" s="12">
        <v>0.0</v>
      </c>
      <c r="AR192" s="12">
        <v>0.0</v>
      </c>
      <c r="AS192" s="16">
        <f t="shared" si="61"/>
        <v>2281</v>
      </c>
      <c r="AT192" s="16">
        <f t="shared" si="59"/>
        <v>28178.51</v>
      </c>
      <c r="AU192" s="18">
        <f t="shared" si="56"/>
        <v>231839.61</v>
      </c>
      <c r="AV192" s="18"/>
      <c r="AW192" s="18"/>
      <c r="AX192" s="12">
        <f t="shared" si="1"/>
        <v>28178.51</v>
      </c>
      <c r="AY192" s="12"/>
      <c r="AZ192" s="12">
        <v>12577.54</v>
      </c>
      <c r="BA192" s="18">
        <f t="shared" si="57"/>
        <v>45241.9</v>
      </c>
      <c r="BB192" s="10">
        <f t="shared" si="16"/>
        <v>409128.7235</v>
      </c>
      <c r="BC192" s="16">
        <f t="shared" si="62"/>
        <v>71073.54167</v>
      </c>
      <c r="BD192" s="16"/>
      <c r="BE192" s="16"/>
      <c r="BF192" s="6"/>
      <c r="BG192" s="6"/>
      <c r="BH192" s="6"/>
      <c r="BI192" s="29">
        <f t="shared" si="55"/>
        <v>15340.08733</v>
      </c>
      <c r="BK192" s="15">
        <f t="shared" si="17"/>
        <v>1.83691979</v>
      </c>
      <c r="BN192" s="16">
        <f t="shared" si="14"/>
        <v>12838.42267</v>
      </c>
      <c r="BO192" s="16">
        <f t="shared" si="58"/>
        <v>-28941.87467</v>
      </c>
      <c r="BY192" s="6">
        <f t="shared" si="2"/>
        <v>2024</v>
      </c>
      <c r="BZ192" s="6" t="str">
        <f t="shared" si="3"/>
        <v>abril</v>
      </c>
      <c r="CA192" s="6" t="str">
        <f t="shared" si="4"/>
        <v>4</v>
      </c>
    </row>
    <row r="193">
      <c r="A193" s="8">
        <v>45400.0</v>
      </c>
      <c r="B193" s="12">
        <v>5611.7</v>
      </c>
      <c r="C193" s="12">
        <v>1376.72</v>
      </c>
      <c r="D193" s="12"/>
      <c r="E193" s="12">
        <v>0.0</v>
      </c>
      <c r="F193" s="12">
        <v>0.0</v>
      </c>
      <c r="G193" s="12">
        <v>0.0</v>
      </c>
      <c r="H193" s="12">
        <f t="shared" si="46"/>
        <v>6988.42</v>
      </c>
      <c r="I193" s="12">
        <v>10334.46</v>
      </c>
      <c r="J193" s="12">
        <v>221.18</v>
      </c>
      <c r="K193" s="12"/>
      <c r="L193" s="12">
        <v>0.0</v>
      </c>
      <c r="M193" s="12">
        <v>0.0</v>
      </c>
      <c r="N193" s="12">
        <v>0.0</v>
      </c>
      <c r="O193" s="16">
        <f t="shared" si="33"/>
        <v>10555.64</v>
      </c>
      <c r="P193" s="12">
        <v>3514.34</v>
      </c>
      <c r="Q193" s="12">
        <v>116.45</v>
      </c>
      <c r="R193" s="12"/>
      <c r="S193" s="12">
        <v>0.0</v>
      </c>
      <c r="T193" s="12">
        <v>0.0</v>
      </c>
      <c r="U193" s="12">
        <v>0.0</v>
      </c>
      <c r="V193" s="16">
        <f t="shared" si="37"/>
        <v>3630.79</v>
      </c>
      <c r="W193" s="12">
        <v>178.06</v>
      </c>
      <c r="X193" s="12">
        <v>0.0</v>
      </c>
      <c r="Y193" s="12"/>
      <c r="Z193" s="12">
        <v>0.0</v>
      </c>
      <c r="AA193" s="12">
        <v>0.0</v>
      </c>
      <c r="AB193" s="12">
        <v>0.0</v>
      </c>
      <c r="AC193" s="16">
        <f t="shared" si="38"/>
        <v>178.06</v>
      </c>
      <c r="AD193" s="12"/>
      <c r="AE193" s="12"/>
      <c r="AF193" s="12">
        <v>0.0</v>
      </c>
      <c r="AG193" s="12">
        <v>185.05</v>
      </c>
      <c r="AH193" s="12"/>
      <c r="AI193" s="12">
        <v>0.0</v>
      </c>
      <c r="AJ193" s="12">
        <v>0.0</v>
      </c>
      <c r="AK193" s="12">
        <v>0.0</v>
      </c>
      <c r="AL193" s="12">
        <f t="shared" si="53"/>
        <v>185.05</v>
      </c>
      <c r="AM193" s="12">
        <v>8180.0</v>
      </c>
      <c r="AN193" s="12">
        <v>0.0</v>
      </c>
      <c r="AO193" s="12"/>
      <c r="AP193" s="12">
        <v>0.0</v>
      </c>
      <c r="AQ193" s="12">
        <v>0.0</v>
      </c>
      <c r="AR193" s="12">
        <v>0.0</v>
      </c>
      <c r="AS193" s="16">
        <f t="shared" si="61"/>
        <v>8180</v>
      </c>
      <c r="AT193" s="16">
        <f t="shared" si="59"/>
        <v>22729.54</v>
      </c>
      <c r="AU193" s="18">
        <f t="shared" si="56"/>
        <v>254569.15</v>
      </c>
      <c r="AV193" s="18"/>
      <c r="AW193" s="18"/>
      <c r="AX193" s="12">
        <f t="shared" si="1"/>
        <v>22729.54</v>
      </c>
      <c r="AY193" s="12"/>
      <c r="AZ193" s="12">
        <v>428.79</v>
      </c>
      <c r="BA193" s="18">
        <f t="shared" si="57"/>
        <v>45670.69</v>
      </c>
      <c r="BB193" s="10">
        <f t="shared" si="16"/>
        <v>424281.9167</v>
      </c>
      <c r="BC193" s="16">
        <f t="shared" si="62"/>
        <v>71073.54167</v>
      </c>
      <c r="BD193" s="16"/>
      <c r="BE193" s="16"/>
      <c r="BF193" s="6"/>
      <c r="BG193" s="6"/>
      <c r="BH193" s="6"/>
      <c r="BI193" s="29">
        <f t="shared" si="55"/>
        <v>15340.08733</v>
      </c>
      <c r="BK193" s="15">
        <f t="shared" si="17"/>
        <v>1.481708644</v>
      </c>
      <c r="BN193" s="16">
        <f t="shared" si="14"/>
        <v>7389.452667</v>
      </c>
      <c r="BO193" s="16">
        <f t="shared" si="58"/>
        <v>-21552.422</v>
      </c>
      <c r="BY193" s="6">
        <f t="shared" si="2"/>
        <v>2024</v>
      </c>
      <c r="BZ193" s="6" t="str">
        <f t="shared" si="3"/>
        <v>abril</v>
      </c>
      <c r="CA193" s="6" t="str">
        <f t="shared" si="4"/>
        <v>4</v>
      </c>
    </row>
    <row r="194">
      <c r="A194" s="8">
        <v>45401.0</v>
      </c>
      <c r="B194" s="12">
        <v>13128.46</v>
      </c>
      <c r="C194" s="12">
        <v>1529.38</v>
      </c>
      <c r="D194" s="12"/>
      <c r="E194" s="12">
        <v>0.0</v>
      </c>
      <c r="F194" s="12">
        <v>0.0</v>
      </c>
      <c r="G194" s="12">
        <v>0.0</v>
      </c>
      <c r="H194" s="12">
        <f t="shared" si="46"/>
        <v>14657.84</v>
      </c>
      <c r="I194" s="12">
        <v>8228.94</v>
      </c>
      <c r="J194" s="12">
        <v>1480.05</v>
      </c>
      <c r="K194" s="12"/>
      <c r="L194" s="12">
        <v>0.0</v>
      </c>
      <c r="M194" s="12">
        <v>0.0</v>
      </c>
      <c r="N194" s="12">
        <v>0.0</v>
      </c>
      <c r="O194" s="16">
        <f t="shared" si="33"/>
        <v>9708.99</v>
      </c>
      <c r="P194" s="12">
        <v>2329.9</v>
      </c>
      <c r="Q194" s="12">
        <v>476.13</v>
      </c>
      <c r="R194" s="12"/>
      <c r="S194" s="12">
        <v>0.0</v>
      </c>
      <c r="T194" s="12">
        <v>0.0</v>
      </c>
      <c r="U194" s="12">
        <v>0.0</v>
      </c>
      <c r="V194" s="16">
        <f t="shared" si="37"/>
        <v>2806.03</v>
      </c>
      <c r="W194" s="12">
        <v>1.77</v>
      </c>
      <c r="X194" s="12">
        <v>1.26</v>
      </c>
      <c r="Y194" s="12"/>
      <c r="Z194" s="12">
        <v>0.0</v>
      </c>
      <c r="AA194" s="12">
        <v>0.0</v>
      </c>
      <c r="AB194" s="12">
        <v>0.0</v>
      </c>
      <c r="AC194" s="16">
        <f t="shared" si="38"/>
        <v>3.03</v>
      </c>
      <c r="AD194" s="12"/>
      <c r="AE194" s="12"/>
      <c r="AF194" s="12">
        <v>0.25</v>
      </c>
      <c r="AG194" s="12">
        <v>0.0</v>
      </c>
      <c r="AH194" s="12"/>
      <c r="AI194" s="12">
        <v>0.0</v>
      </c>
      <c r="AJ194" s="12">
        <v>0.0</v>
      </c>
      <c r="AK194" s="12">
        <v>0.0</v>
      </c>
      <c r="AL194" s="12">
        <f t="shared" si="53"/>
        <v>0.25</v>
      </c>
      <c r="AM194" s="16"/>
      <c r="AN194" s="16"/>
      <c r="AO194" s="16"/>
      <c r="AP194" s="16"/>
      <c r="AQ194" s="16"/>
      <c r="AR194" s="16"/>
      <c r="AS194" s="16">
        <f t="shared" si="61"/>
        <v>0</v>
      </c>
      <c r="AT194" s="16">
        <f>IF(AS194+AL194+AC194+V194+O194=0,"",AS194+AL194+AC194+V194+O194)</f>
        <v>12518.3</v>
      </c>
      <c r="AU194" s="18">
        <f t="shared" si="56"/>
        <v>267087.45</v>
      </c>
      <c r="AV194" s="18"/>
      <c r="AW194" s="18"/>
      <c r="AX194" s="12">
        <f t="shared" si="1"/>
        <v>12518.3</v>
      </c>
      <c r="AY194" s="16"/>
      <c r="AZ194" s="16"/>
      <c r="BA194" s="18">
        <f t="shared" si="57"/>
        <v>45670.69</v>
      </c>
      <c r="BB194" s="10">
        <f t="shared" si="16"/>
        <v>421717.0263</v>
      </c>
      <c r="BC194" s="16">
        <f t="shared" si="62"/>
        <v>71073.54167</v>
      </c>
      <c r="BD194" s="16"/>
      <c r="BE194" s="16"/>
      <c r="BF194" s="6"/>
      <c r="BG194" s="6"/>
      <c r="BH194" s="6"/>
      <c r="BI194" s="29">
        <f t="shared" si="55"/>
        <v>15340.08733</v>
      </c>
      <c r="BJ194" s="6"/>
      <c r="BK194" s="15">
        <f t="shared" si="17"/>
        <v>0.8160514167</v>
      </c>
      <c r="BN194" s="16">
        <f t="shared" si="14"/>
        <v>-2821.787333</v>
      </c>
      <c r="BO194" s="16">
        <f t="shared" si="58"/>
        <v>-24374.20933</v>
      </c>
      <c r="BY194" s="6">
        <f t="shared" si="2"/>
        <v>2024</v>
      </c>
      <c r="BZ194" s="6" t="str">
        <f t="shared" si="3"/>
        <v>abril</v>
      </c>
      <c r="CA194" s="6" t="str">
        <f t="shared" si="4"/>
        <v>4</v>
      </c>
    </row>
    <row r="195">
      <c r="A195" s="8">
        <v>45402.0</v>
      </c>
      <c r="B195" s="12">
        <v>0.0</v>
      </c>
      <c r="C195" s="12">
        <v>0.0</v>
      </c>
      <c r="D195" s="12"/>
      <c r="E195" s="12">
        <v>0.0</v>
      </c>
      <c r="F195" s="12">
        <v>0.0</v>
      </c>
      <c r="G195" s="12">
        <v>0.0</v>
      </c>
      <c r="H195" s="12">
        <f t="shared" si="46"/>
        <v>0</v>
      </c>
      <c r="I195" s="12">
        <v>0.0</v>
      </c>
      <c r="J195" s="12">
        <v>0.0</v>
      </c>
      <c r="K195" s="12"/>
      <c r="L195" s="12">
        <v>0.0</v>
      </c>
      <c r="M195" s="12">
        <v>0.0</v>
      </c>
      <c r="N195" s="12">
        <v>0.0</v>
      </c>
      <c r="O195" s="16">
        <f t="shared" si="33"/>
        <v>0</v>
      </c>
      <c r="P195" s="16"/>
      <c r="Q195" s="16"/>
      <c r="R195" s="16"/>
      <c r="S195" s="16"/>
      <c r="T195" s="16"/>
      <c r="U195" s="16"/>
      <c r="V195" s="16">
        <f t="shared" si="37"/>
        <v>0</v>
      </c>
      <c r="W195" s="16"/>
      <c r="X195" s="16"/>
      <c r="Y195" s="16"/>
      <c r="Z195" s="16"/>
      <c r="AA195" s="16"/>
      <c r="AB195" s="16"/>
      <c r="AC195" s="16">
        <f t="shared" si="38"/>
        <v>0</v>
      </c>
      <c r="AD195" s="16"/>
      <c r="AE195" s="16"/>
      <c r="AF195" s="16"/>
      <c r="AG195" s="16"/>
      <c r="AH195" s="16"/>
      <c r="AI195" s="16"/>
      <c r="AJ195" s="16"/>
      <c r="AK195" s="16"/>
      <c r="AL195" s="12">
        <f t="shared" si="53"/>
        <v>0</v>
      </c>
      <c r="AM195" s="16"/>
      <c r="AN195" s="16"/>
      <c r="AO195" s="16"/>
      <c r="AP195" s="16"/>
      <c r="AQ195" s="16"/>
      <c r="AR195" s="16"/>
      <c r="AS195" s="16">
        <f t="shared" si="61"/>
        <v>0</v>
      </c>
      <c r="AT195" s="5">
        <v>0.0</v>
      </c>
      <c r="AU195" s="18">
        <f t="shared" si="56"/>
        <v>267087.45</v>
      </c>
      <c r="AV195" s="18"/>
      <c r="AW195" s="18"/>
      <c r="AX195" s="12">
        <f t="shared" si="1"/>
        <v>0</v>
      </c>
      <c r="AY195" s="12"/>
      <c r="AZ195" s="12">
        <v>0.0</v>
      </c>
      <c r="BA195" s="18">
        <f t="shared" si="57"/>
        <v>45670.69</v>
      </c>
      <c r="BB195" s="10">
        <f t="shared" si="16"/>
        <v>400631.175</v>
      </c>
      <c r="BC195" s="16">
        <f t="shared" si="62"/>
        <v>71073.54167</v>
      </c>
      <c r="BD195" s="16"/>
      <c r="BE195" s="16"/>
      <c r="BF195" s="6"/>
      <c r="BG195" s="6"/>
      <c r="BH195" s="6"/>
      <c r="BI195" s="29">
        <f t="shared" si="55"/>
        <v>15340.08733</v>
      </c>
      <c r="BJ195" s="6"/>
      <c r="BK195" s="15">
        <f t="shared" si="17"/>
        <v>0</v>
      </c>
      <c r="BN195" s="41">
        <f t="shared" si="14"/>
        <v>-15340.08733</v>
      </c>
      <c r="BO195" s="16">
        <f t="shared" si="58"/>
        <v>-39714.29667</v>
      </c>
      <c r="BY195" s="6">
        <f t="shared" si="2"/>
        <v>2024</v>
      </c>
      <c r="BZ195" s="6" t="str">
        <f t="shared" si="3"/>
        <v>abril</v>
      </c>
      <c r="CA195" s="6" t="str">
        <f t="shared" si="4"/>
        <v>4</v>
      </c>
    </row>
    <row r="196">
      <c r="A196" s="8">
        <v>45403.0</v>
      </c>
      <c r="B196" s="12">
        <v>0.0</v>
      </c>
      <c r="C196" s="12">
        <v>0.0</v>
      </c>
      <c r="D196" s="12"/>
      <c r="E196" s="12">
        <v>0.0</v>
      </c>
      <c r="F196" s="12">
        <v>0.0</v>
      </c>
      <c r="G196" s="12">
        <v>0.0</v>
      </c>
      <c r="H196" s="12">
        <f t="shared" si="46"/>
        <v>0</v>
      </c>
      <c r="I196" s="12">
        <v>0.0</v>
      </c>
      <c r="J196" s="12">
        <v>0.0</v>
      </c>
      <c r="K196" s="12"/>
      <c r="L196" s="12">
        <v>0.0</v>
      </c>
      <c r="M196" s="12">
        <v>0.0</v>
      </c>
      <c r="N196" s="12">
        <v>0.0</v>
      </c>
      <c r="O196" s="16">
        <f t="shared" si="33"/>
        <v>0</v>
      </c>
      <c r="P196" s="16"/>
      <c r="Q196" s="16"/>
      <c r="R196" s="16"/>
      <c r="S196" s="16"/>
      <c r="T196" s="16"/>
      <c r="U196" s="16"/>
      <c r="V196" s="16">
        <f t="shared" si="37"/>
        <v>0</v>
      </c>
      <c r="W196" s="16"/>
      <c r="X196" s="16"/>
      <c r="Y196" s="16"/>
      <c r="Z196" s="16"/>
      <c r="AA196" s="16"/>
      <c r="AB196" s="16"/>
      <c r="AC196" s="16">
        <f t="shared" si="38"/>
        <v>0</v>
      </c>
      <c r="AD196" s="16"/>
      <c r="AE196" s="16"/>
      <c r="AF196" s="16"/>
      <c r="AG196" s="16"/>
      <c r="AH196" s="16"/>
      <c r="AI196" s="16"/>
      <c r="AJ196" s="16"/>
      <c r="AK196" s="16"/>
      <c r="AL196" s="12">
        <f t="shared" si="53"/>
        <v>0</v>
      </c>
      <c r="AM196" s="16"/>
      <c r="AN196" s="16"/>
      <c r="AO196" s="16"/>
      <c r="AP196" s="16"/>
      <c r="AQ196" s="16"/>
      <c r="AR196" s="16"/>
      <c r="AS196" s="16">
        <f t="shared" si="61"/>
        <v>0</v>
      </c>
      <c r="AT196" s="5">
        <v>0.0</v>
      </c>
      <c r="AU196" s="18">
        <f t="shared" si="56"/>
        <v>267087.45</v>
      </c>
      <c r="AV196" s="18"/>
      <c r="AW196" s="18"/>
      <c r="AX196" s="12">
        <f t="shared" si="1"/>
        <v>0</v>
      </c>
      <c r="AY196" s="12"/>
      <c r="AZ196" s="12">
        <v>0.0</v>
      </c>
      <c r="BA196" s="18">
        <f t="shared" si="57"/>
        <v>45670.69</v>
      </c>
      <c r="BB196" s="10">
        <f t="shared" si="16"/>
        <v>381553.5</v>
      </c>
      <c r="BC196" s="16">
        <f t="shared" si="62"/>
        <v>71073.54167</v>
      </c>
      <c r="BD196" s="16"/>
      <c r="BE196" s="16"/>
      <c r="BF196" s="6"/>
      <c r="BG196" s="6"/>
      <c r="BH196" s="6"/>
      <c r="BI196" s="29">
        <f t="shared" si="55"/>
        <v>15340.08733</v>
      </c>
      <c r="BJ196" s="6"/>
      <c r="BK196" s="15">
        <f t="shared" si="17"/>
        <v>0</v>
      </c>
      <c r="BN196" s="41">
        <f t="shared" si="14"/>
        <v>-15340.08733</v>
      </c>
      <c r="BO196" s="16">
        <f t="shared" si="58"/>
        <v>-55054.384</v>
      </c>
      <c r="BY196" s="6">
        <f t="shared" si="2"/>
        <v>2024</v>
      </c>
      <c r="BZ196" s="6" t="str">
        <f t="shared" si="3"/>
        <v>abril</v>
      </c>
      <c r="CA196" s="6" t="str">
        <f t="shared" si="4"/>
        <v>4</v>
      </c>
    </row>
    <row r="197">
      <c r="A197" s="8">
        <v>45404.0</v>
      </c>
      <c r="B197" s="12">
        <v>20652.45</v>
      </c>
      <c r="C197" s="12">
        <v>852.69</v>
      </c>
      <c r="D197" s="12"/>
      <c r="E197" s="12">
        <v>0.0</v>
      </c>
      <c r="F197" s="12">
        <v>0.0</v>
      </c>
      <c r="G197" s="12">
        <v>0.0</v>
      </c>
      <c r="H197" s="12">
        <f t="shared" si="46"/>
        <v>21505.14</v>
      </c>
      <c r="I197" s="12">
        <v>14356.02</v>
      </c>
      <c r="J197" s="12">
        <v>192.84</v>
      </c>
      <c r="K197" s="12"/>
      <c r="L197" s="12">
        <v>0.0</v>
      </c>
      <c r="M197" s="12">
        <v>0.0</v>
      </c>
      <c r="N197" s="12">
        <v>0.0</v>
      </c>
      <c r="O197" s="16">
        <f t="shared" si="33"/>
        <v>14548.86</v>
      </c>
      <c r="P197" s="12">
        <v>2858.81</v>
      </c>
      <c r="Q197" s="12">
        <v>85.51</v>
      </c>
      <c r="R197" s="12"/>
      <c r="S197" s="12">
        <v>0.0</v>
      </c>
      <c r="T197" s="12">
        <v>0.0</v>
      </c>
      <c r="U197" s="12">
        <v>0.0</v>
      </c>
      <c r="V197" s="16">
        <f t="shared" si="37"/>
        <v>2944.32</v>
      </c>
      <c r="W197" s="12">
        <v>101.27</v>
      </c>
      <c r="X197" s="12">
        <v>0.0</v>
      </c>
      <c r="Y197" s="12"/>
      <c r="Z197" s="12">
        <v>0.0</v>
      </c>
      <c r="AA197" s="12">
        <v>0.0</v>
      </c>
      <c r="AB197" s="12">
        <v>0.0</v>
      </c>
      <c r="AC197" s="16">
        <f t="shared" si="38"/>
        <v>101.27</v>
      </c>
      <c r="AD197" s="12"/>
      <c r="AE197" s="12"/>
      <c r="AF197" s="12">
        <v>4015.34</v>
      </c>
      <c r="AG197" s="12">
        <v>66.89</v>
      </c>
      <c r="AH197" s="12"/>
      <c r="AI197" s="12">
        <v>0.0</v>
      </c>
      <c r="AJ197" s="12">
        <v>0.0</v>
      </c>
      <c r="AK197" s="12">
        <v>0.0</v>
      </c>
      <c r="AL197" s="12">
        <f t="shared" si="53"/>
        <v>4082.23</v>
      </c>
      <c r="AM197" s="12">
        <v>0.0</v>
      </c>
      <c r="AN197" s="12">
        <v>0.0</v>
      </c>
      <c r="AO197" s="12"/>
      <c r="AP197" s="12">
        <v>0.0</v>
      </c>
      <c r="AQ197" s="12">
        <v>0.0</v>
      </c>
      <c r="AR197" s="12">
        <v>0.0</v>
      </c>
      <c r="AS197" s="16">
        <f t="shared" si="61"/>
        <v>0</v>
      </c>
      <c r="AT197" s="16">
        <f t="shared" ref="AT197:AT201" si="63">IF(AS197+AL197+AC197+V197+O197=0,"",AS197+AL197+AC197+V197+O197)</f>
        <v>21676.68</v>
      </c>
      <c r="AU197" s="18">
        <f t="shared" si="56"/>
        <v>288764.13</v>
      </c>
      <c r="AV197" s="18"/>
      <c r="AW197" s="18"/>
      <c r="AX197" s="12">
        <f t="shared" si="1"/>
        <v>21676.68</v>
      </c>
      <c r="AY197" s="12"/>
      <c r="AZ197" s="12">
        <v>483.85</v>
      </c>
      <c r="BA197" s="18">
        <f t="shared" si="57"/>
        <v>46154.54</v>
      </c>
      <c r="BB197" s="10">
        <f t="shared" si="16"/>
        <v>393769.2682</v>
      </c>
      <c r="BC197" s="16">
        <f>IFERROR(AU194/DAY(A194)*5,0)</f>
        <v>70286.17105</v>
      </c>
      <c r="BD197" s="16"/>
      <c r="BE197" s="16"/>
      <c r="BF197" s="6"/>
      <c r="BG197" s="6"/>
      <c r="BH197" s="6"/>
      <c r="BI197" s="29">
        <f t="shared" si="55"/>
        <v>15340.08733</v>
      </c>
      <c r="BK197" s="15">
        <f t="shared" si="17"/>
        <v>1.413074093</v>
      </c>
      <c r="BN197" s="16">
        <f t="shared" si="14"/>
        <v>6336.592667</v>
      </c>
      <c r="BO197" s="16">
        <f t="shared" si="58"/>
        <v>-48717.79133</v>
      </c>
      <c r="BY197" s="6">
        <f t="shared" si="2"/>
        <v>2024</v>
      </c>
      <c r="BZ197" s="6" t="str">
        <f t="shared" si="3"/>
        <v>abril</v>
      </c>
      <c r="CA197" s="6" t="str">
        <f t="shared" si="4"/>
        <v>4</v>
      </c>
    </row>
    <row r="198">
      <c r="A198" s="8">
        <v>45405.0</v>
      </c>
      <c r="B198" s="12">
        <v>49733.35</v>
      </c>
      <c r="C198" s="12">
        <v>0.0</v>
      </c>
      <c r="D198" s="12"/>
      <c r="E198" s="12">
        <v>0.0</v>
      </c>
      <c r="F198" s="12">
        <v>0.0</v>
      </c>
      <c r="G198" s="12">
        <v>0.0</v>
      </c>
      <c r="H198" s="12">
        <f t="shared" si="46"/>
        <v>49733.35</v>
      </c>
      <c r="I198" s="12">
        <v>8416.38</v>
      </c>
      <c r="J198" s="12">
        <v>0.0</v>
      </c>
      <c r="K198" s="12"/>
      <c r="L198" s="12">
        <v>0.0</v>
      </c>
      <c r="M198" s="12">
        <v>0.0</v>
      </c>
      <c r="N198" s="12">
        <v>0.0</v>
      </c>
      <c r="O198" s="16">
        <f t="shared" si="33"/>
        <v>8416.38</v>
      </c>
      <c r="P198" s="12">
        <v>2602.11</v>
      </c>
      <c r="Q198" s="12">
        <v>0.0</v>
      </c>
      <c r="R198" s="12"/>
      <c r="S198" s="12">
        <v>0.0</v>
      </c>
      <c r="T198" s="12">
        <v>0.0</v>
      </c>
      <c r="U198" s="12">
        <v>0.0</v>
      </c>
      <c r="V198" s="16">
        <f t="shared" si="37"/>
        <v>2602.11</v>
      </c>
      <c r="W198" s="12">
        <v>898.24</v>
      </c>
      <c r="X198" s="12">
        <v>0.0</v>
      </c>
      <c r="Y198" s="12"/>
      <c r="Z198" s="12">
        <v>0.0</v>
      </c>
      <c r="AA198" s="12">
        <v>0.0</v>
      </c>
      <c r="AB198" s="12">
        <v>0.0</v>
      </c>
      <c r="AC198" s="16">
        <f t="shared" si="38"/>
        <v>898.24</v>
      </c>
      <c r="AD198" s="12"/>
      <c r="AE198" s="12"/>
      <c r="AF198" s="12">
        <v>2021.41</v>
      </c>
      <c r="AG198" s="12">
        <v>0.0</v>
      </c>
      <c r="AH198" s="12"/>
      <c r="AI198" s="12">
        <v>0.0</v>
      </c>
      <c r="AJ198" s="12">
        <v>0.0</v>
      </c>
      <c r="AK198" s="12">
        <v>0.0</v>
      </c>
      <c r="AL198" s="12">
        <f t="shared" si="53"/>
        <v>2021.41</v>
      </c>
      <c r="AM198" s="12">
        <v>0.0</v>
      </c>
      <c r="AN198" s="12">
        <v>0.0</v>
      </c>
      <c r="AO198" s="12"/>
      <c r="AP198" s="12">
        <v>0.0</v>
      </c>
      <c r="AQ198" s="12">
        <v>0.0</v>
      </c>
      <c r="AR198" s="12">
        <v>0.0</v>
      </c>
      <c r="AS198" s="16">
        <f t="shared" si="61"/>
        <v>0</v>
      </c>
      <c r="AT198" s="16">
        <f t="shared" si="63"/>
        <v>13938.14</v>
      </c>
      <c r="AU198" s="18">
        <f t="shared" si="56"/>
        <v>302702.27</v>
      </c>
      <c r="AV198" s="18"/>
      <c r="AW198" s="18"/>
      <c r="AX198" s="12">
        <f t="shared" si="1"/>
        <v>13938.14</v>
      </c>
      <c r="AY198" s="12"/>
      <c r="AZ198" s="12">
        <v>1422.51</v>
      </c>
      <c r="BA198" s="18">
        <f t="shared" si="57"/>
        <v>47577.05</v>
      </c>
      <c r="BB198" s="10">
        <f t="shared" si="16"/>
        <v>394829.0478</v>
      </c>
      <c r="BC198" s="16">
        <f t="shared" ref="BC198:BC210" si="64">BC197</f>
        <v>70286.17105</v>
      </c>
      <c r="BD198" s="16"/>
      <c r="BE198" s="16"/>
      <c r="BF198" s="6"/>
      <c r="BG198" s="6"/>
      <c r="BH198" s="6"/>
      <c r="BI198" s="29">
        <f t="shared" si="55"/>
        <v>15340.08733</v>
      </c>
      <c r="BJ198" s="6"/>
      <c r="BK198" s="15">
        <f t="shared" si="17"/>
        <v>0.908608908</v>
      </c>
      <c r="BN198" s="16">
        <f t="shared" si="14"/>
        <v>-1401.947333</v>
      </c>
      <c r="BO198" s="16">
        <f t="shared" si="58"/>
        <v>-50119.73867</v>
      </c>
      <c r="BY198" s="6">
        <f t="shared" si="2"/>
        <v>2024</v>
      </c>
      <c r="BZ198" s="6" t="str">
        <f t="shared" si="3"/>
        <v>abril</v>
      </c>
      <c r="CA198" s="6" t="str">
        <f t="shared" si="4"/>
        <v>4</v>
      </c>
    </row>
    <row r="199">
      <c r="A199" s="8">
        <v>45406.0</v>
      </c>
      <c r="B199" s="12">
        <v>4851.81</v>
      </c>
      <c r="C199" s="12">
        <v>392.99</v>
      </c>
      <c r="D199" s="12"/>
      <c r="E199" s="12">
        <v>2959.85</v>
      </c>
      <c r="F199" s="12">
        <v>0.0</v>
      </c>
      <c r="G199" s="12">
        <v>0.0</v>
      </c>
      <c r="H199" s="12">
        <f t="shared" si="46"/>
        <v>8204.65</v>
      </c>
      <c r="I199" s="12">
        <v>3011.16</v>
      </c>
      <c r="J199" s="12">
        <v>68.67</v>
      </c>
      <c r="K199" s="12"/>
      <c r="L199" s="12">
        <v>612.05</v>
      </c>
      <c r="M199" s="12">
        <v>0.0</v>
      </c>
      <c r="N199" s="12">
        <v>0.0</v>
      </c>
      <c r="O199" s="16">
        <f t="shared" si="33"/>
        <v>3691.88</v>
      </c>
      <c r="P199" s="12">
        <v>1785.44</v>
      </c>
      <c r="Q199" s="12">
        <v>95.04</v>
      </c>
      <c r="R199" s="12"/>
      <c r="S199" s="12">
        <v>0.0</v>
      </c>
      <c r="T199" s="12">
        <v>0.0</v>
      </c>
      <c r="U199" s="12">
        <v>0.0</v>
      </c>
      <c r="V199" s="16">
        <f t="shared" si="37"/>
        <v>1880.48</v>
      </c>
      <c r="W199" s="12">
        <v>5895.63</v>
      </c>
      <c r="X199" s="12">
        <v>0.0</v>
      </c>
      <c r="Y199" s="12"/>
      <c r="Z199" s="12">
        <v>0.0</v>
      </c>
      <c r="AA199" s="12">
        <v>0.0</v>
      </c>
      <c r="AB199" s="12">
        <v>0.0</v>
      </c>
      <c r="AC199" s="16">
        <f t="shared" si="38"/>
        <v>5895.63</v>
      </c>
      <c r="AD199" s="12"/>
      <c r="AE199" s="12"/>
      <c r="AF199" s="12">
        <v>400.61</v>
      </c>
      <c r="AG199" s="12">
        <v>0.0</v>
      </c>
      <c r="AH199" s="12"/>
      <c r="AI199" s="12">
        <v>0.0</v>
      </c>
      <c r="AJ199" s="12">
        <v>0.0</v>
      </c>
      <c r="AK199" s="12">
        <v>0.0</v>
      </c>
      <c r="AL199" s="12">
        <f t="shared" si="53"/>
        <v>400.61</v>
      </c>
      <c r="AM199" s="12">
        <v>8435.0</v>
      </c>
      <c r="AN199" s="12">
        <v>0.0</v>
      </c>
      <c r="AO199" s="12"/>
      <c r="AP199" s="12">
        <v>0.0</v>
      </c>
      <c r="AQ199" s="12">
        <v>0.0</v>
      </c>
      <c r="AR199" s="12">
        <v>0.0</v>
      </c>
      <c r="AS199" s="16">
        <f t="shared" si="61"/>
        <v>8435</v>
      </c>
      <c r="AT199" s="16">
        <f t="shared" si="63"/>
        <v>20303.6</v>
      </c>
      <c r="AU199" s="18">
        <f t="shared" si="56"/>
        <v>323005.87</v>
      </c>
      <c r="AV199" s="18"/>
      <c r="AW199" s="18"/>
      <c r="AX199" s="12">
        <f t="shared" si="1"/>
        <v>20303.6</v>
      </c>
      <c r="AY199" s="12"/>
      <c r="AZ199" s="12">
        <v>717.58</v>
      </c>
      <c r="BA199" s="18">
        <f t="shared" si="57"/>
        <v>48294.63</v>
      </c>
      <c r="BB199" s="10">
        <f t="shared" si="16"/>
        <v>403757.3375</v>
      </c>
      <c r="BC199" s="16">
        <f t="shared" si="64"/>
        <v>70286.17105</v>
      </c>
      <c r="BD199" s="16"/>
      <c r="BE199" s="16"/>
      <c r="BF199" s="6"/>
      <c r="BG199" s="6"/>
      <c r="BH199" s="6"/>
      <c r="BI199" s="29">
        <f t="shared" si="55"/>
        <v>15340.08733</v>
      </c>
      <c r="BK199" s="15">
        <f t="shared" si="17"/>
        <v>1.323564825</v>
      </c>
      <c r="BN199" s="16">
        <f t="shared" si="14"/>
        <v>4963.512667</v>
      </c>
      <c r="BO199" s="16">
        <f t="shared" si="58"/>
        <v>-45156.226</v>
      </c>
      <c r="BY199" s="6">
        <f t="shared" si="2"/>
        <v>2024</v>
      </c>
      <c r="BZ199" s="6" t="str">
        <f t="shared" si="3"/>
        <v>abril</v>
      </c>
      <c r="CA199" s="6" t="str">
        <f t="shared" si="4"/>
        <v>4</v>
      </c>
    </row>
    <row r="200">
      <c r="A200" s="8">
        <v>45407.0</v>
      </c>
      <c r="B200" s="12">
        <v>16106.12</v>
      </c>
      <c r="C200" s="12">
        <v>734.94</v>
      </c>
      <c r="D200" s="12"/>
      <c r="E200" s="12">
        <v>0.0</v>
      </c>
      <c r="F200" s="12">
        <v>0.0</v>
      </c>
      <c r="G200" s="12">
        <v>0.0</v>
      </c>
      <c r="H200" s="12">
        <f t="shared" si="46"/>
        <v>16841.06</v>
      </c>
      <c r="I200" s="12">
        <v>7501.87</v>
      </c>
      <c r="J200" s="12">
        <v>788.15</v>
      </c>
      <c r="K200" s="12"/>
      <c r="L200" s="12">
        <v>1499.4</v>
      </c>
      <c r="M200" s="12">
        <v>0.0</v>
      </c>
      <c r="N200" s="12">
        <v>0.0</v>
      </c>
      <c r="O200" s="16">
        <f t="shared" si="33"/>
        <v>9789.42</v>
      </c>
      <c r="P200" s="12">
        <v>2212.64</v>
      </c>
      <c r="Q200" s="12">
        <v>417.57</v>
      </c>
      <c r="R200" s="12"/>
      <c r="S200" s="12">
        <v>0.0</v>
      </c>
      <c r="T200" s="12">
        <v>0.0</v>
      </c>
      <c r="U200" s="12">
        <v>0.0</v>
      </c>
      <c r="V200" s="16">
        <f t="shared" si="37"/>
        <v>2630.21</v>
      </c>
      <c r="W200" s="12">
        <v>3091.47</v>
      </c>
      <c r="X200" s="12">
        <v>0.0</v>
      </c>
      <c r="Y200" s="12"/>
      <c r="Z200" s="12">
        <v>0.0</v>
      </c>
      <c r="AA200" s="12">
        <v>0.0</v>
      </c>
      <c r="AB200" s="12">
        <v>0.0</v>
      </c>
      <c r="AC200" s="16">
        <f t="shared" si="38"/>
        <v>3091.47</v>
      </c>
      <c r="AD200" s="12"/>
      <c r="AE200" s="12"/>
      <c r="AF200" s="12">
        <v>0.0</v>
      </c>
      <c r="AG200" s="12">
        <v>1762.18</v>
      </c>
      <c r="AH200" s="12"/>
      <c r="AI200" s="12">
        <v>0.0</v>
      </c>
      <c r="AJ200" s="12">
        <v>0.0</v>
      </c>
      <c r="AK200" s="12">
        <v>0.0</v>
      </c>
      <c r="AL200" s="12">
        <f t="shared" si="53"/>
        <v>1762.18</v>
      </c>
      <c r="AM200" s="12">
        <v>4104.0</v>
      </c>
      <c r="AN200" s="12">
        <v>0.0</v>
      </c>
      <c r="AO200" s="12"/>
      <c r="AP200" s="12">
        <v>0.0</v>
      </c>
      <c r="AQ200" s="12">
        <v>0.0</v>
      </c>
      <c r="AR200" s="12">
        <v>0.0</v>
      </c>
      <c r="AS200" s="16">
        <f t="shared" si="61"/>
        <v>4104</v>
      </c>
      <c r="AT200" s="16">
        <f t="shared" si="63"/>
        <v>21377.28</v>
      </c>
      <c r="AU200" s="18">
        <f t="shared" ref="AU200:AU205" si="65">IF(AT200="","",AT200+AU199)</f>
        <v>344383.15</v>
      </c>
      <c r="AV200" s="18"/>
      <c r="AW200" s="18"/>
      <c r="AX200" s="12">
        <f t="shared" si="1"/>
        <v>21377.28</v>
      </c>
      <c r="AY200" s="12"/>
      <c r="AZ200" s="12">
        <v>5184.71</v>
      </c>
      <c r="BA200" s="18">
        <f t="shared" si="57"/>
        <v>53479.34</v>
      </c>
      <c r="BB200" s="10">
        <f t="shared" si="16"/>
        <v>413259.78</v>
      </c>
      <c r="BC200" s="16">
        <f t="shared" si="64"/>
        <v>70286.17105</v>
      </c>
      <c r="BD200" s="16"/>
      <c r="BE200" s="16"/>
      <c r="BF200" s="6"/>
      <c r="BG200" s="6"/>
      <c r="BH200" s="6"/>
      <c r="BI200" s="29">
        <f t="shared" si="55"/>
        <v>15340.08733</v>
      </c>
      <c r="BK200" s="15">
        <f t="shared" si="17"/>
        <v>1.393556603</v>
      </c>
      <c r="BN200" s="16">
        <f t="shared" si="14"/>
        <v>6037.192667</v>
      </c>
      <c r="BO200" s="16">
        <f t="shared" si="58"/>
        <v>-39119.03333</v>
      </c>
      <c r="BY200" s="6">
        <f t="shared" si="2"/>
        <v>2024</v>
      </c>
      <c r="BZ200" s="6" t="str">
        <f t="shared" si="3"/>
        <v>abril</v>
      </c>
      <c r="CA200" s="6" t="str">
        <f t="shared" si="4"/>
        <v>4</v>
      </c>
    </row>
    <row r="201">
      <c r="A201" s="8">
        <v>45408.0</v>
      </c>
      <c r="B201" s="12">
        <v>9330.28</v>
      </c>
      <c r="C201" s="12">
        <v>1436.04</v>
      </c>
      <c r="D201" s="12"/>
      <c r="E201" s="12">
        <v>0.0</v>
      </c>
      <c r="F201" s="12">
        <v>0.0</v>
      </c>
      <c r="G201" s="12">
        <v>0.0</v>
      </c>
      <c r="H201" s="12">
        <f t="shared" si="46"/>
        <v>10766.32</v>
      </c>
      <c r="I201" s="12">
        <v>5829.25</v>
      </c>
      <c r="J201" s="12">
        <v>1040.27</v>
      </c>
      <c r="K201" s="12"/>
      <c r="L201" s="12">
        <v>0.0</v>
      </c>
      <c r="M201" s="12">
        <v>0.0</v>
      </c>
      <c r="N201" s="12">
        <v>0.0</v>
      </c>
      <c r="O201" s="16">
        <f t="shared" si="33"/>
        <v>6869.52</v>
      </c>
      <c r="P201" s="12">
        <v>952.6</v>
      </c>
      <c r="Q201" s="12">
        <v>297.62</v>
      </c>
      <c r="R201" s="12"/>
      <c r="S201" s="12">
        <v>0.0</v>
      </c>
      <c r="T201" s="12">
        <v>0.0</v>
      </c>
      <c r="U201" s="12">
        <v>0.0</v>
      </c>
      <c r="V201" s="16">
        <f t="shared" si="37"/>
        <v>1250.22</v>
      </c>
      <c r="W201" s="12">
        <v>0.58</v>
      </c>
      <c r="X201" s="12">
        <v>0.0</v>
      </c>
      <c r="Y201" s="12"/>
      <c r="Z201" s="12">
        <v>0.0</v>
      </c>
      <c r="AA201" s="12">
        <v>0.0</v>
      </c>
      <c r="AB201" s="12">
        <v>0.0</v>
      </c>
      <c r="AC201" s="16">
        <f t="shared" si="38"/>
        <v>0.58</v>
      </c>
      <c r="AD201" s="12"/>
      <c r="AE201" s="12"/>
      <c r="AF201" s="12">
        <v>644.4</v>
      </c>
      <c r="AG201" s="12">
        <v>0.0</v>
      </c>
      <c r="AH201" s="12"/>
      <c r="AI201" s="12">
        <v>0.0</v>
      </c>
      <c r="AJ201" s="12">
        <v>0.0</v>
      </c>
      <c r="AK201" s="12">
        <v>0.0</v>
      </c>
      <c r="AL201" s="12">
        <f t="shared" si="53"/>
        <v>644.4</v>
      </c>
      <c r="AM201" s="12">
        <v>3840.0</v>
      </c>
      <c r="AN201" s="12">
        <v>0.0</v>
      </c>
      <c r="AO201" s="12"/>
      <c r="AP201" s="12">
        <v>0.0</v>
      </c>
      <c r="AQ201" s="12">
        <v>0.0</v>
      </c>
      <c r="AR201" s="12">
        <v>0.0</v>
      </c>
      <c r="AS201" s="16">
        <f t="shared" si="61"/>
        <v>3840</v>
      </c>
      <c r="AT201" s="16">
        <f t="shared" si="63"/>
        <v>12604.72</v>
      </c>
      <c r="AU201" s="18">
        <f t="shared" si="65"/>
        <v>356987.87</v>
      </c>
      <c r="AV201" s="18"/>
      <c r="AW201" s="18"/>
      <c r="AX201" s="12">
        <f t="shared" si="1"/>
        <v>12604.72</v>
      </c>
      <c r="AY201" s="12"/>
      <c r="AZ201" s="12">
        <v>0.0</v>
      </c>
      <c r="BA201" s="18">
        <f t="shared" si="57"/>
        <v>53479.34</v>
      </c>
      <c r="BB201" s="10">
        <f t="shared" si="16"/>
        <v>411909.0808</v>
      </c>
      <c r="BC201" s="16">
        <f t="shared" si="64"/>
        <v>70286.17105</v>
      </c>
      <c r="BD201" s="16"/>
      <c r="BE201" s="16"/>
      <c r="BF201" s="6"/>
      <c r="BG201" s="6"/>
      <c r="BH201" s="6"/>
      <c r="BI201" s="29">
        <f t="shared" si="55"/>
        <v>15340.08733</v>
      </c>
      <c r="BJ201" s="6"/>
      <c r="BK201" s="15">
        <f t="shared" si="17"/>
        <v>0.8216850221</v>
      </c>
      <c r="BN201" s="16">
        <f t="shared" si="14"/>
        <v>-2735.367333</v>
      </c>
      <c r="BO201" s="16">
        <f t="shared" si="58"/>
        <v>-41854.40067</v>
      </c>
      <c r="BY201" s="6">
        <f t="shared" si="2"/>
        <v>2024</v>
      </c>
      <c r="BZ201" s="6" t="str">
        <f t="shared" si="3"/>
        <v>abril</v>
      </c>
      <c r="CA201" s="6" t="str">
        <f t="shared" si="4"/>
        <v>4</v>
      </c>
    </row>
    <row r="202">
      <c r="A202" s="8">
        <v>45409.0</v>
      </c>
      <c r="B202" s="12">
        <v>0.0</v>
      </c>
      <c r="C202" s="12">
        <v>0.0</v>
      </c>
      <c r="D202" s="12"/>
      <c r="E202" s="12">
        <v>0.0</v>
      </c>
      <c r="F202" s="12">
        <v>0.0</v>
      </c>
      <c r="G202" s="12">
        <v>0.0</v>
      </c>
      <c r="H202" s="12">
        <f t="shared" si="46"/>
        <v>0</v>
      </c>
      <c r="I202" s="12">
        <v>0.0</v>
      </c>
      <c r="J202" s="12">
        <v>0.0</v>
      </c>
      <c r="K202" s="12"/>
      <c r="L202" s="12">
        <v>0.0</v>
      </c>
      <c r="M202" s="12">
        <v>0.0</v>
      </c>
      <c r="N202" s="12">
        <v>0.0</v>
      </c>
      <c r="O202" s="16">
        <f t="shared" si="33"/>
        <v>0</v>
      </c>
      <c r="P202" s="12">
        <v>0.0</v>
      </c>
      <c r="Q202" s="12">
        <v>0.0</v>
      </c>
      <c r="R202" s="12"/>
      <c r="S202" s="12">
        <v>0.0</v>
      </c>
      <c r="T202" s="12">
        <v>0.0</v>
      </c>
      <c r="U202" s="12">
        <v>0.0</v>
      </c>
      <c r="V202" s="16">
        <f t="shared" si="37"/>
        <v>0</v>
      </c>
      <c r="W202" s="12">
        <v>0.0</v>
      </c>
      <c r="X202" s="12">
        <v>0.0</v>
      </c>
      <c r="Y202" s="12"/>
      <c r="Z202" s="12">
        <v>0.0</v>
      </c>
      <c r="AA202" s="12">
        <v>0.0</v>
      </c>
      <c r="AB202" s="12">
        <v>0.0</v>
      </c>
      <c r="AC202" s="16">
        <f t="shared" si="38"/>
        <v>0</v>
      </c>
      <c r="AD202" s="12"/>
      <c r="AE202" s="12"/>
      <c r="AF202" s="12">
        <v>0.0</v>
      </c>
      <c r="AG202" s="12">
        <v>0.0</v>
      </c>
      <c r="AH202" s="12"/>
      <c r="AI202" s="12">
        <v>0.0</v>
      </c>
      <c r="AJ202" s="12">
        <v>0.0</v>
      </c>
      <c r="AK202" s="12">
        <v>0.0</v>
      </c>
      <c r="AL202" s="12">
        <f t="shared" si="53"/>
        <v>0</v>
      </c>
      <c r="AM202" s="12">
        <v>0.0</v>
      </c>
      <c r="AN202" s="12">
        <v>0.0</v>
      </c>
      <c r="AO202" s="12"/>
      <c r="AP202" s="12">
        <v>0.0</v>
      </c>
      <c r="AQ202" s="12">
        <v>0.0</v>
      </c>
      <c r="AR202" s="12">
        <v>0.0</v>
      </c>
      <c r="AS202" s="16">
        <f t="shared" si="61"/>
        <v>0</v>
      </c>
      <c r="AT202" s="16">
        <f t="shared" ref="AT202:AT204" si="66">IF(AS202+AL202+AC202+V202+O202=0,0,AS202+AL202+AC202+V202+O202)</f>
        <v>0</v>
      </c>
      <c r="AU202" s="18">
        <f t="shared" si="65"/>
        <v>356987.87</v>
      </c>
      <c r="AV202" s="18"/>
      <c r="AW202" s="18"/>
      <c r="AX202" s="12">
        <f t="shared" si="1"/>
        <v>0</v>
      </c>
      <c r="AY202" s="12"/>
      <c r="AZ202" s="12">
        <v>0.0</v>
      </c>
      <c r="BA202" s="18">
        <f t="shared" si="57"/>
        <v>53479.34</v>
      </c>
      <c r="BB202" s="10">
        <f t="shared" si="16"/>
        <v>396653.1889</v>
      </c>
      <c r="BC202" s="16">
        <f t="shared" si="64"/>
        <v>70286.17105</v>
      </c>
      <c r="BD202" s="16"/>
      <c r="BE202" s="16"/>
      <c r="BF202" s="6"/>
      <c r="BG202" s="6"/>
      <c r="BH202" s="6"/>
      <c r="BI202" s="29">
        <f t="shared" si="55"/>
        <v>15340.08733</v>
      </c>
      <c r="BJ202" s="6"/>
      <c r="BK202" s="15">
        <f t="shared" si="17"/>
        <v>0</v>
      </c>
      <c r="BN202" s="16">
        <f t="shared" si="14"/>
        <v>-15340.08733</v>
      </c>
      <c r="BO202" s="16">
        <f t="shared" si="58"/>
        <v>-57194.488</v>
      </c>
      <c r="BY202" s="6">
        <f t="shared" si="2"/>
        <v>2024</v>
      </c>
      <c r="BZ202" s="6" t="str">
        <f t="shared" si="3"/>
        <v>abril</v>
      </c>
      <c r="CA202" s="6" t="str">
        <f t="shared" si="4"/>
        <v>4</v>
      </c>
    </row>
    <row r="203">
      <c r="A203" s="8">
        <v>45410.0</v>
      </c>
      <c r="B203" s="12">
        <v>0.0</v>
      </c>
      <c r="C203" s="12">
        <v>0.0</v>
      </c>
      <c r="D203" s="12"/>
      <c r="E203" s="12">
        <v>0.0</v>
      </c>
      <c r="F203" s="12">
        <v>0.0</v>
      </c>
      <c r="G203" s="12">
        <v>0.0</v>
      </c>
      <c r="H203" s="12">
        <f t="shared" si="46"/>
        <v>0</v>
      </c>
      <c r="I203" s="12">
        <v>0.0</v>
      </c>
      <c r="J203" s="12">
        <v>0.0</v>
      </c>
      <c r="K203" s="12"/>
      <c r="L203" s="12">
        <v>0.0</v>
      </c>
      <c r="M203" s="12">
        <v>0.0</v>
      </c>
      <c r="N203" s="12">
        <v>0.0</v>
      </c>
      <c r="O203" s="16">
        <f t="shared" si="33"/>
        <v>0</v>
      </c>
      <c r="P203" s="12">
        <v>0.0</v>
      </c>
      <c r="Q203" s="12">
        <v>0.0</v>
      </c>
      <c r="R203" s="12"/>
      <c r="S203" s="12">
        <v>0.0</v>
      </c>
      <c r="T203" s="12">
        <v>0.0</v>
      </c>
      <c r="U203" s="12">
        <v>0.0</v>
      </c>
      <c r="V203" s="16">
        <f t="shared" si="37"/>
        <v>0</v>
      </c>
      <c r="W203" s="12">
        <v>0.0</v>
      </c>
      <c r="X203" s="12">
        <v>0.0</v>
      </c>
      <c r="Y203" s="12"/>
      <c r="Z203" s="12">
        <v>0.0</v>
      </c>
      <c r="AA203" s="12">
        <v>0.0</v>
      </c>
      <c r="AB203" s="12">
        <v>0.0</v>
      </c>
      <c r="AC203" s="16">
        <f t="shared" si="38"/>
        <v>0</v>
      </c>
      <c r="AD203" s="12"/>
      <c r="AE203" s="12"/>
      <c r="AF203" s="12">
        <v>0.0</v>
      </c>
      <c r="AG203" s="12">
        <v>0.0</v>
      </c>
      <c r="AH203" s="12"/>
      <c r="AI203" s="12">
        <v>0.0</v>
      </c>
      <c r="AJ203" s="12">
        <v>0.0</v>
      </c>
      <c r="AK203" s="12">
        <v>0.0</v>
      </c>
      <c r="AL203" s="12">
        <f t="shared" si="53"/>
        <v>0</v>
      </c>
      <c r="AM203" s="12">
        <v>0.0</v>
      </c>
      <c r="AN203" s="12">
        <v>0.0</v>
      </c>
      <c r="AO203" s="12"/>
      <c r="AP203" s="12">
        <v>0.0</v>
      </c>
      <c r="AQ203" s="12">
        <v>0.0</v>
      </c>
      <c r="AR203" s="12">
        <v>0.0</v>
      </c>
      <c r="AS203" s="16">
        <f t="shared" si="61"/>
        <v>0</v>
      </c>
      <c r="AT203" s="16">
        <f t="shared" si="66"/>
        <v>0</v>
      </c>
      <c r="AU203" s="18">
        <f t="shared" si="65"/>
        <v>356987.87</v>
      </c>
      <c r="AV203" s="18"/>
      <c r="AW203" s="18"/>
      <c r="AX203" s="12">
        <f t="shared" si="1"/>
        <v>0</v>
      </c>
      <c r="AY203" s="12"/>
      <c r="AZ203" s="12">
        <v>0.0</v>
      </c>
      <c r="BA203" s="18">
        <f t="shared" si="57"/>
        <v>53479.34</v>
      </c>
      <c r="BB203" s="10">
        <f t="shared" si="16"/>
        <v>382487.0036</v>
      </c>
      <c r="BC203" s="16">
        <f t="shared" si="64"/>
        <v>70286.17105</v>
      </c>
      <c r="BD203" s="16"/>
      <c r="BE203" s="16"/>
      <c r="BF203" s="6"/>
      <c r="BG203" s="6"/>
      <c r="BH203" s="6"/>
      <c r="BI203" s="29">
        <f t="shared" si="55"/>
        <v>15340.08733</v>
      </c>
      <c r="BJ203" s="6"/>
      <c r="BK203" s="15">
        <f t="shared" si="17"/>
        <v>0</v>
      </c>
      <c r="BN203" s="16">
        <f t="shared" si="14"/>
        <v>-15340.08733</v>
      </c>
      <c r="BO203" s="16">
        <f t="shared" si="58"/>
        <v>-72534.57533</v>
      </c>
      <c r="BY203" s="6">
        <f t="shared" si="2"/>
        <v>2024</v>
      </c>
      <c r="BZ203" s="6" t="str">
        <f t="shared" si="3"/>
        <v>abril</v>
      </c>
      <c r="CA203" s="6" t="str">
        <f t="shared" si="4"/>
        <v>4</v>
      </c>
    </row>
    <row r="204">
      <c r="A204" s="8">
        <v>45411.0</v>
      </c>
      <c r="B204" s="12">
        <v>21726.13</v>
      </c>
      <c r="C204" s="12">
        <v>33926.08</v>
      </c>
      <c r="D204" s="12"/>
      <c r="E204" s="12">
        <v>0.0</v>
      </c>
      <c r="F204" s="12">
        <v>1628.95</v>
      </c>
      <c r="G204" s="12">
        <v>0.0</v>
      </c>
      <c r="H204" s="12">
        <f t="shared" si="46"/>
        <v>57281.16</v>
      </c>
      <c r="I204" s="12">
        <v>13712.04</v>
      </c>
      <c r="J204" s="12">
        <v>3219.34</v>
      </c>
      <c r="K204" s="12"/>
      <c r="L204" s="12">
        <v>0.0</v>
      </c>
      <c r="M204" s="12">
        <v>171.05</v>
      </c>
      <c r="N204" s="12">
        <v>0.0</v>
      </c>
      <c r="O204" s="16">
        <f t="shared" si="33"/>
        <v>17102.43</v>
      </c>
      <c r="P204" s="12">
        <v>1845.34</v>
      </c>
      <c r="Q204" s="12">
        <v>1227.74</v>
      </c>
      <c r="R204" s="12"/>
      <c r="S204" s="12">
        <v>0.0</v>
      </c>
      <c r="T204" s="12">
        <v>0.0</v>
      </c>
      <c r="U204" s="12">
        <v>0.0</v>
      </c>
      <c r="V204" s="16">
        <f t="shared" si="37"/>
        <v>3073.08</v>
      </c>
      <c r="W204" s="12">
        <v>39.3</v>
      </c>
      <c r="X204" s="12">
        <v>3880.82</v>
      </c>
      <c r="Y204" s="12"/>
      <c r="Z204" s="12">
        <v>0.0</v>
      </c>
      <c r="AA204" s="12">
        <v>0.0</v>
      </c>
      <c r="AB204" s="12">
        <v>0.0</v>
      </c>
      <c r="AC204" s="16">
        <f t="shared" si="38"/>
        <v>3920.12</v>
      </c>
      <c r="AD204" s="12"/>
      <c r="AE204" s="12"/>
      <c r="AF204" s="12">
        <v>3127.94</v>
      </c>
      <c r="AG204" s="12">
        <v>0.0</v>
      </c>
      <c r="AH204" s="12"/>
      <c r="AI204" s="12">
        <v>0.0</v>
      </c>
      <c r="AJ204" s="12">
        <v>0.0</v>
      </c>
      <c r="AK204" s="12">
        <v>0.0</v>
      </c>
      <c r="AL204" s="12">
        <f t="shared" si="53"/>
        <v>3127.94</v>
      </c>
      <c r="AM204" s="12">
        <v>0.0</v>
      </c>
      <c r="AN204" s="12">
        <v>0.0</v>
      </c>
      <c r="AO204" s="12"/>
      <c r="AP204" s="12">
        <v>0.0</v>
      </c>
      <c r="AQ204" s="12">
        <v>0.0</v>
      </c>
      <c r="AR204" s="12">
        <v>0.0</v>
      </c>
      <c r="AS204" s="16">
        <f t="shared" si="61"/>
        <v>0</v>
      </c>
      <c r="AT204" s="16">
        <f t="shared" si="66"/>
        <v>27223.57</v>
      </c>
      <c r="AU204" s="18">
        <f t="shared" si="65"/>
        <v>384211.44</v>
      </c>
      <c r="AV204" s="18"/>
      <c r="AW204" s="18"/>
      <c r="AX204" s="12">
        <f t="shared" si="1"/>
        <v>27223.57</v>
      </c>
      <c r="AY204" s="12"/>
      <c r="AZ204" s="12">
        <v>1501.58</v>
      </c>
      <c r="BA204" s="18">
        <f t="shared" si="57"/>
        <v>54980.92</v>
      </c>
      <c r="BB204" s="10">
        <f t="shared" si="16"/>
        <v>397460.1103</v>
      </c>
      <c r="BC204" s="16">
        <f t="shared" si="64"/>
        <v>70286.17105</v>
      </c>
      <c r="BD204" s="16"/>
      <c r="BE204" s="16"/>
      <c r="BF204" s="6"/>
      <c r="BG204" s="6"/>
      <c r="BH204" s="6"/>
      <c r="BI204" s="29">
        <f t="shared" si="55"/>
        <v>15340.08733</v>
      </c>
      <c r="BK204" s="15">
        <f t="shared" si="17"/>
        <v>1.774668514</v>
      </c>
      <c r="BN204" s="16">
        <f t="shared" si="14"/>
        <v>11883.48267</v>
      </c>
      <c r="BO204" s="16">
        <f t="shared" si="58"/>
        <v>-60651.09267</v>
      </c>
      <c r="BY204" s="6">
        <f t="shared" si="2"/>
        <v>2024</v>
      </c>
      <c r="BZ204" s="6" t="str">
        <f t="shared" si="3"/>
        <v>abril</v>
      </c>
      <c r="CA204" s="6" t="str">
        <f t="shared" si="4"/>
        <v>4</v>
      </c>
    </row>
    <row r="205">
      <c r="A205" s="8">
        <v>45412.0</v>
      </c>
      <c r="B205" s="12">
        <f>30510.35+14432.09+46921.57</f>
        <v>91864.01</v>
      </c>
      <c r="C205" s="12">
        <f>6921.5+910.85+4364.05</f>
        <v>12196.4</v>
      </c>
      <c r="D205" s="12"/>
      <c r="E205" s="12">
        <v>2004.84</v>
      </c>
      <c r="F205" s="12">
        <v>0.0</v>
      </c>
      <c r="G205" s="12">
        <v>0.0</v>
      </c>
      <c r="H205" s="12">
        <f t="shared" si="46"/>
        <v>106065.25</v>
      </c>
      <c r="I205" s="12">
        <f>24193.36+11386.03+15325.75</f>
        <v>50905.14</v>
      </c>
      <c r="J205" s="12">
        <f>15463.09+1294.7+393.55</f>
        <v>17151.34</v>
      </c>
      <c r="K205" s="12"/>
      <c r="L205" s="12">
        <v>454.55</v>
      </c>
      <c r="M205" s="12">
        <v>446.46</v>
      </c>
      <c r="N205" s="12">
        <v>0.0</v>
      </c>
      <c r="O205" s="16">
        <f t="shared" si="33"/>
        <v>68957.49</v>
      </c>
      <c r="P205" s="12">
        <f>5281.03+3310.37+3091.33</f>
        <v>11682.73</v>
      </c>
      <c r="Q205" s="12">
        <f>743.8+383.74+201.12</f>
        <v>1328.66</v>
      </c>
      <c r="R205" s="12"/>
      <c r="S205" s="12">
        <v>0.0</v>
      </c>
      <c r="T205" s="12">
        <v>0.0</v>
      </c>
      <c r="U205" s="12">
        <v>0.0</v>
      </c>
      <c r="V205" s="16">
        <f t="shared" si="37"/>
        <v>13011.39</v>
      </c>
      <c r="W205" s="12">
        <f>33.69+3377.81</f>
        <v>3411.5</v>
      </c>
      <c r="X205" s="12">
        <v>300.02</v>
      </c>
      <c r="Y205" s="12"/>
      <c r="Z205" s="12">
        <v>0.0</v>
      </c>
      <c r="AA205" s="12">
        <v>0.0</v>
      </c>
      <c r="AB205" s="12">
        <v>0.0</v>
      </c>
      <c r="AC205" s="16">
        <f t="shared" si="38"/>
        <v>3711.52</v>
      </c>
      <c r="AD205" s="12"/>
      <c r="AE205" s="12"/>
      <c r="AF205" s="12">
        <f>2419.14+2623.35</f>
        <v>5042.49</v>
      </c>
      <c r="AG205" s="12">
        <f>70.53+1764.59+555.54</f>
        <v>2390.66</v>
      </c>
      <c r="AH205" s="12"/>
      <c r="AI205" s="12">
        <v>0.0</v>
      </c>
      <c r="AJ205" s="12">
        <v>0.0</v>
      </c>
      <c r="AK205" s="12">
        <v>0.0</v>
      </c>
      <c r="AL205" s="12">
        <f t="shared" si="53"/>
        <v>7433.15</v>
      </c>
      <c r="AM205" s="12">
        <v>10888.0</v>
      </c>
      <c r="AN205" s="12">
        <v>0.0</v>
      </c>
      <c r="AO205" s="12"/>
      <c r="AP205" s="12">
        <v>0.0</v>
      </c>
      <c r="AQ205" s="12">
        <v>0.0</v>
      </c>
      <c r="AR205" s="12">
        <v>0.0</v>
      </c>
      <c r="AS205" s="12">
        <f t="shared" si="61"/>
        <v>10888</v>
      </c>
      <c r="AT205" s="16">
        <f t="shared" ref="AT205:AT208" si="67">IF(AS205+AL205+AC205+V205+O205=0,"",AS205+AL205+AC205+V205+O205)</f>
        <v>104001.55</v>
      </c>
      <c r="AU205" s="18">
        <f t="shared" si="65"/>
        <v>488212.99</v>
      </c>
      <c r="AV205" s="18"/>
      <c r="AW205" s="18"/>
      <c r="AX205" s="12">
        <f t="shared" si="1"/>
        <v>104001.55</v>
      </c>
      <c r="AY205" s="12"/>
      <c r="AZ205" s="12">
        <f>5193.45+236.07+6533.31</f>
        <v>11962.83</v>
      </c>
      <c r="BA205" s="18">
        <f t="shared" si="57"/>
        <v>66943.75</v>
      </c>
      <c r="BB205" s="10">
        <f t="shared" si="16"/>
        <v>488212.99</v>
      </c>
      <c r="BC205" s="16">
        <f t="shared" si="64"/>
        <v>70286.17105</v>
      </c>
      <c r="BD205" s="16"/>
      <c r="BE205" s="16"/>
      <c r="BF205" s="6"/>
      <c r="BG205" s="6"/>
      <c r="BH205" s="6"/>
      <c r="BI205" s="29">
        <f t="shared" si="55"/>
        <v>15340.08733</v>
      </c>
      <c r="BK205" s="15">
        <f t="shared" si="17"/>
        <v>6.779723462</v>
      </c>
      <c r="BN205" s="16">
        <f t="shared" si="14"/>
        <v>88661.46267</v>
      </c>
      <c r="BO205" s="16">
        <f t="shared" si="58"/>
        <v>28010.37</v>
      </c>
      <c r="BY205" s="6">
        <f t="shared" si="2"/>
        <v>2024</v>
      </c>
      <c r="BZ205" s="6" t="str">
        <f t="shared" si="3"/>
        <v>abril</v>
      </c>
      <c r="CA205" s="6" t="str">
        <f t="shared" si="4"/>
        <v>4</v>
      </c>
    </row>
    <row r="206">
      <c r="A206" s="8">
        <v>45413.0</v>
      </c>
      <c r="B206" s="12">
        <v>2400.0</v>
      </c>
      <c r="C206" s="12">
        <v>650.0</v>
      </c>
      <c r="D206" s="12"/>
      <c r="E206" s="12">
        <v>0.0</v>
      </c>
      <c r="F206" s="12">
        <v>0.0</v>
      </c>
      <c r="G206" s="12">
        <v>0.0</v>
      </c>
      <c r="H206" s="12">
        <f t="shared" si="46"/>
        <v>3050</v>
      </c>
      <c r="I206" s="12">
        <v>1652.0</v>
      </c>
      <c r="J206" s="12">
        <v>650.0</v>
      </c>
      <c r="K206" s="12"/>
      <c r="L206" s="12">
        <v>0.0</v>
      </c>
      <c r="M206" s="12">
        <v>0.0</v>
      </c>
      <c r="N206" s="12">
        <v>0.0</v>
      </c>
      <c r="O206" s="16">
        <f t="shared" si="33"/>
        <v>2302</v>
      </c>
      <c r="P206" s="12">
        <v>600.0</v>
      </c>
      <c r="Q206" s="12">
        <v>230.0</v>
      </c>
      <c r="R206" s="12"/>
      <c r="S206" s="12">
        <v>0.0</v>
      </c>
      <c r="T206" s="12">
        <v>0.0</v>
      </c>
      <c r="U206" s="12">
        <v>0.0</v>
      </c>
      <c r="V206" s="16">
        <f t="shared" si="37"/>
        <v>830</v>
      </c>
      <c r="W206" s="12">
        <v>50.0</v>
      </c>
      <c r="X206" s="12">
        <v>0.0</v>
      </c>
      <c r="Y206" s="12"/>
      <c r="Z206" s="12">
        <v>0.0</v>
      </c>
      <c r="AA206" s="12">
        <v>0.0</v>
      </c>
      <c r="AB206" s="12">
        <v>0.0</v>
      </c>
      <c r="AC206" s="16">
        <f t="shared" si="38"/>
        <v>50</v>
      </c>
      <c r="AD206" s="12"/>
      <c r="AE206" s="12"/>
      <c r="AF206" s="12">
        <v>0.0</v>
      </c>
      <c r="AG206" s="12">
        <v>0.0</v>
      </c>
      <c r="AH206" s="12"/>
      <c r="AI206" s="12">
        <v>0.0</v>
      </c>
      <c r="AJ206" s="12">
        <v>0.0</v>
      </c>
      <c r="AK206" s="12">
        <v>0.0</v>
      </c>
      <c r="AL206" s="12">
        <f t="shared" si="53"/>
        <v>0</v>
      </c>
      <c r="AM206" s="12">
        <v>0.0</v>
      </c>
      <c r="AN206" s="12">
        <v>0.0</v>
      </c>
      <c r="AO206" s="12"/>
      <c r="AP206" s="12">
        <v>0.0</v>
      </c>
      <c r="AQ206" s="12">
        <v>0.0</v>
      </c>
      <c r="AR206" s="12">
        <v>0.0</v>
      </c>
      <c r="AS206" s="12">
        <f t="shared" si="61"/>
        <v>0</v>
      </c>
      <c r="AT206" s="16">
        <f t="shared" si="67"/>
        <v>3182</v>
      </c>
      <c r="AU206" s="18">
        <f>IF(AT206="","",AT206)</f>
        <v>3182</v>
      </c>
      <c r="AV206" s="18"/>
      <c r="AW206" s="18"/>
      <c r="AX206" s="12">
        <f t="shared" si="1"/>
        <v>3182</v>
      </c>
      <c r="AY206" s="12"/>
      <c r="AZ206" s="12">
        <v>250.0</v>
      </c>
      <c r="BA206" s="18">
        <f>IF(AZ206="","",AZ206)</f>
        <v>250</v>
      </c>
      <c r="BB206" s="10">
        <f t="shared" si="16"/>
        <v>98642</v>
      </c>
      <c r="BC206" s="16">
        <f t="shared" si="64"/>
        <v>70286.17105</v>
      </c>
      <c r="BD206" s="16"/>
      <c r="BE206" s="16"/>
      <c r="BF206" s="6"/>
      <c r="BG206" s="12">
        <v>551361.04</v>
      </c>
      <c r="BH206" s="6"/>
      <c r="BI206" s="29">
        <f t="shared" ref="BI206:BI236" si="68">IF(AT206="","",$BG$206/DAY(EOMONTH(A206,0)))</f>
        <v>17785.84</v>
      </c>
      <c r="BJ206" s="6"/>
      <c r="BK206" s="15">
        <f t="shared" si="17"/>
        <v>0.178906366</v>
      </c>
      <c r="BN206" s="16">
        <f t="shared" si="14"/>
        <v>-14603.84</v>
      </c>
      <c r="BO206" s="16">
        <f>IF(AT206="","",BN206)</f>
        <v>-14603.84</v>
      </c>
      <c r="BY206" s="6">
        <f t="shared" si="2"/>
        <v>2024</v>
      </c>
      <c r="BZ206" s="6" t="str">
        <f t="shared" si="3"/>
        <v>mayo</v>
      </c>
      <c r="CA206" s="6" t="str">
        <f t="shared" si="4"/>
        <v>5</v>
      </c>
    </row>
    <row r="207">
      <c r="A207" s="8">
        <v>45414.0</v>
      </c>
      <c r="B207" s="12">
        <v>2100.0</v>
      </c>
      <c r="C207" s="12">
        <v>850.0</v>
      </c>
      <c r="D207" s="12"/>
      <c r="E207" s="12">
        <v>0.0</v>
      </c>
      <c r="F207" s="12">
        <v>0.0</v>
      </c>
      <c r="G207" s="12">
        <v>0.0</v>
      </c>
      <c r="H207" s="12">
        <f t="shared" si="46"/>
        <v>2950</v>
      </c>
      <c r="I207" s="12">
        <v>1800.0</v>
      </c>
      <c r="J207" s="12">
        <v>75.0</v>
      </c>
      <c r="K207" s="12"/>
      <c r="L207" s="12">
        <v>0.0</v>
      </c>
      <c r="M207" s="12">
        <v>0.0</v>
      </c>
      <c r="N207" s="12">
        <v>0.0</v>
      </c>
      <c r="O207" s="16">
        <f t="shared" si="33"/>
        <v>1875</v>
      </c>
      <c r="P207" s="12">
        <v>850.0</v>
      </c>
      <c r="Q207" s="12">
        <v>120.0</v>
      </c>
      <c r="R207" s="12"/>
      <c r="S207" s="12">
        <v>0.0</v>
      </c>
      <c r="T207" s="12">
        <v>0.0</v>
      </c>
      <c r="U207" s="12">
        <v>0.0</v>
      </c>
      <c r="V207" s="16">
        <f t="shared" si="37"/>
        <v>970</v>
      </c>
      <c r="W207" s="12">
        <v>0.0</v>
      </c>
      <c r="X207" s="12">
        <v>6.13</v>
      </c>
      <c r="Y207" s="12"/>
      <c r="Z207" s="12">
        <v>0.0</v>
      </c>
      <c r="AA207" s="12">
        <v>0.0</v>
      </c>
      <c r="AB207" s="12">
        <v>0.0</v>
      </c>
      <c r="AC207" s="16">
        <f t="shared" si="38"/>
        <v>6.13</v>
      </c>
      <c r="AD207" s="12"/>
      <c r="AE207" s="12"/>
      <c r="AF207" s="12">
        <v>0.0</v>
      </c>
      <c r="AG207" s="12">
        <v>0.0</v>
      </c>
      <c r="AH207" s="12"/>
      <c r="AI207" s="12">
        <v>0.0</v>
      </c>
      <c r="AJ207" s="12">
        <v>0.0</v>
      </c>
      <c r="AK207" s="12">
        <v>0.0</v>
      </c>
      <c r="AL207" s="12">
        <f t="shared" si="53"/>
        <v>0</v>
      </c>
      <c r="AM207" s="12">
        <v>0.0</v>
      </c>
      <c r="AN207" s="12">
        <v>0.0</v>
      </c>
      <c r="AO207" s="12"/>
      <c r="AP207" s="12">
        <v>0.0</v>
      </c>
      <c r="AQ207" s="12">
        <v>0.0</v>
      </c>
      <c r="AR207" s="12">
        <v>0.0</v>
      </c>
      <c r="AS207" s="12">
        <f t="shared" si="61"/>
        <v>0</v>
      </c>
      <c r="AT207" s="16">
        <f t="shared" si="67"/>
        <v>2851.13</v>
      </c>
      <c r="AU207" s="18">
        <f t="shared" ref="AU207:AU236" si="69">IF(AT207="","",AT207+AU206)</f>
        <v>6033.13</v>
      </c>
      <c r="AV207" s="18"/>
      <c r="AW207" s="18"/>
      <c r="AX207" s="12">
        <f t="shared" si="1"/>
        <v>2851.13</v>
      </c>
      <c r="AY207" s="12"/>
      <c r="AZ207" s="12">
        <v>1000.0</v>
      </c>
      <c r="BA207" s="18">
        <f t="shared" ref="BA207:BA236" si="70">IF(AZ207="","",AZ207)+BA206</f>
        <v>1250</v>
      </c>
      <c r="BB207" s="10">
        <f t="shared" si="16"/>
        <v>93513.515</v>
      </c>
      <c r="BC207" s="16">
        <f t="shared" si="64"/>
        <v>70286.17105</v>
      </c>
      <c r="BD207" s="16"/>
      <c r="BE207" s="16"/>
      <c r="BF207" s="6"/>
      <c r="BG207" s="6"/>
      <c r="BH207" s="6"/>
      <c r="BI207" s="29">
        <f t="shared" si="68"/>
        <v>17785.84</v>
      </c>
      <c r="BJ207" s="6"/>
      <c r="BK207" s="15">
        <f t="shared" si="17"/>
        <v>0.1603033649</v>
      </c>
      <c r="BN207" s="16">
        <f t="shared" si="14"/>
        <v>-14934.71</v>
      </c>
      <c r="BO207" s="16">
        <f t="shared" ref="BO207:BO236" si="71">IF(AT207="","",BO206+BN207)</f>
        <v>-29538.55</v>
      </c>
      <c r="BY207" s="6">
        <f t="shared" si="2"/>
        <v>2024</v>
      </c>
      <c r="BZ207" s="6" t="str">
        <f t="shared" si="3"/>
        <v>mayo</v>
      </c>
      <c r="CA207" s="6" t="str">
        <f t="shared" si="4"/>
        <v>5</v>
      </c>
    </row>
    <row r="208">
      <c r="A208" s="8">
        <v>45415.0</v>
      </c>
      <c r="B208" s="12">
        <v>1500.0</v>
      </c>
      <c r="C208" s="12">
        <v>630.0</v>
      </c>
      <c r="D208" s="12"/>
      <c r="E208" s="12">
        <v>0.0</v>
      </c>
      <c r="F208" s="12">
        <v>0.0</v>
      </c>
      <c r="G208" s="12">
        <v>0.0</v>
      </c>
      <c r="H208" s="12">
        <f t="shared" si="46"/>
        <v>2130</v>
      </c>
      <c r="I208" s="12">
        <v>850.0</v>
      </c>
      <c r="J208" s="12">
        <v>900.0</v>
      </c>
      <c r="K208" s="12"/>
      <c r="L208" s="12">
        <v>0.0</v>
      </c>
      <c r="M208" s="12">
        <v>0.0</v>
      </c>
      <c r="N208" s="12">
        <v>0.0</v>
      </c>
      <c r="O208" s="16">
        <f t="shared" si="33"/>
        <v>1750</v>
      </c>
      <c r="P208" s="12">
        <v>900.0</v>
      </c>
      <c r="Q208" s="12">
        <v>360.0</v>
      </c>
      <c r="R208" s="12"/>
      <c r="S208" s="12">
        <v>0.0</v>
      </c>
      <c r="T208" s="12">
        <v>0.0</v>
      </c>
      <c r="U208" s="12">
        <v>0.0</v>
      </c>
      <c r="V208" s="16">
        <f t="shared" si="37"/>
        <v>1260</v>
      </c>
      <c r="W208" s="12">
        <v>0.0</v>
      </c>
      <c r="X208" s="12">
        <v>0.0</v>
      </c>
      <c r="Y208" s="12"/>
      <c r="Z208" s="12">
        <v>0.0</v>
      </c>
      <c r="AA208" s="12">
        <v>0.0</v>
      </c>
      <c r="AB208" s="12">
        <v>0.0</v>
      </c>
      <c r="AC208" s="16">
        <f t="shared" si="38"/>
        <v>0</v>
      </c>
      <c r="AD208" s="12"/>
      <c r="AE208" s="12"/>
      <c r="AF208" s="12">
        <v>0.0</v>
      </c>
      <c r="AG208" s="12">
        <v>0.0</v>
      </c>
      <c r="AH208" s="12"/>
      <c r="AI208" s="12">
        <v>0.0</v>
      </c>
      <c r="AJ208" s="12">
        <v>0.0</v>
      </c>
      <c r="AK208" s="12">
        <v>0.0</v>
      </c>
      <c r="AL208" s="12">
        <f t="shared" si="53"/>
        <v>0</v>
      </c>
      <c r="AM208" s="12">
        <v>0.0</v>
      </c>
      <c r="AN208" s="12">
        <v>0.0</v>
      </c>
      <c r="AO208" s="12"/>
      <c r="AP208" s="12">
        <v>0.0</v>
      </c>
      <c r="AQ208" s="12">
        <v>0.0</v>
      </c>
      <c r="AR208" s="12">
        <v>0.0</v>
      </c>
      <c r="AS208" s="12">
        <f t="shared" si="61"/>
        <v>0</v>
      </c>
      <c r="AT208" s="16">
        <f t="shared" si="67"/>
        <v>3010</v>
      </c>
      <c r="AU208" s="18">
        <f t="shared" si="69"/>
        <v>9043.13</v>
      </c>
      <c r="AV208" s="18"/>
      <c r="AW208" s="18"/>
      <c r="AX208" s="12">
        <f t="shared" si="1"/>
        <v>3010</v>
      </c>
      <c r="AY208" s="12"/>
      <c r="AZ208" s="12">
        <v>350.0</v>
      </c>
      <c r="BA208" s="18">
        <f t="shared" si="70"/>
        <v>1600</v>
      </c>
      <c r="BB208" s="10">
        <f t="shared" si="16"/>
        <v>93445.67667</v>
      </c>
      <c r="BC208" s="16">
        <f t="shared" si="64"/>
        <v>70286.17105</v>
      </c>
      <c r="BD208" s="16"/>
      <c r="BE208" s="16"/>
      <c r="BF208" s="6"/>
      <c r="BG208" s="6"/>
      <c r="BH208" s="6"/>
      <c r="BI208" s="29">
        <f t="shared" si="68"/>
        <v>17785.84</v>
      </c>
      <c r="BJ208" s="6"/>
      <c r="BK208" s="15">
        <f t="shared" si="17"/>
        <v>0.1692357516</v>
      </c>
      <c r="BN208" s="16">
        <f t="shared" si="14"/>
        <v>-14775.84</v>
      </c>
      <c r="BO208" s="16">
        <f t="shared" si="71"/>
        <v>-44314.39</v>
      </c>
      <c r="BY208" s="6">
        <f t="shared" si="2"/>
        <v>2024</v>
      </c>
      <c r="BZ208" s="6" t="str">
        <f t="shared" si="3"/>
        <v>mayo</v>
      </c>
      <c r="CA208" s="6" t="str">
        <f t="shared" si="4"/>
        <v>5</v>
      </c>
    </row>
    <row r="209">
      <c r="A209" s="8">
        <v>45416.0</v>
      </c>
      <c r="B209" s="12">
        <v>0.0</v>
      </c>
      <c r="C209" s="12">
        <v>0.0</v>
      </c>
      <c r="D209" s="12"/>
      <c r="E209" s="12">
        <v>0.0</v>
      </c>
      <c r="F209" s="12">
        <v>0.0</v>
      </c>
      <c r="G209" s="12">
        <v>0.0</v>
      </c>
      <c r="H209" s="12">
        <f t="shared" si="46"/>
        <v>0</v>
      </c>
      <c r="I209" s="12">
        <v>0.0</v>
      </c>
      <c r="J209" s="12">
        <v>0.0</v>
      </c>
      <c r="K209" s="12"/>
      <c r="L209" s="12">
        <v>0.0</v>
      </c>
      <c r="M209" s="12">
        <v>0.0</v>
      </c>
      <c r="N209" s="12">
        <v>0.0</v>
      </c>
      <c r="O209" s="16">
        <f t="shared" si="33"/>
        <v>0</v>
      </c>
      <c r="P209" s="12">
        <v>0.0</v>
      </c>
      <c r="Q209" s="12">
        <v>0.0</v>
      </c>
      <c r="R209" s="12"/>
      <c r="S209" s="12">
        <v>0.0</v>
      </c>
      <c r="T209" s="12">
        <v>0.0</v>
      </c>
      <c r="U209" s="12">
        <v>0.0</v>
      </c>
      <c r="V209" s="16">
        <f t="shared" si="37"/>
        <v>0</v>
      </c>
      <c r="W209" s="12">
        <v>0.0</v>
      </c>
      <c r="X209" s="12">
        <v>0.0</v>
      </c>
      <c r="Y209" s="12"/>
      <c r="Z209" s="12">
        <v>0.0</v>
      </c>
      <c r="AA209" s="12">
        <v>0.0</v>
      </c>
      <c r="AB209" s="12">
        <v>0.0</v>
      </c>
      <c r="AC209" s="16">
        <f t="shared" si="38"/>
        <v>0</v>
      </c>
      <c r="AD209" s="12"/>
      <c r="AE209" s="12"/>
      <c r="AF209" s="12">
        <v>0.0</v>
      </c>
      <c r="AG209" s="12">
        <v>0.0</v>
      </c>
      <c r="AH209" s="12"/>
      <c r="AI209" s="12">
        <v>0.0</v>
      </c>
      <c r="AJ209" s="12">
        <v>0.0</v>
      </c>
      <c r="AK209" s="12">
        <v>0.0</v>
      </c>
      <c r="AL209" s="12">
        <f t="shared" si="53"/>
        <v>0</v>
      </c>
      <c r="AM209" s="12">
        <v>0.0</v>
      </c>
      <c r="AN209" s="12">
        <v>0.0</v>
      </c>
      <c r="AO209" s="12"/>
      <c r="AP209" s="12">
        <v>0.0</v>
      </c>
      <c r="AQ209" s="12">
        <v>0.0</v>
      </c>
      <c r="AR209" s="12">
        <v>0.0</v>
      </c>
      <c r="AS209" s="12">
        <f t="shared" si="61"/>
        <v>0</v>
      </c>
      <c r="AT209" s="5">
        <v>0.0</v>
      </c>
      <c r="AU209" s="18">
        <f t="shared" si="69"/>
        <v>9043.13</v>
      </c>
      <c r="AV209" s="18"/>
      <c r="AW209" s="18"/>
      <c r="AX209" s="12">
        <f t="shared" si="1"/>
        <v>0</v>
      </c>
      <c r="AY209" s="12"/>
      <c r="AZ209" s="12">
        <v>0.0</v>
      </c>
      <c r="BA209" s="18">
        <f t="shared" si="70"/>
        <v>1600</v>
      </c>
      <c r="BB209" s="10">
        <f t="shared" si="16"/>
        <v>70084.2575</v>
      </c>
      <c r="BC209" s="16">
        <f t="shared" si="64"/>
        <v>70286.17105</v>
      </c>
      <c r="BD209" s="16"/>
      <c r="BE209" s="16"/>
      <c r="BF209" s="6"/>
      <c r="BG209" s="6"/>
      <c r="BH209" s="6"/>
      <c r="BI209" s="29">
        <f t="shared" si="68"/>
        <v>17785.84</v>
      </c>
      <c r="BJ209" s="6"/>
      <c r="BK209" s="15">
        <f t="shared" si="17"/>
        <v>0</v>
      </c>
      <c r="BN209" s="41">
        <f t="shared" si="14"/>
        <v>-17785.84</v>
      </c>
      <c r="BO209" s="16">
        <f t="shared" si="71"/>
        <v>-62100.23</v>
      </c>
      <c r="BY209" s="6">
        <f t="shared" si="2"/>
        <v>2024</v>
      </c>
      <c r="BZ209" s="6" t="str">
        <f t="shared" si="3"/>
        <v>mayo</v>
      </c>
      <c r="CA209" s="6" t="str">
        <f t="shared" si="4"/>
        <v>5</v>
      </c>
    </row>
    <row r="210">
      <c r="A210" s="8">
        <v>45417.0</v>
      </c>
      <c r="B210" s="12">
        <v>0.0</v>
      </c>
      <c r="C210" s="12">
        <v>0.0</v>
      </c>
      <c r="D210" s="12"/>
      <c r="E210" s="12">
        <v>0.0</v>
      </c>
      <c r="F210" s="12">
        <v>0.0</v>
      </c>
      <c r="G210" s="12">
        <v>0.0</v>
      </c>
      <c r="H210" s="12">
        <f t="shared" si="46"/>
        <v>0</v>
      </c>
      <c r="I210" s="12">
        <v>0.0</v>
      </c>
      <c r="J210" s="12">
        <v>0.0</v>
      </c>
      <c r="K210" s="12"/>
      <c r="L210" s="12">
        <v>0.0</v>
      </c>
      <c r="M210" s="12">
        <v>0.0</v>
      </c>
      <c r="N210" s="12">
        <v>0.0</v>
      </c>
      <c r="O210" s="16">
        <f t="shared" si="33"/>
        <v>0</v>
      </c>
      <c r="P210" s="12">
        <v>0.0</v>
      </c>
      <c r="Q210" s="12">
        <v>0.0</v>
      </c>
      <c r="R210" s="12"/>
      <c r="S210" s="12">
        <v>0.0</v>
      </c>
      <c r="T210" s="12">
        <v>0.0</v>
      </c>
      <c r="U210" s="12">
        <v>0.0</v>
      </c>
      <c r="V210" s="16">
        <f t="shared" si="37"/>
        <v>0</v>
      </c>
      <c r="W210" s="12">
        <v>0.0</v>
      </c>
      <c r="X210" s="12">
        <v>0.0</v>
      </c>
      <c r="Y210" s="12"/>
      <c r="Z210" s="12">
        <v>0.0</v>
      </c>
      <c r="AA210" s="12">
        <v>0.0</v>
      </c>
      <c r="AB210" s="12">
        <v>0.0</v>
      </c>
      <c r="AC210" s="16">
        <f t="shared" si="38"/>
        <v>0</v>
      </c>
      <c r="AD210" s="12"/>
      <c r="AE210" s="12"/>
      <c r="AF210" s="12">
        <v>0.0</v>
      </c>
      <c r="AG210" s="12">
        <v>0.0</v>
      </c>
      <c r="AH210" s="12"/>
      <c r="AI210" s="12">
        <v>0.0</v>
      </c>
      <c r="AJ210" s="12">
        <v>0.0</v>
      </c>
      <c r="AK210" s="12">
        <v>0.0</v>
      </c>
      <c r="AL210" s="12">
        <f t="shared" si="53"/>
        <v>0</v>
      </c>
      <c r="AM210" s="12">
        <v>0.0</v>
      </c>
      <c r="AN210" s="12">
        <v>0.0</v>
      </c>
      <c r="AO210" s="12"/>
      <c r="AP210" s="12">
        <v>0.0</v>
      </c>
      <c r="AQ210" s="12">
        <v>0.0</v>
      </c>
      <c r="AR210" s="12">
        <v>0.0</v>
      </c>
      <c r="AS210" s="12">
        <f t="shared" si="61"/>
        <v>0</v>
      </c>
      <c r="AT210" s="5">
        <v>0.0</v>
      </c>
      <c r="AU210" s="18">
        <f t="shared" si="69"/>
        <v>9043.13</v>
      </c>
      <c r="AV210" s="18"/>
      <c r="AW210" s="18"/>
      <c r="AX210" s="12">
        <f t="shared" si="1"/>
        <v>0</v>
      </c>
      <c r="AY210" s="12"/>
      <c r="AZ210" s="12">
        <v>0.0</v>
      </c>
      <c r="BA210" s="18">
        <f t="shared" si="70"/>
        <v>1600</v>
      </c>
      <c r="BB210" s="10">
        <f t="shared" si="16"/>
        <v>56067.406</v>
      </c>
      <c r="BC210" s="16">
        <f t="shared" si="64"/>
        <v>70286.17105</v>
      </c>
      <c r="BD210" s="16"/>
      <c r="BE210" s="16"/>
      <c r="BF210" s="6"/>
      <c r="BG210" s="6"/>
      <c r="BH210" s="6"/>
      <c r="BI210" s="29">
        <f t="shared" si="68"/>
        <v>17785.84</v>
      </c>
      <c r="BJ210" s="6"/>
      <c r="BK210" s="15">
        <f t="shared" si="17"/>
        <v>0</v>
      </c>
      <c r="BN210" s="41">
        <f t="shared" si="14"/>
        <v>-17785.84</v>
      </c>
      <c r="BO210" s="16">
        <f t="shared" si="71"/>
        <v>-79886.07</v>
      </c>
      <c r="BY210" s="6">
        <f t="shared" si="2"/>
        <v>2024</v>
      </c>
      <c r="BZ210" s="6" t="str">
        <f t="shared" si="3"/>
        <v>mayo</v>
      </c>
      <c r="CA210" s="6" t="str">
        <f t="shared" si="4"/>
        <v>5</v>
      </c>
    </row>
    <row r="211">
      <c r="A211" s="8">
        <v>45418.0</v>
      </c>
      <c r="B211" s="12">
        <v>28297.19</v>
      </c>
      <c r="C211" s="12">
        <v>225.93</v>
      </c>
      <c r="D211" s="12"/>
      <c r="E211" s="12">
        <v>0.0</v>
      </c>
      <c r="F211" s="12">
        <v>0.0</v>
      </c>
      <c r="G211" s="12">
        <v>0.0</v>
      </c>
      <c r="H211" s="12">
        <f t="shared" si="46"/>
        <v>28523.12</v>
      </c>
      <c r="I211" s="12">
        <v>14951.01</v>
      </c>
      <c r="J211" s="12">
        <v>2586.71</v>
      </c>
      <c r="K211" s="12"/>
      <c r="L211" s="12">
        <v>0.0</v>
      </c>
      <c r="M211" s="12">
        <v>0.0</v>
      </c>
      <c r="N211" s="12">
        <v>0.0</v>
      </c>
      <c r="O211" s="16">
        <f t="shared" si="33"/>
        <v>17537.72</v>
      </c>
      <c r="P211" s="12">
        <v>4642.34</v>
      </c>
      <c r="Q211" s="12">
        <v>113.14</v>
      </c>
      <c r="R211" s="12"/>
      <c r="S211" s="12">
        <v>0.0</v>
      </c>
      <c r="T211" s="12">
        <v>0.0</v>
      </c>
      <c r="U211" s="12">
        <v>0.0</v>
      </c>
      <c r="V211" s="16">
        <f t="shared" si="37"/>
        <v>4755.48</v>
      </c>
      <c r="W211" s="12">
        <v>10543.08</v>
      </c>
      <c r="X211" s="12">
        <v>0.0</v>
      </c>
      <c r="Y211" s="12"/>
      <c r="Z211" s="12">
        <v>0.0</v>
      </c>
      <c r="AA211" s="12">
        <v>0.0</v>
      </c>
      <c r="AB211" s="12">
        <v>0.0</v>
      </c>
      <c r="AC211" s="16">
        <f t="shared" si="38"/>
        <v>10543.08</v>
      </c>
      <c r="AD211" s="12"/>
      <c r="AE211" s="12"/>
      <c r="AF211" s="12">
        <v>2331.85</v>
      </c>
      <c r="AG211" s="12">
        <v>1077.81</v>
      </c>
      <c r="AH211" s="12"/>
      <c r="AI211" s="12">
        <v>0.0</v>
      </c>
      <c r="AJ211" s="12">
        <v>0.0</v>
      </c>
      <c r="AK211" s="12">
        <v>0.0</v>
      </c>
      <c r="AL211" s="12">
        <f t="shared" si="53"/>
        <v>3409.66</v>
      </c>
      <c r="AM211" s="12">
        <v>11974.0</v>
      </c>
      <c r="AN211" s="12">
        <v>0.0</v>
      </c>
      <c r="AO211" s="12"/>
      <c r="AP211" s="12">
        <v>0.0</v>
      </c>
      <c r="AQ211" s="12">
        <v>0.0</v>
      </c>
      <c r="AR211" s="12">
        <v>0.0</v>
      </c>
      <c r="AS211" s="12">
        <f t="shared" si="61"/>
        <v>11974</v>
      </c>
      <c r="AT211" s="16">
        <f t="shared" ref="AT211:AT215" si="72">IF(AS211+AL211+AC211+V211+O211=0,"",AS211+AL211+AC211+V211+O211)</f>
        <v>48219.94</v>
      </c>
      <c r="AU211" s="18">
        <f t="shared" si="69"/>
        <v>57263.07</v>
      </c>
      <c r="AV211" s="18"/>
      <c r="AW211" s="18"/>
      <c r="AX211" s="12">
        <f t="shared" si="1"/>
        <v>48219.94</v>
      </c>
      <c r="AY211" s="12"/>
      <c r="AZ211" s="12">
        <v>1966.31</v>
      </c>
      <c r="BA211" s="18">
        <f t="shared" si="70"/>
        <v>3566.31</v>
      </c>
      <c r="BB211" s="10">
        <f t="shared" si="16"/>
        <v>295859.195</v>
      </c>
      <c r="BC211" s="16">
        <f>IFERROR(AU208/DAY(A208)*5,0)</f>
        <v>15071.88333</v>
      </c>
      <c r="BD211" s="16"/>
      <c r="BE211" s="16"/>
      <c r="BF211" s="6"/>
      <c r="BG211" s="6"/>
      <c r="BH211" s="6"/>
      <c r="BI211" s="29">
        <f t="shared" si="68"/>
        <v>17785.84</v>
      </c>
      <c r="BK211" s="15">
        <f t="shared" si="17"/>
        <v>2.711142122</v>
      </c>
      <c r="BN211" s="16">
        <f t="shared" si="14"/>
        <v>30434.1</v>
      </c>
      <c r="BO211" s="16">
        <f t="shared" si="71"/>
        <v>-49451.97</v>
      </c>
      <c r="BY211" s="6">
        <f t="shared" si="2"/>
        <v>2024</v>
      </c>
      <c r="BZ211" s="6" t="str">
        <f t="shared" si="3"/>
        <v>mayo</v>
      </c>
      <c r="CA211" s="6" t="str">
        <f t="shared" si="4"/>
        <v>5</v>
      </c>
    </row>
    <row r="212">
      <c r="A212" s="8">
        <v>45419.0</v>
      </c>
      <c r="B212" s="12">
        <v>8287.6</v>
      </c>
      <c r="C212" s="12">
        <v>0.0</v>
      </c>
      <c r="D212" s="12"/>
      <c r="E212" s="12">
        <v>988.23</v>
      </c>
      <c r="F212" s="12">
        <v>0.0</v>
      </c>
      <c r="G212" s="12">
        <v>0.0</v>
      </c>
      <c r="H212" s="12">
        <f t="shared" si="46"/>
        <v>9275.83</v>
      </c>
      <c r="I212" s="12">
        <v>9599.91</v>
      </c>
      <c r="J212" s="12">
        <v>0.0</v>
      </c>
      <c r="K212" s="12"/>
      <c r="L212" s="12">
        <v>341.52</v>
      </c>
      <c r="M212" s="12">
        <v>0.0</v>
      </c>
      <c r="N212" s="12">
        <v>0.0</v>
      </c>
      <c r="O212" s="16">
        <f t="shared" si="33"/>
        <v>9941.43</v>
      </c>
      <c r="P212" s="12">
        <v>2260.08</v>
      </c>
      <c r="Q212" s="12">
        <v>0.0</v>
      </c>
      <c r="R212" s="12"/>
      <c r="S212" s="12">
        <v>0.0</v>
      </c>
      <c r="T212" s="12">
        <v>0.0</v>
      </c>
      <c r="U212" s="12">
        <v>0.0</v>
      </c>
      <c r="V212" s="16">
        <f t="shared" si="37"/>
        <v>2260.08</v>
      </c>
      <c r="W212" s="12">
        <v>4121.0</v>
      </c>
      <c r="X212" s="12">
        <v>0.0</v>
      </c>
      <c r="Y212" s="12"/>
      <c r="Z212" s="12">
        <v>0.0</v>
      </c>
      <c r="AA212" s="12">
        <v>0.0</v>
      </c>
      <c r="AB212" s="12">
        <v>0.0</v>
      </c>
      <c r="AC212" s="16">
        <f t="shared" si="38"/>
        <v>4121</v>
      </c>
      <c r="AD212" s="12"/>
      <c r="AE212" s="12"/>
      <c r="AF212" s="12">
        <v>1567.46</v>
      </c>
      <c r="AG212" s="12">
        <v>0.0</v>
      </c>
      <c r="AH212" s="12"/>
      <c r="AI212" s="12">
        <v>0.0</v>
      </c>
      <c r="AJ212" s="12">
        <v>0.0</v>
      </c>
      <c r="AK212" s="12">
        <v>0.0</v>
      </c>
      <c r="AL212" s="12">
        <f t="shared" si="53"/>
        <v>1567.46</v>
      </c>
      <c r="AM212" s="12">
        <v>6788.0</v>
      </c>
      <c r="AN212" s="12">
        <v>0.0</v>
      </c>
      <c r="AO212" s="12"/>
      <c r="AP212" s="12">
        <v>0.0</v>
      </c>
      <c r="AQ212" s="12">
        <v>0.0</v>
      </c>
      <c r="AR212" s="12">
        <v>0.0</v>
      </c>
      <c r="AS212" s="12">
        <f t="shared" si="61"/>
        <v>6788</v>
      </c>
      <c r="AT212" s="16">
        <f t="shared" si="72"/>
        <v>24677.97</v>
      </c>
      <c r="AU212" s="18">
        <f t="shared" si="69"/>
        <v>81941.04</v>
      </c>
      <c r="AV212" s="18"/>
      <c r="AW212" s="18"/>
      <c r="AX212" s="12">
        <f t="shared" si="1"/>
        <v>24677.97</v>
      </c>
      <c r="AY212" s="12"/>
      <c r="AZ212" s="12">
        <v>3374.9</v>
      </c>
      <c r="BA212" s="18">
        <f t="shared" si="70"/>
        <v>6941.21</v>
      </c>
      <c r="BB212" s="10">
        <f t="shared" si="16"/>
        <v>362881.7486</v>
      </c>
      <c r="BC212" s="16">
        <f t="shared" ref="BC212:BC236" si="73">BC211</f>
        <v>15071.88333</v>
      </c>
      <c r="BD212" s="16"/>
      <c r="BE212" s="16"/>
      <c r="BF212" s="6"/>
      <c r="BG212" s="6"/>
      <c r="BH212" s="6"/>
      <c r="BI212" s="29">
        <f t="shared" si="68"/>
        <v>17785.84</v>
      </c>
      <c r="BK212" s="15">
        <f t="shared" si="17"/>
        <v>1.387506578</v>
      </c>
      <c r="BN212" s="16">
        <f t="shared" si="14"/>
        <v>6892.13</v>
      </c>
      <c r="BO212" s="16">
        <f t="shared" si="71"/>
        <v>-42559.84</v>
      </c>
      <c r="BY212" s="6">
        <f t="shared" si="2"/>
        <v>2024</v>
      </c>
      <c r="BZ212" s="6" t="str">
        <f t="shared" si="3"/>
        <v>mayo</v>
      </c>
      <c r="CA212" s="6" t="str">
        <f t="shared" si="4"/>
        <v>5</v>
      </c>
    </row>
    <row r="213">
      <c r="A213" s="8">
        <v>45420.0</v>
      </c>
      <c r="B213" s="16">
        <f>44813.44+58491</f>
        <v>103304.44</v>
      </c>
      <c r="C213" s="12">
        <v>7647.29</v>
      </c>
      <c r="D213" s="12"/>
      <c r="E213" s="12">
        <v>2852.25</v>
      </c>
      <c r="F213" s="12">
        <v>0.0</v>
      </c>
      <c r="G213" s="12">
        <v>0.0</v>
      </c>
      <c r="H213" s="12">
        <f t="shared" si="46"/>
        <v>113803.98</v>
      </c>
      <c r="I213" s="12">
        <v>5749.3</v>
      </c>
      <c r="J213" s="12">
        <v>3553.74</v>
      </c>
      <c r="K213" s="12"/>
      <c r="L213" s="12">
        <v>644.33</v>
      </c>
      <c r="M213" s="12">
        <v>0.0</v>
      </c>
      <c r="N213" s="12">
        <v>0.0</v>
      </c>
      <c r="O213" s="16">
        <f t="shared" si="33"/>
        <v>9947.37</v>
      </c>
      <c r="P213" s="12">
        <v>1933.62</v>
      </c>
      <c r="Q213" s="12">
        <v>1217.85</v>
      </c>
      <c r="R213" s="12"/>
      <c r="S213" s="12">
        <v>0.0</v>
      </c>
      <c r="T213" s="12">
        <v>0.0</v>
      </c>
      <c r="U213" s="12">
        <v>0.0</v>
      </c>
      <c r="V213" s="16">
        <f t="shared" si="37"/>
        <v>3151.47</v>
      </c>
      <c r="W213" s="12">
        <v>113.28</v>
      </c>
      <c r="X213" s="12">
        <v>0.0</v>
      </c>
      <c r="Y213" s="12"/>
      <c r="Z213" s="12">
        <v>0.0</v>
      </c>
      <c r="AA213" s="12">
        <v>3.78</v>
      </c>
      <c r="AB213" s="12">
        <v>0.0</v>
      </c>
      <c r="AC213" s="16">
        <f t="shared" si="38"/>
        <v>117.06</v>
      </c>
      <c r="AD213" s="12"/>
      <c r="AE213" s="12"/>
      <c r="AF213" s="12">
        <v>35.17</v>
      </c>
      <c r="AG213" s="12">
        <v>0.21</v>
      </c>
      <c r="AH213" s="12"/>
      <c r="AI213" s="12">
        <v>0.0</v>
      </c>
      <c r="AJ213" s="12">
        <v>0.0</v>
      </c>
      <c r="AK213" s="12">
        <v>0.0</v>
      </c>
      <c r="AL213" s="12">
        <f t="shared" si="53"/>
        <v>35.38</v>
      </c>
      <c r="AM213" s="12">
        <v>0.0</v>
      </c>
      <c r="AN213" s="12">
        <v>0.0</v>
      </c>
      <c r="AO213" s="12"/>
      <c r="AP213" s="12">
        <v>0.0</v>
      </c>
      <c r="AQ213" s="12">
        <v>0.0</v>
      </c>
      <c r="AR213" s="12">
        <v>0.0</v>
      </c>
      <c r="AS213" s="12">
        <f t="shared" si="61"/>
        <v>0</v>
      </c>
      <c r="AT213" s="16">
        <f t="shared" si="72"/>
        <v>13251.28</v>
      </c>
      <c r="AU213" s="18">
        <f t="shared" si="69"/>
        <v>95192.32</v>
      </c>
      <c r="AV213" s="18"/>
      <c r="AW213" s="18"/>
      <c r="AX213" s="12">
        <f t="shared" si="1"/>
        <v>13251.28</v>
      </c>
      <c r="AY213" s="12"/>
      <c r="AZ213" s="12">
        <v>1782.63</v>
      </c>
      <c r="BA213" s="18">
        <f t="shared" si="70"/>
        <v>8723.84</v>
      </c>
      <c r="BB213" s="10">
        <f t="shared" si="16"/>
        <v>368870.24</v>
      </c>
      <c r="BC213" s="16">
        <f t="shared" si="73"/>
        <v>15071.88333</v>
      </c>
      <c r="BD213" s="16"/>
      <c r="BE213" s="16"/>
      <c r="BF213" s="6"/>
      <c r="BG213" s="6"/>
      <c r="BH213" s="6"/>
      <c r="BI213" s="29">
        <f t="shared" si="68"/>
        <v>17785.84</v>
      </c>
      <c r="BJ213" s="6"/>
      <c r="BK213" s="15">
        <f t="shared" ref="BK213:BK216" si="74">IF(AT213="","",IFERROR(AT213/$BI$213,0))</f>
        <v>0.7450466214</v>
      </c>
      <c r="BN213" s="16">
        <f t="shared" si="14"/>
        <v>-4534.56</v>
      </c>
      <c r="BO213" s="16">
        <f t="shared" si="71"/>
        <v>-47094.4</v>
      </c>
      <c r="BY213" s="6">
        <f t="shared" si="2"/>
        <v>2024</v>
      </c>
      <c r="BZ213" s="6" t="str">
        <f t="shared" si="3"/>
        <v>mayo</v>
      </c>
      <c r="CA213" s="6" t="str">
        <f t="shared" si="4"/>
        <v>5</v>
      </c>
    </row>
    <row r="214">
      <c r="A214" s="8">
        <v>45421.0</v>
      </c>
      <c r="B214" s="12">
        <v>55054.03</v>
      </c>
      <c r="C214" s="12">
        <v>44021.25</v>
      </c>
      <c r="D214" s="12"/>
      <c r="E214" s="12">
        <v>1501.9</v>
      </c>
      <c r="F214" s="12">
        <v>0.0</v>
      </c>
      <c r="G214" s="12">
        <v>0.0</v>
      </c>
      <c r="H214" s="12">
        <f t="shared" si="46"/>
        <v>100577.18</v>
      </c>
      <c r="I214" s="12">
        <v>12496.98</v>
      </c>
      <c r="J214" s="12">
        <v>8577.32</v>
      </c>
      <c r="K214" s="12"/>
      <c r="L214" s="12">
        <v>460.32</v>
      </c>
      <c r="M214" s="12">
        <v>0.0</v>
      </c>
      <c r="N214" s="12">
        <v>0.0</v>
      </c>
      <c r="O214" s="16">
        <f t="shared" si="33"/>
        <v>21534.62</v>
      </c>
      <c r="P214" s="12">
        <v>2490.29</v>
      </c>
      <c r="Q214" s="12">
        <v>2025.08</v>
      </c>
      <c r="R214" s="12"/>
      <c r="S214" s="12">
        <v>0.0</v>
      </c>
      <c r="T214" s="12">
        <v>0.0</v>
      </c>
      <c r="U214" s="12">
        <v>0.0</v>
      </c>
      <c r="V214" s="16">
        <f t="shared" si="37"/>
        <v>4515.37</v>
      </c>
      <c r="W214" s="12">
        <v>2188.96</v>
      </c>
      <c r="X214" s="12">
        <v>3808.98</v>
      </c>
      <c r="Y214" s="12"/>
      <c r="Z214" s="12">
        <v>0.0</v>
      </c>
      <c r="AA214" s="12">
        <v>0.0</v>
      </c>
      <c r="AB214" s="12">
        <v>0.0</v>
      </c>
      <c r="AC214" s="16">
        <f t="shared" si="38"/>
        <v>5997.94</v>
      </c>
      <c r="AD214" s="5"/>
      <c r="AE214" s="5"/>
      <c r="AF214" s="5">
        <v>1173.86</v>
      </c>
      <c r="AG214" s="12">
        <v>1075.58</v>
      </c>
      <c r="AH214" s="12"/>
      <c r="AI214" s="12">
        <v>63.69</v>
      </c>
      <c r="AJ214" s="12">
        <v>0.0</v>
      </c>
      <c r="AK214" s="12">
        <v>0.0</v>
      </c>
      <c r="AL214" s="12">
        <f t="shared" si="53"/>
        <v>2313.13</v>
      </c>
      <c r="AM214" s="12">
        <v>9052.0</v>
      </c>
      <c r="AN214" s="12">
        <v>2840.0</v>
      </c>
      <c r="AO214" s="12"/>
      <c r="AP214" s="12">
        <v>0.0</v>
      </c>
      <c r="AQ214" s="12">
        <v>0.0</v>
      </c>
      <c r="AR214" s="12">
        <v>0.0</v>
      </c>
      <c r="AS214" s="12">
        <f t="shared" si="61"/>
        <v>11892</v>
      </c>
      <c r="AT214" s="16">
        <f t="shared" si="72"/>
        <v>46253.06</v>
      </c>
      <c r="AU214" s="18">
        <f t="shared" si="69"/>
        <v>141445.38</v>
      </c>
      <c r="AV214" s="18"/>
      <c r="AW214" s="18"/>
      <c r="AX214" s="12">
        <f t="shared" si="1"/>
        <v>46253.06</v>
      </c>
      <c r="AY214" s="12"/>
      <c r="AZ214" s="12">
        <v>10007.76</v>
      </c>
      <c r="BA214" s="18">
        <f t="shared" si="70"/>
        <v>18731.6</v>
      </c>
      <c r="BB214" s="10">
        <f t="shared" si="16"/>
        <v>487200.7533</v>
      </c>
      <c r="BC214" s="16">
        <f t="shared" si="73"/>
        <v>15071.88333</v>
      </c>
      <c r="BD214" s="16"/>
      <c r="BE214" s="16"/>
      <c r="BF214" s="6"/>
      <c r="BG214" s="6"/>
      <c r="BH214" s="6"/>
      <c r="BI214" s="29">
        <f t="shared" si="68"/>
        <v>17785.84</v>
      </c>
      <c r="BK214" s="15">
        <f t="shared" si="74"/>
        <v>2.600555273</v>
      </c>
      <c r="BN214" s="16">
        <f t="shared" si="14"/>
        <v>28467.22</v>
      </c>
      <c r="BO214" s="16">
        <f t="shared" si="71"/>
        <v>-18627.18</v>
      </c>
      <c r="BY214" s="6">
        <f t="shared" si="2"/>
        <v>2024</v>
      </c>
      <c r="BZ214" s="6" t="str">
        <f t="shared" si="3"/>
        <v>mayo</v>
      </c>
      <c r="CA214" s="6" t="str">
        <f t="shared" si="4"/>
        <v>5</v>
      </c>
    </row>
    <row r="215">
      <c r="A215" s="8">
        <v>45422.0</v>
      </c>
      <c r="B215" s="12">
        <v>14313.29</v>
      </c>
      <c r="C215" s="12">
        <v>477.91</v>
      </c>
      <c r="D215" s="12"/>
      <c r="E215" s="12">
        <v>37.23</v>
      </c>
      <c r="F215" s="12">
        <v>0.0</v>
      </c>
      <c r="G215" s="12">
        <v>0.0</v>
      </c>
      <c r="H215" s="12">
        <f t="shared" si="46"/>
        <v>14828.43</v>
      </c>
      <c r="I215" s="12">
        <v>6354.89</v>
      </c>
      <c r="J215" s="12">
        <v>175.62</v>
      </c>
      <c r="K215" s="12"/>
      <c r="L215" s="12">
        <v>3696.51</v>
      </c>
      <c r="M215" s="12">
        <v>840.0</v>
      </c>
      <c r="N215" s="12">
        <v>0.0</v>
      </c>
      <c r="O215" s="16">
        <f t="shared" si="33"/>
        <v>11067.02</v>
      </c>
      <c r="P215" s="12">
        <v>2583.25</v>
      </c>
      <c r="Q215" s="12">
        <v>111.3</v>
      </c>
      <c r="R215" s="12"/>
      <c r="S215" s="12">
        <v>0.0</v>
      </c>
      <c r="T215" s="12">
        <v>0.0</v>
      </c>
      <c r="U215" s="12">
        <v>0.0</v>
      </c>
      <c r="V215" s="16">
        <f t="shared" si="37"/>
        <v>2694.55</v>
      </c>
      <c r="W215" s="12">
        <v>1389.65</v>
      </c>
      <c r="X215" s="12">
        <v>1847.59</v>
      </c>
      <c r="Y215" s="12"/>
      <c r="Z215" s="12">
        <v>0.0</v>
      </c>
      <c r="AA215" s="12">
        <v>0.0</v>
      </c>
      <c r="AB215" s="12">
        <v>0.0</v>
      </c>
      <c r="AC215" s="16">
        <f t="shared" si="38"/>
        <v>3237.24</v>
      </c>
      <c r="AD215" s="12"/>
      <c r="AE215" s="12"/>
      <c r="AF215" s="12">
        <v>2240.33</v>
      </c>
      <c r="AG215" s="12">
        <v>0.0</v>
      </c>
      <c r="AH215" s="12"/>
      <c r="AI215" s="12">
        <v>0.0</v>
      </c>
      <c r="AJ215" s="12">
        <v>0.0</v>
      </c>
      <c r="AK215" s="12">
        <v>0.0</v>
      </c>
      <c r="AL215" s="12">
        <f t="shared" si="53"/>
        <v>2240.33</v>
      </c>
      <c r="AM215" s="12">
        <v>1884.0</v>
      </c>
      <c r="AN215" s="12">
        <v>1260.0</v>
      </c>
      <c r="AO215" s="12"/>
      <c r="AP215" s="12">
        <v>0.0</v>
      </c>
      <c r="AQ215" s="12">
        <v>0.0</v>
      </c>
      <c r="AR215" s="12">
        <v>0.0</v>
      </c>
      <c r="AS215" s="12">
        <f t="shared" si="61"/>
        <v>3144</v>
      </c>
      <c r="AT215" s="16">
        <f t="shared" si="72"/>
        <v>22383.14</v>
      </c>
      <c r="AU215" s="18">
        <f t="shared" si="69"/>
        <v>163828.52</v>
      </c>
      <c r="AV215" s="18"/>
      <c r="AW215" s="18"/>
      <c r="AX215" s="12">
        <f t="shared" si="1"/>
        <v>22383.14</v>
      </c>
      <c r="AY215" s="12"/>
      <c r="AZ215" s="12">
        <v>3525.92</v>
      </c>
      <c r="BA215" s="18">
        <f t="shared" si="70"/>
        <v>22257.52</v>
      </c>
      <c r="BB215" s="10">
        <f t="shared" si="16"/>
        <v>507868.412</v>
      </c>
      <c r="BC215" s="16">
        <f t="shared" si="73"/>
        <v>15071.88333</v>
      </c>
      <c r="BD215" s="16"/>
      <c r="BE215" s="16"/>
      <c r="BF215" s="6"/>
      <c r="BG215" s="6"/>
      <c r="BH215" s="6"/>
      <c r="BI215" s="29">
        <f t="shared" si="68"/>
        <v>17785.84</v>
      </c>
      <c r="BK215" s="15">
        <f t="shared" si="74"/>
        <v>1.258480904</v>
      </c>
      <c r="BN215" s="16">
        <f t="shared" si="14"/>
        <v>4597.3</v>
      </c>
      <c r="BO215" s="16">
        <f t="shared" si="71"/>
        <v>-14029.88</v>
      </c>
      <c r="BY215" s="6">
        <f t="shared" si="2"/>
        <v>2024</v>
      </c>
      <c r="BZ215" s="6" t="str">
        <f t="shared" si="3"/>
        <v>mayo</v>
      </c>
      <c r="CA215" s="6" t="str">
        <f t="shared" si="4"/>
        <v>5</v>
      </c>
    </row>
    <row r="216">
      <c r="A216" s="8">
        <v>45423.0</v>
      </c>
      <c r="B216" s="12">
        <v>0.0</v>
      </c>
      <c r="C216" s="12">
        <v>0.0</v>
      </c>
      <c r="D216" s="12"/>
      <c r="E216" s="12">
        <v>0.0</v>
      </c>
      <c r="F216" s="12">
        <v>0.0</v>
      </c>
      <c r="G216" s="12">
        <v>0.0</v>
      </c>
      <c r="H216" s="12">
        <f t="shared" si="46"/>
        <v>0</v>
      </c>
      <c r="I216" s="12">
        <v>0.0</v>
      </c>
      <c r="J216" s="12">
        <v>0.0</v>
      </c>
      <c r="K216" s="12"/>
      <c r="L216" s="12">
        <v>0.0</v>
      </c>
      <c r="M216" s="12">
        <v>0.0</v>
      </c>
      <c r="N216" s="12">
        <v>0.0</v>
      </c>
      <c r="O216" s="16">
        <f t="shared" si="33"/>
        <v>0</v>
      </c>
      <c r="P216" s="12">
        <v>0.0</v>
      </c>
      <c r="Q216" s="12">
        <v>0.0</v>
      </c>
      <c r="R216" s="12"/>
      <c r="S216" s="12">
        <v>0.0</v>
      </c>
      <c r="T216" s="12">
        <v>0.0</v>
      </c>
      <c r="U216" s="12">
        <v>0.0</v>
      </c>
      <c r="V216" s="16">
        <f t="shared" si="37"/>
        <v>0</v>
      </c>
      <c r="W216" s="12">
        <v>0.0</v>
      </c>
      <c r="X216" s="12">
        <v>0.0</v>
      </c>
      <c r="Y216" s="12"/>
      <c r="Z216" s="12">
        <v>0.0</v>
      </c>
      <c r="AA216" s="12">
        <v>0.0</v>
      </c>
      <c r="AB216" s="12">
        <v>0.0</v>
      </c>
      <c r="AC216" s="16">
        <f t="shared" si="38"/>
        <v>0</v>
      </c>
      <c r="AD216" s="12"/>
      <c r="AE216" s="12"/>
      <c r="AF216" s="12">
        <v>0.0</v>
      </c>
      <c r="AG216" s="12">
        <v>0.0</v>
      </c>
      <c r="AH216" s="12"/>
      <c r="AI216" s="12">
        <v>0.0</v>
      </c>
      <c r="AJ216" s="12">
        <v>0.0</v>
      </c>
      <c r="AK216" s="12">
        <v>0.0</v>
      </c>
      <c r="AL216" s="12">
        <f t="shared" si="53"/>
        <v>0</v>
      </c>
      <c r="AM216" s="12">
        <v>0.0</v>
      </c>
      <c r="AN216" s="12">
        <v>0.0</v>
      </c>
      <c r="AO216" s="12"/>
      <c r="AP216" s="12">
        <v>0.0</v>
      </c>
      <c r="AQ216" s="12">
        <v>0.0</v>
      </c>
      <c r="AR216" s="12">
        <v>0.0</v>
      </c>
      <c r="AS216" s="12">
        <f t="shared" si="61"/>
        <v>0</v>
      </c>
      <c r="AT216" s="16">
        <f t="shared" ref="AT216:AT389" si="75">IF(AS216+AL216+AC216+V216+O216="","",AS216+AL216+AC216+V216+O216)</f>
        <v>0</v>
      </c>
      <c r="AU216" s="18">
        <f t="shared" si="69"/>
        <v>163828.52</v>
      </c>
      <c r="AV216" s="18"/>
      <c r="AW216" s="18"/>
      <c r="AX216" s="12">
        <f t="shared" si="1"/>
        <v>0</v>
      </c>
      <c r="AY216" s="12"/>
      <c r="AZ216" s="12">
        <v>0.0</v>
      </c>
      <c r="BA216" s="18">
        <f t="shared" si="70"/>
        <v>22257.52</v>
      </c>
      <c r="BB216" s="10">
        <f t="shared" si="16"/>
        <v>461698.5564</v>
      </c>
      <c r="BC216" s="16">
        <f t="shared" si="73"/>
        <v>15071.88333</v>
      </c>
      <c r="BD216" s="16"/>
      <c r="BE216" s="16"/>
      <c r="BF216" s="6"/>
      <c r="BG216" s="6"/>
      <c r="BH216" s="6"/>
      <c r="BI216" s="29">
        <f t="shared" si="68"/>
        <v>17785.84</v>
      </c>
      <c r="BJ216" s="6"/>
      <c r="BK216" s="15">
        <f t="shared" si="74"/>
        <v>0</v>
      </c>
      <c r="BN216" s="16">
        <f t="shared" si="14"/>
        <v>-17785.84</v>
      </c>
      <c r="BO216" s="16">
        <f t="shared" si="71"/>
        <v>-31815.72</v>
      </c>
      <c r="BY216" s="6">
        <f t="shared" si="2"/>
        <v>2024</v>
      </c>
      <c r="BZ216" s="6" t="str">
        <f t="shared" si="3"/>
        <v>mayo</v>
      </c>
      <c r="CA216" s="6" t="str">
        <f t="shared" si="4"/>
        <v>5</v>
      </c>
    </row>
    <row r="217">
      <c r="A217" s="8">
        <v>45424.0</v>
      </c>
      <c r="B217" s="12">
        <v>0.0</v>
      </c>
      <c r="C217" s="12">
        <v>0.0</v>
      </c>
      <c r="D217" s="12"/>
      <c r="E217" s="12">
        <v>0.0</v>
      </c>
      <c r="F217" s="12">
        <v>0.0</v>
      </c>
      <c r="G217" s="12">
        <v>0.0</v>
      </c>
      <c r="H217" s="12">
        <f t="shared" si="46"/>
        <v>0</v>
      </c>
      <c r="I217" s="12">
        <v>0.0</v>
      </c>
      <c r="J217" s="12">
        <v>0.0</v>
      </c>
      <c r="K217" s="12"/>
      <c r="L217" s="12">
        <v>0.0</v>
      </c>
      <c r="M217" s="12">
        <v>0.0</v>
      </c>
      <c r="N217" s="12">
        <v>0.0</v>
      </c>
      <c r="O217" s="16">
        <f t="shared" si="33"/>
        <v>0</v>
      </c>
      <c r="P217" s="12">
        <v>0.0</v>
      </c>
      <c r="Q217" s="12">
        <v>0.0</v>
      </c>
      <c r="R217" s="12"/>
      <c r="S217" s="12">
        <v>0.0</v>
      </c>
      <c r="T217" s="12">
        <v>0.0</v>
      </c>
      <c r="U217" s="12">
        <v>0.0</v>
      </c>
      <c r="V217" s="16">
        <f t="shared" si="37"/>
        <v>0</v>
      </c>
      <c r="W217" s="12">
        <v>0.0</v>
      </c>
      <c r="X217" s="12">
        <v>0.0</v>
      </c>
      <c r="Y217" s="12"/>
      <c r="Z217" s="12">
        <v>0.0</v>
      </c>
      <c r="AA217" s="12">
        <v>0.0</v>
      </c>
      <c r="AB217" s="12">
        <v>0.0</v>
      </c>
      <c r="AC217" s="16">
        <f t="shared" si="38"/>
        <v>0</v>
      </c>
      <c r="AD217" s="12"/>
      <c r="AE217" s="12"/>
      <c r="AF217" s="12">
        <v>0.0</v>
      </c>
      <c r="AG217" s="12">
        <v>0.0</v>
      </c>
      <c r="AH217" s="12"/>
      <c r="AI217" s="12">
        <v>0.0</v>
      </c>
      <c r="AJ217" s="12">
        <v>0.0</v>
      </c>
      <c r="AK217" s="12">
        <v>0.0</v>
      </c>
      <c r="AL217" s="12">
        <f t="shared" si="53"/>
        <v>0</v>
      </c>
      <c r="AM217" s="12">
        <v>0.0</v>
      </c>
      <c r="AN217" s="12">
        <v>0.0</v>
      </c>
      <c r="AO217" s="12"/>
      <c r="AP217" s="12">
        <v>0.0</v>
      </c>
      <c r="AQ217" s="12">
        <v>0.0</v>
      </c>
      <c r="AR217" s="12">
        <v>0.0</v>
      </c>
      <c r="AS217" s="12">
        <f t="shared" si="61"/>
        <v>0</v>
      </c>
      <c r="AT217" s="16">
        <f t="shared" si="75"/>
        <v>0</v>
      </c>
      <c r="AU217" s="18">
        <f t="shared" si="69"/>
        <v>163828.52</v>
      </c>
      <c r="AV217" s="18"/>
      <c r="AW217" s="18"/>
      <c r="AX217" s="12">
        <f t="shared" si="1"/>
        <v>0</v>
      </c>
      <c r="AY217" s="12"/>
      <c r="AZ217" s="12">
        <v>0.0</v>
      </c>
      <c r="BA217" s="18">
        <f t="shared" si="70"/>
        <v>22257.52</v>
      </c>
      <c r="BB217" s="10">
        <f t="shared" si="16"/>
        <v>423223.6767</v>
      </c>
      <c r="BC217" s="16">
        <f t="shared" si="73"/>
        <v>15071.88333</v>
      </c>
      <c r="BD217" s="16"/>
      <c r="BE217" s="16"/>
      <c r="BF217" s="6"/>
      <c r="BG217" s="6"/>
      <c r="BH217" s="6"/>
      <c r="BI217" s="29">
        <f t="shared" si="68"/>
        <v>17785.84</v>
      </c>
      <c r="BJ217" s="6"/>
      <c r="BK217" s="15">
        <f t="shared" ref="BK217:BK723" si="76">IF(AT217="","",IFERROR(AT217/BI217,0))</f>
        <v>0</v>
      </c>
      <c r="BN217" s="16">
        <f t="shared" si="14"/>
        <v>-17785.84</v>
      </c>
      <c r="BO217" s="16">
        <f t="shared" si="71"/>
        <v>-49601.56</v>
      </c>
      <c r="BY217" s="6">
        <f t="shared" si="2"/>
        <v>2024</v>
      </c>
      <c r="BZ217" s="6" t="str">
        <f t="shared" si="3"/>
        <v>mayo</v>
      </c>
      <c r="CA217" s="6" t="str">
        <f t="shared" si="4"/>
        <v>5</v>
      </c>
    </row>
    <row r="218">
      <c r="A218" s="8">
        <v>45425.0</v>
      </c>
      <c r="B218" s="12">
        <v>35876.87</v>
      </c>
      <c r="C218" s="12">
        <v>0.0</v>
      </c>
      <c r="D218" s="12"/>
      <c r="E218" s="12">
        <v>1948.24</v>
      </c>
      <c r="F218" s="12">
        <v>0.0</v>
      </c>
      <c r="G218" s="12">
        <v>0.0</v>
      </c>
      <c r="H218" s="12">
        <f t="shared" si="46"/>
        <v>37825.11</v>
      </c>
      <c r="I218" s="12">
        <v>5561.49</v>
      </c>
      <c r="J218" s="12">
        <v>0.0</v>
      </c>
      <c r="K218" s="12"/>
      <c r="L218" s="12">
        <v>11509.27</v>
      </c>
      <c r="M218" s="12">
        <v>0.0</v>
      </c>
      <c r="N218" s="12">
        <v>0.0</v>
      </c>
      <c r="O218" s="16">
        <f t="shared" si="33"/>
        <v>17070.76</v>
      </c>
      <c r="P218" s="12">
        <v>1678.89</v>
      </c>
      <c r="Q218" s="12">
        <v>0.0</v>
      </c>
      <c r="R218" s="12"/>
      <c r="S218" s="12">
        <v>0.0</v>
      </c>
      <c r="T218" s="12">
        <v>0.0</v>
      </c>
      <c r="U218" s="12">
        <v>0.0</v>
      </c>
      <c r="V218" s="16">
        <f t="shared" si="37"/>
        <v>1678.89</v>
      </c>
      <c r="W218" s="12">
        <v>4376.69</v>
      </c>
      <c r="X218" s="12">
        <v>0.0</v>
      </c>
      <c r="Y218" s="12"/>
      <c r="Z218" s="12">
        <v>0.0</v>
      </c>
      <c r="AA218" s="12">
        <v>0.0</v>
      </c>
      <c r="AB218" s="12">
        <v>0.0</v>
      </c>
      <c r="AC218" s="16">
        <f t="shared" si="38"/>
        <v>4376.69</v>
      </c>
      <c r="AD218" s="12"/>
      <c r="AE218" s="12"/>
      <c r="AF218" s="12">
        <v>4057.82</v>
      </c>
      <c r="AG218" s="12">
        <v>0.0</v>
      </c>
      <c r="AH218" s="12"/>
      <c r="AI218" s="12">
        <v>251.0</v>
      </c>
      <c r="AJ218" s="12">
        <v>0.0</v>
      </c>
      <c r="AK218" s="12">
        <v>0.0</v>
      </c>
      <c r="AL218" s="12">
        <f t="shared" si="53"/>
        <v>4308.82</v>
      </c>
      <c r="AM218" s="12">
        <v>6159.0</v>
      </c>
      <c r="AN218" s="12">
        <v>0.0</v>
      </c>
      <c r="AO218" s="12"/>
      <c r="AP218" s="12">
        <v>0.0</v>
      </c>
      <c r="AQ218" s="12">
        <v>0.0</v>
      </c>
      <c r="AR218" s="12">
        <v>0.0</v>
      </c>
      <c r="AS218" s="12">
        <f t="shared" si="61"/>
        <v>6159</v>
      </c>
      <c r="AT218" s="16">
        <f t="shared" si="75"/>
        <v>33594.16</v>
      </c>
      <c r="AU218" s="18">
        <f t="shared" si="69"/>
        <v>197422.68</v>
      </c>
      <c r="AV218" s="18"/>
      <c r="AW218" s="18"/>
      <c r="AX218" s="12">
        <f t="shared" si="1"/>
        <v>33594.16</v>
      </c>
      <c r="AY218" s="12"/>
      <c r="AZ218" s="12">
        <v>490.25</v>
      </c>
      <c r="BA218" s="18">
        <f t="shared" si="70"/>
        <v>22747.77</v>
      </c>
      <c r="BB218" s="10">
        <f t="shared" si="16"/>
        <v>470777.16</v>
      </c>
      <c r="BC218" s="16">
        <f t="shared" si="73"/>
        <v>15071.88333</v>
      </c>
      <c r="BD218" s="16"/>
      <c r="BE218" s="16"/>
      <c r="BF218" s="6"/>
      <c r="BG218" s="6"/>
      <c r="BH218" s="6"/>
      <c r="BI218" s="29">
        <f t="shared" si="68"/>
        <v>17785.84</v>
      </c>
      <c r="BK218" s="15">
        <f t="shared" si="76"/>
        <v>1.888814922</v>
      </c>
      <c r="BN218" s="16">
        <f t="shared" si="14"/>
        <v>15808.32</v>
      </c>
      <c r="BO218" s="16">
        <f t="shared" si="71"/>
        <v>-33793.24</v>
      </c>
      <c r="BY218" s="6">
        <f t="shared" si="2"/>
        <v>2024</v>
      </c>
      <c r="BZ218" s="6" t="str">
        <f t="shared" si="3"/>
        <v>mayo</v>
      </c>
      <c r="CA218" s="6" t="str">
        <f t="shared" si="4"/>
        <v>5</v>
      </c>
    </row>
    <row r="219">
      <c r="A219" s="8">
        <v>45426.0</v>
      </c>
      <c r="B219" s="12">
        <v>55624.22</v>
      </c>
      <c r="C219" s="12">
        <v>2276.16</v>
      </c>
      <c r="D219" s="12"/>
      <c r="E219" s="12">
        <v>0.0</v>
      </c>
      <c r="F219" s="12">
        <v>0.0</v>
      </c>
      <c r="G219" s="12">
        <v>0.0</v>
      </c>
      <c r="H219" s="12">
        <f t="shared" si="46"/>
        <v>57900.38</v>
      </c>
      <c r="I219" s="12">
        <v>6330.37</v>
      </c>
      <c r="J219" s="12">
        <v>1686.27</v>
      </c>
      <c r="K219" s="12"/>
      <c r="L219" s="12">
        <v>0.0</v>
      </c>
      <c r="M219" s="12">
        <v>0.0</v>
      </c>
      <c r="N219" s="12">
        <v>0.0</v>
      </c>
      <c r="O219" s="16">
        <f t="shared" si="33"/>
        <v>8016.64</v>
      </c>
      <c r="P219" s="12">
        <v>1709.25</v>
      </c>
      <c r="Q219" s="12">
        <v>524.53</v>
      </c>
      <c r="R219" s="12"/>
      <c r="S219" s="12">
        <v>0.0</v>
      </c>
      <c r="T219" s="12">
        <v>0.0</v>
      </c>
      <c r="U219" s="12">
        <v>0.0</v>
      </c>
      <c r="V219" s="16">
        <f t="shared" si="37"/>
        <v>2233.78</v>
      </c>
      <c r="W219" s="12">
        <v>6154.57</v>
      </c>
      <c r="X219" s="12">
        <v>0.0</v>
      </c>
      <c r="Y219" s="12"/>
      <c r="Z219" s="12">
        <v>0.0</v>
      </c>
      <c r="AA219" s="12">
        <v>76.22</v>
      </c>
      <c r="AB219" s="12">
        <v>0.0</v>
      </c>
      <c r="AC219" s="16">
        <f t="shared" si="38"/>
        <v>6230.79</v>
      </c>
      <c r="AD219" s="12"/>
      <c r="AE219" s="12"/>
      <c r="AF219" s="12">
        <v>647.82</v>
      </c>
      <c r="AG219" s="12">
        <v>2240.0</v>
      </c>
      <c r="AH219" s="12"/>
      <c r="AI219" s="12">
        <v>0.0</v>
      </c>
      <c r="AJ219" s="12">
        <v>0.0</v>
      </c>
      <c r="AK219" s="12">
        <v>0.0</v>
      </c>
      <c r="AL219" s="12">
        <f t="shared" si="53"/>
        <v>2887.82</v>
      </c>
      <c r="AM219" s="12">
        <v>8507.0</v>
      </c>
      <c r="AN219" s="12">
        <v>0.0</v>
      </c>
      <c r="AO219" s="12"/>
      <c r="AP219" s="12">
        <v>0.0</v>
      </c>
      <c r="AQ219" s="12">
        <v>0.0</v>
      </c>
      <c r="AR219" s="12">
        <v>0.0</v>
      </c>
      <c r="AS219" s="12">
        <f t="shared" si="61"/>
        <v>8507</v>
      </c>
      <c r="AT219" s="16">
        <f t="shared" si="75"/>
        <v>27876.03</v>
      </c>
      <c r="AU219" s="18">
        <f t="shared" si="69"/>
        <v>225298.71</v>
      </c>
      <c r="AV219" s="18"/>
      <c r="AW219" s="18"/>
      <c r="AX219" s="12">
        <f t="shared" si="1"/>
        <v>27876.03</v>
      </c>
      <c r="AY219" s="12"/>
      <c r="AZ219" s="12">
        <v>1265.75</v>
      </c>
      <c r="BA219" s="18">
        <f t="shared" si="70"/>
        <v>24013.52</v>
      </c>
      <c r="BB219" s="10">
        <f t="shared" si="16"/>
        <v>498875.715</v>
      </c>
      <c r="BC219" s="16">
        <f t="shared" si="73"/>
        <v>15071.88333</v>
      </c>
      <c r="BD219" s="16"/>
      <c r="BE219" s="16"/>
      <c r="BF219" s="6"/>
      <c r="BG219" s="6"/>
      <c r="BH219" s="6"/>
      <c r="BI219" s="29">
        <f t="shared" si="68"/>
        <v>17785.84</v>
      </c>
      <c r="BK219" s="15">
        <f t="shared" si="76"/>
        <v>1.56731591</v>
      </c>
      <c r="BN219" s="16">
        <f t="shared" si="14"/>
        <v>10090.19</v>
      </c>
      <c r="BO219" s="16">
        <f t="shared" si="71"/>
        <v>-23703.05</v>
      </c>
      <c r="BY219" s="6">
        <f t="shared" si="2"/>
        <v>2024</v>
      </c>
      <c r="BZ219" s="6" t="str">
        <f t="shared" si="3"/>
        <v>mayo</v>
      </c>
      <c r="CA219" s="6" t="str">
        <f t="shared" si="4"/>
        <v>5</v>
      </c>
    </row>
    <row r="220">
      <c r="A220" s="8">
        <v>45427.0</v>
      </c>
      <c r="B220" s="12">
        <v>20342.04</v>
      </c>
      <c r="C220" s="12">
        <v>1047.09</v>
      </c>
      <c r="D220" s="12"/>
      <c r="E220" s="12">
        <v>0.0</v>
      </c>
      <c r="F220" s="12">
        <v>0.0</v>
      </c>
      <c r="G220" s="12">
        <v>0.0</v>
      </c>
      <c r="H220" s="12">
        <f t="shared" si="46"/>
        <v>21389.13</v>
      </c>
      <c r="I220" s="12">
        <v>12147.06</v>
      </c>
      <c r="J220" s="12">
        <v>3276.72</v>
      </c>
      <c r="K220" s="12"/>
      <c r="L220" s="12">
        <v>0.0</v>
      </c>
      <c r="M220" s="12">
        <v>0.0</v>
      </c>
      <c r="N220" s="12">
        <v>0.0</v>
      </c>
      <c r="O220" s="16">
        <f t="shared" si="33"/>
        <v>15423.78</v>
      </c>
      <c r="P220" s="12">
        <v>3619.33</v>
      </c>
      <c r="Q220" s="12">
        <v>536.71</v>
      </c>
      <c r="R220" s="12"/>
      <c r="S220" s="12">
        <v>0.0</v>
      </c>
      <c r="T220" s="12">
        <v>0.0</v>
      </c>
      <c r="U220" s="12">
        <v>0.0</v>
      </c>
      <c r="V220" s="16">
        <f t="shared" si="37"/>
        <v>4156.04</v>
      </c>
      <c r="W220" s="12">
        <v>4447.5</v>
      </c>
      <c r="X220" s="12">
        <v>0.0</v>
      </c>
      <c r="Y220" s="12"/>
      <c r="Z220" s="12">
        <v>0.0</v>
      </c>
      <c r="AA220" s="12">
        <v>0.42</v>
      </c>
      <c r="AB220" s="12">
        <v>0.0</v>
      </c>
      <c r="AC220" s="16">
        <f t="shared" si="38"/>
        <v>4447.92</v>
      </c>
      <c r="AD220" s="12"/>
      <c r="AE220" s="12"/>
      <c r="AF220" s="12">
        <v>3436.09</v>
      </c>
      <c r="AG220" s="12">
        <v>0.0</v>
      </c>
      <c r="AH220" s="12"/>
      <c r="AI220" s="12">
        <v>0.0</v>
      </c>
      <c r="AJ220" s="12">
        <v>0.0</v>
      </c>
      <c r="AK220" s="12">
        <v>0.0</v>
      </c>
      <c r="AL220" s="12">
        <f t="shared" si="53"/>
        <v>3436.09</v>
      </c>
      <c r="AM220" s="12">
        <v>3526.0</v>
      </c>
      <c r="AN220" s="12">
        <v>0.0</v>
      </c>
      <c r="AO220" s="12"/>
      <c r="AP220" s="12">
        <v>0.0</v>
      </c>
      <c r="AQ220" s="12">
        <v>0.0</v>
      </c>
      <c r="AR220" s="12">
        <v>0.0</v>
      </c>
      <c r="AS220" s="12">
        <f t="shared" si="61"/>
        <v>3526</v>
      </c>
      <c r="AT220" s="16">
        <f t="shared" si="75"/>
        <v>30989.83</v>
      </c>
      <c r="AU220" s="18">
        <f t="shared" si="69"/>
        <v>256288.54</v>
      </c>
      <c r="AV220" s="18"/>
      <c r="AW220" s="18"/>
      <c r="AX220" s="12">
        <f t="shared" si="1"/>
        <v>30989.83</v>
      </c>
      <c r="AY220" s="12"/>
      <c r="AZ220" s="12">
        <v>389.13</v>
      </c>
      <c r="BA220" s="18">
        <f t="shared" si="70"/>
        <v>24402.65</v>
      </c>
      <c r="BB220" s="10">
        <f t="shared" si="16"/>
        <v>529662.9827</v>
      </c>
      <c r="BC220" s="16">
        <f t="shared" si="73"/>
        <v>15071.88333</v>
      </c>
      <c r="BD220" s="16"/>
      <c r="BE220" s="16"/>
      <c r="BF220" s="6"/>
      <c r="BG220" s="6"/>
      <c r="BH220" s="6"/>
      <c r="BI220" s="29">
        <f t="shared" si="68"/>
        <v>17785.84</v>
      </c>
      <c r="BK220" s="15">
        <f t="shared" si="76"/>
        <v>1.742387765</v>
      </c>
      <c r="BN220" s="16">
        <f t="shared" si="14"/>
        <v>13203.99</v>
      </c>
      <c r="BO220" s="16">
        <f t="shared" si="71"/>
        <v>-10499.06</v>
      </c>
      <c r="BY220" s="6">
        <f t="shared" si="2"/>
        <v>2024</v>
      </c>
      <c r="BZ220" s="6" t="str">
        <f t="shared" si="3"/>
        <v>mayo</v>
      </c>
      <c r="CA220" s="6" t="str">
        <f t="shared" si="4"/>
        <v>5</v>
      </c>
    </row>
    <row r="221">
      <c r="A221" s="8">
        <v>45428.0</v>
      </c>
      <c r="B221" s="12">
        <v>7002.47</v>
      </c>
      <c r="C221" s="12">
        <v>208.78</v>
      </c>
      <c r="D221" s="12"/>
      <c r="E221" s="12">
        <v>87.67</v>
      </c>
      <c r="F221" s="12">
        <v>0.0</v>
      </c>
      <c r="G221" s="12">
        <v>0.0</v>
      </c>
      <c r="H221" s="12">
        <f t="shared" si="46"/>
        <v>7298.92</v>
      </c>
      <c r="I221" s="12">
        <v>3625.49</v>
      </c>
      <c r="J221" s="12">
        <v>258.81</v>
      </c>
      <c r="K221" s="12"/>
      <c r="L221" s="12">
        <v>3271.97</v>
      </c>
      <c r="M221" s="12">
        <v>0.0</v>
      </c>
      <c r="N221" s="12">
        <v>0.0</v>
      </c>
      <c r="O221" s="16">
        <f t="shared" si="33"/>
        <v>7156.27</v>
      </c>
      <c r="P221" s="12">
        <v>1430.05</v>
      </c>
      <c r="Q221" s="12">
        <v>190.14</v>
      </c>
      <c r="R221" s="12"/>
      <c r="S221" s="12">
        <v>0.0</v>
      </c>
      <c r="T221" s="12">
        <v>0.0</v>
      </c>
      <c r="U221" s="12">
        <v>0.0</v>
      </c>
      <c r="V221" s="16">
        <f t="shared" si="37"/>
        <v>1620.19</v>
      </c>
      <c r="W221" s="12">
        <v>4644.81</v>
      </c>
      <c r="X221" s="12">
        <v>0.0</v>
      </c>
      <c r="Y221" s="12"/>
      <c r="Z221" s="12">
        <v>0.0</v>
      </c>
      <c r="AA221" s="12">
        <v>0.0</v>
      </c>
      <c r="AB221" s="12">
        <v>0.0</v>
      </c>
      <c r="AC221" s="16">
        <f t="shared" si="38"/>
        <v>4644.81</v>
      </c>
      <c r="AD221" s="12"/>
      <c r="AE221" s="12"/>
      <c r="AF221" s="12">
        <v>1834.28</v>
      </c>
      <c r="AG221" s="12">
        <v>278.92</v>
      </c>
      <c r="AH221" s="12"/>
      <c r="AI221" s="12">
        <v>0.0</v>
      </c>
      <c r="AJ221" s="12">
        <v>0.0</v>
      </c>
      <c r="AK221" s="12">
        <v>0.0</v>
      </c>
      <c r="AL221" s="12">
        <f t="shared" si="53"/>
        <v>2113.2</v>
      </c>
      <c r="AM221" s="12">
        <v>6758.0</v>
      </c>
      <c r="AN221" s="12">
        <v>0.0</v>
      </c>
      <c r="AO221" s="12"/>
      <c r="AP221" s="12">
        <v>0.0</v>
      </c>
      <c r="AQ221" s="12">
        <v>0.0</v>
      </c>
      <c r="AR221" s="12">
        <v>0.0</v>
      </c>
      <c r="AS221" s="12">
        <f t="shared" si="61"/>
        <v>6758</v>
      </c>
      <c r="AT221" s="16">
        <f t="shared" si="75"/>
        <v>22292.47</v>
      </c>
      <c r="AU221" s="18">
        <f t="shared" si="69"/>
        <v>278581.01</v>
      </c>
      <c r="AV221" s="18"/>
      <c r="AW221" s="18"/>
      <c r="AX221" s="12">
        <f t="shared" si="1"/>
        <v>22292.47</v>
      </c>
      <c r="AY221" s="12"/>
      <c r="AZ221" s="12">
        <v>10312.67</v>
      </c>
      <c r="BA221" s="18">
        <f t="shared" si="70"/>
        <v>34715.32</v>
      </c>
      <c r="BB221" s="10">
        <f t="shared" si="16"/>
        <v>539750.7069</v>
      </c>
      <c r="BC221" s="16">
        <f t="shared" si="73"/>
        <v>15071.88333</v>
      </c>
      <c r="BD221" s="16"/>
      <c r="BE221" s="16"/>
      <c r="BF221" s="6"/>
      <c r="BG221" s="6"/>
      <c r="BH221" s="6"/>
      <c r="BI221" s="29">
        <f t="shared" si="68"/>
        <v>17785.84</v>
      </c>
      <c r="BK221" s="15">
        <f t="shared" si="76"/>
        <v>1.253383028</v>
      </c>
      <c r="BN221" s="16">
        <f t="shared" si="14"/>
        <v>4506.63</v>
      </c>
      <c r="BO221" s="16">
        <f t="shared" si="71"/>
        <v>-5992.43</v>
      </c>
      <c r="BY221" s="6">
        <f t="shared" si="2"/>
        <v>2024</v>
      </c>
      <c r="BZ221" s="6" t="str">
        <f t="shared" si="3"/>
        <v>mayo</v>
      </c>
      <c r="CA221" s="6" t="str">
        <f t="shared" si="4"/>
        <v>5</v>
      </c>
    </row>
    <row r="222">
      <c r="A222" s="8">
        <v>45429.0</v>
      </c>
      <c r="B222" s="12">
        <v>29233.4</v>
      </c>
      <c r="C222" s="12">
        <v>1726.09</v>
      </c>
      <c r="D222" s="12"/>
      <c r="E222" s="12">
        <v>0.0</v>
      </c>
      <c r="F222" s="12">
        <v>0.0</v>
      </c>
      <c r="G222" s="12">
        <v>0.0</v>
      </c>
      <c r="H222" s="12">
        <f t="shared" si="46"/>
        <v>30959.49</v>
      </c>
      <c r="I222" s="12">
        <v>8028.61</v>
      </c>
      <c r="J222" s="12">
        <v>1972.8</v>
      </c>
      <c r="K222" s="12"/>
      <c r="L222" s="12">
        <v>0.0</v>
      </c>
      <c r="M222" s="12">
        <v>0.0</v>
      </c>
      <c r="N222" s="12">
        <v>0.0</v>
      </c>
      <c r="O222" s="16">
        <f t="shared" si="33"/>
        <v>10001.41</v>
      </c>
      <c r="P222" s="12">
        <v>1907.6</v>
      </c>
      <c r="Q222" s="12">
        <v>234.23</v>
      </c>
      <c r="R222" s="12"/>
      <c r="S222" s="12">
        <v>0.0</v>
      </c>
      <c r="T222" s="12">
        <v>0.0</v>
      </c>
      <c r="U222" s="12">
        <v>0.0</v>
      </c>
      <c r="V222" s="16">
        <f t="shared" si="37"/>
        <v>2141.83</v>
      </c>
      <c r="W222" s="12">
        <v>5108.26</v>
      </c>
      <c r="X222" s="12">
        <v>6.5</v>
      </c>
      <c r="Y222" s="12"/>
      <c r="Z222" s="12">
        <v>0.0</v>
      </c>
      <c r="AA222" s="12">
        <v>0.0</v>
      </c>
      <c r="AB222" s="12">
        <v>0.0</v>
      </c>
      <c r="AC222" s="16">
        <f t="shared" si="38"/>
        <v>5114.76</v>
      </c>
      <c r="AD222" s="12"/>
      <c r="AE222" s="12"/>
      <c r="AF222" s="12">
        <v>626.23</v>
      </c>
      <c r="AG222" s="12">
        <v>0.0</v>
      </c>
      <c r="AH222" s="12"/>
      <c r="AI222" s="12">
        <v>0.0</v>
      </c>
      <c r="AJ222" s="12">
        <v>0.0</v>
      </c>
      <c r="AK222" s="12">
        <v>0.0</v>
      </c>
      <c r="AL222" s="12">
        <f t="shared" si="53"/>
        <v>626.23</v>
      </c>
      <c r="AM222" s="12">
        <v>6305.0</v>
      </c>
      <c r="AN222" s="12">
        <v>0.0</v>
      </c>
      <c r="AO222" s="12"/>
      <c r="AP222" s="12">
        <v>0.0</v>
      </c>
      <c r="AQ222" s="12">
        <v>0.0</v>
      </c>
      <c r="AR222" s="12">
        <v>0.0</v>
      </c>
      <c r="AS222" s="12">
        <f t="shared" si="61"/>
        <v>6305</v>
      </c>
      <c r="AT222" s="16">
        <f t="shared" si="75"/>
        <v>24189.23</v>
      </c>
      <c r="AU222" s="18">
        <f t="shared" si="69"/>
        <v>302770.24</v>
      </c>
      <c r="AV222" s="18"/>
      <c r="AW222" s="18"/>
      <c r="AX222" s="12">
        <f t="shared" si="1"/>
        <v>24189.23</v>
      </c>
      <c r="AY222" s="12"/>
      <c r="AZ222" s="12">
        <v>221.08</v>
      </c>
      <c r="BA222" s="18">
        <f t="shared" si="70"/>
        <v>34936.4</v>
      </c>
      <c r="BB222" s="10">
        <f t="shared" si="16"/>
        <v>552110.4376</v>
      </c>
      <c r="BC222" s="16">
        <f t="shared" si="73"/>
        <v>15071.88333</v>
      </c>
      <c r="BD222" s="16"/>
      <c r="BE222" s="16"/>
      <c r="BF222" s="6"/>
      <c r="BG222" s="6"/>
      <c r="BH222" s="6"/>
      <c r="BI222" s="29">
        <f t="shared" si="68"/>
        <v>17785.84</v>
      </c>
      <c r="BK222" s="15">
        <f t="shared" si="76"/>
        <v>1.360027415</v>
      </c>
      <c r="BN222" s="16">
        <f t="shared" si="14"/>
        <v>6403.39</v>
      </c>
      <c r="BO222" s="16">
        <f t="shared" si="71"/>
        <v>410.96</v>
      </c>
      <c r="BY222" s="6">
        <f t="shared" si="2"/>
        <v>2024</v>
      </c>
      <c r="BZ222" s="6" t="str">
        <f t="shared" si="3"/>
        <v>mayo</v>
      </c>
      <c r="CA222" s="6" t="str">
        <f t="shared" si="4"/>
        <v>5</v>
      </c>
    </row>
    <row r="223">
      <c r="A223" s="8">
        <v>45430.0</v>
      </c>
      <c r="B223" s="12">
        <v>0.0</v>
      </c>
      <c r="C223" s="12">
        <v>0.0</v>
      </c>
      <c r="D223" s="12"/>
      <c r="E223" s="12">
        <v>0.0</v>
      </c>
      <c r="F223" s="12">
        <v>0.0</v>
      </c>
      <c r="G223" s="12">
        <v>0.0</v>
      </c>
      <c r="H223" s="12">
        <f t="shared" si="46"/>
        <v>0</v>
      </c>
      <c r="I223" s="12">
        <v>0.0</v>
      </c>
      <c r="J223" s="12">
        <v>0.0</v>
      </c>
      <c r="K223" s="12"/>
      <c r="L223" s="12">
        <v>0.0</v>
      </c>
      <c r="M223" s="12">
        <v>0.0</v>
      </c>
      <c r="N223" s="12">
        <v>0.0</v>
      </c>
      <c r="O223" s="16">
        <f t="shared" si="33"/>
        <v>0</v>
      </c>
      <c r="P223" s="12">
        <v>0.0</v>
      </c>
      <c r="Q223" s="12">
        <v>0.0</v>
      </c>
      <c r="R223" s="12"/>
      <c r="S223" s="12">
        <v>0.0</v>
      </c>
      <c r="T223" s="12">
        <v>0.0</v>
      </c>
      <c r="U223" s="12">
        <v>0.0</v>
      </c>
      <c r="V223" s="16">
        <f t="shared" si="37"/>
        <v>0</v>
      </c>
      <c r="W223" s="12">
        <v>0.0</v>
      </c>
      <c r="X223" s="12">
        <v>0.0</v>
      </c>
      <c r="Y223" s="12"/>
      <c r="Z223" s="12">
        <v>0.0</v>
      </c>
      <c r="AA223" s="12">
        <v>0.0</v>
      </c>
      <c r="AB223" s="12">
        <v>0.0</v>
      </c>
      <c r="AC223" s="16">
        <f t="shared" si="38"/>
        <v>0</v>
      </c>
      <c r="AD223" s="12"/>
      <c r="AE223" s="12"/>
      <c r="AF223" s="12">
        <v>0.0</v>
      </c>
      <c r="AG223" s="12">
        <v>0.0</v>
      </c>
      <c r="AH223" s="12"/>
      <c r="AI223" s="12">
        <v>0.0</v>
      </c>
      <c r="AJ223" s="12">
        <v>0.0</v>
      </c>
      <c r="AK223" s="12">
        <v>0.0</v>
      </c>
      <c r="AL223" s="12">
        <f t="shared" si="53"/>
        <v>0</v>
      </c>
      <c r="AM223" s="12">
        <v>0.0</v>
      </c>
      <c r="AN223" s="12">
        <v>0.0</v>
      </c>
      <c r="AO223" s="12"/>
      <c r="AP223" s="12">
        <v>0.0</v>
      </c>
      <c r="AQ223" s="12">
        <v>0.0</v>
      </c>
      <c r="AR223" s="12">
        <v>0.0</v>
      </c>
      <c r="AS223" s="12">
        <f t="shared" si="61"/>
        <v>0</v>
      </c>
      <c r="AT223" s="16">
        <f t="shared" si="75"/>
        <v>0</v>
      </c>
      <c r="AU223" s="18">
        <f t="shared" si="69"/>
        <v>302770.24</v>
      </c>
      <c r="AV223" s="18"/>
      <c r="AW223" s="18"/>
      <c r="AX223" s="12">
        <f t="shared" si="1"/>
        <v>0</v>
      </c>
      <c r="AY223" s="12"/>
      <c r="AZ223" s="12">
        <v>0.0</v>
      </c>
      <c r="BA223" s="18">
        <f t="shared" si="70"/>
        <v>34936.4</v>
      </c>
      <c r="BB223" s="10">
        <f t="shared" si="16"/>
        <v>521437.6356</v>
      </c>
      <c r="BC223" s="16">
        <f t="shared" si="73"/>
        <v>15071.88333</v>
      </c>
      <c r="BD223" s="16"/>
      <c r="BE223" s="16"/>
      <c r="BF223" s="6"/>
      <c r="BG223" s="6"/>
      <c r="BH223" s="6"/>
      <c r="BI223" s="29">
        <f t="shared" si="68"/>
        <v>17785.84</v>
      </c>
      <c r="BJ223" s="6"/>
      <c r="BK223" s="15">
        <f t="shared" si="76"/>
        <v>0</v>
      </c>
      <c r="BN223" s="16">
        <f t="shared" si="14"/>
        <v>-17785.84</v>
      </c>
      <c r="BO223" s="16">
        <f t="shared" si="71"/>
        <v>-17374.88</v>
      </c>
      <c r="BY223" s="6">
        <f t="shared" si="2"/>
        <v>2024</v>
      </c>
      <c r="BZ223" s="6" t="str">
        <f t="shared" si="3"/>
        <v>mayo</v>
      </c>
      <c r="CA223" s="6" t="str">
        <f t="shared" si="4"/>
        <v>5</v>
      </c>
    </row>
    <row r="224">
      <c r="A224" s="8">
        <v>45431.0</v>
      </c>
      <c r="B224" s="12">
        <v>0.0</v>
      </c>
      <c r="C224" s="12">
        <v>0.0</v>
      </c>
      <c r="D224" s="12"/>
      <c r="E224" s="12">
        <v>0.0</v>
      </c>
      <c r="F224" s="12">
        <v>0.0</v>
      </c>
      <c r="G224" s="12">
        <v>0.0</v>
      </c>
      <c r="H224" s="12">
        <f t="shared" si="46"/>
        <v>0</v>
      </c>
      <c r="I224" s="12">
        <v>0.0</v>
      </c>
      <c r="J224" s="12">
        <v>0.0</v>
      </c>
      <c r="K224" s="12"/>
      <c r="L224" s="12">
        <v>0.0</v>
      </c>
      <c r="M224" s="12">
        <v>0.0</v>
      </c>
      <c r="N224" s="12">
        <v>0.0</v>
      </c>
      <c r="O224" s="16">
        <f t="shared" si="33"/>
        <v>0</v>
      </c>
      <c r="P224" s="12">
        <v>0.0</v>
      </c>
      <c r="Q224" s="12">
        <v>0.0</v>
      </c>
      <c r="R224" s="12"/>
      <c r="S224" s="12">
        <v>0.0</v>
      </c>
      <c r="T224" s="12">
        <v>0.0</v>
      </c>
      <c r="U224" s="12">
        <v>0.0</v>
      </c>
      <c r="V224" s="16">
        <f t="shared" si="37"/>
        <v>0</v>
      </c>
      <c r="W224" s="12">
        <v>0.0</v>
      </c>
      <c r="X224" s="12">
        <v>0.0</v>
      </c>
      <c r="Y224" s="12"/>
      <c r="Z224" s="12">
        <v>0.0</v>
      </c>
      <c r="AA224" s="12">
        <v>0.0</v>
      </c>
      <c r="AB224" s="12">
        <v>0.0</v>
      </c>
      <c r="AC224" s="16">
        <f t="shared" si="38"/>
        <v>0</v>
      </c>
      <c r="AD224" s="12"/>
      <c r="AE224" s="12"/>
      <c r="AF224" s="12">
        <v>0.0</v>
      </c>
      <c r="AG224" s="12">
        <v>0.0</v>
      </c>
      <c r="AH224" s="12"/>
      <c r="AI224" s="12">
        <v>0.0</v>
      </c>
      <c r="AJ224" s="12">
        <v>0.0</v>
      </c>
      <c r="AK224" s="12">
        <v>0.0</v>
      </c>
      <c r="AL224" s="12">
        <f t="shared" si="53"/>
        <v>0</v>
      </c>
      <c r="AM224" s="12">
        <v>0.0</v>
      </c>
      <c r="AN224" s="12">
        <v>0.0</v>
      </c>
      <c r="AO224" s="12"/>
      <c r="AP224" s="12">
        <v>0.0</v>
      </c>
      <c r="AQ224" s="12">
        <v>0.0</v>
      </c>
      <c r="AR224" s="12">
        <v>0.0</v>
      </c>
      <c r="AS224" s="12">
        <f t="shared" si="61"/>
        <v>0</v>
      </c>
      <c r="AT224" s="16">
        <f t="shared" si="75"/>
        <v>0</v>
      </c>
      <c r="AU224" s="18">
        <f t="shared" si="69"/>
        <v>302770.24</v>
      </c>
      <c r="AV224" s="18"/>
      <c r="AW224" s="18"/>
      <c r="AX224" s="12">
        <f t="shared" si="1"/>
        <v>0</v>
      </c>
      <c r="AY224" s="12"/>
      <c r="AZ224" s="12">
        <v>0.0</v>
      </c>
      <c r="BA224" s="18">
        <f t="shared" si="70"/>
        <v>34936.4</v>
      </c>
      <c r="BB224" s="10">
        <f t="shared" si="16"/>
        <v>493993.5495</v>
      </c>
      <c r="BC224" s="16">
        <f t="shared" si="73"/>
        <v>15071.88333</v>
      </c>
      <c r="BD224" s="16"/>
      <c r="BE224" s="16"/>
      <c r="BF224" s="6"/>
      <c r="BG224" s="6"/>
      <c r="BH224" s="6"/>
      <c r="BI224" s="29">
        <f t="shared" si="68"/>
        <v>17785.84</v>
      </c>
      <c r="BJ224" s="6"/>
      <c r="BK224" s="15">
        <f t="shared" si="76"/>
        <v>0</v>
      </c>
      <c r="BN224" s="16">
        <f t="shared" si="14"/>
        <v>-17785.84</v>
      </c>
      <c r="BO224" s="16">
        <f t="shared" si="71"/>
        <v>-35160.72</v>
      </c>
      <c r="BY224" s="6">
        <f t="shared" si="2"/>
        <v>2024</v>
      </c>
      <c r="BZ224" s="6" t="str">
        <f t="shared" si="3"/>
        <v>mayo</v>
      </c>
      <c r="CA224" s="6" t="str">
        <f t="shared" si="4"/>
        <v>5</v>
      </c>
    </row>
    <row r="225">
      <c r="A225" s="8">
        <v>45432.0</v>
      </c>
      <c r="B225" s="12">
        <v>22211.24</v>
      </c>
      <c r="C225" s="12">
        <v>851.08</v>
      </c>
      <c r="D225" s="12"/>
      <c r="E225" s="12">
        <v>0.0</v>
      </c>
      <c r="F225" s="12">
        <v>0.0</v>
      </c>
      <c r="G225" s="12">
        <v>0.0</v>
      </c>
      <c r="H225" s="12">
        <f t="shared" si="46"/>
        <v>23062.32</v>
      </c>
      <c r="I225" s="12">
        <v>16631.09</v>
      </c>
      <c r="J225" s="12">
        <v>1449.26</v>
      </c>
      <c r="K225" s="12"/>
      <c r="L225" s="12">
        <v>0.0</v>
      </c>
      <c r="M225" s="12">
        <v>0.0</v>
      </c>
      <c r="N225" s="12">
        <v>0.0</v>
      </c>
      <c r="O225" s="16">
        <f t="shared" si="33"/>
        <v>18080.35</v>
      </c>
      <c r="P225" s="12">
        <v>4283.58</v>
      </c>
      <c r="Q225" s="12">
        <v>256.31</v>
      </c>
      <c r="R225" s="12"/>
      <c r="S225" s="12">
        <v>0.0</v>
      </c>
      <c r="T225" s="12">
        <v>0.0</v>
      </c>
      <c r="U225" s="12">
        <v>0.0</v>
      </c>
      <c r="V225" s="16">
        <f t="shared" si="37"/>
        <v>4539.89</v>
      </c>
      <c r="W225" s="12">
        <v>0.36</v>
      </c>
      <c r="X225" s="12">
        <v>1080.0</v>
      </c>
      <c r="Y225" s="12"/>
      <c r="Z225" s="12">
        <v>0.0</v>
      </c>
      <c r="AA225" s="12">
        <v>0.0</v>
      </c>
      <c r="AB225" s="12">
        <v>0.0</v>
      </c>
      <c r="AC225" s="16">
        <f t="shared" si="38"/>
        <v>1080.36</v>
      </c>
      <c r="AD225" s="12"/>
      <c r="AE225" s="12"/>
      <c r="AF225" s="12">
        <v>1291.66</v>
      </c>
      <c r="AG225" s="12">
        <v>393.16</v>
      </c>
      <c r="AH225" s="12"/>
      <c r="AI225" s="12">
        <v>0.0</v>
      </c>
      <c r="AJ225" s="12">
        <v>0.0</v>
      </c>
      <c r="AK225" s="12">
        <v>0.0</v>
      </c>
      <c r="AL225" s="12">
        <f t="shared" si="53"/>
        <v>1684.82</v>
      </c>
      <c r="AM225" s="12">
        <v>0.0</v>
      </c>
      <c r="AN225" s="12">
        <v>1696.39</v>
      </c>
      <c r="AO225" s="12"/>
      <c r="AP225" s="12">
        <v>0.0</v>
      </c>
      <c r="AQ225" s="12">
        <v>0.0</v>
      </c>
      <c r="AR225" s="12">
        <v>0.0</v>
      </c>
      <c r="AS225" s="12">
        <f t="shared" si="61"/>
        <v>1696.39</v>
      </c>
      <c r="AT225" s="16">
        <f t="shared" si="75"/>
        <v>27081.81</v>
      </c>
      <c r="AU225" s="18">
        <f t="shared" si="69"/>
        <v>329852.05</v>
      </c>
      <c r="AV225" s="18"/>
      <c r="AW225" s="18"/>
      <c r="AX225" s="12">
        <f t="shared" si="1"/>
        <v>27081.81</v>
      </c>
      <c r="AY225" s="12"/>
      <c r="AZ225" s="12">
        <v>998.59</v>
      </c>
      <c r="BA225" s="18">
        <f t="shared" si="70"/>
        <v>35934.99</v>
      </c>
      <c r="BB225" s="10">
        <f t="shared" si="16"/>
        <v>511270.6775</v>
      </c>
      <c r="BC225" s="16">
        <f t="shared" si="73"/>
        <v>15071.88333</v>
      </c>
      <c r="BD225" s="16"/>
      <c r="BE225" s="16"/>
      <c r="BF225" s="6"/>
      <c r="BG225" s="6"/>
      <c r="BH225" s="6"/>
      <c r="BI225" s="29">
        <f t="shared" si="68"/>
        <v>17785.84</v>
      </c>
      <c r="BK225" s="15">
        <f t="shared" si="76"/>
        <v>1.522661286</v>
      </c>
      <c r="BN225" s="16">
        <f t="shared" si="14"/>
        <v>9295.97</v>
      </c>
      <c r="BO225" s="16">
        <f t="shared" si="71"/>
        <v>-25864.75</v>
      </c>
      <c r="BY225" s="6">
        <f t="shared" si="2"/>
        <v>2024</v>
      </c>
      <c r="BZ225" s="6" t="str">
        <f t="shared" si="3"/>
        <v>mayo</v>
      </c>
      <c r="CA225" s="6" t="str">
        <f t="shared" si="4"/>
        <v>5</v>
      </c>
    </row>
    <row r="226">
      <c r="A226" s="8">
        <v>45433.0</v>
      </c>
      <c r="B226" s="16">
        <f>15383.48+400</f>
        <v>15783.48</v>
      </c>
      <c r="C226" s="16">
        <f>406.19+50068.95</f>
        <v>50475.14</v>
      </c>
      <c r="D226" s="12"/>
      <c r="E226" s="12">
        <v>34962.56</v>
      </c>
      <c r="F226" s="12">
        <v>453.26</v>
      </c>
      <c r="G226" s="12">
        <v>0.0</v>
      </c>
      <c r="H226" s="12">
        <f t="shared" si="46"/>
        <v>101674.44</v>
      </c>
      <c r="I226" s="12">
        <v>12103.49</v>
      </c>
      <c r="J226" s="12">
        <v>639.08</v>
      </c>
      <c r="K226" s="12"/>
      <c r="L226" s="12">
        <v>28726.64</v>
      </c>
      <c r="M226" s="12">
        <v>1464.68</v>
      </c>
      <c r="N226" s="12">
        <v>0.0</v>
      </c>
      <c r="O226" s="16">
        <f t="shared" si="33"/>
        <v>42933.89</v>
      </c>
      <c r="P226" s="12">
        <v>2502.24</v>
      </c>
      <c r="Q226" s="12">
        <v>95.04</v>
      </c>
      <c r="R226" s="12"/>
      <c r="S226" s="12">
        <v>0.0</v>
      </c>
      <c r="T226" s="12">
        <v>0.0</v>
      </c>
      <c r="U226" s="12">
        <v>0.0</v>
      </c>
      <c r="V226" s="16">
        <f t="shared" si="37"/>
        <v>2597.28</v>
      </c>
      <c r="W226" s="12">
        <v>1867.19</v>
      </c>
      <c r="X226" s="12">
        <v>0.0</v>
      </c>
      <c r="Y226" s="12"/>
      <c r="Z226" s="12">
        <v>0.0</v>
      </c>
      <c r="AA226" s="12">
        <v>0.04</v>
      </c>
      <c r="AB226" s="12">
        <v>0.0</v>
      </c>
      <c r="AC226" s="16">
        <f t="shared" si="38"/>
        <v>1867.23</v>
      </c>
      <c r="AD226" s="12"/>
      <c r="AE226" s="12"/>
      <c r="AF226" s="12">
        <v>3561.88</v>
      </c>
      <c r="AG226" s="12">
        <v>0.0</v>
      </c>
      <c r="AH226" s="12"/>
      <c r="AI226" s="12">
        <v>18197.75</v>
      </c>
      <c r="AJ226" s="12">
        <v>0.0</v>
      </c>
      <c r="AK226" s="12">
        <v>0.0</v>
      </c>
      <c r="AL226" s="12">
        <f t="shared" si="53"/>
        <v>21759.63</v>
      </c>
      <c r="AM226" s="12">
        <v>2421.0</v>
      </c>
      <c r="AN226" s="12">
        <v>0.0</v>
      </c>
      <c r="AO226" s="12"/>
      <c r="AP226" s="12">
        <v>0.0</v>
      </c>
      <c r="AQ226" s="12">
        <v>0.0</v>
      </c>
      <c r="AR226" s="12">
        <v>0.0</v>
      </c>
      <c r="AS226" s="12">
        <f t="shared" si="61"/>
        <v>2421</v>
      </c>
      <c r="AT226" s="16">
        <f t="shared" si="75"/>
        <v>71579.03</v>
      </c>
      <c r="AU226" s="18">
        <f t="shared" si="69"/>
        <v>401431.08</v>
      </c>
      <c r="AV226" s="18"/>
      <c r="AW226" s="18"/>
      <c r="AX226" s="12">
        <f t="shared" si="1"/>
        <v>71579.03</v>
      </c>
      <c r="AY226" s="12"/>
      <c r="AZ226" s="12">
        <v>37836.59</v>
      </c>
      <c r="BA226" s="18">
        <f t="shared" si="70"/>
        <v>73771.58</v>
      </c>
      <c r="BB226" s="10">
        <f t="shared" si="16"/>
        <v>592588.7371</v>
      </c>
      <c r="BC226" s="16">
        <f t="shared" si="73"/>
        <v>15071.88333</v>
      </c>
      <c r="BD226" s="16"/>
      <c r="BE226" s="16"/>
      <c r="BF226" s="6"/>
      <c r="BG226" s="6"/>
      <c r="BH226" s="6"/>
      <c r="BI226" s="29">
        <f t="shared" si="68"/>
        <v>17785.84</v>
      </c>
      <c r="BK226" s="15">
        <f t="shared" si="76"/>
        <v>4.024495329</v>
      </c>
      <c r="BN226" s="16">
        <f t="shared" si="14"/>
        <v>53793.19</v>
      </c>
      <c r="BO226" s="16">
        <f t="shared" si="71"/>
        <v>27928.44</v>
      </c>
      <c r="BY226" s="6">
        <f t="shared" si="2"/>
        <v>2024</v>
      </c>
      <c r="BZ226" s="6" t="str">
        <f t="shared" si="3"/>
        <v>mayo</v>
      </c>
      <c r="CA226" s="6" t="str">
        <f t="shared" si="4"/>
        <v>5</v>
      </c>
    </row>
    <row r="227">
      <c r="A227" s="8">
        <v>45434.0</v>
      </c>
      <c r="B227" s="12">
        <v>22587.75</v>
      </c>
      <c r="C227" s="12">
        <v>1229.47</v>
      </c>
      <c r="D227" s="12"/>
      <c r="E227" s="12">
        <v>0.0</v>
      </c>
      <c r="F227" s="12">
        <v>0.0</v>
      </c>
      <c r="G227" s="12">
        <v>0.0</v>
      </c>
      <c r="H227" s="12">
        <f t="shared" si="46"/>
        <v>23817.22</v>
      </c>
      <c r="I227" s="12">
        <v>17569.04</v>
      </c>
      <c r="J227" s="12">
        <v>486.2</v>
      </c>
      <c r="K227" s="12"/>
      <c r="L227" s="12">
        <v>0.0</v>
      </c>
      <c r="M227" s="12">
        <v>0.0</v>
      </c>
      <c r="N227" s="12">
        <v>0.0</v>
      </c>
      <c r="O227" s="16">
        <f t="shared" si="33"/>
        <v>18055.24</v>
      </c>
      <c r="P227" s="12">
        <v>2492.64</v>
      </c>
      <c r="Q227" s="12">
        <v>334.23</v>
      </c>
      <c r="R227" s="12"/>
      <c r="S227" s="12">
        <v>0.0</v>
      </c>
      <c r="T227" s="12">
        <v>0.0</v>
      </c>
      <c r="U227" s="12">
        <v>0.0</v>
      </c>
      <c r="V227" s="16">
        <f t="shared" si="37"/>
        <v>2826.87</v>
      </c>
      <c r="W227" s="12">
        <v>3327.98</v>
      </c>
      <c r="X227" s="12">
        <v>0.0</v>
      </c>
      <c r="Y227" s="12"/>
      <c r="Z227" s="12">
        <v>0.0</v>
      </c>
      <c r="AA227" s="12">
        <v>0.0</v>
      </c>
      <c r="AB227" s="12">
        <v>0.0</v>
      </c>
      <c r="AC227" s="16">
        <f t="shared" si="38"/>
        <v>3327.98</v>
      </c>
      <c r="AD227" s="12"/>
      <c r="AE227" s="12"/>
      <c r="AF227" s="12">
        <v>868.18</v>
      </c>
      <c r="AG227" s="12">
        <v>0.0</v>
      </c>
      <c r="AH227" s="12"/>
      <c r="AI227" s="12">
        <v>0.0</v>
      </c>
      <c r="AJ227" s="12">
        <v>0.0</v>
      </c>
      <c r="AK227" s="12">
        <v>0.0</v>
      </c>
      <c r="AL227" s="12">
        <f t="shared" si="53"/>
        <v>868.18</v>
      </c>
      <c r="AM227" s="12">
        <v>3813.0</v>
      </c>
      <c r="AN227" s="12">
        <v>0.0</v>
      </c>
      <c r="AO227" s="12"/>
      <c r="AP227" s="12">
        <v>0.0</v>
      </c>
      <c r="AQ227" s="12">
        <v>0.0</v>
      </c>
      <c r="AR227" s="12">
        <v>0.0</v>
      </c>
      <c r="AS227" s="12">
        <f t="shared" si="61"/>
        <v>3813</v>
      </c>
      <c r="AT227" s="16">
        <f t="shared" si="75"/>
        <v>28891.27</v>
      </c>
      <c r="AU227" s="18">
        <f t="shared" si="69"/>
        <v>430322.35</v>
      </c>
      <c r="AV227" s="18"/>
      <c r="AW227" s="18"/>
      <c r="AX227" s="12">
        <f t="shared" si="1"/>
        <v>28891.27</v>
      </c>
      <c r="AY227" s="12"/>
      <c r="AZ227" s="12">
        <v>3547.0</v>
      </c>
      <c r="BA227" s="18">
        <f t="shared" si="70"/>
        <v>77318.58</v>
      </c>
      <c r="BB227" s="10">
        <f t="shared" si="16"/>
        <v>606363.3114</v>
      </c>
      <c r="BC227" s="16">
        <f t="shared" si="73"/>
        <v>15071.88333</v>
      </c>
      <c r="BD227" s="16"/>
      <c r="BE227" s="16"/>
      <c r="BF227" s="6"/>
      <c r="BG227" s="6"/>
      <c r="BH227" s="6"/>
      <c r="BI227" s="29">
        <f t="shared" si="68"/>
        <v>17785.84</v>
      </c>
      <c r="BK227" s="15">
        <f t="shared" si="76"/>
        <v>1.624397273</v>
      </c>
      <c r="BN227" s="16">
        <f t="shared" si="14"/>
        <v>11105.43</v>
      </c>
      <c r="BO227" s="16">
        <f t="shared" si="71"/>
        <v>39033.87</v>
      </c>
      <c r="BY227" s="6">
        <f t="shared" si="2"/>
        <v>2024</v>
      </c>
      <c r="BZ227" s="6" t="str">
        <f t="shared" si="3"/>
        <v>mayo</v>
      </c>
      <c r="CA227" s="6" t="str">
        <f t="shared" si="4"/>
        <v>5</v>
      </c>
    </row>
    <row r="228">
      <c r="A228" s="8">
        <v>45435.0</v>
      </c>
      <c r="B228" s="12">
        <v>17235.13</v>
      </c>
      <c r="C228" s="12">
        <v>478.6</v>
      </c>
      <c r="D228" s="12"/>
      <c r="E228" s="12">
        <v>0.0</v>
      </c>
      <c r="F228" s="12">
        <v>0.0</v>
      </c>
      <c r="G228" s="12">
        <v>0.0</v>
      </c>
      <c r="H228" s="12">
        <f t="shared" si="46"/>
        <v>17713.73</v>
      </c>
      <c r="I228" s="12">
        <v>19504.84</v>
      </c>
      <c r="J228" s="12">
        <v>513.15</v>
      </c>
      <c r="K228" s="12"/>
      <c r="L228" s="12">
        <v>0.0</v>
      </c>
      <c r="M228" s="12">
        <v>0.0</v>
      </c>
      <c r="N228" s="12">
        <v>0.0</v>
      </c>
      <c r="O228" s="16">
        <f t="shared" si="33"/>
        <v>20017.99</v>
      </c>
      <c r="P228" s="12">
        <v>1921.37</v>
      </c>
      <c r="Q228" s="12">
        <v>238.96</v>
      </c>
      <c r="R228" s="12"/>
      <c r="S228" s="12">
        <v>0.0</v>
      </c>
      <c r="T228" s="12">
        <v>0.0</v>
      </c>
      <c r="U228" s="12">
        <v>0.0</v>
      </c>
      <c r="V228" s="16">
        <f t="shared" si="37"/>
        <v>2160.33</v>
      </c>
      <c r="W228" s="12">
        <v>450.0</v>
      </c>
      <c r="X228" s="12">
        <v>0.0</v>
      </c>
      <c r="Y228" s="12"/>
      <c r="Z228" s="12">
        <v>0.0</v>
      </c>
      <c r="AA228" s="12">
        <v>0.0</v>
      </c>
      <c r="AB228" s="12">
        <v>0.0</v>
      </c>
      <c r="AC228" s="16">
        <f t="shared" si="38"/>
        <v>450</v>
      </c>
      <c r="AD228" s="12"/>
      <c r="AE228" s="12"/>
      <c r="AF228" s="12">
        <v>5197.96</v>
      </c>
      <c r="AG228" s="12">
        <v>327.14</v>
      </c>
      <c r="AH228" s="12"/>
      <c r="AI228" s="12">
        <v>0.0</v>
      </c>
      <c r="AJ228" s="12">
        <v>0.0</v>
      </c>
      <c r="AK228" s="12">
        <v>0.0</v>
      </c>
      <c r="AL228" s="12">
        <f t="shared" si="53"/>
        <v>5525.1</v>
      </c>
      <c r="AM228" s="12">
        <v>0.0</v>
      </c>
      <c r="AN228" s="12">
        <v>0.0</v>
      </c>
      <c r="AO228" s="12"/>
      <c r="AP228" s="12">
        <v>0.0</v>
      </c>
      <c r="AQ228" s="12">
        <v>0.0</v>
      </c>
      <c r="AR228" s="12">
        <v>0.0</v>
      </c>
      <c r="AS228" s="12">
        <f t="shared" si="61"/>
        <v>0</v>
      </c>
      <c r="AT228" s="16">
        <f t="shared" si="75"/>
        <v>28153.42</v>
      </c>
      <c r="AU228" s="18">
        <f t="shared" si="69"/>
        <v>458475.77</v>
      </c>
      <c r="AV228" s="18"/>
      <c r="AW228" s="18"/>
      <c r="AX228" s="12">
        <f t="shared" si="1"/>
        <v>28153.42</v>
      </c>
      <c r="AY228" s="12"/>
      <c r="AZ228" s="12">
        <v>2573.38</v>
      </c>
      <c r="BA228" s="18">
        <f t="shared" si="70"/>
        <v>79891.96</v>
      </c>
      <c r="BB228" s="10">
        <f t="shared" si="16"/>
        <v>617945.603</v>
      </c>
      <c r="BC228" s="16">
        <f t="shared" si="73"/>
        <v>15071.88333</v>
      </c>
      <c r="BD228" s="16"/>
      <c r="BE228" s="16"/>
      <c r="BF228" s="6"/>
      <c r="BG228" s="6"/>
      <c r="BH228" s="6"/>
      <c r="BI228" s="29">
        <f t="shared" si="68"/>
        <v>17785.84</v>
      </c>
      <c r="BK228" s="15">
        <f t="shared" si="76"/>
        <v>1.582912024</v>
      </c>
      <c r="BN228" s="16">
        <f t="shared" si="14"/>
        <v>10367.58</v>
      </c>
      <c r="BO228" s="16">
        <f t="shared" si="71"/>
        <v>49401.45</v>
      </c>
      <c r="BY228" s="6">
        <f t="shared" si="2"/>
        <v>2024</v>
      </c>
      <c r="BZ228" s="6" t="str">
        <f t="shared" si="3"/>
        <v>mayo</v>
      </c>
      <c r="CA228" s="6" t="str">
        <f t="shared" si="4"/>
        <v>5</v>
      </c>
    </row>
    <row r="229">
      <c r="A229" s="8">
        <v>45436.0</v>
      </c>
      <c r="B229" s="12">
        <f>110045.54+10000</f>
        <v>120045.54</v>
      </c>
      <c r="C229" s="12">
        <v>929.0</v>
      </c>
      <c r="D229" s="12"/>
      <c r="E229" s="12">
        <v>0.0</v>
      </c>
      <c r="F229" s="12">
        <v>0.0</v>
      </c>
      <c r="G229" s="12">
        <v>0.0</v>
      </c>
      <c r="H229" s="12">
        <f t="shared" si="46"/>
        <v>120974.54</v>
      </c>
      <c r="I229" s="12">
        <v>2384.69</v>
      </c>
      <c r="J229" s="12">
        <v>106.8</v>
      </c>
      <c r="K229" s="12"/>
      <c r="L229" s="12">
        <v>2940.0</v>
      </c>
      <c r="M229" s="12">
        <v>0.0</v>
      </c>
      <c r="N229" s="12">
        <v>0.0</v>
      </c>
      <c r="O229" s="16">
        <f t="shared" si="33"/>
        <v>5431.49</v>
      </c>
      <c r="P229" s="12">
        <v>1627.51</v>
      </c>
      <c r="Q229" s="12">
        <v>61.8</v>
      </c>
      <c r="R229" s="12"/>
      <c r="S229" s="12">
        <v>0.0</v>
      </c>
      <c r="T229" s="12">
        <v>0.0</v>
      </c>
      <c r="U229" s="12">
        <v>0.0</v>
      </c>
      <c r="V229" s="16">
        <f t="shared" si="37"/>
        <v>1689.31</v>
      </c>
      <c r="W229" s="12">
        <v>9543.38</v>
      </c>
      <c r="X229" s="12">
        <v>0.0</v>
      </c>
      <c r="Y229" s="12"/>
      <c r="Z229" s="12">
        <v>0.0</v>
      </c>
      <c r="AA229" s="12">
        <v>0.0</v>
      </c>
      <c r="AB229" s="12">
        <v>0.0</v>
      </c>
      <c r="AC229" s="16">
        <f t="shared" si="38"/>
        <v>9543.38</v>
      </c>
      <c r="AD229" s="12"/>
      <c r="AE229" s="12"/>
      <c r="AF229" s="12">
        <v>635.0</v>
      </c>
      <c r="AG229" s="12">
        <v>0.0</v>
      </c>
      <c r="AH229" s="12"/>
      <c r="AI229" s="12">
        <v>1750.0</v>
      </c>
      <c r="AJ229" s="12">
        <v>0.0</v>
      </c>
      <c r="AK229" s="12">
        <v>0.0</v>
      </c>
      <c r="AL229" s="12">
        <f t="shared" si="53"/>
        <v>2385</v>
      </c>
      <c r="AM229" s="12">
        <v>12445.0</v>
      </c>
      <c r="AN229" s="12">
        <v>0.0</v>
      </c>
      <c r="AO229" s="12"/>
      <c r="AP229" s="12">
        <v>0.0</v>
      </c>
      <c r="AQ229" s="12">
        <v>0.0</v>
      </c>
      <c r="AR229" s="12">
        <v>0.0</v>
      </c>
      <c r="AS229" s="12">
        <f t="shared" si="61"/>
        <v>12445</v>
      </c>
      <c r="AT229" s="16">
        <f t="shared" si="75"/>
        <v>31494.18</v>
      </c>
      <c r="AU229" s="18">
        <f t="shared" si="69"/>
        <v>489969.95</v>
      </c>
      <c r="AV229" s="18"/>
      <c r="AW229" s="18"/>
      <c r="AX229" s="12">
        <f t="shared" si="1"/>
        <v>31494.18</v>
      </c>
      <c r="AY229" s="12"/>
      <c r="AZ229" s="12">
        <v>6860.0</v>
      </c>
      <c r="BA229" s="18">
        <f t="shared" si="70"/>
        <v>86751.96</v>
      </c>
      <c r="BB229" s="10">
        <f t="shared" si="16"/>
        <v>632877.8521</v>
      </c>
      <c r="BC229" s="16">
        <f t="shared" si="73"/>
        <v>15071.88333</v>
      </c>
      <c r="BD229" s="16"/>
      <c r="BE229" s="16"/>
      <c r="BF229" s="6"/>
      <c r="BG229" s="6"/>
      <c r="BH229" s="6"/>
      <c r="BI229" s="29">
        <f t="shared" si="68"/>
        <v>17785.84</v>
      </c>
      <c r="BK229" s="15">
        <f t="shared" si="76"/>
        <v>1.770744592</v>
      </c>
      <c r="BN229" s="16">
        <f t="shared" si="14"/>
        <v>13708.34</v>
      </c>
      <c r="BO229" s="16">
        <f t="shared" si="71"/>
        <v>63109.79</v>
      </c>
      <c r="BY229" s="6">
        <f t="shared" si="2"/>
        <v>2024</v>
      </c>
      <c r="BZ229" s="6" t="str">
        <f t="shared" si="3"/>
        <v>mayo</v>
      </c>
      <c r="CA229" s="6" t="str">
        <f t="shared" si="4"/>
        <v>5</v>
      </c>
    </row>
    <row r="230">
      <c r="A230" s="8">
        <v>45437.0</v>
      </c>
      <c r="B230" s="12">
        <v>0.0</v>
      </c>
      <c r="C230" s="12">
        <v>0.0</v>
      </c>
      <c r="D230" s="12"/>
      <c r="E230" s="12">
        <v>0.0</v>
      </c>
      <c r="F230" s="12">
        <v>0.0</v>
      </c>
      <c r="G230" s="12">
        <v>0.0</v>
      </c>
      <c r="H230" s="12">
        <f t="shared" si="46"/>
        <v>0</v>
      </c>
      <c r="I230" s="12">
        <v>0.0</v>
      </c>
      <c r="J230" s="12">
        <v>0.0</v>
      </c>
      <c r="K230" s="12"/>
      <c r="L230" s="12">
        <v>0.0</v>
      </c>
      <c r="M230" s="12">
        <v>0.0</v>
      </c>
      <c r="N230" s="12">
        <v>0.0</v>
      </c>
      <c r="O230" s="16">
        <f t="shared" si="33"/>
        <v>0</v>
      </c>
      <c r="P230" s="12">
        <v>0.0</v>
      </c>
      <c r="Q230" s="12">
        <v>0.0</v>
      </c>
      <c r="R230" s="12"/>
      <c r="S230" s="12">
        <v>0.0</v>
      </c>
      <c r="T230" s="12">
        <v>0.0</v>
      </c>
      <c r="U230" s="12">
        <v>0.0</v>
      </c>
      <c r="V230" s="16">
        <f t="shared" si="37"/>
        <v>0</v>
      </c>
      <c r="W230" s="12">
        <v>0.0</v>
      </c>
      <c r="X230" s="12">
        <v>0.0</v>
      </c>
      <c r="Y230" s="12"/>
      <c r="Z230" s="12">
        <v>0.0</v>
      </c>
      <c r="AA230" s="12">
        <v>0.0</v>
      </c>
      <c r="AB230" s="12">
        <v>0.0</v>
      </c>
      <c r="AC230" s="16">
        <f t="shared" si="38"/>
        <v>0</v>
      </c>
      <c r="AD230" s="12"/>
      <c r="AE230" s="12"/>
      <c r="AF230" s="12">
        <v>0.0</v>
      </c>
      <c r="AG230" s="12">
        <v>0.0</v>
      </c>
      <c r="AH230" s="12"/>
      <c r="AI230" s="12">
        <v>0.0</v>
      </c>
      <c r="AJ230" s="12">
        <v>0.0</v>
      </c>
      <c r="AK230" s="12">
        <v>0.0</v>
      </c>
      <c r="AL230" s="12">
        <f t="shared" si="53"/>
        <v>0</v>
      </c>
      <c r="AM230" s="12">
        <v>0.0</v>
      </c>
      <c r="AN230" s="12">
        <v>0.0</v>
      </c>
      <c r="AO230" s="12"/>
      <c r="AP230" s="12">
        <v>0.0</v>
      </c>
      <c r="AQ230" s="12">
        <v>0.0</v>
      </c>
      <c r="AR230" s="12">
        <v>0.0</v>
      </c>
      <c r="AS230" s="12">
        <f t="shared" si="61"/>
        <v>0</v>
      </c>
      <c r="AT230" s="16">
        <f t="shared" si="75"/>
        <v>0</v>
      </c>
      <c r="AU230" s="18">
        <f t="shared" si="69"/>
        <v>489969.95</v>
      </c>
      <c r="AV230" s="18"/>
      <c r="AW230" s="18"/>
      <c r="AX230" s="12">
        <f t="shared" si="1"/>
        <v>0</v>
      </c>
      <c r="AY230" s="12"/>
      <c r="AZ230" s="12">
        <v>0.0</v>
      </c>
      <c r="BA230" s="18">
        <f t="shared" si="70"/>
        <v>86751.96</v>
      </c>
      <c r="BB230" s="10">
        <f t="shared" si="16"/>
        <v>607562.738</v>
      </c>
      <c r="BC230" s="16">
        <f t="shared" si="73"/>
        <v>15071.88333</v>
      </c>
      <c r="BD230" s="16"/>
      <c r="BE230" s="16"/>
      <c r="BF230" s="6"/>
      <c r="BG230" s="6"/>
      <c r="BH230" s="6"/>
      <c r="BI230" s="29">
        <f t="shared" si="68"/>
        <v>17785.84</v>
      </c>
      <c r="BJ230" s="6"/>
      <c r="BK230" s="15">
        <f t="shared" si="76"/>
        <v>0</v>
      </c>
      <c r="BN230" s="16">
        <f t="shared" si="14"/>
        <v>-17785.84</v>
      </c>
      <c r="BO230" s="16">
        <f t="shared" si="71"/>
        <v>45323.95</v>
      </c>
      <c r="BY230" s="6">
        <f t="shared" si="2"/>
        <v>2024</v>
      </c>
      <c r="BZ230" s="6" t="str">
        <f t="shared" si="3"/>
        <v>mayo</v>
      </c>
      <c r="CA230" s="6" t="str">
        <f t="shared" si="4"/>
        <v>5</v>
      </c>
    </row>
    <row r="231">
      <c r="A231" s="8">
        <v>45438.0</v>
      </c>
      <c r="B231" s="12">
        <v>0.0</v>
      </c>
      <c r="C231" s="12">
        <v>0.0</v>
      </c>
      <c r="D231" s="12"/>
      <c r="E231" s="12">
        <v>0.0</v>
      </c>
      <c r="F231" s="12">
        <v>0.0</v>
      </c>
      <c r="G231" s="12">
        <v>0.0</v>
      </c>
      <c r="H231" s="12">
        <f t="shared" si="46"/>
        <v>0</v>
      </c>
      <c r="I231" s="12">
        <v>0.0</v>
      </c>
      <c r="J231" s="12">
        <v>0.0</v>
      </c>
      <c r="K231" s="12"/>
      <c r="L231" s="12">
        <v>0.0</v>
      </c>
      <c r="M231" s="12">
        <v>0.0</v>
      </c>
      <c r="N231" s="12">
        <v>0.0</v>
      </c>
      <c r="O231" s="16">
        <f t="shared" si="33"/>
        <v>0</v>
      </c>
      <c r="P231" s="12">
        <v>0.0</v>
      </c>
      <c r="Q231" s="12">
        <v>0.0</v>
      </c>
      <c r="R231" s="12"/>
      <c r="S231" s="12">
        <v>0.0</v>
      </c>
      <c r="T231" s="12">
        <v>0.0</v>
      </c>
      <c r="U231" s="12">
        <v>0.0</v>
      </c>
      <c r="V231" s="16">
        <f t="shared" si="37"/>
        <v>0</v>
      </c>
      <c r="W231" s="12">
        <v>0.0</v>
      </c>
      <c r="X231" s="12">
        <v>0.0</v>
      </c>
      <c r="Y231" s="12"/>
      <c r="Z231" s="12">
        <v>0.0</v>
      </c>
      <c r="AA231" s="12">
        <v>0.0</v>
      </c>
      <c r="AB231" s="12">
        <v>0.0</v>
      </c>
      <c r="AC231" s="16">
        <f t="shared" si="38"/>
        <v>0</v>
      </c>
      <c r="AD231" s="12"/>
      <c r="AE231" s="12"/>
      <c r="AF231" s="12">
        <v>0.0</v>
      </c>
      <c r="AG231" s="12">
        <v>0.0</v>
      </c>
      <c r="AH231" s="12"/>
      <c r="AI231" s="12">
        <v>0.0</v>
      </c>
      <c r="AJ231" s="12">
        <v>0.0</v>
      </c>
      <c r="AK231" s="12">
        <v>0.0</v>
      </c>
      <c r="AL231" s="12">
        <f t="shared" si="53"/>
        <v>0</v>
      </c>
      <c r="AM231" s="12">
        <v>0.0</v>
      </c>
      <c r="AN231" s="12">
        <v>0.0</v>
      </c>
      <c r="AO231" s="12"/>
      <c r="AP231" s="12">
        <v>0.0</v>
      </c>
      <c r="AQ231" s="12">
        <v>0.0</v>
      </c>
      <c r="AR231" s="12">
        <v>0.0</v>
      </c>
      <c r="AS231" s="12">
        <f t="shared" si="61"/>
        <v>0</v>
      </c>
      <c r="AT231" s="16">
        <f t="shared" si="75"/>
        <v>0</v>
      </c>
      <c r="AU231" s="18">
        <f t="shared" si="69"/>
        <v>489969.95</v>
      </c>
      <c r="AV231" s="18"/>
      <c r="AW231" s="18"/>
      <c r="AX231" s="12">
        <f t="shared" si="1"/>
        <v>0</v>
      </c>
      <c r="AY231" s="12"/>
      <c r="AZ231" s="12">
        <v>0.0</v>
      </c>
      <c r="BA231" s="18">
        <f t="shared" si="70"/>
        <v>86751.96</v>
      </c>
      <c r="BB231" s="10">
        <f t="shared" si="16"/>
        <v>584194.9404</v>
      </c>
      <c r="BC231" s="16">
        <f t="shared" si="73"/>
        <v>15071.88333</v>
      </c>
      <c r="BD231" s="16"/>
      <c r="BE231" s="16"/>
      <c r="BF231" s="6"/>
      <c r="BG231" s="6"/>
      <c r="BH231" s="6"/>
      <c r="BI231" s="29">
        <f t="shared" si="68"/>
        <v>17785.84</v>
      </c>
      <c r="BJ231" s="6"/>
      <c r="BK231" s="15">
        <f t="shared" si="76"/>
        <v>0</v>
      </c>
      <c r="BN231" s="16">
        <f t="shared" si="14"/>
        <v>-17785.84</v>
      </c>
      <c r="BO231" s="16">
        <f t="shared" si="71"/>
        <v>27538.11</v>
      </c>
      <c r="BY231" s="6">
        <f t="shared" si="2"/>
        <v>2024</v>
      </c>
      <c r="BZ231" s="6" t="str">
        <f t="shared" si="3"/>
        <v>mayo</v>
      </c>
      <c r="CA231" s="6" t="str">
        <f t="shared" si="4"/>
        <v>5</v>
      </c>
    </row>
    <row r="232">
      <c r="A232" s="8">
        <v>45439.0</v>
      </c>
      <c r="B232" s="12">
        <f>74402.73+10000</f>
        <v>84402.73</v>
      </c>
      <c r="C232" s="12">
        <v>1516.46</v>
      </c>
      <c r="D232" s="12"/>
      <c r="E232" s="12">
        <v>0.0</v>
      </c>
      <c r="F232" s="12">
        <v>0.0</v>
      </c>
      <c r="G232" s="12">
        <v>0.0</v>
      </c>
      <c r="H232" s="12">
        <f t="shared" si="46"/>
        <v>85919.19</v>
      </c>
      <c r="I232" s="12">
        <v>14571.23</v>
      </c>
      <c r="J232" s="12">
        <v>959.85</v>
      </c>
      <c r="K232" s="12"/>
      <c r="L232" s="12">
        <v>0.0</v>
      </c>
      <c r="M232" s="12">
        <v>0.0</v>
      </c>
      <c r="N232" s="12">
        <v>0.0</v>
      </c>
      <c r="O232" s="16">
        <f t="shared" si="33"/>
        <v>15531.08</v>
      </c>
      <c r="P232" s="12">
        <v>2231.57</v>
      </c>
      <c r="Q232" s="12">
        <v>297.62</v>
      </c>
      <c r="R232" s="12"/>
      <c r="S232" s="12">
        <v>0.0</v>
      </c>
      <c r="T232" s="12">
        <v>0.0</v>
      </c>
      <c r="U232" s="12">
        <v>0.0</v>
      </c>
      <c r="V232" s="16">
        <f t="shared" si="37"/>
        <v>2529.19</v>
      </c>
      <c r="W232" s="12">
        <v>4423.05</v>
      </c>
      <c r="X232" s="12">
        <v>0.0</v>
      </c>
      <c r="Y232" s="12"/>
      <c r="Z232" s="12">
        <v>0.0</v>
      </c>
      <c r="AA232" s="12">
        <v>0.0</v>
      </c>
      <c r="AB232" s="12">
        <v>0.0</v>
      </c>
      <c r="AC232" s="16">
        <f t="shared" si="38"/>
        <v>4423.05</v>
      </c>
      <c r="AD232" s="12"/>
      <c r="AE232" s="12"/>
      <c r="AF232" s="12">
        <v>1370.36</v>
      </c>
      <c r="AG232" s="12">
        <v>0.0</v>
      </c>
      <c r="AH232" s="12"/>
      <c r="AI232" s="12">
        <v>0.0</v>
      </c>
      <c r="AJ232" s="12">
        <v>0.0</v>
      </c>
      <c r="AK232" s="12">
        <v>0.0</v>
      </c>
      <c r="AL232" s="12">
        <f t="shared" si="53"/>
        <v>1370.36</v>
      </c>
      <c r="AM232" s="12">
        <v>1717.0</v>
      </c>
      <c r="AN232" s="12">
        <v>0.0</v>
      </c>
      <c r="AO232" s="12"/>
      <c r="AP232" s="12">
        <v>0.0</v>
      </c>
      <c r="AQ232" s="12">
        <v>0.0</v>
      </c>
      <c r="AR232" s="12">
        <v>0.0</v>
      </c>
      <c r="AS232" s="12">
        <f t="shared" si="61"/>
        <v>1717</v>
      </c>
      <c r="AT232" s="16">
        <f t="shared" si="75"/>
        <v>25570.68</v>
      </c>
      <c r="AU232" s="18">
        <f t="shared" si="69"/>
        <v>515540.63</v>
      </c>
      <c r="AV232" s="18"/>
      <c r="AW232" s="18"/>
      <c r="AX232" s="12">
        <f t="shared" si="1"/>
        <v>25570.68</v>
      </c>
      <c r="AY232" s="12"/>
      <c r="AZ232" s="12">
        <v>640.46</v>
      </c>
      <c r="BA232" s="18">
        <f t="shared" si="70"/>
        <v>87392.42</v>
      </c>
      <c r="BB232" s="10">
        <f t="shared" si="16"/>
        <v>591917.0196</v>
      </c>
      <c r="BC232" s="16">
        <f t="shared" si="73"/>
        <v>15071.88333</v>
      </c>
      <c r="BD232" s="16"/>
      <c r="BE232" s="16"/>
      <c r="BF232" s="6"/>
      <c r="BG232" s="6"/>
      <c r="BH232" s="6"/>
      <c r="BI232" s="29">
        <f t="shared" si="68"/>
        <v>17785.84</v>
      </c>
      <c r="BK232" s="15">
        <f t="shared" si="76"/>
        <v>1.437698754</v>
      </c>
      <c r="BN232" s="16">
        <f t="shared" si="14"/>
        <v>7784.84</v>
      </c>
      <c r="BO232" s="16">
        <f t="shared" si="71"/>
        <v>35322.95</v>
      </c>
      <c r="BY232" s="6">
        <f t="shared" si="2"/>
        <v>2024</v>
      </c>
      <c r="BZ232" s="6" t="str">
        <f t="shared" si="3"/>
        <v>mayo</v>
      </c>
      <c r="CA232" s="6" t="str">
        <f t="shared" si="4"/>
        <v>5</v>
      </c>
    </row>
    <row r="233">
      <c r="A233" s="8">
        <v>45440.0</v>
      </c>
      <c r="B233" s="12">
        <v>11722.58</v>
      </c>
      <c r="C233" s="12">
        <v>485.94</v>
      </c>
      <c r="D233" s="12"/>
      <c r="E233" s="12">
        <v>0.0</v>
      </c>
      <c r="F233" s="12">
        <v>0.0</v>
      </c>
      <c r="G233" s="12">
        <v>0.0</v>
      </c>
      <c r="H233" s="12">
        <f t="shared" si="46"/>
        <v>12208.52</v>
      </c>
      <c r="I233" s="12">
        <v>5049.99</v>
      </c>
      <c r="J233" s="12">
        <v>173.21</v>
      </c>
      <c r="K233" s="12"/>
      <c r="L233" s="12">
        <v>0.0</v>
      </c>
      <c r="M233" s="12">
        <v>0.0</v>
      </c>
      <c r="N233" s="12">
        <v>0.0</v>
      </c>
      <c r="O233" s="16">
        <f t="shared" si="33"/>
        <v>5223.2</v>
      </c>
      <c r="P233" s="12">
        <v>1850.6</v>
      </c>
      <c r="Q233" s="12">
        <v>111.3</v>
      </c>
      <c r="R233" s="12"/>
      <c r="S233" s="12">
        <v>0.0</v>
      </c>
      <c r="T233" s="12">
        <v>0.0</v>
      </c>
      <c r="U233" s="12">
        <v>0.0</v>
      </c>
      <c r="V233" s="16">
        <f t="shared" si="37"/>
        <v>1961.9</v>
      </c>
      <c r="W233" s="12">
        <v>4386.66</v>
      </c>
      <c r="X233" s="12">
        <v>0.0</v>
      </c>
      <c r="Y233" s="12"/>
      <c r="Z233" s="12">
        <v>0.0</v>
      </c>
      <c r="AA233" s="12">
        <v>0.0</v>
      </c>
      <c r="AB233" s="12">
        <v>0.0</v>
      </c>
      <c r="AC233" s="16">
        <f t="shared" si="38"/>
        <v>4386.66</v>
      </c>
      <c r="AD233" s="12"/>
      <c r="AE233" s="12"/>
      <c r="AF233" s="12">
        <v>1437.64</v>
      </c>
      <c r="AG233" s="12">
        <v>0.0</v>
      </c>
      <c r="AH233" s="12"/>
      <c r="AI233" s="12">
        <v>0.0</v>
      </c>
      <c r="AJ233" s="12">
        <v>0.0</v>
      </c>
      <c r="AK233" s="12">
        <v>0.0</v>
      </c>
      <c r="AL233" s="12">
        <f t="shared" si="53"/>
        <v>1437.64</v>
      </c>
      <c r="AM233" s="12">
        <v>5885.0</v>
      </c>
      <c r="AN233" s="12">
        <v>0.0</v>
      </c>
      <c r="AO233" s="12"/>
      <c r="AP233" s="12">
        <v>0.0</v>
      </c>
      <c r="AQ233" s="12">
        <v>0.0</v>
      </c>
      <c r="AR233" s="12">
        <v>0.0</v>
      </c>
      <c r="AS233" s="12">
        <f t="shared" si="61"/>
        <v>5885</v>
      </c>
      <c r="AT233" s="16">
        <f t="shared" si="75"/>
        <v>18894.4</v>
      </c>
      <c r="AU233" s="18">
        <f t="shared" si="69"/>
        <v>534435.03</v>
      </c>
      <c r="AV233" s="18"/>
      <c r="AW233" s="18"/>
      <c r="AX233" s="12">
        <f t="shared" si="1"/>
        <v>18894.4</v>
      </c>
      <c r="AY233" s="12"/>
      <c r="AZ233" s="12">
        <v>3975.91</v>
      </c>
      <c r="BA233" s="18">
        <f t="shared" si="70"/>
        <v>91368.33</v>
      </c>
      <c r="BB233" s="10">
        <f t="shared" si="16"/>
        <v>591695.9261</v>
      </c>
      <c r="BC233" s="16">
        <f t="shared" si="73"/>
        <v>15071.88333</v>
      </c>
      <c r="BD233" s="16"/>
      <c r="BE233" s="16"/>
      <c r="BF233" s="6"/>
      <c r="BG233" s="6"/>
      <c r="BH233" s="6"/>
      <c r="BI233" s="29">
        <f t="shared" si="68"/>
        <v>17785.84</v>
      </c>
      <c r="BK233" s="15">
        <f t="shared" si="76"/>
        <v>1.062328234</v>
      </c>
      <c r="BN233" s="16">
        <f t="shared" si="14"/>
        <v>1108.56</v>
      </c>
      <c r="BO233" s="16">
        <f t="shared" si="71"/>
        <v>36431.51</v>
      </c>
      <c r="BY233" s="6">
        <f t="shared" si="2"/>
        <v>2024</v>
      </c>
      <c r="BZ233" s="6" t="str">
        <f t="shared" si="3"/>
        <v>mayo</v>
      </c>
      <c r="CA233" s="6" t="str">
        <f t="shared" si="4"/>
        <v>5</v>
      </c>
    </row>
    <row r="234">
      <c r="A234" s="8">
        <v>45441.0</v>
      </c>
      <c r="B234" s="12">
        <v>14580.41</v>
      </c>
      <c r="C234" s="12">
        <v>4549.73</v>
      </c>
      <c r="D234" s="12"/>
      <c r="E234" s="12">
        <v>2044.13</v>
      </c>
      <c r="F234" s="12">
        <v>4780.83</v>
      </c>
      <c r="G234" s="12">
        <v>0.0</v>
      </c>
      <c r="H234" s="12">
        <f t="shared" si="46"/>
        <v>25955.1</v>
      </c>
      <c r="I234" s="12">
        <v>11661.02</v>
      </c>
      <c r="J234" s="12">
        <v>14301.17</v>
      </c>
      <c r="K234" s="12"/>
      <c r="L234" s="12">
        <v>442.76</v>
      </c>
      <c r="M234" s="12">
        <v>61.89</v>
      </c>
      <c r="N234" s="12">
        <v>0.0</v>
      </c>
      <c r="O234" s="16">
        <f t="shared" si="33"/>
        <v>26466.84</v>
      </c>
      <c r="P234" s="12">
        <v>2139.34</v>
      </c>
      <c r="Q234" s="12">
        <v>611.91</v>
      </c>
      <c r="R234" s="12"/>
      <c r="S234" s="12">
        <v>0.0</v>
      </c>
      <c r="T234" s="12">
        <v>147.52</v>
      </c>
      <c r="U234" s="12">
        <v>0.0</v>
      </c>
      <c r="V234" s="16">
        <f t="shared" si="37"/>
        <v>2898.77</v>
      </c>
      <c r="W234" s="12">
        <v>2351.19</v>
      </c>
      <c r="X234" s="12">
        <v>0.0</v>
      </c>
      <c r="Y234" s="12"/>
      <c r="Z234" s="12">
        <v>0.0</v>
      </c>
      <c r="AA234" s="12">
        <v>0.0</v>
      </c>
      <c r="AB234" s="12">
        <v>0.0</v>
      </c>
      <c r="AC234" s="16">
        <f t="shared" si="38"/>
        <v>2351.19</v>
      </c>
      <c r="AD234" s="12"/>
      <c r="AE234" s="12"/>
      <c r="AF234" s="12">
        <v>2611.05</v>
      </c>
      <c r="AG234" s="12">
        <v>393.73</v>
      </c>
      <c r="AH234" s="12"/>
      <c r="AI234" s="12">
        <v>0.0</v>
      </c>
      <c r="AJ234" s="12">
        <v>0.0</v>
      </c>
      <c r="AK234" s="12">
        <v>0.0</v>
      </c>
      <c r="AL234" s="12">
        <f t="shared" si="53"/>
        <v>3004.78</v>
      </c>
      <c r="AM234" s="12">
        <v>3509.0</v>
      </c>
      <c r="AN234" s="12">
        <v>0.0</v>
      </c>
      <c r="AO234" s="12"/>
      <c r="AP234" s="12">
        <v>0.0</v>
      </c>
      <c r="AQ234" s="12">
        <v>0.0</v>
      </c>
      <c r="AR234" s="12">
        <v>0.0</v>
      </c>
      <c r="AS234" s="12">
        <f t="shared" si="61"/>
        <v>3509</v>
      </c>
      <c r="AT234" s="16">
        <f t="shared" si="75"/>
        <v>38230.58</v>
      </c>
      <c r="AU234" s="18">
        <f t="shared" si="69"/>
        <v>572665.61</v>
      </c>
      <c r="AV234" s="18"/>
      <c r="AW234" s="18"/>
      <c r="AX234" s="12">
        <f t="shared" si="1"/>
        <v>38230.58</v>
      </c>
      <c r="AY234" s="12"/>
      <c r="AZ234" s="12">
        <v>1878.29</v>
      </c>
      <c r="BA234" s="18">
        <f t="shared" si="70"/>
        <v>93246.62</v>
      </c>
      <c r="BB234" s="10">
        <f t="shared" si="16"/>
        <v>612159.79</v>
      </c>
      <c r="BC234" s="16">
        <f t="shared" si="73"/>
        <v>15071.88333</v>
      </c>
      <c r="BD234" s="16"/>
      <c r="BE234" s="16"/>
      <c r="BF234" s="6"/>
      <c r="BG234" s="6"/>
      <c r="BH234" s="6"/>
      <c r="BI234" s="29">
        <f t="shared" si="68"/>
        <v>17785.84</v>
      </c>
      <c r="BK234" s="15">
        <f t="shared" si="76"/>
        <v>2.149495329</v>
      </c>
      <c r="BN234" s="16">
        <f t="shared" si="14"/>
        <v>20444.74</v>
      </c>
      <c r="BO234" s="16">
        <f t="shared" si="71"/>
        <v>56876.25</v>
      </c>
      <c r="BY234" s="6">
        <f t="shared" si="2"/>
        <v>2024</v>
      </c>
      <c r="BZ234" s="6" t="str">
        <f t="shared" si="3"/>
        <v>mayo</v>
      </c>
      <c r="CA234" s="6" t="str">
        <f t="shared" si="4"/>
        <v>5</v>
      </c>
    </row>
    <row r="235">
      <c r="A235" s="8">
        <v>45442.0</v>
      </c>
      <c r="B235" s="12">
        <f>19046.17+10000</f>
        <v>29046.17</v>
      </c>
      <c r="C235" s="12">
        <v>11788.5</v>
      </c>
      <c r="D235" s="12"/>
      <c r="E235" s="12">
        <v>1535.55</v>
      </c>
      <c r="F235" s="12">
        <v>976.54</v>
      </c>
      <c r="G235" s="12">
        <v>0.0</v>
      </c>
      <c r="H235" s="12">
        <f t="shared" si="46"/>
        <v>43346.76</v>
      </c>
      <c r="I235" s="12">
        <v>16688.17</v>
      </c>
      <c r="J235" s="12">
        <v>1419.66</v>
      </c>
      <c r="K235" s="12"/>
      <c r="L235" s="12">
        <v>450.23</v>
      </c>
      <c r="M235" s="12">
        <v>134.57</v>
      </c>
      <c r="N235" s="12">
        <v>0.0</v>
      </c>
      <c r="O235" s="16">
        <f t="shared" si="33"/>
        <v>18692.63</v>
      </c>
      <c r="P235" s="12">
        <v>3791.1</v>
      </c>
      <c r="Q235" s="12">
        <v>181.56</v>
      </c>
      <c r="R235" s="12"/>
      <c r="S235" s="12">
        <v>0.0</v>
      </c>
      <c r="T235" s="12">
        <v>0.0</v>
      </c>
      <c r="U235" s="12">
        <v>0.0</v>
      </c>
      <c r="V235" s="16">
        <f t="shared" si="37"/>
        <v>3972.66</v>
      </c>
      <c r="W235" s="12">
        <v>4087.28</v>
      </c>
      <c r="X235" s="12">
        <v>0.0</v>
      </c>
      <c r="Y235" s="12"/>
      <c r="Z235" s="12">
        <v>63.69</v>
      </c>
      <c r="AA235" s="12">
        <v>88.89</v>
      </c>
      <c r="AB235" s="12">
        <v>0.0</v>
      </c>
      <c r="AC235" s="16">
        <f t="shared" si="38"/>
        <v>4239.86</v>
      </c>
      <c r="AD235" s="12"/>
      <c r="AE235" s="12"/>
      <c r="AF235" s="12">
        <v>748.59</v>
      </c>
      <c r="AG235" s="12">
        <v>1137.15</v>
      </c>
      <c r="AH235" s="12"/>
      <c r="AI235" s="12">
        <v>0.0</v>
      </c>
      <c r="AJ235" s="12">
        <v>0.0</v>
      </c>
      <c r="AK235" s="12">
        <v>0.0</v>
      </c>
      <c r="AL235" s="12">
        <f t="shared" si="53"/>
        <v>1885.74</v>
      </c>
      <c r="AM235" s="12">
        <v>4171.0</v>
      </c>
      <c r="AN235" s="12">
        <v>0.0</v>
      </c>
      <c r="AO235" s="12"/>
      <c r="AP235" s="12">
        <v>0.0</v>
      </c>
      <c r="AQ235" s="12">
        <v>0.0</v>
      </c>
      <c r="AR235" s="12">
        <v>0.0</v>
      </c>
      <c r="AS235" s="12">
        <f t="shared" si="61"/>
        <v>4171</v>
      </c>
      <c r="AT235" s="16">
        <f t="shared" si="75"/>
        <v>32961.89</v>
      </c>
      <c r="AU235" s="18">
        <f t="shared" si="69"/>
        <v>605627.5</v>
      </c>
      <c r="AV235" s="18"/>
      <c r="AW235" s="18"/>
      <c r="AX235" s="12">
        <f t="shared" si="1"/>
        <v>32961.89</v>
      </c>
      <c r="AY235" s="12"/>
      <c r="AZ235" s="12">
        <v>724.36</v>
      </c>
      <c r="BA235" s="18">
        <f t="shared" si="70"/>
        <v>93970.98</v>
      </c>
      <c r="BB235" s="10">
        <f t="shared" si="16"/>
        <v>625815.0833</v>
      </c>
      <c r="BC235" s="16">
        <f t="shared" si="73"/>
        <v>15071.88333</v>
      </c>
      <c r="BD235" s="16"/>
      <c r="BE235" s="16"/>
      <c r="BF235" s="6"/>
      <c r="BG235" s="6"/>
      <c r="BH235" s="6"/>
      <c r="BI235" s="29">
        <f t="shared" si="68"/>
        <v>17785.84</v>
      </c>
      <c r="BK235" s="15">
        <f t="shared" si="76"/>
        <v>1.853265856</v>
      </c>
      <c r="BN235" s="16">
        <f t="shared" si="14"/>
        <v>15176.05</v>
      </c>
      <c r="BO235" s="16">
        <f t="shared" si="71"/>
        <v>72052.3</v>
      </c>
      <c r="BY235" s="6">
        <f t="shared" si="2"/>
        <v>2024</v>
      </c>
      <c r="BZ235" s="6" t="str">
        <f t="shared" si="3"/>
        <v>mayo</v>
      </c>
      <c r="CA235" s="6" t="str">
        <f t="shared" si="4"/>
        <v>5</v>
      </c>
    </row>
    <row r="236">
      <c r="A236" s="8">
        <v>45443.0</v>
      </c>
      <c r="B236" s="12">
        <f>26905.46+17730.26+1147.72+212.54</f>
        <v>45995.98</v>
      </c>
      <c r="C236" s="12">
        <f>822.5+393.62+5520.88</f>
        <v>6737</v>
      </c>
      <c r="D236" s="12"/>
      <c r="E236" s="12">
        <v>0.0</v>
      </c>
      <c r="F236" s="12">
        <v>0.0</v>
      </c>
      <c r="G236" s="12">
        <v>0.0</v>
      </c>
      <c r="H236" s="12">
        <f t="shared" si="46"/>
        <v>52732.98</v>
      </c>
      <c r="I236" s="12">
        <f>16364.33+7582.23+220.43+40.13</f>
        <v>24207.12</v>
      </c>
      <c r="J236" s="12">
        <f>1449.41+439.12+1292.68</f>
        <v>3181.21</v>
      </c>
      <c r="K236" s="12"/>
      <c r="L236" s="12">
        <v>1499.4</v>
      </c>
      <c r="M236" s="12">
        <v>0.0</v>
      </c>
      <c r="N236" s="12">
        <v>0.0</v>
      </c>
      <c r="O236" s="16">
        <f t="shared" si="33"/>
        <v>28887.73</v>
      </c>
      <c r="P236" s="12">
        <f>4753.94+2787.62+239.25</f>
        <v>7780.81</v>
      </c>
      <c r="Q236" s="12">
        <f>406.17+297.32+476</f>
        <v>1179.49</v>
      </c>
      <c r="R236" s="12"/>
      <c r="S236" s="12">
        <v>0.0</v>
      </c>
      <c r="T236" s="12">
        <v>0.0</v>
      </c>
      <c r="U236" s="12">
        <v>0.0</v>
      </c>
      <c r="V236" s="16">
        <f t="shared" si="37"/>
        <v>8960.3</v>
      </c>
      <c r="W236" s="12">
        <v>8918.23</v>
      </c>
      <c r="X236" s="12">
        <v>1511.59</v>
      </c>
      <c r="Y236" s="12"/>
      <c r="Z236" s="12">
        <v>0.0</v>
      </c>
      <c r="AA236" s="12">
        <v>0.0</v>
      </c>
      <c r="AB236" s="12">
        <v>0.0</v>
      </c>
      <c r="AC236" s="16">
        <f t="shared" si="38"/>
        <v>10429.82</v>
      </c>
      <c r="AD236" s="12"/>
      <c r="AE236" s="12"/>
      <c r="AF236" s="12">
        <f>3565.65+2564.07+640.34</f>
        <v>6770.06</v>
      </c>
      <c r="AG236" s="12">
        <f>522.05+1463.74</f>
        <v>1985.79</v>
      </c>
      <c r="AH236" s="12"/>
      <c r="AI236" s="12">
        <v>0.0</v>
      </c>
      <c r="AJ236" s="12">
        <v>0.0</v>
      </c>
      <c r="AK236" s="12">
        <v>0.0</v>
      </c>
      <c r="AL236" s="12">
        <f t="shared" si="53"/>
        <v>8755.85</v>
      </c>
      <c r="AM236" s="12">
        <v>11139.0</v>
      </c>
      <c r="AN236" s="12">
        <v>860.0</v>
      </c>
      <c r="AO236" s="12"/>
      <c r="AP236" s="12">
        <v>0.0</v>
      </c>
      <c r="AQ236" s="12">
        <v>0.0</v>
      </c>
      <c r="AR236" s="12">
        <v>0.0</v>
      </c>
      <c r="AS236" s="12">
        <f t="shared" si="61"/>
        <v>11999</v>
      </c>
      <c r="AT236" s="16">
        <f t="shared" si="75"/>
        <v>69032.7</v>
      </c>
      <c r="AU236" s="18">
        <f t="shared" si="69"/>
        <v>674660.2</v>
      </c>
      <c r="AV236" s="18"/>
      <c r="AW236" s="18"/>
      <c r="AX236" s="12">
        <f t="shared" si="1"/>
        <v>69032.7</v>
      </c>
      <c r="AY236" s="12"/>
      <c r="AZ236" s="12">
        <f>1665.09+2451.67+3498.6</f>
        <v>7615.36</v>
      </c>
      <c r="BA236" s="18">
        <f t="shared" si="70"/>
        <v>101586.34</v>
      </c>
      <c r="BB236" s="10">
        <f t="shared" si="16"/>
        <v>674660.2</v>
      </c>
      <c r="BC236" s="16">
        <f t="shared" si="73"/>
        <v>15071.88333</v>
      </c>
      <c r="BD236" s="16"/>
      <c r="BE236" s="16"/>
      <c r="BF236" s="6"/>
      <c r="BG236" s="6"/>
      <c r="BH236" s="6"/>
      <c r="BI236" s="29">
        <f t="shared" si="68"/>
        <v>17785.84</v>
      </c>
      <c r="BK236" s="15">
        <f t="shared" si="76"/>
        <v>3.881329192</v>
      </c>
      <c r="BN236" s="16">
        <f t="shared" si="14"/>
        <v>51246.86</v>
      </c>
      <c r="BO236" s="16">
        <f t="shared" si="71"/>
        <v>123299.16</v>
      </c>
      <c r="BY236" s="6">
        <f t="shared" si="2"/>
        <v>2024</v>
      </c>
      <c r="BZ236" s="6" t="str">
        <f t="shared" si="3"/>
        <v>mayo</v>
      </c>
      <c r="CA236" s="6" t="str">
        <f t="shared" si="4"/>
        <v>5</v>
      </c>
    </row>
    <row r="237">
      <c r="A237" s="8">
        <v>45444.0</v>
      </c>
      <c r="B237" s="12">
        <v>0.0</v>
      </c>
      <c r="C237" s="12">
        <v>0.0</v>
      </c>
      <c r="D237" s="12"/>
      <c r="E237" s="12">
        <v>0.0</v>
      </c>
      <c r="F237" s="12">
        <v>0.0</v>
      </c>
      <c r="G237" s="12">
        <v>0.0</v>
      </c>
      <c r="H237" s="12">
        <f t="shared" si="46"/>
        <v>0</v>
      </c>
      <c r="I237" s="12">
        <v>0.0</v>
      </c>
      <c r="J237" s="12">
        <v>0.0</v>
      </c>
      <c r="K237" s="12"/>
      <c r="L237" s="12">
        <v>0.0</v>
      </c>
      <c r="M237" s="12">
        <v>0.0</v>
      </c>
      <c r="N237" s="12">
        <v>0.0</v>
      </c>
      <c r="O237" s="16">
        <f t="shared" si="33"/>
        <v>0</v>
      </c>
      <c r="P237" s="12">
        <v>0.0</v>
      </c>
      <c r="Q237" s="12">
        <v>0.0</v>
      </c>
      <c r="R237" s="12"/>
      <c r="S237" s="12">
        <v>0.0</v>
      </c>
      <c r="T237" s="12">
        <v>0.0</v>
      </c>
      <c r="U237" s="12">
        <v>0.0</v>
      </c>
      <c r="V237" s="16">
        <f t="shared" si="37"/>
        <v>0</v>
      </c>
      <c r="W237" s="12">
        <v>0.0</v>
      </c>
      <c r="X237" s="12">
        <v>0.0</v>
      </c>
      <c r="Y237" s="12"/>
      <c r="Z237" s="12">
        <v>0.0</v>
      </c>
      <c r="AA237" s="12">
        <v>0.0</v>
      </c>
      <c r="AB237" s="12">
        <v>0.0</v>
      </c>
      <c r="AC237" s="16">
        <f t="shared" si="38"/>
        <v>0</v>
      </c>
      <c r="AD237" s="12"/>
      <c r="AE237" s="12"/>
      <c r="AF237" s="12">
        <v>0.0</v>
      </c>
      <c r="AG237" s="12">
        <v>0.0</v>
      </c>
      <c r="AH237" s="16"/>
      <c r="AI237" s="16"/>
      <c r="AJ237" s="16"/>
      <c r="AK237" s="16"/>
      <c r="AL237" s="12">
        <f t="shared" si="53"/>
        <v>0</v>
      </c>
      <c r="AM237" s="16"/>
      <c r="AN237" s="16"/>
      <c r="AO237" s="16"/>
      <c r="AP237" s="16"/>
      <c r="AQ237" s="16"/>
      <c r="AR237" s="16"/>
      <c r="AS237" s="12">
        <f t="shared" si="61"/>
        <v>0</v>
      </c>
      <c r="AT237" s="16">
        <f t="shared" si="75"/>
        <v>0</v>
      </c>
      <c r="AU237" s="18">
        <f>IF(AT237="","",AT237)</f>
        <v>0</v>
      </c>
      <c r="AV237" s="18"/>
      <c r="AW237" s="18"/>
      <c r="AX237" s="12">
        <f t="shared" si="1"/>
        <v>0</v>
      </c>
      <c r="AY237" s="16"/>
      <c r="AZ237" s="16"/>
      <c r="BA237" s="19" t="str">
        <f>IF(AZ237="","",AZ237)</f>
        <v/>
      </c>
      <c r="BB237" s="10">
        <f t="shared" si="16"/>
        <v>0</v>
      </c>
      <c r="BC237" s="16">
        <f>IFERROR(AU234/DAY(A234)*5,0)</f>
        <v>98735.45</v>
      </c>
      <c r="BD237" s="16"/>
      <c r="BE237" s="16"/>
      <c r="BF237" s="6"/>
      <c r="BG237" s="12">
        <v>481568.86</v>
      </c>
      <c r="BH237" s="6"/>
      <c r="BI237" s="29">
        <f t="shared" ref="BI237:BI266" si="77">IF(AT237="","",$BG$237/DAY(EOMONTH(A237,0)))</f>
        <v>16052.29533</v>
      </c>
      <c r="BJ237" s="6"/>
      <c r="BK237" s="15">
        <f t="shared" si="76"/>
        <v>0</v>
      </c>
      <c r="BN237" s="16">
        <f t="shared" si="14"/>
        <v>-16052.29533</v>
      </c>
      <c r="BO237" s="16">
        <f>IF(AT237="","",BN237)</f>
        <v>-16052.29533</v>
      </c>
      <c r="BY237" s="6">
        <f t="shared" si="2"/>
        <v>2024</v>
      </c>
      <c r="BZ237" s="6" t="str">
        <f t="shared" si="3"/>
        <v>junio</v>
      </c>
      <c r="CA237" s="6" t="str">
        <f t="shared" si="4"/>
        <v>6</v>
      </c>
    </row>
    <row r="238">
      <c r="A238" s="8">
        <v>45445.0</v>
      </c>
      <c r="B238" s="12">
        <v>0.0</v>
      </c>
      <c r="C238" s="12">
        <v>0.0</v>
      </c>
      <c r="D238" s="12"/>
      <c r="E238" s="12">
        <v>0.0</v>
      </c>
      <c r="F238" s="12">
        <v>0.0</v>
      </c>
      <c r="G238" s="12">
        <v>0.0</v>
      </c>
      <c r="H238" s="12">
        <f t="shared" si="46"/>
        <v>0</v>
      </c>
      <c r="I238" s="12">
        <v>0.0</v>
      </c>
      <c r="J238" s="12">
        <v>0.0</v>
      </c>
      <c r="K238" s="12"/>
      <c r="L238" s="12">
        <v>0.0</v>
      </c>
      <c r="M238" s="12">
        <v>0.0</v>
      </c>
      <c r="N238" s="12">
        <v>0.0</v>
      </c>
      <c r="O238" s="16">
        <f t="shared" si="33"/>
        <v>0</v>
      </c>
      <c r="P238" s="12">
        <v>0.0</v>
      </c>
      <c r="Q238" s="12">
        <v>0.0</v>
      </c>
      <c r="R238" s="12"/>
      <c r="S238" s="12">
        <v>0.0</v>
      </c>
      <c r="T238" s="12">
        <v>0.0</v>
      </c>
      <c r="U238" s="12">
        <v>0.0</v>
      </c>
      <c r="V238" s="16">
        <f t="shared" si="37"/>
        <v>0</v>
      </c>
      <c r="W238" s="12">
        <v>0.0</v>
      </c>
      <c r="X238" s="12">
        <v>0.0</v>
      </c>
      <c r="Y238" s="12"/>
      <c r="Z238" s="12">
        <v>0.0</v>
      </c>
      <c r="AA238" s="12">
        <v>0.0</v>
      </c>
      <c r="AB238" s="12">
        <v>0.0</v>
      </c>
      <c r="AC238" s="16">
        <f t="shared" si="38"/>
        <v>0</v>
      </c>
      <c r="AD238" s="16"/>
      <c r="AE238" s="16"/>
      <c r="AF238" s="16"/>
      <c r="AG238" s="16"/>
      <c r="AH238" s="16"/>
      <c r="AI238" s="16"/>
      <c r="AJ238" s="16"/>
      <c r="AK238" s="16"/>
      <c r="AL238" s="12">
        <f t="shared" si="53"/>
        <v>0</v>
      </c>
      <c r="AM238" s="16"/>
      <c r="AN238" s="16"/>
      <c r="AO238" s="16"/>
      <c r="AP238" s="16"/>
      <c r="AQ238" s="16"/>
      <c r="AR238" s="16"/>
      <c r="AS238" s="12">
        <f t="shared" si="61"/>
        <v>0</v>
      </c>
      <c r="AT238" s="16">
        <f t="shared" si="75"/>
        <v>0</v>
      </c>
      <c r="AU238" s="18">
        <f t="shared" ref="AU238:AU266" si="78">IF(AT238="","",AT238+AU237)</f>
        <v>0</v>
      </c>
      <c r="AV238" s="18"/>
      <c r="AW238" s="18"/>
      <c r="AX238" s="12">
        <f t="shared" si="1"/>
        <v>0</v>
      </c>
      <c r="AY238" s="16"/>
      <c r="AZ238" s="16"/>
      <c r="BA238" s="19">
        <f t="shared" ref="BA238:BA266" si="79">IF(AZ238="","",AZ238)+BA237</f>
        <v>0</v>
      </c>
      <c r="BB238" s="10">
        <f t="shared" si="16"/>
        <v>0</v>
      </c>
      <c r="BC238" s="16">
        <f t="shared" ref="BC238:BC273" si="80">BC237</f>
        <v>98735.45</v>
      </c>
      <c r="BD238" s="16"/>
      <c r="BE238" s="16"/>
      <c r="BF238" s="6"/>
      <c r="BG238" s="6"/>
      <c r="BH238" s="6"/>
      <c r="BI238" s="29">
        <f t="shared" si="77"/>
        <v>16052.29533</v>
      </c>
      <c r="BJ238" s="6"/>
      <c r="BK238" s="15">
        <f t="shared" si="76"/>
        <v>0</v>
      </c>
      <c r="BN238" s="16">
        <f t="shared" si="14"/>
        <v>-16052.29533</v>
      </c>
      <c r="BO238" s="16">
        <f t="shared" ref="BO238:BO266" si="81">IF(AT238="","",BO237+BN238)</f>
        <v>-32104.59067</v>
      </c>
      <c r="BY238" s="6">
        <f t="shared" si="2"/>
        <v>2024</v>
      </c>
      <c r="BZ238" s="6" t="str">
        <f t="shared" si="3"/>
        <v>junio</v>
      </c>
      <c r="CA238" s="6" t="str">
        <f t="shared" si="4"/>
        <v>6</v>
      </c>
    </row>
    <row r="239">
      <c r="A239" s="8">
        <v>45446.0</v>
      </c>
      <c r="B239" s="12">
        <v>2500.0</v>
      </c>
      <c r="C239" s="12">
        <v>1200.0</v>
      </c>
      <c r="D239" s="12"/>
      <c r="E239" s="12">
        <v>0.0</v>
      </c>
      <c r="F239" s="12">
        <v>0.0</v>
      </c>
      <c r="G239" s="12">
        <v>0.0</v>
      </c>
      <c r="H239" s="12">
        <f t="shared" si="46"/>
        <v>3700</v>
      </c>
      <c r="I239" s="12">
        <v>2360.0</v>
      </c>
      <c r="J239" s="12">
        <v>1500.0</v>
      </c>
      <c r="K239" s="12"/>
      <c r="L239" s="12">
        <v>0.0</v>
      </c>
      <c r="M239" s="12">
        <v>0.0</v>
      </c>
      <c r="N239" s="12">
        <v>0.0</v>
      </c>
      <c r="O239" s="16">
        <f t="shared" si="33"/>
        <v>3860</v>
      </c>
      <c r="P239" s="12">
        <v>450.0</v>
      </c>
      <c r="Q239" s="12">
        <v>350.0</v>
      </c>
      <c r="R239" s="12"/>
      <c r="S239" s="12">
        <v>0.0</v>
      </c>
      <c r="T239" s="12">
        <v>0.0</v>
      </c>
      <c r="U239" s="12">
        <v>0.0</v>
      </c>
      <c r="V239" s="16">
        <f t="shared" si="37"/>
        <v>800</v>
      </c>
      <c r="W239" s="12">
        <v>1230.0</v>
      </c>
      <c r="X239" s="12">
        <v>300.0</v>
      </c>
      <c r="Y239" s="12"/>
      <c r="Z239" s="12">
        <v>0.0</v>
      </c>
      <c r="AA239" s="12">
        <v>0.0</v>
      </c>
      <c r="AB239" s="12">
        <v>0.0</v>
      </c>
      <c r="AC239" s="16">
        <f t="shared" si="38"/>
        <v>1530</v>
      </c>
      <c r="AD239" s="12"/>
      <c r="AE239" s="12"/>
      <c r="AF239" s="12">
        <v>0.0</v>
      </c>
      <c r="AG239" s="12">
        <v>0.0</v>
      </c>
      <c r="AH239" s="12"/>
      <c r="AI239" s="12">
        <v>0.0</v>
      </c>
      <c r="AJ239" s="12">
        <v>0.0</v>
      </c>
      <c r="AK239" s="12">
        <v>0.0</v>
      </c>
      <c r="AL239" s="12">
        <f t="shared" si="53"/>
        <v>0</v>
      </c>
      <c r="AM239" s="12">
        <v>0.0</v>
      </c>
      <c r="AN239" s="12">
        <v>0.0</v>
      </c>
      <c r="AO239" s="12"/>
      <c r="AP239" s="12">
        <v>0.0</v>
      </c>
      <c r="AQ239" s="12">
        <v>0.0</v>
      </c>
      <c r="AR239" s="12">
        <v>0.0</v>
      </c>
      <c r="AS239" s="12">
        <v>0.0</v>
      </c>
      <c r="AT239" s="16">
        <f t="shared" si="75"/>
        <v>6190</v>
      </c>
      <c r="AU239" s="18">
        <f t="shared" si="78"/>
        <v>6190</v>
      </c>
      <c r="AV239" s="18"/>
      <c r="AW239" s="18"/>
      <c r="AX239" s="12">
        <f t="shared" si="1"/>
        <v>6190</v>
      </c>
      <c r="AY239" s="12"/>
      <c r="AZ239" s="12">
        <v>987.0</v>
      </c>
      <c r="BA239" s="18">
        <f t="shared" si="79"/>
        <v>987</v>
      </c>
      <c r="BB239" s="10">
        <f t="shared" si="16"/>
        <v>61900</v>
      </c>
      <c r="BC239" s="16">
        <f t="shared" si="80"/>
        <v>98735.45</v>
      </c>
      <c r="BD239" s="16"/>
      <c r="BE239" s="16"/>
      <c r="BF239" s="6"/>
      <c r="BG239" s="6"/>
      <c r="BH239" s="6"/>
      <c r="BI239" s="29">
        <f t="shared" si="77"/>
        <v>16052.29533</v>
      </c>
      <c r="BJ239" s="6"/>
      <c r="BK239" s="15">
        <f t="shared" si="76"/>
        <v>0.3856146346</v>
      </c>
      <c r="BN239" s="16">
        <f t="shared" si="14"/>
        <v>-9862.295333</v>
      </c>
      <c r="BO239" s="16">
        <f t="shared" si="81"/>
        <v>-41966.886</v>
      </c>
      <c r="BY239" s="6">
        <f t="shared" si="2"/>
        <v>2024</v>
      </c>
      <c r="BZ239" s="6" t="str">
        <f t="shared" si="3"/>
        <v>junio</v>
      </c>
      <c r="CA239" s="6" t="str">
        <f t="shared" si="4"/>
        <v>6</v>
      </c>
    </row>
    <row r="240">
      <c r="A240" s="8">
        <v>45447.0</v>
      </c>
      <c r="B240" s="12">
        <v>2000.0</v>
      </c>
      <c r="C240" s="12">
        <v>980.0</v>
      </c>
      <c r="D240" s="12"/>
      <c r="E240" s="12">
        <v>0.0</v>
      </c>
      <c r="F240" s="12">
        <v>0.0</v>
      </c>
      <c r="G240" s="12">
        <v>0.0</v>
      </c>
      <c r="H240" s="12">
        <f t="shared" si="46"/>
        <v>2980</v>
      </c>
      <c r="I240" s="12">
        <v>1536.0</v>
      </c>
      <c r="J240" s="12">
        <v>1000.0</v>
      </c>
      <c r="K240" s="12"/>
      <c r="L240" s="12">
        <v>0.0</v>
      </c>
      <c r="M240" s="12">
        <v>0.0</v>
      </c>
      <c r="N240" s="12">
        <v>0.0</v>
      </c>
      <c r="O240" s="16">
        <f t="shared" si="33"/>
        <v>2536</v>
      </c>
      <c r="P240" s="12">
        <v>600.0</v>
      </c>
      <c r="Q240" s="12">
        <v>200.0</v>
      </c>
      <c r="R240" s="12"/>
      <c r="S240" s="12">
        <v>0.0</v>
      </c>
      <c r="T240" s="12">
        <v>0.0</v>
      </c>
      <c r="U240" s="12">
        <v>0.0</v>
      </c>
      <c r="V240" s="16">
        <f t="shared" si="37"/>
        <v>800</v>
      </c>
      <c r="W240" s="12">
        <v>900.0</v>
      </c>
      <c r="X240" s="12">
        <v>400.0</v>
      </c>
      <c r="Y240" s="12"/>
      <c r="Z240" s="12">
        <v>0.0</v>
      </c>
      <c r="AA240" s="12">
        <v>0.0</v>
      </c>
      <c r="AB240" s="12">
        <v>0.0</v>
      </c>
      <c r="AC240" s="16">
        <f t="shared" si="38"/>
        <v>1300</v>
      </c>
      <c r="AD240" s="12"/>
      <c r="AE240" s="12"/>
      <c r="AF240" s="12">
        <v>0.0</v>
      </c>
      <c r="AG240" s="12">
        <v>0.0</v>
      </c>
      <c r="AH240" s="12"/>
      <c r="AI240" s="12">
        <v>0.0</v>
      </c>
      <c r="AJ240" s="12">
        <v>0.0</v>
      </c>
      <c r="AK240" s="12">
        <v>0.0</v>
      </c>
      <c r="AL240" s="12">
        <f t="shared" si="53"/>
        <v>0</v>
      </c>
      <c r="AM240" s="12">
        <v>6655.0</v>
      </c>
      <c r="AN240" s="12">
        <v>0.0</v>
      </c>
      <c r="AO240" s="12"/>
      <c r="AP240" s="12">
        <v>0.0</v>
      </c>
      <c r="AQ240" s="12">
        <v>0.0</v>
      </c>
      <c r="AR240" s="12">
        <v>0.0</v>
      </c>
      <c r="AS240" s="12">
        <f t="shared" ref="AS240:AS285" si="82">AR240+AQ240+AP240+AN240+AM240</f>
        <v>6655</v>
      </c>
      <c r="AT240" s="16">
        <f t="shared" si="75"/>
        <v>11291</v>
      </c>
      <c r="AU240" s="18">
        <f t="shared" si="78"/>
        <v>17481</v>
      </c>
      <c r="AV240" s="18"/>
      <c r="AW240" s="18"/>
      <c r="AX240" s="12">
        <f t="shared" si="1"/>
        <v>11291</v>
      </c>
      <c r="AY240" s="12"/>
      <c r="AZ240" s="12">
        <v>750.0</v>
      </c>
      <c r="BA240" s="18">
        <f t="shared" si="79"/>
        <v>1737</v>
      </c>
      <c r="BB240" s="10">
        <f t="shared" si="16"/>
        <v>131107.5</v>
      </c>
      <c r="BC240" s="16">
        <f t="shared" si="80"/>
        <v>98735.45</v>
      </c>
      <c r="BD240" s="16"/>
      <c r="BE240" s="16"/>
      <c r="BF240" s="6"/>
      <c r="BG240" s="6"/>
      <c r="BH240" s="6"/>
      <c r="BI240" s="29">
        <f t="shared" si="77"/>
        <v>16052.29533</v>
      </c>
      <c r="BJ240" s="6"/>
      <c r="BK240" s="15">
        <f t="shared" si="76"/>
        <v>0.703388504</v>
      </c>
      <c r="BN240" s="16">
        <f t="shared" si="14"/>
        <v>-4761.295333</v>
      </c>
      <c r="BO240" s="16">
        <f t="shared" si="81"/>
        <v>-46728.18133</v>
      </c>
      <c r="BY240" s="6">
        <f t="shared" si="2"/>
        <v>2024</v>
      </c>
      <c r="BZ240" s="6" t="str">
        <f t="shared" si="3"/>
        <v>junio</v>
      </c>
      <c r="CA240" s="6" t="str">
        <f t="shared" si="4"/>
        <v>6</v>
      </c>
    </row>
    <row r="241">
      <c r="A241" s="8">
        <v>45448.0</v>
      </c>
      <c r="B241" s="12">
        <v>1500.0</v>
      </c>
      <c r="C241" s="12">
        <v>300.0</v>
      </c>
      <c r="D241" s="12"/>
      <c r="E241" s="12">
        <v>0.0</v>
      </c>
      <c r="F241" s="12">
        <v>0.0</v>
      </c>
      <c r="G241" s="12">
        <v>0.0</v>
      </c>
      <c r="H241" s="12">
        <f t="shared" si="46"/>
        <v>1800</v>
      </c>
      <c r="I241" s="12">
        <v>1900.0</v>
      </c>
      <c r="J241" s="12">
        <v>780.0</v>
      </c>
      <c r="K241" s="12"/>
      <c r="L241" s="12">
        <v>0.0</v>
      </c>
      <c r="M241" s="12">
        <v>0.0</v>
      </c>
      <c r="N241" s="12">
        <v>0.0</v>
      </c>
      <c r="O241" s="16">
        <f t="shared" si="33"/>
        <v>2680</v>
      </c>
      <c r="P241" s="12">
        <v>360.0</v>
      </c>
      <c r="Q241" s="12">
        <v>300.0</v>
      </c>
      <c r="R241" s="12"/>
      <c r="S241" s="12">
        <v>0.0</v>
      </c>
      <c r="T241" s="12">
        <v>0.0</v>
      </c>
      <c r="U241" s="12">
        <v>0.0</v>
      </c>
      <c r="V241" s="16">
        <f t="shared" si="37"/>
        <v>660</v>
      </c>
      <c r="W241" s="12">
        <v>200.0</v>
      </c>
      <c r="X241" s="12">
        <v>0.0</v>
      </c>
      <c r="Y241" s="12"/>
      <c r="Z241" s="12">
        <v>0.0</v>
      </c>
      <c r="AA241" s="12">
        <v>0.0</v>
      </c>
      <c r="AB241" s="12">
        <v>0.0</v>
      </c>
      <c r="AC241" s="16">
        <f t="shared" si="38"/>
        <v>200</v>
      </c>
      <c r="AD241" s="12"/>
      <c r="AE241" s="12"/>
      <c r="AF241" s="12">
        <v>0.0</v>
      </c>
      <c r="AG241" s="12">
        <v>0.0</v>
      </c>
      <c r="AH241" s="12"/>
      <c r="AI241" s="12">
        <v>0.0</v>
      </c>
      <c r="AJ241" s="12">
        <v>0.0</v>
      </c>
      <c r="AK241" s="12">
        <v>0.0</v>
      </c>
      <c r="AL241" s="12">
        <f t="shared" si="53"/>
        <v>0</v>
      </c>
      <c r="AM241" s="12">
        <v>1733.0</v>
      </c>
      <c r="AN241" s="12">
        <v>0.0</v>
      </c>
      <c r="AO241" s="12"/>
      <c r="AP241" s="12">
        <v>0.0</v>
      </c>
      <c r="AQ241" s="12">
        <v>0.0</v>
      </c>
      <c r="AR241" s="12">
        <v>0.0</v>
      </c>
      <c r="AS241" s="12">
        <f t="shared" si="82"/>
        <v>1733</v>
      </c>
      <c r="AT241" s="16">
        <f t="shared" si="75"/>
        <v>5273</v>
      </c>
      <c r="AU241" s="18">
        <f t="shared" si="78"/>
        <v>22754</v>
      </c>
      <c r="AV241" s="18"/>
      <c r="AW241" s="18"/>
      <c r="AX241" s="12">
        <f t="shared" si="1"/>
        <v>5273</v>
      </c>
      <c r="AY241" s="12"/>
      <c r="AZ241" s="12">
        <v>550.0</v>
      </c>
      <c r="BA241" s="18">
        <f t="shared" si="79"/>
        <v>2287</v>
      </c>
      <c r="BB241" s="10">
        <f t="shared" si="16"/>
        <v>136524</v>
      </c>
      <c r="BC241" s="16">
        <f t="shared" si="80"/>
        <v>98735.45</v>
      </c>
      <c r="BD241" s="16"/>
      <c r="BE241" s="16"/>
      <c r="BF241" s="6"/>
      <c r="BG241" s="6"/>
      <c r="BH241" s="6"/>
      <c r="BI241" s="29">
        <f t="shared" si="77"/>
        <v>16052.29533</v>
      </c>
      <c r="BJ241" s="6"/>
      <c r="BK241" s="15">
        <f t="shared" si="76"/>
        <v>0.3284888479</v>
      </c>
      <c r="BN241" s="16">
        <f t="shared" si="14"/>
        <v>-10779.29533</v>
      </c>
      <c r="BO241" s="16">
        <f t="shared" si="81"/>
        <v>-57507.47667</v>
      </c>
      <c r="BY241" s="6">
        <f t="shared" si="2"/>
        <v>2024</v>
      </c>
      <c r="BZ241" s="6" t="str">
        <f t="shared" si="3"/>
        <v>junio</v>
      </c>
      <c r="CA241" s="6" t="str">
        <f t="shared" si="4"/>
        <v>6</v>
      </c>
    </row>
    <row r="242">
      <c r="A242" s="8">
        <v>45449.0</v>
      </c>
      <c r="B242" s="12">
        <v>84891.7</v>
      </c>
      <c r="C242" s="12">
        <v>89.59</v>
      </c>
      <c r="D242" s="12"/>
      <c r="E242" s="12">
        <v>0.0</v>
      </c>
      <c r="F242" s="12">
        <v>2100.75</v>
      </c>
      <c r="G242" s="12">
        <v>0.0</v>
      </c>
      <c r="H242" s="12">
        <f t="shared" si="46"/>
        <v>87082.04</v>
      </c>
      <c r="I242" s="12">
        <v>13455.26</v>
      </c>
      <c r="J242" s="12">
        <v>3069.75</v>
      </c>
      <c r="K242" s="12"/>
      <c r="L242" s="12">
        <v>2882.93</v>
      </c>
      <c r="M242" s="12">
        <v>1899.25</v>
      </c>
      <c r="N242" s="12">
        <v>0.0</v>
      </c>
      <c r="O242" s="16">
        <f t="shared" si="33"/>
        <v>21307.19</v>
      </c>
      <c r="P242" s="12">
        <v>5078.41</v>
      </c>
      <c r="Q242" s="12">
        <v>368.61</v>
      </c>
      <c r="R242" s="12"/>
      <c r="S242" s="12">
        <v>0.0</v>
      </c>
      <c r="T242" s="12">
        <v>0.0</v>
      </c>
      <c r="U242" s="12">
        <v>0.0</v>
      </c>
      <c r="V242" s="16">
        <f t="shared" si="37"/>
        <v>5447.02</v>
      </c>
      <c r="W242" s="12">
        <v>1900.0</v>
      </c>
      <c r="X242" s="12">
        <v>2099.85</v>
      </c>
      <c r="Y242" s="12"/>
      <c r="Z242" s="12">
        <v>0.0</v>
      </c>
      <c r="AA242" s="12">
        <v>0.0</v>
      </c>
      <c r="AB242" s="12">
        <v>0.0</v>
      </c>
      <c r="AC242" s="16">
        <f t="shared" si="38"/>
        <v>3999.85</v>
      </c>
      <c r="AD242" s="12"/>
      <c r="AE242" s="12"/>
      <c r="AF242" s="12">
        <v>3714.72</v>
      </c>
      <c r="AG242" s="12">
        <v>3151.69</v>
      </c>
      <c r="AH242" s="12"/>
      <c r="AI242" s="12">
        <v>0.0</v>
      </c>
      <c r="AJ242" s="12">
        <v>0.0</v>
      </c>
      <c r="AK242" s="12">
        <v>0.0</v>
      </c>
      <c r="AL242" s="12">
        <f t="shared" si="53"/>
        <v>6866.41</v>
      </c>
      <c r="AM242" s="12">
        <v>1551.0</v>
      </c>
      <c r="AN242" s="12">
        <v>0.0</v>
      </c>
      <c r="AO242" s="12"/>
      <c r="AP242" s="12">
        <v>0.0</v>
      </c>
      <c r="AQ242" s="12">
        <v>0.0</v>
      </c>
      <c r="AR242" s="12">
        <v>0.0</v>
      </c>
      <c r="AS242" s="12">
        <f t="shared" si="82"/>
        <v>1551</v>
      </c>
      <c r="AT242" s="16">
        <f t="shared" si="75"/>
        <v>39171.47</v>
      </c>
      <c r="AU242" s="18">
        <f t="shared" si="78"/>
        <v>61925.47</v>
      </c>
      <c r="AV242" s="18"/>
      <c r="AW242" s="18"/>
      <c r="AX242" s="12">
        <f t="shared" si="1"/>
        <v>39171.47</v>
      </c>
      <c r="AY242" s="12"/>
      <c r="AZ242" s="12">
        <v>2279.34</v>
      </c>
      <c r="BA242" s="18">
        <f t="shared" si="79"/>
        <v>4566.34</v>
      </c>
      <c r="BB242" s="10">
        <f t="shared" si="16"/>
        <v>309627.35</v>
      </c>
      <c r="BC242" s="16">
        <f t="shared" si="80"/>
        <v>98735.45</v>
      </c>
      <c r="BD242" s="16"/>
      <c r="BE242" s="16"/>
      <c r="BF242" s="6"/>
      <c r="BG242" s="6"/>
      <c r="BH242" s="6"/>
      <c r="BI242" s="29">
        <f t="shared" si="77"/>
        <v>16052.29533</v>
      </c>
      <c r="BK242" s="15">
        <f t="shared" si="76"/>
        <v>2.440241049</v>
      </c>
      <c r="BN242" s="16">
        <f t="shared" si="14"/>
        <v>23119.17467</v>
      </c>
      <c r="BO242" s="16">
        <f t="shared" si="81"/>
        <v>-34388.302</v>
      </c>
      <c r="BY242" s="6">
        <f t="shared" si="2"/>
        <v>2024</v>
      </c>
      <c r="BZ242" s="6" t="str">
        <f t="shared" si="3"/>
        <v>junio</v>
      </c>
      <c r="CA242" s="6" t="str">
        <f t="shared" si="4"/>
        <v>6</v>
      </c>
    </row>
    <row r="243">
      <c r="A243" s="8">
        <v>45450.0</v>
      </c>
      <c r="B243" s="12">
        <v>16138.69</v>
      </c>
      <c r="C243" s="12">
        <v>535.69</v>
      </c>
      <c r="D243" s="12"/>
      <c r="E243" s="12">
        <v>4019.71</v>
      </c>
      <c r="F243" s="12">
        <v>0.0</v>
      </c>
      <c r="G243" s="12">
        <v>0.0</v>
      </c>
      <c r="H243" s="12">
        <f t="shared" si="46"/>
        <v>20694.09</v>
      </c>
      <c r="I243" s="12">
        <v>13483.58</v>
      </c>
      <c r="J243" s="12">
        <v>1786.46</v>
      </c>
      <c r="K243" s="12"/>
      <c r="L243" s="12">
        <v>4230.34</v>
      </c>
      <c r="M243" s="12">
        <v>0.0</v>
      </c>
      <c r="N243" s="12">
        <v>0.0</v>
      </c>
      <c r="O243" s="16">
        <f t="shared" si="33"/>
        <v>19500.38</v>
      </c>
      <c r="P243" s="12">
        <v>2674.57</v>
      </c>
      <c r="Q243" s="12">
        <v>464.22</v>
      </c>
      <c r="R243" s="12"/>
      <c r="S243" s="12">
        <v>0.0</v>
      </c>
      <c r="T243" s="12">
        <v>0.0</v>
      </c>
      <c r="U243" s="12">
        <v>0.0</v>
      </c>
      <c r="V243" s="16">
        <f t="shared" si="37"/>
        <v>3138.79</v>
      </c>
      <c r="W243" s="12">
        <v>2460.62</v>
      </c>
      <c r="X243" s="12">
        <v>0.0</v>
      </c>
      <c r="Y243" s="12"/>
      <c r="Z243" s="12">
        <v>0.0</v>
      </c>
      <c r="AA243" s="12">
        <v>0.0</v>
      </c>
      <c r="AB243" s="12">
        <v>0.0</v>
      </c>
      <c r="AC243" s="16">
        <f t="shared" si="38"/>
        <v>2460.62</v>
      </c>
      <c r="AD243" s="12"/>
      <c r="AE243" s="12"/>
      <c r="AF243" s="12">
        <v>934.58</v>
      </c>
      <c r="AG243" s="12">
        <v>0.0</v>
      </c>
      <c r="AH243" s="12"/>
      <c r="AI243" s="12">
        <v>0.0</v>
      </c>
      <c r="AJ243" s="12">
        <v>0.0</v>
      </c>
      <c r="AK243" s="12">
        <v>0.0</v>
      </c>
      <c r="AL243" s="12">
        <f t="shared" si="53"/>
        <v>934.58</v>
      </c>
      <c r="AM243" s="12">
        <v>3623.0</v>
      </c>
      <c r="AN243" s="12">
        <v>0.0</v>
      </c>
      <c r="AO243" s="12"/>
      <c r="AP243" s="12">
        <v>0.0</v>
      </c>
      <c r="AQ243" s="12">
        <v>0.0</v>
      </c>
      <c r="AR243" s="12">
        <v>0.0</v>
      </c>
      <c r="AS243" s="12">
        <f t="shared" si="82"/>
        <v>3623</v>
      </c>
      <c r="AT243" s="16">
        <f t="shared" si="75"/>
        <v>29657.37</v>
      </c>
      <c r="AU243" s="18">
        <f t="shared" si="78"/>
        <v>91582.84</v>
      </c>
      <c r="AV243" s="18"/>
      <c r="AW243" s="18"/>
      <c r="AX243" s="12">
        <f t="shared" si="1"/>
        <v>29657.37</v>
      </c>
      <c r="AY243" s="12"/>
      <c r="AZ243" s="12">
        <v>8759.75</v>
      </c>
      <c r="BA243" s="18">
        <f t="shared" si="79"/>
        <v>13326.09</v>
      </c>
      <c r="BB243" s="10">
        <f t="shared" si="16"/>
        <v>392497.8857</v>
      </c>
      <c r="BC243" s="16">
        <f t="shared" si="80"/>
        <v>98735.45</v>
      </c>
      <c r="BD243" s="16"/>
      <c r="BE243" s="16"/>
      <c r="BF243" s="6"/>
      <c r="BG243" s="6"/>
      <c r="BH243" s="6"/>
      <c r="BI243" s="29">
        <f t="shared" si="77"/>
        <v>16052.29533</v>
      </c>
      <c r="BK243" s="15">
        <f t="shared" si="76"/>
        <v>1.847546995</v>
      </c>
      <c r="BN243" s="16">
        <f t="shared" si="14"/>
        <v>13605.07467</v>
      </c>
      <c r="BO243" s="16">
        <f t="shared" si="81"/>
        <v>-20783.22733</v>
      </c>
      <c r="BY243" s="6">
        <f t="shared" si="2"/>
        <v>2024</v>
      </c>
      <c r="BZ243" s="6" t="str">
        <f t="shared" si="3"/>
        <v>junio</v>
      </c>
      <c r="CA243" s="6" t="str">
        <f t="shared" si="4"/>
        <v>6</v>
      </c>
    </row>
    <row r="244">
      <c r="A244" s="8">
        <v>45451.0</v>
      </c>
      <c r="B244" s="12">
        <v>0.0</v>
      </c>
      <c r="C244" s="12">
        <v>0.0</v>
      </c>
      <c r="D244" s="12"/>
      <c r="E244" s="12">
        <v>0.0</v>
      </c>
      <c r="F244" s="12">
        <v>0.0</v>
      </c>
      <c r="G244" s="12">
        <v>0.0</v>
      </c>
      <c r="H244" s="12">
        <f t="shared" si="46"/>
        <v>0</v>
      </c>
      <c r="I244" s="12">
        <v>0.0</v>
      </c>
      <c r="J244" s="12">
        <v>0.0</v>
      </c>
      <c r="K244" s="12"/>
      <c r="L244" s="12">
        <v>0.0</v>
      </c>
      <c r="M244" s="12">
        <v>0.0</v>
      </c>
      <c r="N244" s="12">
        <v>0.0</v>
      </c>
      <c r="O244" s="16">
        <f t="shared" si="33"/>
        <v>0</v>
      </c>
      <c r="P244" s="12">
        <v>0.0</v>
      </c>
      <c r="Q244" s="12">
        <v>0.0</v>
      </c>
      <c r="R244" s="12"/>
      <c r="S244" s="12">
        <v>0.0</v>
      </c>
      <c r="T244" s="12">
        <v>0.0</v>
      </c>
      <c r="U244" s="12">
        <v>0.0</v>
      </c>
      <c r="V244" s="16">
        <f t="shared" si="37"/>
        <v>0</v>
      </c>
      <c r="W244" s="12">
        <v>0.0</v>
      </c>
      <c r="X244" s="12">
        <v>0.0</v>
      </c>
      <c r="Y244" s="12"/>
      <c r="Z244" s="12">
        <v>0.0</v>
      </c>
      <c r="AA244" s="12">
        <v>0.0</v>
      </c>
      <c r="AB244" s="12">
        <v>0.0</v>
      </c>
      <c r="AC244" s="16">
        <f t="shared" si="38"/>
        <v>0</v>
      </c>
      <c r="AD244" s="12"/>
      <c r="AE244" s="12"/>
      <c r="AF244" s="12">
        <v>0.0</v>
      </c>
      <c r="AG244" s="12">
        <v>0.0</v>
      </c>
      <c r="AH244" s="12"/>
      <c r="AI244" s="12">
        <v>0.0</v>
      </c>
      <c r="AJ244" s="12">
        <v>0.0</v>
      </c>
      <c r="AK244" s="12">
        <v>0.0</v>
      </c>
      <c r="AL244" s="12">
        <f t="shared" si="53"/>
        <v>0</v>
      </c>
      <c r="AM244" s="12">
        <v>0.0</v>
      </c>
      <c r="AN244" s="12">
        <v>0.0</v>
      </c>
      <c r="AO244" s="12"/>
      <c r="AP244" s="12">
        <v>0.0</v>
      </c>
      <c r="AQ244" s="12">
        <v>0.0</v>
      </c>
      <c r="AR244" s="12">
        <v>0.0</v>
      </c>
      <c r="AS244" s="12">
        <f t="shared" si="82"/>
        <v>0</v>
      </c>
      <c r="AT244" s="16">
        <f t="shared" si="75"/>
        <v>0</v>
      </c>
      <c r="AU244" s="18">
        <f t="shared" si="78"/>
        <v>91582.84</v>
      </c>
      <c r="AV244" s="18"/>
      <c r="AW244" s="18"/>
      <c r="AX244" s="12">
        <f t="shared" si="1"/>
        <v>0</v>
      </c>
      <c r="AY244" s="12"/>
      <c r="AZ244" s="12">
        <v>0.0</v>
      </c>
      <c r="BA244" s="18">
        <f t="shared" si="79"/>
        <v>13326.09</v>
      </c>
      <c r="BB244" s="10">
        <f t="shared" si="16"/>
        <v>343435.65</v>
      </c>
      <c r="BC244" s="16">
        <f t="shared" si="80"/>
        <v>98735.45</v>
      </c>
      <c r="BD244" s="16"/>
      <c r="BE244" s="16"/>
      <c r="BF244" s="6"/>
      <c r="BG244" s="6"/>
      <c r="BH244" s="6"/>
      <c r="BI244" s="29">
        <f t="shared" si="77"/>
        <v>16052.29533</v>
      </c>
      <c r="BJ244" s="6"/>
      <c r="BK244" s="15">
        <f t="shared" si="76"/>
        <v>0</v>
      </c>
      <c r="BN244" s="16">
        <f t="shared" si="14"/>
        <v>-16052.29533</v>
      </c>
      <c r="BO244" s="16">
        <f t="shared" si="81"/>
        <v>-36835.52267</v>
      </c>
      <c r="BY244" s="6">
        <f t="shared" si="2"/>
        <v>2024</v>
      </c>
      <c r="BZ244" s="6" t="str">
        <f t="shared" si="3"/>
        <v>junio</v>
      </c>
      <c r="CA244" s="6" t="str">
        <f t="shared" si="4"/>
        <v>6</v>
      </c>
    </row>
    <row r="245">
      <c r="A245" s="8">
        <v>45452.0</v>
      </c>
      <c r="B245" s="12">
        <v>0.0</v>
      </c>
      <c r="C245" s="12">
        <v>0.0</v>
      </c>
      <c r="D245" s="12"/>
      <c r="E245" s="12">
        <v>0.0</v>
      </c>
      <c r="F245" s="12">
        <v>0.0</v>
      </c>
      <c r="G245" s="12">
        <v>0.0</v>
      </c>
      <c r="H245" s="12">
        <f t="shared" si="46"/>
        <v>0</v>
      </c>
      <c r="I245" s="12">
        <v>0.0</v>
      </c>
      <c r="J245" s="12">
        <v>0.0</v>
      </c>
      <c r="K245" s="12"/>
      <c r="L245" s="12">
        <v>0.0</v>
      </c>
      <c r="M245" s="12">
        <v>0.0</v>
      </c>
      <c r="N245" s="12">
        <v>0.0</v>
      </c>
      <c r="O245" s="16">
        <f t="shared" si="33"/>
        <v>0</v>
      </c>
      <c r="P245" s="12">
        <v>0.0</v>
      </c>
      <c r="Q245" s="12">
        <v>0.0</v>
      </c>
      <c r="R245" s="12"/>
      <c r="S245" s="12">
        <v>0.0</v>
      </c>
      <c r="T245" s="12">
        <v>0.0</v>
      </c>
      <c r="U245" s="12">
        <v>0.0</v>
      </c>
      <c r="V245" s="16">
        <f t="shared" si="37"/>
        <v>0</v>
      </c>
      <c r="W245" s="12">
        <v>0.0</v>
      </c>
      <c r="X245" s="12">
        <v>0.0</v>
      </c>
      <c r="Y245" s="12"/>
      <c r="Z245" s="12">
        <v>0.0</v>
      </c>
      <c r="AA245" s="12">
        <v>0.0</v>
      </c>
      <c r="AB245" s="12">
        <v>0.0</v>
      </c>
      <c r="AC245" s="16">
        <f t="shared" si="38"/>
        <v>0</v>
      </c>
      <c r="AD245" s="12"/>
      <c r="AE245" s="12"/>
      <c r="AF245" s="12">
        <v>0.0</v>
      </c>
      <c r="AG245" s="12">
        <v>0.0</v>
      </c>
      <c r="AH245" s="12"/>
      <c r="AI245" s="12">
        <v>0.0</v>
      </c>
      <c r="AJ245" s="12">
        <v>0.0</v>
      </c>
      <c r="AK245" s="12">
        <v>0.0</v>
      </c>
      <c r="AL245" s="12">
        <f t="shared" si="53"/>
        <v>0</v>
      </c>
      <c r="AM245" s="12">
        <v>0.0</v>
      </c>
      <c r="AN245" s="12">
        <v>0.0</v>
      </c>
      <c r="AO245" s="12"/>
      <c r="AP245" s="12">
        <v>0.0</v>
      </c>
      <c r="AQ245" s="12">
        <v>0.0</v>
      </c>
      <c r="AR245" s="12">
        <v>0.0</v>
      </c>
      <c r="AS245" s="12">
        <f t="shared" si="82"/>
        <v>0</v>
      </c>
      <c r="AT245" s="16">
        <f t="shared" si="75"/>
        <v>0</v>
      </c>
      <c r="AU245" s="18">
        <f t="shared" si="78"/>
        <v>91582.84</v>
      </c>
      <c r="AV245" s="18"/>
      <c r="AW245" s="18"/>
      <c r="AX245" s="12">
        <f t="shared" si="1"/>
        <v>0</v>
      </c>
      <c r="AY245" s="12"/>
      <c r="AZ245" s="12">
        <v>0.0</v>
      </c>
      <c r="BA245" s="18">
        <f t="shared" si="79"/>
        <v>13326.09</v>
      </c>
      <c r="BB245" s="10">
        <f t="shared" si="16"/>
        <v>305276.1333</v>
      </c>
      <c r="BC245" s="16">
        <f t="shared" si="80"/>
        <v>98735.45</v>
      </c>
      <c r="BD245" s="16"/>
      <c r="BE245" s="16"/>
      <c r="BF245" s="6"/>
      <c r="BG245" s="6"/>
      <c r="BH245" s="6"/>
      <c r="BI245" s="29">
        <f t="shared" si="77"/>
        <v>16052.29533</v>
      </c>
      <c r="BJ245" s="6"/>
      <c r="BK245" s="15">
        <f t="shared" si="76"/>
        <v>0</v>
      </c>
      <c r="BN245" s="16">
        <f t="shared" si="14"/>
        <v>-16052.29533</v>
      </c>
      <c r="BO245" s="16">
        <f t="shared" si="81"/>
        <v>-52887.818</v>
      </c>
      <c r="BY245" s="6">
        <f t="shared" si="2"/>
        <v>2024</v>
      </c>
      <c r="BZ245" s="6" t="str">
        <f t="shared" si="3"/>
        <v>junio</v>
      </c>
      <c r="CA245" s="6" t="str">
        <f t="shared" si="4"/>
        <v>6</v>
      </c>
    </row>
    <row r="246">
      <c r="A246" s="8">
        <v>45453.0</v>
      </c>
      <c r="B246" s="12">
        <v>56708.4</v>
      </c>
      <c r="C246" s="12">
        <v>651.58</v>
      </c>
      <c r="D246" s="12"/>
      <c r="E246" s="12">
        <v>0.0</v>
      </c>
      <c r="F246" s="12">
        <v>0.0</v>
      </c>
      <c r="G246" s="12">
        <v>0.0</v>
      </c>
      <c r="H246" s="12">
        <f t="shared" si="46"/>
        <v>57359.98</v>
      </c>
      <c r="I246" s="12">
        <v>11090.94</v>
      </c>
      <c r="J246" s="12">
        <v>809.13</v>
      </c>
      <c r="K246" s="12"/>
      <c r="L246" s="12">
        <v>2185.4</v>
      </c>
      <c r="M246" s="12">
        <v>0.0</v>
      </c>
      <c r="N246" s="12">
        <v>0.0</v>
      </c>
      <c r="O246" s="16">
        <f t="shared" si="33"/>
        <v>14085.47</v>
      </c>
      <c r="P246" s="12">
        <v>2787.12</v>
      </c>
      <c r="Q246" s="12">
        <v>368.82</v>
      </c>
      <c r="R246" s="12"/>
      <c r="S246" s="12">
        <v>0.0</v>
      </c>
      <c r="T246" s="12">
        <v>0.0</v>
      </c>
      <c r="U246" s="12">
        <v>0.0</v>
      </c>
      <c r="V246" s="16">
        <f t="shared" si="37"/>
        <v>3155.94</v>
      </c>
      <c r="W246" s="12">
        <v>0.0</v>
      </c>
      <c r="X246" s="12">
        <v>0.0</v>
      </c>
      <c r="Y246" s="12"/>
      <c r="Z246" s="12">
        <v>0.0</v>
      </c>
      <c r="AA246" s="12">
        <v>0.0</v>
      </c>
      <c r="AB246" s="12">
        <v>0.0</v>
      </c>
      <c r="AC246" s="16">
        <f t="shared" si="38"/>
        <v>0</v>
      </c>
      <c r="AD246" s="12"/>
      <c r="AE246" s="12"/>
      <c r="AF246" s="12">
        <v>3366.72</v>
      </c>
      <c r="AG246" s="12">
        <v>0.0</v>
      </c>
      <c r="AH246" s="12"/>
      <c r="AI246" s="12">
        <v>5452.53</v>
      </c>
      <c r="AJ246" s="12">
        <v>0.0</v>
      </c>
      <c r="AK246" s="12">
        <v>0.0</v>
      </c>
      <c r="AL246" s="12">
        <f t="shared" si="53"/>
        <v>8819.25</v>
      </c>
      <c r="AM246" s="12">
        <v>0.0</v>
      </c>
      <c r="AN246" s="12">
        <v>0.0</v>
      </c>
      <c r="AO246" s="12"/>
      <c r="AP246" s="12">
        <v>0.0</v>
      </c>
      <c r="AQ246" s="12">
        <v>0.0</v>
      </c>
      <c r="AR246" s="12">
        <v>0.0</v>
      </c>
      <c r="AS246" s="12">
        <f t="shared" si="82"/>
        <v>0</v>
      </c>
      <c r="AT246" s="16">
        <f t="shared" si="75"/>
        <v>26060.66</v>
      </c>
      <c r="AU246" s="18">
        <f t="shared" si="78"/>
        <v>117643.5</v>
      </c>
      <c r="AV246" s="18"/>
      <c r="AW246" s="18"/>
      <c r="AX246" s="12">
        <f t="shared" si="1"/>
        <v>26060.66</v>
      </c>
      <c r="AY246" s="12"/>
      <c r="AZ246" s="12">
        <v>2169.07</v>
      </c>
      <c r="BA246" s="18">
        <f t="shared" si="79"/>
        <v>15495.16</v>
      </c>
      <c r="BB246" s="10">
        <f t="shared" si="16"/>
        <v>352930.5</v>
      </c>
      <c r="BC246" s="16">
        <f t="shared" si="80"/>
        <v>98735.45</v>
      </c>
      <c r="BD246" s="16"/>
      <c r="BE246" s="16"/>
      <c r="BF246" s="6"/>
      <c r="BG246" s="6"/>
      <c r="BH246" s="6"/>
      <c r="BI246" s="29">
        <f t="shared" si="77"/>
        <v>16052.29533</v>
      </c>
      <c r="BK246" s="15">
        <f t="shared" si="76"/>
        <v>1.623484957</v>
      </c>
      <c r="BN246" s="16">
        <f t="shared" si="14"/>
        <v>10008.36467</v>
      </c>
      <c r="BO246" s="16">
        <f t="shared" si="81"/>
        <v>-42879.45333</v>
      </c>
      <c r="BY246" s="6">
        <f t="shared" si="2"/>
        <v>2024</v>
      </c>
      <c r="BZ246" s="6" t="str">
        <f t="shared" si="3"/>
        <v>junio</v>
      </c>
      <c r="CA246" s="6" t="str">
        <f t="shared" si="4"/>
        <v>6</v>
      </c>
    </row>
    <row r="247">
      <c r="A247" s="8">
        <v>45454.0</v>
      </c>
      <c r="B247" s="12">
        <v>4800.95</v>
      </c>
      <c r="C247" s="12">
        <v>1254.58</v>
      </c>
      <c r="D247" s="12"/>
      <c r="E247" s="12">
        <v>2018.82</v>
      </c>
      <c r="F247" s="12">
        <v>1287.31</v>
      </c>
      <c r="G247" s="12">
        <v>0.0</v>
      </c>
      <c r="H247" s="12">
        <f t="shared" si="46"/>
        <v>9361.66</v>
      </c>
      <c r="I247" s="12">
        <v>4624.32</v>
      </c>
      <c r="J247" s="12">
        <v>964.86</v>
      </c>
      <c r="K247" s="12"/>
      <c r="L247" s="12">
        <v>12987.46</v>
      </c>
      <c r="M247" s="12">
        <v>112.69</v>
      </c>
      <c r="N247" s="12">
        <v>0.0</v>
      </c>
      <c r="O247" s="16">
        <f t="shared" si="33"/>
        <v>18689.33</v>
      </c>
      <c r="P247" s="12">
        <v>1328.39</v>
      </c>
      <c r="Q247" s="12">
        <v>198.34</v>
      </c>
      <c r="R247" s="12"/>
      <c r="S247" s="12">
        <v>0.0</v>
      </c>
      <c r="T247" s="12">
        <v>0.0</v>
      </c>
      <c r="U247" s="12">
        <v>0.0</v>
      </c>
      <c r="V247" s="16">
        <f t="shared" si="37"/>
        <v>1526.73</v>
      </c>
      <c r="W247" s="12">
        <f>2530.78+5003.42</f>
        <v>7534.2</v>
      </c>
      <c r="X247" s="12">
        <v>0.0</v>
      </c>
      <c r="Y247" s="12"/>
      <c r="Z247" s="12">
        <v>0.0</v>
      </c>
      <c r="AA247" s="12">
        <v>0.0</v>
      </c>
      <c r="AB247" s="12">
        <v>0.0</v>
      </c>
      <c r="AC247" s="16">
        <f t="shared" si="38"/>
        <v>7534.2</v>
      </c>
      <c r="AD247" s="12"/>
      <c r="AE247" s="12"/>
      <c r="AF247" s="12">
        <v>1149.48</v>
      </c>
      <c r="AG247" s="12">
        <v>1399.79</v>
      </c>
      <c r="AH247" s="12"/>
      <c r="AI247" s="12">
        <v>0.0</v>
      </c>
      <c r="AJ247" s="12">
        <v>0.0</v>
      </c>
      <c r="AK247" s="12">
        <v>0.0</v>
      </c>
      <c r="AL247" s="12">
        <f t="shared" si="53"/>
        <v>2549.27</v>
      </c>
      <c r="AM247" s="12">
        <f>1591+6020</f>
        <v>7611</v>
      </c>
      <c r="AN247" s="12">
        <v>0.0</v>
      </c>
      <c r="AO247" s="12"/>
      <c r="AP247" s="12">
        <v>0.0</v>
      </c>
      <c r="AQ247" s="12">
        <v>0.0</v>
      </c>
      <c r="AR247" s="12">
        <v>0.0</v>
      </c>
      <c r="AS247" s="12">
        <f t="shared" si="82"/>
        <v>7611</v>
      </c>
      <c r="AT247" s="16">
        <f t="shared" si="75"/>
        <v>37910.53</v>
      </c>
      <c r="AU247" s="18">
        <f t="shared" si="78"/>
        <v>155554.03</v>
      </c>
      <c r="AV247" s="18"/>
      <c r="AW247" s="18"/>
      <c r="AX247" s="12">
        <f t="shared" si="1"/>
        <v>37910.53</v>
      </c>
      <c r="AY247" s="12"/>
      <c r="AZ247" s="12">
        <v>4580.92</v>
      </c>
      <c r="BA247" s="18">
        <f t="shared" si="79"/>
        <v>20076.08</v>
      </c>
      <c r="BB247" s="10">
        <f t="shared" si="16"/>
        <v>424238.2636</v>
      </c>
      <c r="BC247" s="16">
        <f t="shared" si="80"/>
        <v>98735.45</v>
      </c>
      <c r="BD247" s="16"/>
      <c r="BE247" s="16"/>
      <c r="BF247" s="6"/>
      <c r="BG247" s="6"/>
      <c r="BH247" s="6"/>
      <c r="BI247" s="29">
        <f t="shared" si="77"/>
        <v>16052.29533</v>
      </c>
      <c r="BK247" s="15">
        <f t="shared" si="76"/>
        <v>2.361689043</v>
      </c>
      <c r="BN247" s="16">
        <f t="shared" si="14"/>
        <v>21858.23467</v>
      </c>
      <c r="BO247" s="16">
        <f t="shared" si="81"/>
        <v>-21021.21867</v>
      </c>
      <c r="BY247" s="6">
        <f t="shared" si="2"/>
        <v>2024</v>
      </c>
      <c r="BZ247" s="6" t="str">
        <f t="shared" si="3"/>
        <v>junio</v>
      </c>
      <c r="CA247" s="6" t="str">
        <f t="shared" si="4"/>
        <v>6</v>
      </c>
    </row>
    <row r="248">
      <c r="A248" s="8">
        <v>45455.0</v>
      </c>
      <c r="B248" s="12">
        <v>5794.1</v>
      </c>
      <c r="C248" s="12">
        <v>0.0</v>
      </c>
      <c r="D248" s="12"/>
      <c r="E248" s="12">
        <v>16447.72</v>
      </c>
      <c r="F248" s="12">
        <v>0.0</v>
      </c>
      <c r="G248" s="12">
        <v>0.0</v>
      </c>
      <c r="H248" s="12">
        <f t="shared" si="46"/>
        <v>22241.82</v>
      </c>
      <c r="I248" s="12">
        <v>3779.92</v>
      </c>
      <c r="J248" s="12">
        <v>0.0</v>
      </c>
      <c r="K248" s="12"/>
      <c r="L248" s="12">
        <v>13937.05</v>
      </c>
      <c r="M248" s="12">
        <v>0.0</v>
      </c>
      <c r="N248" s="12">
        <v>0.0</v>
      </c>
      <c r="O248" s="16">
        <f t="shared" si="33"/>
        <v>17716.97</v>
      </c>
      <c r="P248" s="12">
        <v>596.67</v>
      </c>
      <c r="Q248" s="12">
        <v>0.0</v>
      </c>
      <c r="R248" s="12"/>
      <c r="S248" s="12">
        <v>0.0</v>
      </c>
      <c r="T248" s="12">
        <v>0.0</v>
      </c>
      <c r="U248" s="12">
        <v>0.0</v>
      </c>
      <c r="V248" s="16">
        <f t="shared" si="37"/>
        <v>596.67</v>
      </c>
      <c r="W248" s="12">
        <v>7718.43</v>
      </c>
      <c r="X248" s="12">
        <v>0.0</v>
      </c>
      <c r="Y248" s="12"/>
      <c r="Z248" s="12">
        <v>0.0</v>
      </c>
      <c r="AA248" s="12">
        <v>0.0</v>
      </c>
      <c r="AB248" s="12">
        <v>0.0</v>
      </c>
      <c r="AC248" s="16">
        <f t="shared" si="38"/>
        <v>7718.43</v>
      </c>
      <c r="AD248" s="12"/>
      <c r="AE248" s="12"/>
      <c r="AF248" s="12">
        <v>2046.7</v>
      </c>
      <c r="AG248" s="12">
        <v>0.0</v>
      </c>
      <c r="AH248" s="12"/>
      <c r="AI248" s="12">
        <v>7811.92</v>
      </c>
      <c r="AJ248" s="12">
        <v>0.0</v>
      </c>
      <c r="AK248" s="12">
        <v>0.0</v>
      </c>
      <c r="AL248" s="12">
        <f t="shared" si="53"/>
        <v>9858.62</v>
      </c>
      <c r="AM248" s="12">
        <v>11760.0</v>
      </c>
      <c r="AN248" s="12">
        <v>0.0</v>
      </c>
      <c r="AO248" s="12"/>
      <c r="AP248" s="12">
        <v>0.0</v>
      </c>
      <c r="AQ248" s="12">
        <v>0.0</v>
      </c>
      <c r="AR248" s="12">
        <v>0.0</v>
      </c>
      <c r="AS248" s="12">
        <f t="shared" si="82"/>
        <v>11760</v>
      </c>
      <c r="AT248" s="16">
        <f t="shared" si="75"/>
        <v>47650.69</v>
      </c>
      <c r="AU248" s="18">
        <f t="shared" si="78"/>
        <v>203204.72</v>
      </c>
      <c r="AV248" s="18"/>
      <c r="AW248" s="18"/>
      <c r="AX248" s="12">
        <f t="shared" si="1"/>
        <v>47650.69</v>
      </c>
      <c r="AY248" s="12"/>
      <c r="AZ248" s="12">
        <v>11502.16</v>
      </c>
      <c r="BA248" s="18">
        <f t="shared" si="79"/>
        <v>31578.24</v>
      </c>
      <c r="BB248" s="10">
        <f t="shared" si="16"/>
        <v>508011.8</v>
      </c>
      <c r="BC248" s="16">
        <f t="shared" si="80"/>
        <v>98735.45</v>
      </c>
      <c r="BD248" s="16"/>
      <c r="BE248" s="16"/>
      <c r="BF248" s="6"/>
      <c r="BG248" s="6"/>
      <c r="BH248" s="6"/>
      <c r="BI248" s="29">
        <f t="shared" si="77"/>
        <v>16052.29533</v>
      </c>
      <c r="BK248" s="15">
        <f t="shared" si="76"/>
        <v>2.968465818</v>
      </c>
      <c r="BN248" s="16">
        <f t="shared" si="14"/>
        <v>31598.39467</v>
      </c>
      <c r="BO248" s="16">
        <f t="shared" si="81"/>
        <v>10577.176</v>
      </c>
      <c r="BY248" s="6">
        <f t="shared" si="2"/>
        <v>2024</v>
      </c>
      <c r="BZ248" s="6" t="str">
        <f t="shared" si="3"/>
        <v>junio</v>
      </c>
      <c r="CA248" s="6" t="str">
        <f t="shared" si="4"/>
        <v>6</v>
      </c>
    </row>
    <row r="249">
      <c r="A249" s="8">
        <v>45456.0</v>
      </c>
      <c r="B249" s="12">
        <v>7241.98</v>
      </c>
      <c r="C249" s="12">
        <v>0.0</v>
      </c>
      <c r="D249" s="12"/>
      <c r="E249" s="12">
        <v>0.0</v>
      </c>
      <c r="F249" s="12">
        <v>0.0</v>
      </c>
      <c r="G249" s="12">
        <v>0.0</v>
      </c>
      <c r="H249" s="12">
        <f t="shared" si="46"/>
        <v>7241.98</v>
      </c>
      <c r="I249" s="12">
        <f>4536.61+33144.21</f>
        <v>37680.82</v>
      </c>
      <c r="J249" s="12">
        <v>0.0</v>
      </c>
      <c r="K249" s="12"/>
      <c r="L249" s="12">
        <v>0.0</v>
      </c>
      <c r="M249" s="12">
        <v>0.0</v>
      </c>
      <c r="N249" s="12">
        <v>0.0</v>
      </c>
      <c r="O249" s="16">
        <f t="shared" si="33"/>
        <v>37680.82</v>
      </c>
      <c r="P249" s="12">
        <v>1018.2</v>
      </c>
      <c r="Q249" s="12">
        <v>0.0</v>
      </c>
      <c r="R249" s="12"/>
      <c r="S249" s="12">
        <v>0.0</v>
      </c>
      <c r="T249" s="12">
        <v>0.0</v>
      </c>
      <c r="U249" s="12">
        <v>0.0</v>
      </c>
      <c r="V249" s="16">
        <f t="shared" si="37"/>
        <v>1018.2</v>
      </c>
      <c r="W249" s="12">
        <v>0.0</v>
      </c>
      <c r="X249" s="12">
        <v>0.0</v>
      </c>
      <c r="Y249" s="12"/>
      <c r="Z249" s="12">
        <v>0.0</v>
      </c>
      <c r="AA249" s="12">
        <v>0.0</v>
      </c>
      <c r="AB249" s="12">
        <v>0.0</v>
      </c>
      <c r="AC249" s="16">
        <f t="shared" si="38"/>
        <v>0</v>
      </c>
      <c r="AD249" s="12"/>
      <c r="AE249" s="12"/>
      <c r="AF249" s="12">
        <v>1255.68</v>
      </c>
      <c r="AG249" s="12">
        <v>0.0</v>
      </c>
      <c r="AH249" s="12"/>
      <c r="AI249" s="12">
        <v>0.0</v>
      </c>
      <c r="AJ249" s="12">
        <v>0.0</v>
      </c>
      <c r="AK249" s="12">
        <v>0.0</v>
      </c>
      <c r="AL249" s="12">
        <f t="shared" si="53"/>
        <v>1255.68</v>
      </c>
      <c r="AM249" s="12">
        <v>0.0</v>
      </c>
      <c r="AN249" s="12">
        <v>0.0</v>
      </c>
      <c r="AO249" s="12"/>
      <c r="AP249" s="12">
        <v>0.0</v>
      </c>
      <c r="AQ249" s="12">
        <v>0.0</v>
      </c>
      <c r="AR249" s="12">
        <v>0.0</v>
      </c>
      <c r="AS249" s="12">
        <f t="shared" si="82"/>
        <v>0</v>
      </c>
      <c r="AT249" s="16">
        <f t="shared" si="75"/>
        <v>39954.7</v>
      </c>
      <c r="AU249" s="18">
        <f t="shared" si="78"/>
        <v>243159.42</v>
      </c>
      <c r="AV249" s="18"/>
      <c r="AW249" s="18"/>
      <c r="AX249" s="12">
        <f t="shared" si="1"/>
        <v>39954.7</v>
      </c>
      <c r="AY249" s="12"/>
      <c r="AZ249" s="12">
        <v>0.0</v>
      </c>
      <c r="BA249" s="18">
        <f t="shared" si="79"/>
        <v>31578.24</v>
      </c>
      <c r="BB249" s="10">
        <f t="shared" si="16"/>
        <v>561137.1231</v>
      </c>
      <c r="BC249" s="16">
        <f t="shared" si="80"/>
        <v>98735.45</v>
      </c>
      <c r="BD249" s="16"/>
      <c r="BE249" s="16"/>
      <c r="BF249" s="6"/>
      <c r="BG249" s="6"/>
      <c r="BH249" s="6"/>
      <c r="BI249" s="29">
        <f t="shared" si="77"/>
        <v>16052.29533</v>
      </c>
      <c r="BK249" s="15">
        <f t="shared" si="76"/>
        <v>2.489033448</v>
      </c>
      <c r="BN249" s="16">
        <f t="shared" si="14"/>
        <v>23902.40467</v>
      </c>
      <c r="BO249" s="16">
        <f t="shared" si="81"/>
        <v>34479.58067</v>
      </c>
      <c r="BY249" s="6">
        <f t="shared" si="2"/>
        <v>2024</v>
      </c>
      <c r="BZ249" s="6" t="str">
        <f t="shared" si="3"/>
        <v>junio</v>
      </c>
      <c r="CA249" s="6" t="str">
        <f t="shared" si="4"/>
        <v>6</v>
      </c>
    </row>
    <row r="250">
      <c r="A250" s="8">
        <v>45457.0</v>
      </c>
      <c r="B250" s="12">
        <v>7788.5</v>
      </c>
      <c r="C250" s="12">
        <v>1658.36</v>
      </c>
      <c r="D250" s="16"/>
      <c r="E250" s="16"/>
      <c r="F250" s="16"/>
      <c r="G250" s="16"/>
      <c r="H250" s="12">
        <f t="shared" si="46"/>
        <v>9446.86</v>
      </c>
      <c r="I250" s="12">
        <v>5045.61</v>
      </c>
      <c r="J250" s="12">
        <v>733.98</v>
      </c>
      <c r="K250" s="16"/>
      <c r="L250" s="16"/>
      <c r="M250" s="16"/>
      <c r="N250" s="16"/>
      <c r="O250" s="16">
        <f t="shared" si="33"/>
        <v>5779.59</v>
      </c>
      <c r="P250" s="12">
        <v>1867.82</v>
      </c>
      <c r="Q250" s="12">
        <v>556.01</v>
      </c>
      <c r="R250" s="16"/>
      <c r="S250" s="16"/>
      <c r="T250" s="16"/>
      <c r="U250" s="16"/>
      <c r="V250" s="16">
        <f t="shared" si="37"/>
        <v>2423.83</v>
      </c>
      <c r="W250" s="12">
        <v>5428.24</v>
      </c>
      <c r="X250" s="16"/>
      <c r="Y250" s="16"/>
      <c r="Z250" s="16"/>
      <c r="AA250" s="16"/>
      <c r="AB250" s="16"/>
      <c r="AC250" s="16">
        <f t="shared" si="38"/>
        <v>5428.24</v>
      </c>
      <c r="AD250" s="12"/>
      <c r="AE250" s="12"/>
      <c r="AF250" s="12">
        <v>1201.0</v>
      </c>
      <c r="AG250" s="12">
        <v>1182.48</v>
      </c>
      <c r="AH250" s="16"/>
      <c r="AI250" s="16"/>
      <c r="AJ250" s="16"/>
      <c r="AK250" s="16"/>
      <c r="AL250" s="12">
        <f t="shared" si="53"/>
        <v>2383.48</v>
      </c>
      <c r="AM250" s="12">
        <v>8388.0</v>
      </c>
      <c r="AN250" s="16"/>
      <c r="AO250" s="16"/>
      <c r="AP250" s="16"/>
      <c r="AQ250" s="16"/>
      <c r="AR250" s="16"/>
      <c r="AS250" s="12">
        <f t="shared" si="82"/>
        <v>8388</v>
      </c>
      <c r="AT250" s="16">
        <f t="shared" si="75"/>
        <v>24403.14</v>
      </c>
      <c r="AU250" s="18">
        <f t="shared" si="78"/>
        <v>267562.56</v>
      </c>
      <c r="AV250" s="18"/>
      <c r="AW250" s="18"/>
      <c r="AX250" s="12">
        <f t="shared" si="1"/>
        <v>24403.14</v>
      </c>
      <c r="AY250" s="12"/>
      <c r="AZ250" s="12">
        <v>1994.19</v>
      </c>
      <c r="BA250" s="18">
        <f t="shared" si="79"/>
        <v>33572.43</v>
      </c>
      <c r="BB250" s="10">
        <f t="shared" si="16"/>
        <v>573348.3429</v>
      </c>
      <c r="BC250" s="16">
        <f t="shared" si="80"/>
        <v>98735.45</v>
      </c>
      <c r="BD250" s="16"/>
      <c r="BE250" s="16"/>
      <c r="BF250" s="6"/>
      <c r="BG250" s="6"/>
      <c r="BH250" s="6"/>
      <c r="BI250" s="29">
        <f t="shared" si="77"/>
        <v>16052.29533</v>
      </c>
      <c r="BK250" s="15">
        <f t="shared" si="76"/>
        <v>1.52022745</v>
      </c>
      <c r="BN250" s="16">
        <f t="shared" si="14"/>
        <v>8350.844667</v>
      </c>
      <c r="BO250" s="16">
        <f t="shared" si="81"/>
        <v>42830.42533</v>
      </c>
      <c r="BY250" s="6">
        <f t="shared" si="2"/>
        <v>2024</v>
      </c>
      <c r="BZ250" s="6" t="str">
        <f t="shared" si="3"/>
        <v>junio</v>
      </c>
      <c r="CA250" s="6" t="str">
        <f t="shared" si="4"/>
        <v>6</v>
      </c>
    </row>
    <row r="251">
      <c r="A251" s="8">
        <v>45458.0</v>
      </c>
      <c r="B251" s="12">
        <v>0.0</v>
      </c>
      <c r="C251" s="12">
        <v>0.0</v>
      </c>
      <c r="D251" s="12"/>
      <c r="E251" s="12">
        <v>0.0</v>
      </c>
      <c r="F251" s="12">
        <v>0.0</v>
      </c>
      <c r="G251" s="12">
        <v>0.0</v>
      </c>
      <c r="H251" s="12">
        <f t="shared" si="46"/>
        <v>0</v>
      </c>
      <c r="I251" s="12">
        <v>0.0</v>
      </c>
      <c r="J251" s="12">
        <v>0.0</v>
      </c>
      <c r="K251" s="12"/>
      <c r="L251" s="12">
        <v>0.0</v>
      </c>
      <c r="M251" s="12">
        <v>0.0</v>
      </c>
      <c r="N251" s="12">
        <v>0.0</v>
      </c>
      <c r="O251" s="16">
        <f t="shared" si="33"/>
        <v>0</v>
      </c>
      <c r="P251" s="12">
        <v>0.0</v>
      </c>
      <c r="Q251" s="12">
        <v>0.0</v>
      </c>
      <c r="R251" s="12"/>
      <c r="S251" s="12">
        <v>0.0</v>
      </c>
      <c r="T251" s="12">
        <v>0.0</v>
      </c>
      <c r="U251" s="12">
        <v>0.0</v>
      </c>
      <c r="V251" s="16">
        <f t="shared" si="37"/>
        <v>0</v>
      </c>
      <c r="W251" s="12">
        <v>0.0</v>
      </c>
      <c r="X251" s="12">
        <v>0.0</v>
      </c>
      <c r="Y251" s="12"/>
      <c r="Z251" s="12">
        <v>0.0</v>
      </c>
      <c r="AA251" s="12">
        <v>0.0</v>
      </c>
      <c r="AB251" s="12">
        <v>0.0</v>
      </c>
      <c r="AC251" s="16">
        <f t="shared" si="38"/>
        <v>0</v>
      </c>
      <c r="AD251" s="12"/>
      <c r="AE251" s="12"/>
      <c r="AF251" s="12">
        <v>0.0</v>
      </c>
      <c r="AG251" s="12">
        <v>0.0</v>
      </c>
      <c r="AH251" s="12"/>
      <c r="AI251" s="12">
        <v>0.0</v>
      </c>
      <c r="AJ251" s="12">
        <v>0.0</v>
      </c>
      <c r="AK251" s="12">
        <v>0.0</v>
      </c>
      <c r="AL251" s="12">
        <f t="shared" si="53"/>
        <v>0</v>
      </c>
      <c r="AM251" s="12">
        <v>0.0</v>
      </c>
      <c r="AN251" s="12">
        <v>0.0</v>
      </c>
      <c r="AO251" s="12"/>
      <c r="AP251" s="12">
        <v>0.0</v>
      </c>
      <c r="AQ251" s="12">
        <v>0.0</v>
      </c>
      <c r="AR251" s="12">
        <v>0.0</v>
      </c>
      <c r="AS251" s="12">
        <f t="shared" si="82"/>
        <v>0</v>
      </c>
      <c r="AT251" s="16">
        <f t="shared" si="75"/>
        <v>0</v>
      </c>
      <c r="AU251" s="18">
        <f t="shared" si="78"/>
        <v>267562.56</v>
      </c>
      <c r="AV251" s="18"/>
      <c r="AW251" s="18"/>
      <c r="AX251" s="12">
        <f t="shared" si="1"/>
        <v>0</v>
      </c>
      <c r="AY251" s="12"/>
      <c r="AZ251" s="12">
        <v>0.0</v>
      </c>
      <c r="BA251" s="18">
        <f t="shared" si="79"/>
        <v>33572.43</v>
      </c>
      <c r="BB251" s="10">
        <f t="shared" si="16"/>
        <v>535125.12</v>
      </c>
      <c r="BC251" s="16">
        <f t="shared" si="80"/>
        <v>98735.45</v>
      </c>
      <c r="BD251" s="16"/>
      <c r="BE251" s="16"/>
      <c r="BF251" s="6"/>
      <c r="BG251" s="6"/>
      <c r="BH251" s="6"/>
      <c r="BI251" s="29">
        <f t="shared" si="77"/>
        <v>16052.29533</v>
      </c>
      <c r="BJ251" s="6"/>
      <c r="BK251" s="15">
        <f t="shared" si="76"/>
        <v>0</v>
      </c>
      <c r="BN251" s="16">
        <f t="shared" si="14"/>
        <v>-16052.29533</v>
      </c>
      <c r="BO251" s="16">
        <f t="shared" si="81"/>
        <v>26778.13</v>
      </c>
      <c r="BY251" s="6">
        <f t="shared" si="2"/>
        <v>2024</v>
      </c>
      <c r="BZ251" s="6" t="str">
        <f t="shared" si="3"/>
        <v>junio</v>
      </c>
      <c r="CA251" s="6" t="str">
        <f t="shared" si="4"/>
        <v>6</v>
      </c>
    </row>
    <row r="252">
      <c r="A252" s="8">
        <v>45459.0</v>
      </c>
      <c r="B252" s="12">
        <v>0.0</v>
      </c>
      <c r="C252" s="12">
        <v>0.0</v>
      </c>
      <c r="D252" s="12"/>
      <c r="E252" s="12">
        <v>0.0</v>
      </c>
      <c r="F252" s="12">
        <v>0.0</v>
      </c>
      <c r="G252" s="12">
        <v>0.0</v>
      </c>
      <c r="H252" s="12">
        <f t="shared" si="46"/>
        <v>0</v>
      </c>
      <c r="I252" s="12">
        <v>0.0</v>
      </c>
      <c r="J252" s="12">
        <v>0.0</v>
      </c>
      <c r="K252" s="12"/>
      <c r="L252" s="12">
        <v>0.0</v>
      </c>
      <c r="M252" s="12">
        <v>0.0</v>
      </c>
      <c r="N252" s="12">
        <v>0.0</v>
      </c>
      <c r="O252" s="16">
        <f t="shared" si="33"/>
        <v>0</v>
      </c>
      <c r="P252" s="12">
        <v>0.0</v>
      </c>
      <c r="Q252" s="12">
        <v>0.0</v>
      </c>
      <c r="R252" s="12"/>
      <c r="S252" s="12">
        <v>0.0</v>
      </c>
      <c r="T252" s="12">
        <v>0.0</v>
      </c>
      <c r="U252" s="12">
        <v>0.0</v>
      </c>
      <c r="V252" s="16">
        <f t="shared" si="37"/>
        <v>0</v>
      </c>
      <c r="W252" s="12">
        <v>0.0</v>
      </c>
      <c r="X252" s="12">
        <v>0.0</v>
      </c>
      <c r="Y252" s="12"/>
      <c r="Z252" s="12">
        <v>0.0</v>
      </c>
      <c r="AA252" s="12">
        <v>0.0</v>
      </c>
      <c r="AB252" s="12">
        <v>0.0</v>
      </c>
      <c r="AC252" s="16">
        <f t="shared" si="38"/>
        <v>0</v>
      </c>
      <c r="AD252" s="12"/>
      <c r="AE252" s="12"/>
      <c r="AF252" s="12">
        <v>0.0</v>
      </c>
      <c r="AG252" s="12">
        <v>0.0</v>
      </c>
      <c r="AH252" s="12"/>
      <c r="AI252" s="12">
        <v>0.0</v>
      </c>
      <c r="AJ252" s="12">
        <v>0.0</v>
      </c>
      <c r="AK252" s="12">
        <v>0.0</v>
      </c>
      <c r="AL252" s="12">
        <f t="shared" si="53"/>
        <v>0</v>
      </c>
      <c r="AM252" s="12">
        <v>0.0</v>
      </c>
      <c r="AN252" s="12">
        <v>0.0</v>
      </c>
      <c r="AO252" s="12"/>
      <c r="AP252" s="12">
        <v>0.0</v>
      </c>
      <c r="AQ252" s="12">
        <v>0.0</v>
      </c>
      <c r="AR252" s="12">
        <v>0.0</v>
      </c>
      <c r="AS252" s="12">
        <f t="shared" si="82"/>
        <v>0</v>
      </c>
      <c r="AT252" s="16">
        <f t="shared" si="75"/>
        <v>0</v>
      </c>
      <c r="AU252" s="18">
        <f t="shared" si="78"/>
        <v>267562.56</v>
      </c>
      <c r="AV252" s="18"/>
      <c r="AW252" s="18"/>
      <c r="AX252" s="12">
        <f t="shared" si="1"/>
        <v>0</v>
      </c>
      <c r="AY252" s="12"/>
      <c r="AZ252" s="12">
        <v>0.0</v>
      </c>
      <c r="BA252" s="18">
        <f t="shared" si="79"/>
        <v>33572.43</v>
      </c>
      <c r="BB252" s="10">
        <f t="shared" si="16"/>
        <v>501679.8</v>
      </c>
      <c r="BC252" s="16">
        <f t="shared" si="80"/>
        <v>98735.45</v>
      </c>
      <c r="BD252" s="16"/>
      <c r="BE252" s="16"/>
      <c r="BF252" s="6"/>
      <c r="BG252" s="6"/>
      <c r="BH252" s="6"/>
      <c r="BI252" s="29">
        <f t="shared" si="77"/>
        <v>16052.29533</v>
      </c>
      <c r="BJ252" s="6"/>
      <c r="BK252" s="15">
        <f t="shared" si="76"/>
        <v>0</v>
      </c>
      <c r="BN252" s="16">
        <f t="shared" si="14"/>
        <v>-16052.29533</v>
      </c>
      <c r="BO252" s="16">
        <f t="shared" si="81"/>
        <v>10725.83467</v>
      </c>
      <c r="BY252" s="6">
        <f t="shared" si="2"/>
        <v>2024</v>
      </c>
      <c r="BZ252" s="6" t="str">
        <f t="shared" si="3"/>
        <v>junio</v>
      </c>
      <c r="CA252" s="6" t="str">
        <f t="shared" si="4"/>
        <v>6</v>
      </c>
    </row>
    <row r="253">
      <c r="A253" s="8">
        <v>45460.0</v>
      </c>
      <c r="B253" s="12">
        <v>1200.0</v>
      </c>
      <c r="C253" s="12">
        <v>798.0</v>
      </c>
      <c r="D253" s="12"/>
      <c r="E253" s="12">
        <v>0.0</v>
      </c>
      <c r="F253" s="12">
        <v>0.0</v>
      </c>
      <c r="G253" s="12">
        <v>0.0</v>
      </c>
      <c r="H253" s="12">
        <f t="shared" si="46"/>
        <v>1998</v>
      </c>
      <c r="I253" s="12">
        <v>6500.0</v>
      </c>
      <c r="J253" s="12">
        <v>5000.0</v>
      </c>
      <c r="K253" s="12"/>
      <c r="L253" s="12">
        <v>0.0</v>
      </c>
      <c r="M253" s="12">
        <v>0.0</v>
      </c>
      <c r="N253" s="12">
        <v>0.0</v>
      </c>
      <c r="O253" s="16">
        <f t="shared" si="33"/>
        <v>11500</v>
      </c>
      <c r="P253" s="12">
        <f>700+776</f>
        <v>1476</v>
      </c>
      <c r="Q253" s="12">
        <v>425.0</v>
      </c>
      <c r="R253" s="12"/>
      <c r="S253" s="12">
        <v>0.0</v>
      </c>
      <c r="T253" s="12">
        <v>0.0</v>
      </c>
      <c r="U253" s="12">
        <v>0.0</v>
      </c>
      <c r="V253" s="16">
        <f t="shared" si="37"/>
        <v>1901</v>
      </c>
      <c r="W253" s="12">
        <f>1250+4736</f>
        <v>5986</v>
      </c>
      <c r="X253" s="12">
        <v>1376.0</v>
      </c>
      <c r="Y253" s="12"/>
      <c r="Z253" s="12">
        <v>0.0</v>
      </c>
      <c r="AA253" s="12">
        <v>0.0</v>
      </c>
      <c r="AB253" s="12">
        <v>0.0</v>
      </c>
      <c r="AC253" s="16">
        <f t="shared" si="38"/>
        <v>7362</v>
      </c>
      <c r="AD253" s="12"/>
      <c r="AE253" s="12"/>
      <c r="AF253" s="12">
        <v>4000.0</v>
      </c>
      <c r="AG253" s="12">
        <v>3730.0</v>
      </c>
      <c r="AH253" s="12"/>
      <c r="AI253" s="12">
        <v>0.0</v>
      </c>
      <c r="AJ253" s="12">
        <v>0.0</v>
      </c>
      <c r="AK253" s="12">
        <v>0.0</v>
      </c>
      <c r="AL253" s="12">
        <f t="shared" si="53"/>
        <v>7730</v>
      </c>
      <c r="AM253" s="12">
        <v>6932.0</v>
      </c>
      <c r="AN253" s="12">
        <v>0.0</v>
      </c>
      <c r="AO253" s="12"/>
      <c r="AP253" s="12">
        <v>0.0</v>
      </c>
      <c r="AQ253" s="12">
        <v>0.0</v>
      </c>
      <c r="AR253" s="12">
        <v>0.0</v>
      </c>
      <c r="AS253" s="12">
        <f t="shared" si="82"/>
        <v>6932</v>
      </c>
      <c r="AT253" s="16">
        <f t="shared" si="75"/>
        <v>35425</v>
      </c>
      <c r="AU253" s="18">
        <f t="shared" si="78"/>
        <v>302987.56</v>
      </c>
      <c r="AV253" s="18"/>
      <c r="AW253" s="18"/>
      <c r="AX253" s="12">
        <f t="shared" si="1"/>
        <v>35425</v>
      </c>
      <c r="AY253" s="12"/>
      <c r="AZ253" s="12">
        <v>699.26</v>
      </c>
      <c r="BA253" s="18">
        <f t="shared" si="79"/>
        <v>34271.69</v>
      </c>
      <c r="BB253" s="10">
        <f t="shared" si="16"/>
        <v>534683.9294</v>
      </c>
      <c r="BC253" s="16">
        <f t="shared" si="80"/>
        <v>98735.45</v>
      </c>
      <c r="BD253" s="16"/>
      <c r="BE253" s="16"/>
      <c r="BF253" s="6"/>
      <c r="BG253" s="6"/>
      <c r="BH253" s="6"/>
      <c r="BI253" s="29">
        <f t="shared" si="77"/>
        <v>16052.29533</v>
      </c>
      <c r="BK253" s="15">
        <f t="shared" si="76"/>
        <v>2.206849504</v>
      </c>
      <c r="BN253" s="16">
        <f t="shared" si="14"/>
        <v>19372.70467</v>
      </c>
      <c r="BO253" s="16">
        <f t="shared" si="81"/>
        <v>30098.53933</v>
      </c>
      <c r="BY253" s="6">
        <f t="shared" si="2"/>
        <v>2024</v>
      </c>
      <c r="BZ253" s="6" t="str">
        <f t="shared" si="3"/>
        <v>junio</v>
      </c>
      <c r="CA253" s="6" t="str">
        <f t="shared" si="4"/>
        <v>6</v>
      </c>
    </row>
    <row r="254">
      <c r="A254" s="8">
        <v>45461.0</v>
      </c>
      <c r="B254" s="12">
        <v>54149.26</v>
      </c>
      <c r="C254" s="12">
        <v>178.75</v>
      </c>
      <c r="D254" s="12"/>
      <c r="E254" s="12">
        <v>0.0</v>
      </c>
      <c r="F254" s="12">
        <v>0.0</v>
      </c>
      <c r="G254" s="12">
        <v>0.0</v>
      </c>
      <c r="H254" s="12">
        <f t="shared" si="46"/>
        <v>54328.01</v>
      </c>
      <c r="I254" s="12">
        <v>12925.38</v>
      </c>
      <c r="J254" s="12">
        <v>561.49</v>
      </c>
      <c r="K254" s="12"/>
      <c r="L254" s="12">
        <v>0.0</v>
      </c>
      <c r="M254" s="12">
        <v>444.46</v>
      </c>
      <c r="N254" s="12">
        <v>0.0</v>
      </c>
      <c r="O254" s="16">
        <f t="shared" si="33"/>
        <v>13931.33</v>
      </c>
      <c r="P254" s="12">
        <v>3446.98</v>
      </c>
      <c r="Q254" s="12">
        <v>11.36</v>
      </c>
      <c r="R254" s="12"/>
      <c r="S254" s="12">
        <v>0.0</v>
      </c>
      <c r="T254" s="12">
        <v>0.0</v>
      </c>
      <c r="U254" s="12">
        <v>0.0</v>
      </c>
      <c r="V254" s="16">
        <f t="shared" si="37"/>
        <v>3458.34</v>
      </c>
      <c r="W254" s="12">
        <v>11129.2</v>
      </c>
      <c r="X254" s="12">
        <v>0.0</v>
      </c>
      <c r="Y254" s="12"/>
      <c r="Z254" s="12">
        <v>0.0</v>
      </c>
      <c r="AA254" s="12">
        <v>0.0</v>
      </c>
      <c r="AB254" s="12">
        <v>0.0</v>
      </c>
      <c r="AC254" s="16">
        <f t="shared" si="38"/>
        <v>11129.2</v>
      </c>
      <c r="AD254" s="12"/>
      <c r="AE254" s="12"/>
      <c r="AF254" s="12">
        <v>2226.07</v>
      </c>
      <c r="AG254" s="12">
        <v>1064.63</v>
      </c>
      <c r="AH254" s="12"/>
      <c r="AI254" s="12">
        <v>0.0</v>
      </c>
      <c r="AJ254" s="12">
        <v>0.0</v>
      </c>
      <c r="AK254" s="12">
        <v>0.0</v>
      </c>
      <c r="AL254" s="12">
        <f t="shared" si="53"/>
        <v>3290.7</v>
      </c>
      <c r="AM254" s="12">
        <v>11170.19</v>
      </c>
      <c r="AN254" s="12">
        <v>0.0</v>
      </c>
      <c r="AO254" s="12"/>
      <c r="AP254" s="12">
        <v>0.0</v>
      </c>
      <c r="AQ254" s="12">
        <v>0.0</v>
      </c>
      <c r="AR254" s="12">
        <v>0.0</v>
      </c>
      <c r="AS254" s="12">
        <f t="shared" si="82"/>
        <v>11170.19</v>
      </c>
      <c r="AT254" s="16">
        <f t="shared" si="75"/>
        <v>42979.76</v>
      </c>
      <c r="AU254" s="18">
        <f t="shared" si="78"/>
        <v>345967.32</v>
      </c>
      <c r="AV254" s="18"/>
      <c r="AW254" s="18"/>
      <c r="AX254" s="12">
        <f t="shared" si="1"/>
        <v>42979.76</v>
      </c>
      <c r="AY254" s="12"/>
      <c r="AZ254" s="12">
        <v>2660.63</v>
      </c>
      <c r="BA254" s="18">
        <f t="shared" si="79"/>
        <v>36932.32</v>
      </c>
      <c r="BB254" s="10">
        <f t="shared" si="16"/>
        <v>576612.2</v>
      </c>
      <c r="BC254" s="16">
        <f t="shared" si="80"/>
        <v>98735.45</v>
      </c>
      <c r="BD254" s="16"/>
      <c r="BE254" s="16"/>
      <c r="BF254" s="6"/>
      <c r="BG254" s="6"/>
      <c r="BH254" s="6"/>
      <c r="BI254" s="29">
        <f t="shared" si="77"/>
        <v>16052.29533</v>
      </c>
      <c r="BK254" s="15">
        <f t="shared" si="76"/>
        <v>2.677483756</v>
      </c>
      <c r="BN254" s="16">
        <f t="shared" si="14"/>
        <v>26927.46467</v>
      </c>
      <c r="BO254" s="16">
        <f t="shared" si="81"/>
        <v>57026.004</v>
      </c>
      <c r="BY254" s="6">
        <f t="shared" si="2"/>
        <v>2024</v>
      </c>
      <c r="BZ254" s="6" t="str">
        <f t="shared" si="3"/>
        <v>junio</v>
      </c>
      <c r="CA254" s="6" t="str">
        <f t="shared" si="4"/>
        <v>6</v>
      </c>
    </row>
    <row r="255">
      <c r="A255" s="8">
        <v>45462.0</v>
      </c>
      <c r="B255" s="12">
        <f>10846.54+52421.9</f>
        <v>63268.44</v>
      </c>
      <c r="C255" s="12">
        <v>331.53</v>
      </c>
      <c r="D255" s="12"/>
      <c r="E255" s="12">
        <v>90.65</v>
      </c>
      <c r="F255" s="12">
        <v>0.0</v>
      </c>
      <c r="G255" s="12">
        <v>0.0</v>
      </c>
      <c r="H255" s="12">
        <f t="shared" si="46"/>
        <v>63690.62</v>
      </c>
      <c r="I255" s="12">
        <v>11327.99</v>
      </c>
      <c r="J255" s="12">
        <v>403.15</v>
      </c>
      <c r="K255" s="12"/>
      <c r="L255" s="12">
        <v>3271.07</v>
      </c>
      <c r="M255" s="12">
        <v>0.0</v>
      </c>
      <c r="N255" s="12">
        <v>0.0</v>
      </c>
      <c r="O255" s="16">
        <f t="shared" si="33"/>
        <v>15002.21</v>
      </c>
      <c r="P255" s="12">
        <v>2070.74</v>
      </c>
      <c r="Q255" s="12">
        <v>235.91</v>
      </c>
      <c r="R255" s="12"/>
      <c r="S255" s="12">
        <v>0.0</v>
      </c>
      <c r="T255" s="12">
        <v>0.0</v>
      </c>
      <c r="U255" s="12">
        <v>0.0</v>
      </c>
      <c r="V255" s="16">
        <f t="shared" si="37"/>
        <v>2306.65</v>
      </c>
      <c r="W255" s="12">
        <v>1967.19</v>
      </c>
      <c r="X255" s="12">
        <v>0.0</v>
      </c>
      <c r="Y255" s="12"/>
      <c r="Z255" s="12">
        <v>0.0</v>
      </c>
      <c r="AA255" s="12">
        <v>0.0</v>
      </c>
      <c r="AB255" s="12">
        <v>0.0</v>
      </c>
      <c r="AC255" s="16">
        <f t="shared" si="38"/>
        <v>1967.19</v>
      </c>
      <c r="AD255" s="12"/>
      <c r="AE255" s="12"/>
      <c r="AF255" s="12">
        <v>1238.76</v>
      </c>
      <c r="AG255" s="12">
        <v>0.0</v>
      </c>
      <c r="AH255" s="12"/>
      <c r="AI255" s="12">
        <v>0.0</v>
      </c>
      <c r="AJ255" s="12">
        <v>0.0</v>
      </c>
      <c r="AK255" s="12">
        <v>0.0</v>
      </c>
      <c r="AL255" s="12">
        <f t="shared" si="53"/>
        <v>1238.76</v>
      </c>
      <c r="AM255" s="12">
        <v>2647.0</v>
      </c>
      <c r="AN255" s="12">
        <v>0.0</v>
      </c>
      <c r="AO255" s="12"/>
      <c r="AP255" s="12">
        <v>0.0</v>
      </c>
      <c r="AQ255" s="12">
        <v>0.0</v>
      </c>
      <c r="AR255" s="12">
        <v>0.0</v>
      </c>
      <c r="AS255" s="12">
        <f t="shared" si="82"/>
        <v>2647</v>
      </c>
      <c r="AT255" s="16">
        <f t="shared" si="75"/>
        <v>23161.81</v>
      </c>
      <c r="AU255" s="18">
        <f t="shared" si="78"/>
        <v>369129.13</v>
      </c>
      <c r="AV255" s="18"/>
      <c r="AW255" s="18"/>
      <c r="AX255" s="12">
        <f t="shared" si="1"/>
        <v>23161.81</v>
      </c>
      <c r="AY255" s="12"/>
      <c r="AZ255" s="12">
        <v>8497.31</v>
      </c>
      <c r="BA255" s="18">
        <f t="shared" si="79"/>
        <v>45429.63</v>
      </c>
      <c r="BB255" s="10">
        <f t="shared" si="16"/>
        <v>582835.4684</v>
      </c>
      <c r="BC255" s="16">
        <f t="shared" si="80"/>
        <v>98735.45</v>
      </c>
      <c r="BD255" s="16"/>
      <c r="BE255" s="16"/>
      <c r="BF255" s="6"/>
      <c r="BG255" s="6"/>
      <c r="BH255" s="6"/>
      <c r="BI255" s="29">
        <f t="shared" si="77"/>
        <v>16052.29533</v>
      </c>
      <c r="BK255" s="15">
        <f t="shared" si="76"/>
        <v>1.442897076</v>
      </c>
      <c r="BN255" s="16">
        <f t="shared" si="14"/>
        <v>7109.514667</v>
      </c>
      <c r="BO255" s="16">
        <f t="shared" si="81"/>
        <v>64135.51867</v>
      </c>
      <c r="BY255" s="6">
        <f t="shared" si="2"/>
        <v>2024</v>
      </c>
      <c r="BZ255" s="6" t="str">
        <f t="shared" si="3"/>
        <v>junio</v>
      </c>
      <c r="CA255" s="6" t="str">
        <f t="shared" si="4"/>
        <v>6</v>
      </c>
    </row>
    <row r="256">
      <c r="A256" s="8">
        <v>45463.0</v>
      </c>
      <c r="B256" s="12">
        <v>11559.64</v>
      </c>
      <c r="C256" s="12">
        <v>1715.83</v>
      </c>
      <c r="D256" s="12"/>
      <c r="E256" s="12">
        <v>0.0</v>
      </c>
      <c r="F256" s="12">
        <v>0.0</v>
      </c>
      <c r="G256" s="12">
        <v>0.0</v>
      </c>
      <c r="H256" s="12">
        <f t="shared" si="46"/>
        <v>13275.47</v>
      </c>
      <c r="I256" s="12">
        <v>6458.72</v>
      </c>
      <c r="J256" s="12">
        <v>1221.36</v>
      </c>
      <c r="K256" s="12"/>
      <c r="L256" s="12">
        <v>1499.4</v>
      </c>
      <c r="M256" s="12">
        <v>0.0</v>
      </c>
      <c r="N256" s="12">
        <v>0.0</v>
      </c>
      <c r="O256" s="16">
        <f t="shared" si="33"/>
        <v>9179.48</v>
      </c>
      <c r="P256" s="12">
        <v>2065.53</v>
      </c>
      <c r="Q256" s="12">
        <v>174.19</v>
      </c>
      <c r="R256" s="12"/>
      <c r="S256" s="12">
        <v>0.0</v>
      </c>
      <c r="T256" s="12">
        <v>0.0</v>
      </c>
      <c r="U256" s="12">
        <v>0.0</v>
      </c>
      <c r="V256" s="16">
        <f t="shared" si="37"/>
        <v>2239.72</v>
      </c>
      <c r="W256" s="12">
        <v>2660.9</v>
      </c>
      <c r="X256" s="12">
        <v>2530.22</v>
      </c>
      <c r="Y256" s="12"/>
      <c r="Z256" s="12">
        <v>0.0</v>
      </c>
      <c r="AA256" s="12">
        <v>0.0</v>
      </c>
      <c r="AB256" s="12">
        <v>0.0</v>
      </c>
      <c r="AC256" s="16">
        <f t="shared" si="38"/>
        <v>5191.12</v>
      </c>
      <c r="AD256" s="12"/>
      <c r="AE256" s="12"/>
      <c r="AF256" s="12">
        <v>717.92</v>
      </c>
      <c r="AG256" s="12">
        <v>0.0</v>
      </c>
      <c r="AH256" s="12"/>
      <c r="AI256" s="12">
        <v>0.0</v>
      </c>
      <c r="AJ256" s="12">
        <v>0.0</v>
      </c>
      <c r="AK256" s="12">
        <v>0.0</v>
      </c>
      <c r="AL256" s="12">
        <f t="shared" si="53"/>
        <v>717.92</v>
      </c>
      <c r="AM256" s="12">
        <v>3895.0</v>
      </c>
      <c r="AN256" s="12">
        <v>2000.0</v>
      </c>
      <c r="AO256" s="12"/>
      <c r="AP256" s="12">
        <v>0.0</v>
      </c>
      <c r="AQ256" s="12">
        <v>0.0</v>
      </c>
      <c r="AR256" s="12">
        <v>0.0</v>
      </c>
      <c r="AS256" s="12">
        <f t="shared" si="82"/>
        <v>5895</v>
      </c>
      <c r="AT256" s="16">
        <f t="shared" si="75"/>
        <v>23223.24</v>
      </c>
      <c r="AU256" s="18">
        <f t="shared" si="78"/>
        <v>392352.37</v>
      </c>
      <c r="AV256" s="18"/>
      <c r="AW256" s="18"/>
      <c r="AX256" s="12">
        <f t="shared" si="1"/>
        <v>23223.24</v>
      </c>
      <c r="AY256" s="12"/>
      <c r="AZ256" s="12">
        <v>3498.6</v>
      </c>
      <c r="BA256" s="18">
        <f t="shared" si="79"/>
        <v>48928.23</v>
      </c>
      <c r="BB256" s="10">
        <f t="shared" si="16"/>
        <v>588528.555</v>
      </c>
      <c r="BC256" s="16">
        <f t="shared" si="80"/>
        <v>98735.45</v>
      </c>
      <c r="BD256" s="16"/>
      <c r="BE256" s="16"/>
      <c r="BF256" s="6"/>
      <c r="BG256" s="6"/>
      <c r="BH256" s="6"/>
      <c r="BI256" s="29">
        <f t="shared" si="77"/>
        <v>16052.29533</v>
      </c>
      <c r="BK256" s="15">
        <f t="shared" si="76"/>
        <v>1.446723943</v>
      </c>
      <c r="BN256" s="16">
        <f t="shared" si="14"/>
        <v>7170.944667</v>
      </c>
      <c r="BO256" s="16">
        <f t="shared" si="81"/>
        <v>71306.46333</v>
      </c>
      <c r="BY256" s="6">
        <f t="shared" si="2"/>
        <v>2024</v>
      </c>
      <c r="BZ256" s="6" t="str">
        <f t="shared" si="3"/>
        <v>junio</v>
      </c>
      <c r="CA256" s="6" t="str">
        <f t="shared" si="4"/>
        <v>6</v>
      </c>
    </row>
    <row r="257">
      <c r="A257" s="8">
        <v>45464.0</v>
      </c>
      <c r="B257" s="12">
        <f>8765.65+29884</f>
        <v>38649.65</v>
      </c>
      <c r="C257" s="12">
        <v>419.84</v>
      </c>
      <c r="D257" s="12"/>
      <c r="E257" s="12">
        <v>0.0</v>
      </c>
      <c r="F257" s="12">
        <v>0.0</v>
      </c>
      <c r="G257" s="12">
        <v>0.0</v>
      </c>
      <c r="H257" s="12">
        <f t="shared" si="46"/>
        <v>39069.49</v>
      </c>
      <c r="I257" s="12">
        <v>4624.16</v>
      </c>
      <c r="J257" s="12">
        <v>63.3</v>
      </c>
      <c r="K257" s="12"/>
      <c r="L257" s="12">
        <v>0.0</v>
      </c>
      <c r="M257" s="12">
        <v>0.0</v>
      </c>
      <c r="N257" s="12">
        <v>0.0</v>
      </c>
      <c r="O257" s="16">
        <f t="shared" si="33"/>
        <v>4687.46</v>
      </c>
      <c r="P257" s="12">
        <v>1723.41</v>
      </c>
      <c r="Q257" s="12">
        <v>95.04</v>
      </c>
      <c r="R257" s="12"/>
      <c r="S257" s="12">
        <v>0.0</v>
      </c>
      <c r="T257" s="12">
        <v>0.0</v>
      </c>
      <c r="U257" s="12">
        <v>0.0</v>
      </c>
      <c r="V257" s="16">
        <f t="shared" si="37"/>
        <v>1818.45</v>
      </c>
      <c r="W257" s="12">
        <v>6353.19</v>
      </c>
      <c r="X257" s="12">
        <v>0.0</v>
      </c>
      <c r="Y257" s="12"/>
      <c r="Z257" s="12">
        <v>0.0</v>
      </c>
      <c r="AA257" s="12">
        <v>0.0</v>
      </c>
      <c r="AB257" s="12">
        <v>0.0</v>
      </c>
      <c r="AC257" s="16">
        <f t="shared" si="38"/>
        <v>6353.19</v>
      </c>
      <c r="AD257" s="12"/>
      <c r="AE257" s="12"/>
      <c r="AF257" s="12">
        <v>956.4</v>
      </c>
      <c r="AG257" s="12">
        <v>0.0</v>
      </c>
      <c r="AH257" s="12"/>
      <c r="AI257" s="12">
        <v>0.0</v>
      </c>
      <c r="AJ257" s="12">
        <v>0.0</v>
      </c>
      <c r="AK257" s="12">
        <v>0.0</v>
      </c>
      <c r="AL257" s="12">
        <f t="shared" si="53"/>
        <v>956.4</v>
      </c>
      <c r="AM257" s="12">
        <v>5793.0</v>
      </c>
      <c r="AN257" s="12">
        <v>0.0</v>
      </c>
      <c r="AO257" s="12"/>
      <c r="AP257" s="12">
        <v>0.0</v>
      </c>
      <c r="AQ257" s="12">
        <v>0.0</v>
      </c>
      <c r="AR257" s="16"/>
      <c r="AS257" s="12">
        <f t="shared" si="82"/>
        <v>5793</v>
      </c>
      <c r="AT257" s="16">
        <f t="shared" si="75"/>
        <v>19608.5</v>
      </c>
      <c r="AU257" s="18">
        <f t="shared" si="78"/>
        <v>411960.87</v>
      </c>
      <c r="AV257" s="18"/>
      <c r="AW257" s="18"/>
      <c r="AX257" s="12">
        <f t="shared" si="1"/>
        <v>19608.5</v>
      </c>
      <c r="AY257" s="12"/>
      <c r="AZ257" s="12">
        <v>1999.86</v>
      </c>
      <c r="BA257" s="18">
        <f t="shared" si="79"/>
        <v>50928.09</v>
      </c>
      <c r="BB257" s="10">
        <f t="shared" si="16"/>
        <v>588515.5286</v>
      </c>
      <c r="BC257" s="16">
        <f t="shared" si="80"/>
        <v>98735.45</v>
      </c>
      <c r="BD257" s="16"/>
      <c r="BE257" s="16"/>
      <c r="BF257" s="6"/>
      <c r="BG257" s="6"/>
      <c r="BH257" s="6"/>
      <c r="BI257" s="29">
        <f t="shared" si="77"/>
        <v>16052.29533</v>
      </c>
      <c r="BK257" s="15">
        <f t="shared" si="76"/>
        <v>1.221538702</v>
      </c>
      <c r="BN257" s="16">
        <f t="shared" si="14"/>
        <v>3556.204667</v>
      </c>
      <c r="BO257" s="16">
        <f t="shared" si="81"/>
        <v>74862.668</v>
      </c>
      <c r="BY257" s="6">
        <f t="shared" si="2"/>
        <v>2024</v>
      </c>
      <c r="BZ257" s="6" t="str">
        <f t="shared" si="3"/>
        <v>junio</v>
      </c>
      <c r="CA257" s="6" t="str">
        <f t="shared" si="4"/>
        <v>6</v>
      </c>
    </row>
    <row r="258">
      <c r="A258" s="8">
        <v>45465.0</v>
      </c>
      <c r="B258" s="12">
        <v>0.0</v>
      </c>
      <c r="C258" s="12">
        <v>0.0</v>
      </c>
      <c r="D258" s="12"/>
      <c r="E258" s="12">
        <v>0.0</v>
      </c>
      <c r="F258" s="12">
        <v>0.0</v>
      </c>
      <c r="G258" s="12">
        <v>0.0</v>
      </c>
      <c r="H258" s="12">
        <f t="shared" si="46"/>
        <v>0</v>
      </c>
      <c r="I258" s="12">
        <v>0.0</v>
      </c>
      <c r="J258" s="12">
        <v>0.0</v>
      </c>
      <c r="K258" s="12"/>
      <c r="L258" s="12">
        <v>0.0</v>
      </c>
      <c r="M258" s="12">
        <v>0.0</v>
      </c>
      <c r="N258" s="12">
        <v>0.0</v>
      </c>
      <c r="O258" s="16">
        <f t="shared" si="33"/>
        <v>0</v>
      </c>
      <c r="P258" s="12">
        <v>0.0</v>
      </c>
      <c r="Q258" s="12">
        <v>0.0</v>
      </c>
      <c r="R258" s="12"/>
      <c r="S258" s="12">
        <v>0.0</v>
      </c>
      <c r="T258" s="12">
        <v>0.0</v>
      </c>
      <c r="U258" s="12">
        <v>0.0</v>
      </c>
      <c r="V258" s="16">
        <f t="shared" si="37"/>
        <v>0</v>
      </c>
      <c r="W258" s="12">
        <v>0.0</v>
      </c>
      <c r="X258" s="12">
        <v>0.0</v>
      </c>
      <c r="Y258" s="12"/>
      <c r="Z258" s="12">
        <v>0.0</v>
      </c>
      <c r="AA258" s="12">
        <v>0.0</v>
      </c>
      <c r="AB258" s="12">
        <v>0.0</v>
      </c>
      <c r="AC258" s="16">
        <f t="shared" si="38"/>
        <v>0</v>
      </c>
      <c r="AD258" s="12"/>
      <c r="AE258" s="12"/>
      <c r="AF258" s="12">
        <v>0.0</v>
      </c>
      <c r="AG258" s="12">
        <v>0.0</v>
      </c>
      <c r="AH258" s="12"/>
      <c r="AI258" s="12">
        <v>0.0</v>
      </c>
      <c r="AJ258" s="12">
        <v>0.0</v>
      </c>
      <c r="AK258" s="12">
        <v>0.0</v>
      </c>
      <c r="AL258" s="12">
        <f t="shared" si="53"/>
        <v>0</v>
      </c>
      <c r="AM258" s="12">
        <v>0.0</v>
      </c>
      <c r="AN258" s="12">
        <v>0.0</v>
      </c>
      <c r="AO258" s="12"/>
      <c r="AP258" s="12">
        <v>0.0</v>
      </c>
      <c r="AQ258" s="12">
        <v>0.0</v>
      </c>
      <c r="AR258" s="12">
        <v>0.0</v>
      </c>
      <c r="AS258" s="12">
        <f t="shared" si="82"/>
        <v>0</v>
      </c>
      <c r="AT258" s="16">
        <f t="shared" si="75"/>
        <v>0</v>
      </c>
      <c r="AU258" s="18">
        <f t="shared" si="78"/>
        <v>411960.87</v>
      </c>
      <c r="AV258" s="18"/>
      <c r="AW258" s="18"/>
      <c r="AX258" s="12">
        <f t="shared" si="1"/>
        <v>0</v>
      </c>
      <c r="AY258" s="12"/>
      <c r="AZ258" s="12">
        <v>0.0</v>
      </c>
      <c r="BA258" s="18">
        <f t="shared" si="79"/>
        <v>50928.09</v>
      </c>
      <c r="BB258" s="10">
        <f t="shared" si="16"/>
        <v>561764.8227</v>
      </c>
      <c r="BC258" s="16">
        <f t="shared" si="80"/>
        <v>98735.45</v>
      </c>
      <c r="BD258" s="16"/>
      <c r="BE258" s="16"/>
      <c r="BF258" s="6"/>
      <c r="BG258" s="6"/>
      <c r="BH258" s="6"/>
      <c r="BI258" s="29">
        <f t="shared" si="77"/>
        <v>16052.29533</v>
      </c>
      <c r="BJ258" s="6"/>
      <c r="BK258" s="15">
        <f t="shared" si="76"/>
        <v>0</v>
      </c>
      <c r="BN258" s="16">
        <f t="shared" si="14"/>
        <v>-16052.29533</v>
      </c>
      <c r="BO258" s="16">
        <f t="shared" si="81"/>
        <v>58810.37267</v>
      </c>
      <c r="BY258" s="6">
        <f t="shared" si="2"/>
        <v>2024</v>
      </c>
      <c r="BZ258" s="6" t="str">
        <f t="shared" si="3"/>
        <v>junio</v>
      </c>
      <c r="CA258" s="6" t="str">
        <f t="shared" si="4"/>
        <v>6</v>
      </c>
    </row>
    <row r="259">
      <c r="A259" s="8">
        <v>45466.0</v>
      </c>
      <c r="B259" s="12">
        <v>0.0</v>
      </c>
      <c r="C259" s="12">
        <v>0.0</v>
      </c>
      <c r="D259" s="12"/>
      <c r="E259" s="12">
        <v>0.0</v>
      </c>
      <c r="F259" s="12">
        <v>0.0</v>
      </c>
      <c r="G259" s="12">
        <v>0.0</v>
      </c>
      <c r="H259" s="12">
        <f t="shared" si="46"/>
        <v>0</v>
      </c>
      <c r="I259" s="12">
        <v>0.0</v>
      </c>
      <c r="J259" s="12">
        <v>0.0</v>
      </c>
      <c r="K259" s="12"/>
      <c r="L259" s="12">
        <v>0.0</v>
      </c>
      <c r="M259" s="12">
        <v>0.0</v>
      </c>
      <c r="N259" s="12">
        <v>0.0</v>
      </c>
      <c r="O259" s="16">
        <f t="shared" si="33"/>
        <v>0</v>
      </c>
      <c r="P259" s="12">
        <v>0.0</v>
      </c>
      <c r="Q259" s="12">
        <v>0.0</v>
      </c>
      <c r="R259" s="12"/>
      <c r="S259" s="12">
        <v>0.0</v>
      </c>
      <c r="T259" s="12">
        <v>0.0</v>
      </c>
      <c r="U259" s="12">
        <v>0.0</v>
      </c>
      <c r="V259" s="16">
        <f t="shared" si="37"/>
        <v>0</v>
      </c>
      <c r="W259" s="12">
        <v>0.0</v>
      </c>
      <c r="X259" s="12">
        <v>0.0</v>
      </c>
      <c r="Y259" s="12"/>
      <c r="Z259" s="12">
        <v>0.0</v>
      </c>
      <c r="AA259" s="12">
        <v>0.0</v>
      </c>
      <c r="AB259" s="12">
        <v>0.0</v>
      </c>
      <c r="AC259" s="16">
        <f t="shared" si="38"/>
        <v>0</v>
      </c>
      <c r="AD259" s="12"/>
      <c r="AE259" s="12"/>
      <c r="AF259" s="12">
        <v>0.0</v>
      </c>
      <c r="AG259" s="12">
        <v>0.0</v>
      </c>
      <c r="AH259" s="12"/>
      <c r="AI259" s="12">
        <v>0.0</v>
      </c>
      <c r="AJ259" s="12">
        <v>0.0</v>
      </c>
      <c r="AK259" s="12">
        <v>0.0</v>
      </c>
      <c r="AL259" s="12">
        <f t="shared" si="53"/>
        <v>0</v>
      </c>
      <c r="AM259" s="12">
        <v>0.0</v>
      </c>
      <c r="AN259" s="12">
        <v>0.0</v>
      </c>
      <c r="AO259" s="12"/>
      <c r="AP259" s="12">
        <v>0.0</v>
      </c>
      <c r="AQ259" s="12">
        <v>0.0</v>
      </c>
      <c r="AR259" s="12">
        <v>0.0</v>
      </c>
      <c r="AS259" s="12">
        <f t="shared" si="82"/>
        <v>0</v>
      </c>
      <c r="AT259" s="16">
        <f t="shared" si="75"/>
        <v>0</v>
      </c>
      <c r="AU259" s="18">
        <f t="shared" si="78"/>
        <v>411960.87</v>
      </c>
      <c r="AV259" s="18"/>
      <c r="AW259" s="18"/>
      <c r="AX259" s="12">
        <f t="shared" si="1"/>
        <v>0</v>
      </c>
      <c r="AY259" s="12"/>
      <c r="AZ259" s="12">
        <v>0.0</v>
      </c>
      <c r="BA259" s="18">
        <f t="shared" si="79"/>
        <v>50928.09</v>
      </c>
      <c r="BB259" s="10">
        <f t="shared" si="16"/>
        <v>537340.2652</v>
      </c>
      <c r="BC259" s="16">
        <f t="shared" si="80"/>
        <v>98735.45</v>
      </c>
      <c r="BD259" s="16"/>
      <c r="BE259" s="16"/>
      <c r="BF259" s="6"/>
      <c r="BG259" s="6"/>
      <c r="BH259" s="6"/>
      <c r="BI259" s="29">
        <f t="shared" si="77"/>
        <v>16052.29533</v>
      </c>
      <c r="BJ259" s="6"/>
      <c r="BK259" s="15">
        <f t="shared" si="76"/>
        <v>0</v>
      </c>
      <c r="BN259" s="16">
        <f t="shared" si="14"/>
        <v>-16052.29533</v>
      </c>
      <c r="BO259" s="16">
        <f t="shared" si="81"/>
        <v>42758.07733</v>
      </c>
      <c r="BY259" s="6">
        <f t="shared" si="2"/>
        <v>2024</v>
      </c>
      <c r="BZ259" s="6" t="str">
        <f t="shared" si="3"/>
        <v>junio</v>
      </c>
      <c r="CA259" s="6" t="str">
        <f t="shared" si="4"/>
        <v>6</v>
      </c>
    </row>
    <row r="260">
      <c r="A260" s="8">
        <v>45467.0</v>
      </c>
      <c r="B260" s="12">
        <v>19842.49</v>
      </c>
      <c r="C260" s="12">
        <v>3962.28</v>
      </c>
      <c r="D260" s="12"/>
      <c r="E260" s="12">
        <v>3060.14</v>
      </c>
      <c r="F260" s="12">
        <v>0.0</v>
      </c>
      <c r="G260" s="12">
        <v>0.0</v>
      </c>
      <c r="H260" s="12">
        <f t="shared" si="46"/>
        <v>26864.91</v>
      </c>
      <c r="I260" s="12">
        <v>10619.34</v>
      </c>
      <c r="J260" s="12">
        <v>796.65</v>
      </c>
      <c r="K260" s="12"/>
      <c r="L260" s="12">
        <v>581.96</v>
      </c>
      <c r="M260" s="12">
        <v>0.0</v>
      </c>
      <c r="N260" s="12">
        <v>0.0</v>
      </c>
      <c r="O260" s="16">
        <f t="shared" si="33"/>
        <v>11997.95</v>
      </c>
      <c r="P260" s="12">
        <v>2681.74</v>
      </c>
      <c r="Q260" s="12">
        <v>581.23</v>
      </c>
      <c r="R260" s="12"/>
      <c r="S260" s="12">
        <v>0.0</v>
      </c>
      <c r="T260" s="12">
        <v>0.0</v>
      </c>
      <c r="U260" s="12">
        <v>0.0</v>
      </c>
      <c r="V260" s="16">
        <f t="shared" si="37"/>
        <v>3262.97</v>
      </c>
      <c r="W260" s="12">
        <v>2802.28</v>
      </c>
      <c r="X260" s="12">
        <v>0.0</v>
      </c>
      <c r="Y260" s="12"/>
      <c r="Z260" s="12">
        <v>0.0</v>
      </c>
      <c r="AA260" s="12">
        <v>0.0</v>
      </c>
      <c r="AB260" s="12">
        <v>0.0</v>
      </c>
      <c r="AC260" s="16">
        <f t="shared" si="38"/>
        <v>2802.28</v>
      </c>
      <c r="AD260" s="12"/>
      <c r="AE260" s="12"/>
      <c r="AF260" s="12">
        <v>2447.01</v>
      </c>
      <c r="AG260" s="12">
        <v>1158.83</v>
      </c>
      <c r="AH260" s="12"/>
      <c r="AI260" s="12">
        <v>0.0</v>
      </c>
      <c r="AJ260" s="12">
        <v>0.0</v>
      </c>
      <c r="AK260" s="12">
        <v>0.0</v>
      </c>
      <c r="AL260" s="12">
        <f t="shared" si="53"/>
        <v>3605.84</v>
      </c>
      <c r="AM260" s="12">
        <v>2723.0</v>
      </c>
      <c r="AN260" s="12">
        <v>0.0</v>
      </c>
      <c r="AO260" s="12"/>
      <c r="AP260" s="12">
        <v>0.0</v>
      </c>
      <c r="AQ260" s="12">
        <v>0.0</v>
      </c>
      <c r="AR260" s="12">
        <v>0.0</v>
      </c>
      <c r="AS260" s="12">
        <f t="shared" si="82"/>
        <v>2723</v>
      </c>
      <c r="AT260" s="16">
        <f t="shared" si="75"/>
        <v>24392.04</v>
      </c>
      <c r="AU260" s="18">
        <f t="shared" si="78"/>
        <v>436352.91</v>
      </c>
      <c r="AV260" s="18"/>
      <c r="AW260" s="18"/>
      <c r="AX260" s="12">
        <f t="shared" si="1"/>
        <v>24392.04</v>
      </c>
      <c r="AY260" s="12"/>
      <c r="AZ260" s="12">
        <v>962.44</v>
      </c>
      <c r="BA260" s="18">
        <f t="shared" si="79"/>
        <v>51890.53</v>
      </c>
      <c r="BB260" s="10">
        <f t="shared" si="16"/>
        <v>545441.1375</v>
      </c>
      <c r="BC260" s="16">
        <f t="shared" si="80"/>
        <v>98735.45</v>
      </c>
      <c r="BD260" s="16"/>
      <c r="BE260" s="16"/>
      <c r="BF260" s="6"/>
      <c r="BG260" s="6"/>
      <c r="BH260" s="6"/>
      <c r="BI260" s="29">
        <f t="shared" si="77"/>
        <v>16052.29533</v>
      </c>
      <c r="BK260" s="15">
        <f t="shared" si="76"/>
        <v>1.51953596</v>
      </c>
      <c r="BN260" s="16">
        <f t="shared" si="14"/>
        <v>8339.744667</v>
      </c>
      <c r="BO260" s="16">
        <f t="shared" si="81"/>
        <v>51097.822</v>
      </c>
      <c r="BY260" s="6">
        <f t="shared" si="2"/>
        <v>2024</v>
      </c>
      <c r="BZ260" s="6" t="str">
        <f t="shared" si="3"/>
        <v>junio</v>
      </c>
      <c r="CA260" s="6" t="str">
        <f t="shared" si="4"/>
        <v>6</v>
      </c>
    </row>
    <row r="261">
      <c r="A261" s="8">
        <v>45468.0</v>
      </c>
      <c r="B261" s="16">
        <f>37528.23+7546.86</f>
        <v>45075.09</v>
      </c>
      <c r="C261" s="12">
        <v>3383.59</v>
      </c>
      <c r="D261" s="12"/>
      <c r="E261" s="12">
        <v>0.0</v>
      </c>
      <c r="F261" s="12">
        <v>0.0</v>
      </c>
      <c r="G261" s="12">
        <v>0.0</v>
      </c>
      <c r="H261" s="12">
        <f t="shared" si="46"/>
        <v>48458.68</v>
      </c>
      <c r="I261" s="12">
        <v>4961.65</v>
      </c>
      <c r="J261" s="12">
        <v>5344.8</v>
      </c>
      <c r="K261" s="12"/>
      <c r="L261" s="12">
        <v>0.0</v>
      </c>
      <c r="M261" s="12">
        <v>0.0</v>
      </c>
      <c r="N261" s="12">
        <v>0.0</v>
      </c>
      <c r="O261" s="16">
        <f t="shared" si="33"/>
        <v>10306.45</v>
      </c>
      <c r="P261" s="12">
        <v>999.76</v>
      </c>
      <c r="Q261" s="12">
        <v>936.17</v>
      </c>
      <c r="R261" s="12"/>
      <c r="S261" s="12">
        <v>0.0</v>
      </c>
      <c r="T261" s="12">
        <v>0.0</v>
      </c>
      <c r="U261" s="12">
        <v>0.0</v>
      </c>
      <c r="V261" s="16">
        <f t="shared" si="37"/>
        <v>1935.93</v>
      </c>
      <c r="W261" s="12">
        <v>1663.19</v>
      </c>
      <c r="X261" s="12">
        <v>1100.0</v>
      </c>
      <c r="Y261" s="12"/>
      <c r="Z261" s="12">
        <v>0.0</v>
      </c>
      <c r="AA261" s="12">
        <v>0.0</v>
      </c>
      <c r="AB261" s="12">
        <v>0.0</v>
      </c>
      <c r="AC261" s="16">
        <f t="shared" si="38"/>
        <v>2763.19</v>
      </c>
      <c r="AD261" s="12"/>
      <c r="AE261" s="12"/>
      <c r="AF261" s="12">
        <v>1413.28</v>
      </c>
      <c r="AG261" s="12">
        <v>2469.02</v>
      </c>
      <c r="AH261" s="12"/>
      <c r="AI261" s="12">
        <v>0.0</v>
      </c>
      <c r="AJ261" s="12">
        <v>0.0</v>
      </c>
      <c r="AK261" s="12">
        <v>0.0</v>
      </c>
      <c r="AL261" s="12">
        <f t="shared" si="53"/>
        <v>3882.3</v>
      </c>
      <c r="AM261" s="12">
        <v>1963.0</v>
      </c>
      <c r="AN261" s="12">
        <v>0.0</v>
      </c>
      <c r="AO261" s="12"/>
      <c r="AP261" s="12">
        <v>0.0</v>
      </c>
      <c r="AQ261" s="12">
        <v>0.0</v>
      </c>
      <c r="AR261" s="12">
        <v>0.0</v>
      </c>
      <c r="AS261" s="12">
        <f t="shared" si="82"/>
        <v>1963</v>
      </c>
      <c r="AT261" s="16">
        <f t="shared" si="75"/>
        <v>20850.87</v>
      </c>
      <c r="AU261" s="18">
        <f t="shared" si="78"/>
        <v>457203.78</v>
      </c>
      <c r="AV261" s="18"/>
      <c r="AW261" s="18"/>
      <c r="AX261" s="12">
        <f t="shared" si="1"/>
        <v>20850.87</v>
      </c>
      <c r="AY261" s="12"/>
      <c r="AZ261" s="12">
        <v>0.0</v>
      </c>
      <c r="BA261" s="18">
        <f t="shared" si="79"/>
        <v>51890.53</v>
      </c>
      <c r="BB261" s="10">
        <f t="shared" si="16"/>
        <v>548644.536</v>
      </c>
      <c r="BC261" s="16">
        <f t="shared" si="80"/>
        <v>98735.45</v>
      </c>
      <c r="BD261" s="16"/>
      <c r="BE261" s="16"/>
      <c r="BF261" s="6"/>
      <c r="BG261" s="6"/>
      <c r="BH261" s="6"/>
      <c r="BI261" s="29">
        <f t="shared" si="77"/>
        <v>16052.29533</v>
      </c>
      <c r="BK261" s="15">
        <f t="shared" si="76"/>
        <v>1.298933864</v>
      </c>
      <c r="BN261" s="16">
        <f t="shared" si="14"/>
        <v>4798.574667</v>
      </c>
      <c r="BO261" s="16">
        <f t="shared" si="81"/>
        <v>55896.39667</v>
      </c>
      <c r="BY261" s="6">
        <f t="shared" si="2"/>
        <v>2024</v>
      </c>
      <c r="BZ261" s="6" t="str">
        <f t="shared" si="3"/>
        <v>junio</v>
      </c>
      <c r="CA261" s="6" t="str">
        <f t="shared" si="4"/>
        <v>6</v>
      </c>
    </row>
    <row r="262">
      <c r="A262" s="8">
        <v>45469.0</v>
      </c>
      <c r="B262" s="12">
        <v>7621.06</v>
      </c>
      <c r="C262" s="12">
        <v>0.0</v>
      </c>
      <c r="D262" s="12"/>
      <c r="E262" s="12">
        <v>0.0</v>
      </c>
      <c r="F262" s="12">
        <v>0.0</v>
      </c>
      <c r="G262" s="12">
        <v>0.0</v>
      </c>
      <c r="H262" s="12">
        <f t="shared" si="46"/>
        <v>7621.06</v>
      </c>
      <c r="I262" s="12">
        <v>2527.18</v>
      </c>
      <c r="J262" s="12">
        <v>0.0</v>
      </c>
      <c r="K262" s="12"/>
      <c r="L262" s="12">
        <v>0.0</v>
      </c>
      <c r="M262" s="12">
        <v>0.0</v>
      </c>
      <c r="N262" s="12">
        <v>0.0</v>
      </c>
      <c r="O262" s="16">
        <f t="shared" si="33"/>
        <v>2527.18</v>
      </c>
      <c r="P262" s="12">
        <v>968.95</v>
      </c>
      <c r="Q262" s="12">
        <v>0.0</v>
      </c>
      <c r="R262" s="12"/>
      <c r="S262" s="12">
        <v>0.0</v>
      </c>
      <c r="T262" s="12">
        <v>0.0</v>
      </c>
      <c r="U262" s="12">
        <v>0.0</v>
      </c>
      <c r="V262" s="16">
        <f t="shared" si="37"/>
        <v>968.95</v>
      </c>
      <c r="W262" s="12">
        <v>4920.81</v>
      </c>
      <c r="X262" s="12">
        <v>0.0</v>
      </c>
      <c r="Y262" s="12"/>
      <c r="Z262" s="12">
        <v>0.0</v>
      </c>
      <c r="AA262" s="12">
        <v>0.0</v>
      </c>
      <c r="AB262" s="12">
        <v>0.0</v>
      </c>
      <c r="AC262" s="16">
        <f t="shared" si="38"/>
        <v>4920.81</v>
      </c>
      <c r="AD262" s="12"/>
      <c r="AE262" s="12"/>
      <c r="AF262" s="12">
        <v>403.35</v>
      </c>
      <c r="AG262" s="12">
        <v>0.0</v>
      </c>
      <c r="AH262" s="12"/>
      <c r="AI262" s="12">
        <v>0.0</v>
      </c>
      <c r="AJ262" s="12">
        <v>0.0</v>
      </c>
      <c r="AK262" s="12">
        <v>0.0</v>
      </c>
      <c r="AL262" s="12">
        <f t="shared" si="53"/>
        <v>403.35</v>
      </c>
      <c r="AM262" s="12">
        <v>5875.04</v>
      </c>
      <c r="AN262" s="12">
        <v>0.0</v>
      </c>
      <c r="AO262" s="12"/>
      <c r="AP262" s="12">
        <v>0.0</v>
      </c>
      <c r="AQ262" s="12">
        <v>0.0</v>
      </c>
      <c r="AR262" s="12">
        <v>0.0</v>
      </c>
      <c r="AS262" s="12">
        <f t="shared" si="82"/>
        <v>5875.04</v>
      </c>
      <c r="AT262" s="16">
        <f t="shared" si="75"/>
        <v>14695.33</v>
      </c>
      <c r="AU262" s="18">
        <f t="shared" si="78"/>
        <v>471899.11</v>
      </c>
      <c r="AV262" s="18"/>
      <c r="AW262" s="18"/>
      <c r="AX262" s="12">
        <f t="shared" si="1"/>
        <v>14695.33</v>
      </c>
      <c r="AY262" s="12"/>
      <c r="AZ262" s="12">
        <v>1171.5</v>
      </c>
      <c r="BA262" s="18">
        <f t="shared" si="79"/>
        <v>53062.03</v>
      </c>
      <c r="BB262" s="10">
        <f t="shared" si="16"/>
        <v>544498.9731</v>
      </c>
      <c r="BC262" s="16">
        <f t="shared" si="80"/>
        <v>98735.45</v>
      </c>
      <c r="BD262" s="16"/>
      <c r="BE262" s="16"/>
      <c r="BF262" s="6"/>
      <c r="BG262" s="6"/>
      <c r="BH262" s="6"/>
      <c r="BI262" s="29">
        <f t="shared" si="77"/>
        <v>16052.29533</v>
      </c>
      <c r="BJ262" s="6"/>
      <c r="BK262" s="15">
        <f t="shared" si="76"/>
        <v>0.9154659626</v>
      </c>
      <c r="BN262" s="16">
        <f t="shared" si="14"/>
        <v>-1356.965333</v>
      </c>
      <c r="BO262" s="16">
        <f t="shared" si="81"/>
        <v>54539.43133</v>
      </c>
      <c r="BY262" s="6">
        <f t="shared" si="2"/>
        <v>2024</v>
      </c>
      <c r="BZ262" s="6" t="str">
        <f t="shared" si="3"/>
        <v>junio</v>
      </c>
      <c r="CA262" s="6" t="str">
        <f t="shared" si="4"/>
        <v>6</v>
      </c>
    </row>
    <row r="263">
      <c r="A263" s="8">
        <v>45470.0</v>
      </c>
      <c r="B263" s="12">
        <v>14420.24</v>
      </c>
      <c r="C263" s="16">
        <f>26457.82+1827.76</f>
        <v>28285.58</v>
      </c>
      <c r="D263" s="12"/>
      <c r="E263" s="12">
        <v>0.0</v>
      </c>
      <c r="F263" s="12">
        <v>0.0</v>
      </c>
      <c r="G263" s="12">
        <v>0.0</v>
      </c>
      <c r="H263" s="12">
        <f t="shared" si="46"/>
        <v>42705.82</v>
      </c>
      <c r="I263" s="12">
        <v>9591.32</v>
      </c>
      <c r="J263" s="12">
        <v>1017.21</v>
      </c>
      <c r="K263" s="12"/>
      <c r="L263" s="12">
        <v>0.0</v>
      </c>
      <c r="M263" s="12">
        <v>0.0</v>
      </c>
      <c r="N263" s="12">
        <v>0.0</v>
      </c>
      <c r="O263" s="16">
        <f t="shared" si="33"/>
        <v>10608.53</v>
      </c>
      <c r="P263" s="12">
        <v>2401.22</v>
      </c>
      <c r="Q263" s="12">
        <v>436.81</v>
      </c>
      <c r="R263" s="12"/>
      <c r="S263" s="12">
        <v>0.0</v>
      </c>
      <c r="T263" s="12">
        <v>0.0</v>
      </c>
      <c r="U263" s="12">
        <v>0.0</v>
      </c>
      <c r="V263" s="16">
        <f t="shared" si="37"/>
        <v>2838.03</v>
      </c>
      <c r="W263" s="12">
        <v>3274.68</v>
      </c>
      <c r="X263" s="12">
        <v>0.0</v>
      </c>
      <c r="Y263" s="12"/>
      <c r="Z263" s="12">
        <v>0.0</v>
      </c>
      <c r="AA263" s="12">
        <v>0.0</v>
      </c>
      <c r="AB263" s="12">
        <v>0.0</v>
      </c>
      <c r="AC263" s="16">
        <f t="shared" si="38"/>
        <v>3274.68</v>
      </c>
      <c r="AD263" s="12"/>
      <c r="AE263" s="12"/>
      <c r="AF263" s="12">
        <v>2754.93</v>
      </c>
      <c r="AG263" s="12">
        <v>0.0</v>
      </c>
      <c r="AH263" s="12"/>
      <c r="AI263" s="12">
        <v>0.0</v>
      </c>
      <c r="AJ263" s="12">
        <v>0.0</v>
      </c>
      <c r="AK263" s="12">
        <v>0.0</v>
      </c>
      <c r="AL263" s="12">
        <f t="shared" si="53"/>
        <v>2754.93</v>
      </c>
      <c r="AM263" s="12">
        <v>4286.04</v>
      </c>
      <c r="AN263" s="12">
        <v>0.0</v>
      </c>
      <c r="AO263" s="12"/>
      <c r="AP263" s="12">
        <v>0.0</v>
      </c>
      <c r="AQ263" s="12">
        <v>0.0</v>
      </c>
      <c r="AR263" s="12">
        <v>0.0</v>
      </c>
      <c r="AS263" s="12">
        <f t="shared" si="82"/>
        <v>4286.04</v>
      </c>
      <c r="AT263" s="16">
        <f t="shared" si="75"/>
        <v>23762.21</v>
      </c>
      <c r="AU263" s="18">
        <f t="shared" si="78"/>
        <v>495661.32</v>
      </c>
      <c r="AV263" s="18"/>
      <c r="AW263" s="18"/>
      <c r="AX263" s="12">
        <f t="shared" si="1"/>
        <v>23762.21</v>
      </c>
      <c r="AY263" s="12"/>
      <c r="AZ263" s="12">
        <v>1494.35</v>
      </c>
      <c r="BA263" s="18">
        <f t="shared" si="79"/>
        <v>54556.38</v>
      </c>
      <c r="BB263" s="10">
        <f t="shared" si="16"/>
        <v>550734.8</v>
      </c>
      <c r="BC263" s="16">
        <f t="shared" si="80"/>
        <v>98735.45</v>
      </c>
      <c r="BD263" s="16"/>
      <c r="BE263" s="16"/>
      <c r="BF263" s="6"/>
      <c r="BG263" s="6"/>
      <c r="BH263" s="6"/>
      <c r="BI263" s="29">
        <f t="shared" si="77"/>
        <v>16052.29533</v>
      </c>
      <c r="BK263" s="15">
        <f t="shared" si="76"/>
        <v>1.480299827</v>
      </c>
      <c r="BN263" s="16">
        <f t="shared" si="14"/>
        <v>7709.914667</v>
      </c>
      <c r="BO263" s="16">
        <f t="shared" si="81"/>
        <v>62249.346</v>
      </c>
      <c r="BY263" s="6">
        <f t="shared" si="2"/>
        <v>2024</v>
      </c>
      <c r="BZ263" s="6" t="str">
        <f t="shared" si="3"/>
        <v>junio</v>
      </c>
      <c r="CA263" s="6" t="str">
        <f t="shared" si="4"/>
        <v>6</v>
      </c>
    </row>
    <row r="264">
      <c r="A264" s="8">
        <v>45471.0</v>
      </c>
      <c r="B264" s="12">
        <v>22907.86</v>
      </c>
      <c r="C264" s="12">
        <v>0.0</v>
      </c>
      <c r="D264" s="12"/>
      <c r="E264" s="12">
        <v>0.0</v>
      </c>
      <c r="F264" s="12">
        <v>0.0</v>
      </c>
      <c r="G264" s="12">
        <v>0.0</v>
      </c>
      <c r="H264" s="12">
        <f t="shared" si="46"/>
        <v>22907.86</v>
      </c>
      <c r="I264" s="12">
        <v>21013.59</v>
      </c>
      <c r="J264" s="12">
        <v>0.0</v>
      </c>
      <c r="K264" s="12"/>
      <c r="L264" s="12">
        <v>0.0</v>
      </c>
      <c r="M264" s="12">
        <v>0.0</v>
      </c>
      <c r="N264" s="12">
        <v>0.0</v>
      </c>
      <c r="O264" s="16">
        <f t="shared" si="33"/>
        <v>21013.59</v>
      </c>
      <c r="P264" s="12">
        <v>3774.05</v>
      </c>
      <c r="Q264" s="12">
        <v>0.0</v>
      </c>
      <c r="R264" s="12"/>
      <c r="S264" s="12">
        <v>0.0</v>
      </c>
      <c r="T264" s="12">
        <v>0.0</v>
      </c>
      <c r="U264" s="12">
        <v>0.0</v>
      </c>
      <c r="V264" s="16">
        <f t="shared" si="37"/>
        <v>3774.05</v>
      </c>
      <c r="W264" s="12">
        <v>16469.41</v>
      </c>
      <c r="X264" s="12">
        <v>0.0</v>
      </c>
      <c r="Y264" s="12"/>
      <c r="Z264" s="12">
        <v>0.0</v>
      </c>
      <c r="AA264" s="12">
        <v>0.0</v>
      </c>
      <c r="AB264" s="12">
        <v>0.0</v>
      </c>
      <c r="AC264" s="16">
        <f t="shared" si="38"/>
        <v>16469.41</v>
      </c>
      <c r="AD264" s="12"/>
      <c r="AE264" s="12"/>
      <c r="AF264" s="12">
        <v>3409.72</v>
      </c>
      <c r="AG264" s="12">
        <v>0.0</v>
      </c>
      <c r="AH264" s="12"/>
      <c r="AI264" s="12">
        <v>0.0</v>
      </c>
      <c r="AJ264" s="12">
        <v>0.0</v>
      </c>
      <c r="AK264" s="12">
        <v>0.0</v>
      </c>
      <c r="AL264" s="12">
        <f t="shared" si="53"/>
        <v>3409.72</v>
      </c>
      <c r="AM264" s="12">
        <v>27519.04</v>
      </c>
      <c r="AN264" s="12">
        <v>0.0</v>
      </c>
      <c r="AO264" s="12"/>
      <c r="AP264" s="12">
        <v>0.0</v>
      </c>
      <c r="AQ264" s="12">
        <v>0.0</v>
      </c>
      <c r="AR264" s="12">
        <v>0.0</v>
      </c>
      <c r="AS264" s="12">
        <f t="shared" si="82"/>
        <v>27519.04</v>
      </c>
      <c r="AT264" s="16">
        <f t="shared" si="75"/>
        <v>72185.81</v>
      </c>
      <c r="AU264" s="18">
        <f t="shared" si="78"/>
        <v>567847.13</v>
      </c>
      <c r="AV264" s="18"/>
      <c r="AW264" s="18"/>
      <c r="AX264" s="12">
        <f t="shared" si="1"/>
        <v>72185.81</v>
      </c>
      <c r="AY264" s="12"/>
      <c r="AZ264" s="12">
        <v>1171.86</v>
      </c>
      <c r="BA264" s="18">
        <f t="shared" si="79"/>
        <v>55728.24</v>
      </c>
      <c r="BB264" s="10">
        <f t="shared" si="16"/>
        <v>608407.6393</v>
      </c>
      <c r="BC264" s="16">
        <f t="shared" si="80"/>
        <v>98735.45</v>
      </c>
      <c r="BD264" s="16"/>
      <c r="BE264" s="16"/>
      <c r="BF264" s="6"/>
      <c r="BG264" s="6"/>
      <c r="BH264" s="6"/>
      <c r="BI264" s="29">
        <f t="shared" si="77"/>
        <v>16052.29533</v>
      </c>
      <c r="BK264" s="15">
        <f t="shared" si="76"/>
        <v>4.496915145</v>
      </c>
      <c r="BN264" s="16">
        <f t="shared" si="14"/>
        <v>56133.51467</v>
      </c>
      <c r="BO264" s="16">
        <f t="shared" si="81"/>
        <v>118382.8607</v>
      </c>
      <c r="BY264" s="6">
        <f t="shared" si="2"/>
        <v>2024</v>
      </c>
      <c r="BZ264" s="6" t="str">
        <f t="shared" si="3"/>
        <v>junio</v>
      </c>
      <c r="CA264" s="6" t="str">
        <f t="shared" si="4"/>
        <v>6</v>
      </c>
    </row>
    <row r="265">
      <c r="A265" s="8">
        <v>45472.0</v>
      </c>
      <c r="B265" s="12">
        <v>0.0</v>
      </c>
      <c r="C265" s="12">
        <v>0.0</v>
      </c>
      <c r="D265" s="12"/>
      <c r="E265" s="12">
        <v>0.0</v>
      </c>
      <c r="F265" s="12">
        <v>0.0</v>
      </c>
      <c r="G265" s="12">
        <v>0.0</v>
      </c>
      <c r="H265" s="12">
        <f t="shared" si="46"/>
        <v>0</v>
      </c>
      <c r="I265" s="12">
        <v>0.0</v>
      </c>
      <c r="J265" s="12">
        <v>0.0</v>
      </c>
      <c r="K265" s="12"/>
      <c r="L265" s="12">
        <v>0.0</v>
      </c>
      <c r="M265" s="12">
        <v>0.0</v>
      </c>
      <c r="N265" s="12">
        <v>0.0</v>
      </c>
      <c r="O265" s="16">
        <f t="shared" si="33"/>
        <v>0</v>
      </c>
      <c r="P265" s="12">
        <v>0.0</v>
      </c>
      <c r="Q265" s="12">
        <v>0.0</v>
      </c>
      <c r="R265" s="12"/>
      <c r="S265" s="12">
        <v>0.0</v>
      </c>
      <c r="T265" s="12">
        <v>0.0</v>
      </c>
      <c r="U265" s="12">
        <v>0.0</v>
      </c>
      <c r="V265" s="16">
        <f t="shared" si="37"/>
        <v>0</v>
      </c>
      <c r="W265" s="12">
        <v>0.0</v>
      </c>
      <c r="X265" s="12">
        <v>0.0</v>
      </c>
      <c r="Y265" s="12"/>
      <c r="Z265" s="12">
        <v>0.0</v>
      </c>
      <c r="AA265" s="12">
        <v>0.0</v>
      </c>
      <c r="AB265" s="12">
        <v>0.0</v>
      </c>
      <c r="AC265" s="16">
        <f t="shared" si="38"/>
        <v>0</v>
      </c>
      <c r="AD265" s="12"/>
      <c r="AE265" s="12"/>
      <c r="AF265" s="12">
        <v>0.0</v>
      </c>
      <c r="AG265" s="12">
        <v>0.0</v>
      </c>
      <c r="AH265" s="12"/>
      <c r="AI265" s="12">
        <v>0.0</v>
      </c>
      <c r="AJ265" s="12">
        <v>0.0</v>
      </c>
      <c r="AK265" s="12">
        <v>0.0</v>
      </c>
      <c r="AL265" s="12">
        <f t="shared" si="53"/>
        <v>0</v>
      </c>
      <c r="AM265" s="12">
        <v>0.0</v>
      </c>
      <c r="AN265" s="12">
        <v>0.0</v>
      </c>
      <c r="AO265" s="12"/>
      <c r="AP265" s="12">
        <v>0.0</v>
      </c>
      <c r="AQ265" s="12">
        <v>0.0</v>
      </c>
      <c r="AR265" s="12">
        <v>0.0</v>
      </c>
      <c r="AS265" s="12">
        <f t="shared" si="82"/>
        <v>0</v>
      </c>
      <c r="AT265" s="16">
        <f t="shared" si="75"/>
        <v>0</v>
      </c>
      <c r="AU265" s="18">
        <f t="shared" si="78"/>
        <v>567847.13</v>
      </c>
      <c r="AV265" s="18"/>
      <c r="AW265" s="18"/>
      <c r="AX265" s="12">
        <f t="shared" si="1"/>
        <v>0</v>
      </c>
      <c r="AY265" s="12"/>
      <c r="AZ265" s="12">
        <v>0.0</v>
      </c>
      <c r="BA265" s="18">
        <f t="shared" si="79"/>
        <v>55728.24</v>
      </c>
      <c r="BB265" s="10">
        <f t="shared" si="16"/>
        <v>587428.0655</v>
      </c>
      <c r="BC265" s="16">
        <f t="shared" si="80"/>
        <v>98735.45</v>
      </c>
      <c r="BD265" s="16"/>
      <c r="BE265" s="16"/>
      <c r="BF265" s="6"/>
      <c r="BG265" s="6"/>
      <c r="BH265" s="6"/>
      <c r="BI265" s="29">
        <f t="shared" si="77"/>
        <v>16052.29533</v>
      </c>
      <c r="BJ265" s="6"/>
      <c r="BK265" s="15">
        <f t="shared" si="76"/>
        <v>0</v>
      </c>
      <c r="BN265" s="16">
        <f t="shared" si="14"/>
        <v>-16052.29533</v>
      </c>
      <c r="BO265" s="16">
        <f t="shared" si="81"/>
        <v>102330.5653</v>
      </c>
      <c r="BY265" s="6">
        <f t="shared" si="2"/>
        <v>2024</v>
      </c>
      <c r="BZ265" s="6" t="str">
        <f t="shared" si="3"/>
        <v>junio</v>
      </c>
      <c r="CA265" s="6" t="str">
        <f t="shared" si="4"/>
        <v>6</v>
      </c>
    </row>
    <row r="266">
      <c r="A266" s="8">
        <v>45473.0</v>
      </c>
      <c r="B266" s="12">
        <f>41038.99+6278.92+697.93+879.83</f>
        <v>48895.67</v>
      </c>
      <c r="C266" s="12">
        <f>1467+5805.99+3489.19</f>
        <v>10762.18</v>
      </c>
      <c r="D266" s="12"/>
      <c r="E266" s="12">
        <v>2084.2</v>
      </c>
      <c r="F266" s="12">
        <v>590.84</v>
      </c>
      <c r="G266" s="12">
        <v>0.0</v>
      </c>
      <c r="H266" s="12">
        <f t="shared" si="46"/>
        <v>62332.89</v>
      </c>
      <c r="I266" s="12">
        <f>30589+1632.8+170.98+2720.16</f>
        <v>35112.94</v>
      </c>
      <c r="J266" s="12">
        <f>733.55+1338.1+13557.71</f>
        <v>15629.36</v>
      </c>
      <c r="K266" s="12"/>
      <c r="L266" s="12">
        <v>430.74</v>
      </c>
      <c r="M266" s="12">
        <v>0.0</v>
      </c>
      <c r="N266" s="12">
        <v>0.0</v>
      </c>
      <c r="O266" s="16">
        <f t="shared" si="33"/>
        <v>51173.04</v>
      </c>
      <c r="P266" s="12">
        <f>8313.61+495.34+239.19+336.54</f>
        <v>9384.68</v>
      </c>
      <c r="Q266" s="12">
        <f>461.89+520.56+446.42</f>
        <v>1428.87</v>
      </c>
      <c r="R266" s="12"/>
      <c r="S266" s="12">
        <v>0.0</v>
      </c>
      <c r="T266" s="12">
        <v>139.19</v>
      </c>
      <c r="U266" s="12">
        <v>0.0</v>
      </c>
      <c r="V266" s="16">
        <f t="shared" si="37"/>
        <v>10952.74</v>
      </c>
      <c r="W266" s="12">
        <v>5009.02</v>
      </c>
      <c r="X266" s="12">
        <v>0.0</v>
      </c>
      <c r="Y266" s="12"/>
      <c r="Z266" s="12">
        <v>0.0</v>
      </c>
      <c r="AA266" s="12">
        <v>0.0</v>
      </c>
      <c r="AB266" s="12">
        <v>0.0</v>
      </c>
      <c r="AC266" s="16">
        <f t="shared" si="38"/>
        <v>5009.02</v>
      </c>
      <c r="AD266" s="12"/>
      <c r="AE266" s="12"/>
      <c r="AF266" s="12">
        <f>5030.31+820.94</f>
        <v>5851.25</v>
      </c>
      <c r="AG266" s="12">
        <v>158.22</v>
      </c>
      <c r="AH266" s="12"/>
      <c r="AI266" s="12">
        <v>0.0</v>
      </c>
      <c r="AJ266" s="12">
        <v>0.0</v>
      </c>
      <c r="AK266" s="12">
        <v>0.0</v>
      </c>
      <c r="AL266" s="12">
        <f t="shared" si="53"/>
        <v>6009.47</v>
      </c>
      <c r="AM266" s="12">
        <v>0.0</v>
      </c>
      <c r="AN266" s="12">
        <v>0.0</v>
      </c>
      <c r="AO266" s="12"/>
      <c r="AP266" s="12">
        <v>0.0</v>
      </c>
      <c r="AQ266" s="12">
        <v>0.0</v>
      </c>
      <c r="AR266" s="12">
        <v>0.0</v>
      </c>
      <c r="AS266" s="12">
        <f t="shared" si="82"/>
        <v>0</v>
      </c>
      <c r="AT266" s="16">
        <f t="shared" si="75"/>
        <v>73144.27</v>
      </c>
      <c r="AU266" s="18">
        <f t="shared" si="78"/>
        <v>640991.4</v>
      </c>
      <c r="AV266" s="18"/>
      <c r="AW266" s="18"/>
      <c r="AX266" s="12">
        <f t="shared" si="1"/>
        <v>73144.27</v>
      </c>
      <c r="AY266" s="12"/>
      <c r="AZ266" s="12">
        <v>4802.46</v>
      </c>
      <c r="BA266" s="18">
        <f t="shared" si="79"/>
        <v>60530.7</v>
      </c>
      <c r="BB266" s="10">
        <f t="shared" si="16"/>
        <v>640991.4</v>
      </c>
      <c r="BC266" s="16">
        <f t="shared" si="80"/>
        <v>98735.45</v>
      </c>
      <c r="BD266" s="16"/>
      <c r="BE266" s="16"/>
      <c r="BF266" s="6"/>
      <c r="BG266" s="6"/>
      <c r="BH266" s="6"/>
      <c r="BI266" s="29">
        <f t="shared" si="77"/>
        <v>16052.29533</v>
      </c>
      <c r="BK266" s="15">
        <f t="shared" si="76"/>
        <v>4.55662374</v>
      </c>
      <c r="BN266" s="16">
        <f t="shared" si="14"/>
        <v>57091.97467</v>
      </c>
      <c r="BO266" s="16">
        <f t="shared" si="81"/>
        <v>159422.54</v>
      </c>
      <c r="BQ266" s="12">
        <v>0.0</v>
      </c>
      <c r="BR266" s="12">
        <v>0.0</v>
      </c>
      <c r="BS266" s="12">
        <v>0.0</v>
      </c>
      <c r="BT266" s="12">
        <v>0.0</v>
      </c>
      <c r="BU266" s="12">
        <v>0.0</v>
      </c>
      <c r="BV266" s="5">
        <v>0.0</v>
      </c>
      <c r="BW266" s="5">
        <v>0.0</v>
      </c>
      <c r="BY266" s="6">
        <f t="shared" si="2"/>
        <v>2024</v>
      </c>
      <c r="BZ266" s="6" t="str">
        <f t="shared" si="3"/>
        <v>junio</v>
      </c>
      <c r="CA266" s="6" t="str">
        <f t="shared" si="4"/>
        <v>6</v>
      </c>
    </row>
    <row r="267">
      <c r="A267" s="8">
        <v>45474.0</v>
      </c>
      <c r="B267" s="12">
        <v>0.0</v>
      </c>
      <c r="C267" s="12">
        <v>0.0</v>
      </c>
      <c r="D267" s="12"/>
      <c r="E267" s="12">
        <v>0.0</v>
      </c>
      <c r="F267" s="12">
        <v>0.0</v>
      </c>
      <c r="G267" s="12">
        <v>0.0</v>
      </c>
      <c r="H267" s="12">
        <f t="shared" si="46"/>
        <v>0</v>
      </c>
      <c r="I267" s="12">
        <v>0.0</v>
      </c>
      <c r="J267" s="12">
        <v>0.0</v>
      </c>
      <c r="K267" s="12"/>
      <c r="L267" s="12">
        <v>0.0</v>
      </c>
      <c r="M267" s="12">
        <v>0.0</v>
      </c>
      <c r="N267" s="12">
        <v>0.0</v>
      </c>
      <c r="O267" s="16">
        <f t="shared" si="33"/>
        <v>0</v>
      </c>
      <c r="P267" s="12">
        <v>0.0</v>
      </c>
      <c r="Q267" s="12">
        <v>0.0</v>
      </c>
      <c r="R267" s="12"/>
      <c r="S267" s="12">
        <v>0.0</v>
      </c>
      <c r="T267" s="12">
        <v>0.0</v>
      </c>
      <c r="U267" s="12">
        <v>0.0</v>
      </c>
      <c r="V267" s="16">
        <f t="shared" si="37"/>
        <v>0</v>
      </c>
      <c r="W267" s="12">
        <v>0.0</v>
      </c>
      <c r="X267" s="12">
        <v>0.0</v>
      </c>
      <c r="Y267" s="12"/>
      <c r="Z267" s="12">
        <v>0.0</v>
      </c>
      <c r="AA267" s="12">
        <v>0.0</v>
      </c>
      <c r="AB267" s="12">
        <v>0.0</v>
      </c>
      <c r="AC267" s="16">
        <f t="shared" si="38"/>
        <v>0</v>
      </c>
      <c r="AD267" s="12"/>
      <c r="AE267" s="12"/>
      <c r="AF267" s="12">
        <v>0.0</v>
      </c>
      <c r="AG267" s="12">
        <v>0.0</v>
      </c>
      <c r="AH267" s="12"/>
      <c r="AI267" s="12">
        <v>0.0</v>
      </c>
      <c r="AJ267" s="12">
        <v>0.0</v>
      </c>
      <c r="AK267" s="12">
        <v>0.0</v>
      </c>
      <c r="AL267" s="12">
        <f t="shared" si="53"/>
        <v>0</v>
      </c>
      <c r="AM267" s="12">
        <v>0.0</v>
      </c>
      <c r="AN267" s="12">
        <v>0.0</v>
      </c>
      <c r="AO267" s="12"/>
      <c r="AP267" s="12">
        <v>0.0</v>
      </c>
      <c r="AQ267" s="12">
        <v>0.0</v>
      </c>
      <c r="AR267" s="12">
        <v>0.0</v>
      </c>
      <c r="AS267" s="12">
        <f t="shared" si="82"/>
        <v>0</v>
      </c>
      <c r="AT267" s="16">
        <f t="shared" si="75"/>
        <v>0</v>
      </c>
      <c r="AU267" s="18">
        <f>IF(AT267="","",AT267)</f>
        <v>0</v>
      </c>
      <c r="AV267" s="18"/>
      <c r="AW267" s="18"/>
      <c r="AX267" s="12">
        <f t="shared" si="1"/>
        <v>0</v>
      </c>
      <c r="AY267" s="12"/>
      <c r="AZ267" s="12">
        <v>0.0</v>
      </c>
      <c r="BA267" s="18">
        <f>IF(AZ267="","",AZ267)</f>
        <v>0</v>
      </c>
      <c r="BB267" s="10">
        <f t="shared" si="16"/>
        <v>0</v>
      </c>
      <c r="BC267" s="16">
        <f t="shared" si="80"/>
        <v>98735.45</v>
      </c>
      <c r="BD267" s="16"/>
      <c r="BE267" s="16"/>
      <c r="BF267" s="6"/>
      <c r="BG267" s="12">
        <v>520376.29</v>
      </c>
      <c r="BH267" s="6"/>
      <c r="BI267" s="29">
        <f t="shared" ref="BI267:BI297" si="83">IF(AT267="","",$BG$267/DAY(EOMONTH(A267,0)))</f>
        <v>16786.33194</v>
      </c>
      <c r="BJ267" s="6"/>
      <c r="BK267" s="15">
        <f t="shared" si="76"/>
        <v>0</v>
      </c>
      <c r="BL267" s="5">
        <v>520376.29</v>
      </c>
      <c r="BN267" s="16">
        <f t="shared" si="14"/>
        <v>-16786.33194</v>
      </c>
      <c r="BO267" s="16">
        <f>IF(AT267="","",BN267)</f>
        <v>-16786.33194</v>
      </c>
      <c r="BQ267" s="5">
        <v>0.0</v>
      </c>
      <c r="BR267" s="5">
        <v>0.0</v>
      </c>
      <c r="BS267" s="5">
        <v>0.0</v>
      </c>
      <c r="BT267" s="5">
        <v>0.0</v>
      </c>
      <c r="BU267" s="5">
        <v>0.0</v>
      </c>
      <c r="BV267" s="5">
        <v>0.0</v>
      </c>
      <c r="BW267" s="5">
        <v>0.0</v>
      </c>
      <c r="BY267" s="6">
        <f t="shared" si="2"/>
        <v>2024</v>
      </c>
      <c r="BZ267" s="6" t="str">
        <f t="shared" si="3"/>
        <v>julio</v>
      </c>
      <c r="CA267" s="6" t="str">
        <f t="shared" si="4"/>
        <v>7</v>
      </c>
    </row>
    <row r="268">
      <c r="A268" s="8">
        <v>45475.0</v>
      </c>
      <c r="B268" s="12">
        <v>2300.0</v>
      </c>
      <c r="C268" s="12">
        <v>1500.0</v>
      </c>
      <c r="D268" s="12"/>
      <c r="E268" s="12">
        <v>0.0</v>
      </c>
      <c r="F268" s="12">
        <v>0.0</v>
      </c>
      <c r="G268" s="12">
        <v>0.0</v>
      </c>
      <c r="H268" s="12">
        <f t="shared" si="46"/>
        <v>3800</v>
      </c>
      <c r="I268" s="12">
        <v>3000.0</v>
      </c>
      <c r="J268" s="12">
        <v>3200.0</v>
      </c>
      <c r="K268" s="12"/>
      <c r="L268" s="12">
        <v>0.0</v>
      </c>
      <c r="M268" s="12">
        <v>0.0</v>
      </c>
      <c r="N268" s="12">
        <v>0.0</v>
      </c>
      <c r="O268" s="16">
        <f t="shared" si="33"/>
        <v>6200</v>
      </c>
      <c r="P268" s="12">
        <v>1200.0</v>
      </c>
      <c r="Q268" s="12">
        <v>2000.0</v>
      </c>
      <c r="R268" s="12"/>
      <c r="S268" s="12">
        <v>0.0</v>
      </c>
      <c r="T268" s="12">
        <v>0.0</v>
      </c>
      <c r="U268" s="12">
        <v>0.0</v>
      </c>
      <c r="V268" s="16">
        <f t="shared" si="37"/>
        <v>3200</v>
      </c>
      <c r="W268" s="12">
        <v>600.0</v>
      </c>
      <c r="X268" s="12">
        <v>300.0</v>
      </c>
      <c r="Y268" s="12"/>
      <c r="Z268" s="12">
        <v>0.0</v>
      </c>
      <c r="AA268" s="12">
        <v>0.0</v>
      </c>
      <c r="AB268" s="12">
        <v>0.0</v>
      </c>
      <c r="AC268" s="16">
        <f t="shared" si="38"/>
        <v>900</v>
      </c>
      <c r="AD268" s="12"/>
      <c r="AE268" s="12"/>
      <c r="AF268" s="12">
        <v>0.0</v>
      </c>
      <c r="AG268" s="12">
        <v>0.0</v>
      </c>
      <c r="AH268" s="12"/>
      <c r="AI268" s="12">
        <v>0.0</v>
      </c>
      <c r="AJ268" s="12">
        <v>0.0</v>
      </c>
      <c r="AK268" s="12">
        <v>0.0</v>
      </c>
      <c r="AL268" s="12">
        <f t="shared" si="53"/>
        <v>0</v>
      </c>
      <c r="AM268" s="12">
        <v>0.0</v>
      </c>
      <c r="AN268" s="12">
        <v>0.0</v>
      </c>
      <c r="AO268" s="12"/>
      <c r="AP268" s="12">
        <v>0.0</v>
      </c>
      <c r="AQ268" s="12">
        <v>0.0</v>
      </c>
      <c r="AR268" s="12">
        <v>0.0</v>
      </c>
      <c r="AS268" s="12">
        <f t="shared" si="82"/>
        <v>0</v>
      </c>
      <c r="AT268" s="16">
        <f t="shared" si="75"/>
        <v>10300</v>
      </c>
      <c r="AU268" s="18">
        <f t="shared" ref="AU268:AU297" si="84">IF(AT268="","",AT268+AU267)</f>
        <v>10300</v>
      </c>
      <c r="AV268" s="18"/>
      <c r="AW268" s="18"/>
      <c r="AX268" s="12">
        <f t="shared" si="1"/>
        <v>10300</v>
      </c>
      <c r="AY268" s="12"/>
      <c r="AZ268" s="12">
        <v>1236.0</v>
      </c>
      <c r="BA268" s="18">
        <f t="shared" ref="BA268:BA297" si="85">IF(AZ268="","",AZ268)+BA267</f>
        <v>1236</v>
      </c>
      <c r="BB268" s="10">
        <f t="shared" si="16"/>
        <v>159650</v>
      </c>
      <c r="BC268" s="16">
        <f t="shared" si="80"/>
        <v>98735.45</v>
      </c>
      <c r="BD268" s="16"/>
      <c r="BE268" s="16"/>
      <c r="BF268" s="6"/>
      <c r="BG268" s="6"/>
      <c r="BH268" s="6"/>
      <c r="BI268" s="29">
        <f t="shared" si="83"/>
        <v>16786.33194</v>
      </c>
      <c r="BJ268" s="6"/>
      <c r="BK268" s="15">
        <f t="shared" si="76"/>
        <v>0.6135944434</v>
      </c>
      <c r="BN268" s="16">
        <f t="shared" si="14"/>
        <v>-6486.331935</v>
      </c>
      <c r="BO268" s="16">
        <f t="shared" ref="BO268:BO297" si="86">IF(AT268="","",BO267+BN268)</f>
        <v>-23272.66387</v>
      </c>
      <c r="BQ268" s="12">
        <v>45181.03</v>
      </c>
      <c r="BR268" s="12">
        <v>31753.29</v>
      </c>
      <c r="BS268" s="12">
        <v>8914.69</v>
      </c>
      <c r="BT268" s="12">
        <v>5009.02</v>
      </c>
      <c r="BU268" s="12">
        <v>5188.53</v>
      </c>
      <c r="BV268" s="5">
        <v>0.0</v>
      </c>
      <c r="BW268" s="16">
        <f t="shared" ref="BW268:BW271" si="87">BV268+BU268+BT268+BS268+BR268</f>
        <v>50865.53</v>
      </c>
      <c r="BY268" s="6">
        <f t="shared" si="2"/>
        <v>2024</v>
      </c>
      <c r="BZ268" s="6" t="str">
        <f t="shared" si="3"/>
        <v>julio</v>
      </c>
      <c r="CA268" s="6" t="str">
        <f t="shared" si="4"/>
        <v>7</v>
      </c>
    </row>
    <row r="269">
      <c r="A269" s="8">
        <v>45476.0</v>
      </c>
      <c r="B269" s="12">
        <v>1300.0</v>
      </c>
      <c r="C269" s="12">
        <v>400.0</v>
      </c>
      <c r="D269" s="12"/>
      <c r="E269" s="12">
        <v>0.0</v>
      </c>
      <c r="F269" s="12">
        <v>0.0</v>
      </c>
      <c r="G269" s="12">
        <v>0.0</v>
      </c>
      <c r="H269" s="12">
        <f t="shared" si="46"/>
        <v>1700</v>
      </c>
      <c r="I269" s="12">
        <v>2381.0</v>
      </c>
      <c r="J269" s="12">
        <v>2000.0</v>
      </c>
      <c r="K269" s="12"/>
      <c r="L269" s="12">
        <v>0.0</v>
      </c>
      <c r="M269" s="12">
        <v>0.0</v>
      </c>
      <c r="N269" s="12">
        <v>0.0</v>
      </c>
      <c r="O269" s="16">
        <f t="shared" si="33"/>
        <v>4381</v>
      </c>
      <c r="P269" s="12">
        <v>1128.43</v>
      </c>
      <c r="Q269" s="12">
        <v>1560.0</v>
      </c>
      <c r="R269" s="12"/>
      <c r="S269" s="12">
        <v>0.0</v>
      </c>
      <c r="T269" s="12">
        <v>0.0</v>
      </c>
      <c r="U269" s="12">
        <v>0.0</v>
      </c>
      <c r="V269" s="16">
        <f t="shared" si="37"/>
        <v>2688.43</v>
      </c>
      <c r="W269" s="12">
        <v>1650.0</v>
      </c>
      <c r="X269" s="12">
        <v>403.0</v>
      </c>
      <c r="Y269" s="12"/>
      <c r="Z269" s="12">
        <v>0.0</v>
      </c>
      <c r="AA269" s="12">
        <v>0.0</v>
      </c>
      <c r="AB269" s="12">
        <v>0.0</v>
      </c>
      <c r="AC269" s="16">
        <f t="shared" si="38"/>
        <v>2053</v>
      </c>
      <c r="AD269" s="12"/>
      <c r="AE269" s="12"/>
      <c r="AF269" s="12">
        <v>0.0</v>
      </c>
      <c r="AG269" s="12">
        <v>0.0</v>
      </c>
      <c r="AH269" s="12"/>
      <c r="AI269" s="12">
        <v>0.0</v>
      </c>
      <c r="AJ269" s="12">
        <v>0.0</v>
      </c>
      <c r="AK269" s="12">
        <v>0.0</v>
      </c>
      <c r="AL269" s="12">
        <f t="shared" si="53"/>
        <v>0</v>
      </c>
      <c r="AM269" s="12">
        <v>5352.0</v>
      </c>
      <c r="AN269" s="12">
        <v>0.0</v>
      </c>
      <c r="AO269" s="12"/>
      <c r="AP269" s="12">
        <v>0.0</v>
      </c>
      <c r="AQ269" s="12">
        <v>0.0</v>
      </c>
      <c r="AR269" s="12">
        <v>0.0</v>
      </c>
      <c r="AS269" s="12">
        <f t="shared" si="82"/>
        <v>5352</v>
      </c>
      <c r="AT269" s="16">
        <f t="shared" si="75"/>
        <v>14474.43</v>
      </c>
      <c r="AU269" s="18">
        <f t="shared" si="84"/>
        <v>24774.43</v>
      </c>
      <c r="AV269" s="18"/>
      <c r="AW269" s="18"/>
      <c r="AX269" s="12">
        <f t="shared" si="1"/>
        <v>14474.43</v>
      </c>
      <c r="AY269" s="12"/>
      <c r="AZ269" s="12">
        <v>1400.0</v>
      </c>
      <c r="BA269" s="18">
        <f t="shared" si="85"/>
        <v>2636</v>
      </c>
      <c r="BB269" s="10">
        <f t="shared" si="16"/>
        <v>256002.4433</v>
      </c>
      <c r="BC269" s="16">
        <f t="shared" si="80"/>
        <v>98735.45</v>
      </c>
      <c r="BD269" s="16"/>
      <c r="BE269" s="16"/>
      <c r="BF269" s="6"/>
      <c r="BG269" s="6"/>
      <c r="BH269" s="6"/>
      <c r="BI269" s="29">
        <f t="shared" si="83"/>
        <v>16786.33194</v>
      </c>
      <c r="BJ269" s="6"/>
      <c r="BK269" s="15">
        <f t="shared" si="76"/>
        <v>0.8622747397</v>
      </c>
      <c r="BN269" s="16">
        <f t="shared" si="14"/>
        <v>-2311.901935</v>
      </c>
      <c r="BO269" s="16">
        <f t="shared" si="86"/>
        <v>-25584.56581</v>
      </c>
      <c r="BQ269" s="12">
        <v>12084.91</v>
      </c>
      <c r="BR269" s="12">
        <v>2970.9</v>
      </c>
      <c r="BS269" s="12">
        <v>1015.9</v>
      </c>
      <c r="BT269" s="12">
        <v>0.0</v>
      </c>
      <c r="BU269" s="12">
        <v>820.94</v>
      </c>
      <c r="BV269" s="5">
        <v>0.0</v>
      </c>
      <c r="BW269" s="16">
        <f t="shared" si="87"/>
        <v>4807.74</v>
      </c>
      <c r="BY269" s="6">
        <f t="shared" si="2"/>
        <v>2024</v>
      </c>
      <c r="BZ269" s="6" t="str">
        <f t="shared" si="3"/>
        <v>julio</v>
      </c>
      <c r="CA269" s="6" t="str">
        <f t="shared" si="4"/>
        <v>7</v>
      </c>
    </row>
    <row r="270">
      <c r="A270" s="8">
        <v>45477.0</v>
      </c>
      <c r="B270" s="12">
        <v>1260.0</v>
      </c>
      <c r="C270" s="12">
        <v>800.0</v>
      </c>
      <c r="D270" s="12"/>
      <c r="E270" s="12">
        <v>0.0</v>
      </c>
      <c r="F270" s="12">
        <v>0.0</v>
      </c>
      <c r="G270" s="12">
        <v>0.0</v>
      </c>
      <c r="H270" s="12">
        <f t="shared" si="46"/>
        <v>2060</v>
      </c>
      <c r="I270" s="12">
        <v>4460.0</v>
      </c>
      <c r="J270" s="12">
        <v>520.0</v>
      </c>
      <c r="K270" s="12"/>
      <c r="L270" s="12">
        <v>0.0</v>
      </c>
      <c r="M270" s="12">
        <v>0.0</v>
      </c>
      <c r="N270" s="12">
        <v>0.0</v>
      </c>
      <c r="O270" s="16">
        <f t="shared" si="33"/>
        <v>4980</v>
      </c>
      <c r="P270" s="12">
        <v>1534.83</v>
      </c>
      <c r="Q270" s="12">
        <v>120.0</v>
      </c>
      <c r="R270" s="12"/>
      <c r="S270" s="12">
        <v>0.0</v>
      </c>
      <c r="T270" s="12">
        <v>0.0</v>
      </c>
      <c r="U270" s="12">
        <v>0.0</v>
      </c>
      <c r="V270" s="16">
        <f t="shared" si="37"/>
        <v>1654.83</v>
      </c>
      <c r="W270" s="12">
        <v>1650.0</v>
      </c>
      <c r="X270" s="12">
        <v>0.0</v>
      </c>
      <c r="Y270" s="12"/>
      <c r="Z270" s="12">
        <v>0.0</v>
      </c>
      <c r="AA270" s="12">
        <v>0.0</v>
      </c>
      <c r="AB270" s="12">
        <v>0.0</v>
      </c>
      <c r="AC270" s="16">
        <f t="shared" si="38"/>
        <v>1650</v>
      </c>
      <c r="AD270" s="12"/>
      <c r="AE270" s="12"/>
      <c r="AF270" s="12">
        <v>0.0</v>
      </c>
      <c r="AG270" s="12">
        <v>0.0</v>
      </c>
      <c r="AH270" s="12"/>
      <c r="AI270" s="12">
        <v>0.0</v>
      </c>
      <c r="AJ270" s="12">
        <v>0.0</v>
      </c>
      <c r="AK270" s="12">
        <v>0.0</v>
      </c>
      <c r="AL270" s="12">
        <f t="shared" si="53"/>
        <v>0</v>
      </c>
      <c r="AM270" s="12">
        <v>10020.0</v>
      </c>
      <c r="AN270" s="12">
        <v>0.0</v>
      </c>
      <c r="AO270" s="12"/>
      <c r="AP270" s="12">
        <v>0.0</v>
      </c>
      <c r="AQ270" s="12">
        <v>0.0</v>
      </c>
      <c r="AR270" s="12">
        <v>0.0</v>
      </c>
      <c r="AS270" s="12">
        <f t="shared" si="82"/>
        <v>10020</v>
      </c>
      <c r="AT270" s="16">
        <f t="shared" si="75"/>
        <v>18304.83</v>
      </c>
      <c r="AU270" s="18">
        <f t="shared" si="84"/>
        <v>43079.26</v>
      </c>
      <c r="AV270" s="18"/>
      <c r="AW270" s="18"/>
      <c r="AX270" s="12">
        <f t="shared" si="1"/>
        <v>18304.83</v>
      </c>
      <c r="AY270" s="12"/>
      <c r="AZ270" s="12">
        <v>1200.0</v>
      </c>
      <c r="BA270" s="18">
        <f t="shared" si="85"/>
        <v>3836</v>
      </c>
      <c r="BB270" s="10">
        <f t="shared" si="16"/>
        <v>333864.265</v>
      </c>
      <c r="BC270" s="16">
        <f t="shared" si="80"/>
        <v>98735.45</v>
      </c>
      <c r="BD270" s="16"/>
      <c r="BE270" s="16"/>
      <c r="BF270" s="6"/>
      <c r="BG270" s="6"/>
      <c r="BH270" s="6"/>
      <c r="BI270" s="29">
        <f t="shared" si="83"/>
        <v>16786.33194</v>
      </c>
      <c r="BK270" s="15">
        <f t="shared" si="76"/>
        <v>1.090460386</v>
      </c>
      <c r="BN270" s="16">
        <f t="shared" si="14"/>
        <v>1518.498065</v>
      </c>
      <c r="BO270" s="16">
        <f t="shared" si="86"/>
        <v>-24066.06774</v>
      </c>
      <c r="BQ270" s="12">
        <v>4187.12</v>
      </c>
      <c r="BR270" s="12">
        <v>13728.69</v>
      </c>
      <c r="BS270" s="12">
        <v>685.61</v>
      </c>
      <c r="BT270" s="12">
        <v>0.0</v>
      </c>
      <c r="BU270" s="12">
        <v>0.0</v>
      </c>
      <c r="BV270" s="5">
        <v>0.0</v>
      </c>
      <c r="BW270" s="16">
        <f t="shared" si="87"/>
        <v>14414.3</v>
      </c>
      <c r="BY270" s="6">
        <f t="shared" si="2"/>
        <v>2024</v>
      </c>
      <c r="BZ270" s="6" t="str">
        <f t="shared" si="3"/>
        <v>julio</v>
      </c>
      <c r="CA270" s="6" t="str">
        <f t="shared" si="4"/>
        <v>7</v>
      </c>
    </row>
    <row r="271">
      <c r="A271" s="8">
        <v>45478.0</v>
      </c>
      <c r="B271" s="12">
        <v>54062.34</v>
      </c>
      <c r="C271" s="12">
        <v>10427.42</v>
      </c>
      <c r="D271" s="16"/>
      <c r="E271" s="16"/>
      <c r="F271" s="12">
        <v>1983.62</v>
      </c>
      <c r="G271" s="16"/>
      <c r="H271" s="12">
        <f t="shared" si="46"/>
        <v>66473.38</v>
      </c>
      <c r="I271" s="12">
        <v>33760.0</v>
      </c>
      <c r="J271" s="12">
        <v>17478.25</v>
      </c>
      <c r="K271" s="12"/>
      <c r="L271" s="12">
        <v>0.0</v>
      </c>
      <c r="M271" s="12">
        <v>0.0</v>
      </c>
      <c r="N271" s="12">
        <v>0.0</v>
      </c>
      <c r="O271" s="16">
        <f t="shared" si="33"/>
        <v>51238.25</v>
      </c>
      <c r="P271" s="12">
        <v>2560.0</v>
      </c>
      <c r="Q271" s="12">
        <v>2406.74</v>
      </c>
      <c r="R271" s="12"/>
      <c r="S271" s="12">
        <v>0.0</v>
      </c>
      <c r="T271" s="12">
        <v>0.0</v>
      </c>
      <c r="U271" s="12">
        <v>0.0</v>
      </c>
      <c r="V271" s="16">
        <f t="shared" si="37"/>
        <v>4966.74</v>
      </c>
      <c r="W271" s="12">
        <v>2230.0</v>
      </c>
      <c r="X271" s="12">
        <v>2350.0</v>
      </c>
      <c r="Y271" s="12"/>
      <c r="Z271" s="12">
        <v>0.0</v>
      </c>
      <c r="AA271" s="12">
        <v>0.0</v>
      </c>
      <c r="AB271" s="12">
        <v>0.0</v>
      </c>
      <c r="AC271" s="16">
        <f t="shared" si="38"/>
        <v>4580</v>
      </c>
      <c r="AD271" s="12"/>
      <c r="AE271" s="12"/>
      <c r="AF271" s="12">
        <v>3546.0</v>
      </c>
      <c r="AG271" s="12">
        <v>696.93</v>
      </c>
      <c r="AH271" s="12"/>
      <c r="AI271" s="12">
        <v>0.0</v>
      </c>
      <c r="AJ271" s="12">
        <v>0.0</v>
      </c>
      <c r="AK271" s="12">
        <v>0.0</v>
      </c>
      <c r="AL271" s="12">
        <f t="shared" si="53"/>
        <v>4242.93</v>
      </c>
      <c r="AM271" s="12">
        <v>0.0</v>
      </c>
      <c r="AN271" s="12">
        <v>0.0</v>
      </c>
      <c r="AO271" s="12"/>
      <c r="AP271" s="12">
        <v>0.0</v>
      </c>
      <c r="AQ271" s="12">
        <v>0.0</v>
      </c>
      <c r="AR271" s="12">
        <v>0.0</v>
      </c>
      <c r="AS271" s="12">
        <f t="shared" si="82"/>
        <v>0</v>
      </c>
      <c r="AT271" s="16">
        <f t="shared" si="75"/>
        <v>65027.92</v>
      </c>
      <c r="AU271" s="18">
        <f t="shared" si="84"/>
        <v>108107.18</v>
      </c>
      <c r="AV271" s="18"/>
      <c r="AW271" s="18"/>
      <c r="AX271" s="12">
        <f t="shared" si="1"/>
        <v>65027.92</v>
      </c>
      <c r="AY271" s="12"/>
      <c r="AZ271" s="12">
        <v>2745.8</v>
      </c>
      <c r="BA271" s="18">
        <f t="shared" si="85"/>
        <v>6581.8</v>
      </c>
      <c r="BB271" s="10">
        <f t="shared" si="16"/>
        <v>670264.516</v>
      </c>
      <c r="BC271" s="16">
        <f t="shared" si="80"/>
        <v>98735.45</v>
      </c>
      <c r="BD271" s="16"/>
      <c r="BE271" s="16"/>
      <c r="BF271" s="6"/>
      <c r="BG271" s="6"/>
      <c r="BH271" s="6"/>
      <c r="BI271" s="29">
        <f t="shared" si="83"/>
        <v>16786.33194</v>
      </c>
      <c r="BK271" s="15">
        <f t="shared" si="76"/>
        <v>3.873861201</v>
      </c>
      <c r="BN271" s="16">
        <f t="shared" si="14"/>
        <v>48241.58806</v>
      </c>
      <c r="BO271" s="16">
        <f t="shared" si="86"/>
        <v>24175.52032</v>
      </c>
      <c r="BQ271" s="12">
        <v>879.83</v>
      </c>
      <c r="BR271" s="12">
        <v>2720.16</v>
      </c>
      <c r="BS271" s="12">
        <v>336.54</v>
      </c>
      <c r="BT271" s="12">
        <v>0.0</v>
      </c>
      <c r="BU271" s="12">
        <v>0.0</v>
      </c>
      <c r="BV271" s="5">
        <v>0.0</v>
      </c>
      <c r="BW271" s="16">
        <f t="shared" si="87"/>
        <v>3056.7</v>
      </c>
      <c r="BY271" s="6">
        <f t="shared" si="2"/>
        <v>2024</v>
      </c>
      <c r="BZ271" s="6" t="str">
        <f t="shared" si="3"/>
        <v>julio</v>
      </c>
      <c r="CA271" s="6" t="str">
        <f t="shared" si="4"/>
        <v>7</v>
      </c>
    </row>
    <row r="272">
      <c r="A272" s="8">
        <v>45479.0</v>
      </c>
      <c r="B272" s="12">
        <v>0.0</v>
      </c>
      <c r="C272" s="12">
        <v>0.0</v>
      </c>
      <c r="D272" s="12"/>
      <c r="E272" s="12">
        <v>0.0</v>
      </c>
      <c r="F272" s="12">
        <v>0.0</v>
      </c>
      <c r="G272" s="12">
        <v>0.0</v>
      </c>
      <c r="H272" s="12">
        <f t="shared" si="46"/>
        <v>0</v>
      </c>
      <c r="I272" s="12">
        <v>0.0</v>
      </c>
      <c r="J272" s="12">
        <v>0.0</v>
      </c>
      <c r="K272" s="12"/>
      <c r="L272" s="12">
        <v>0.0</v>
      </c>
      <c r="M272" s="12">
        <v>0.0</v>
      </c>
      <c r="N272" s="12">
        <v>0.0</v>
      </c>
      <c r="O272" s="16">
        <f t="shared" si="33"/>
        <v>0</v>
      </c>
      <c r="P272" s="12">
        <v>0.0</v>
      </c>
      <c r="Q272" s="12">
        <v>0.0</v>
      </c>
      <c r="R272" s="12"/>
      <c r="S272" s="12">
        <v>0.0</v>
      </c>
      <c r="T272" s="12">
        <v>0.0</v>
      </c>
      <c r="U272" s="12">
        <v>0.0</v>
      </c>
      <c r="V272" s="16">
        <f t="shared" si="37"/>
        <v>0</v>
      </c>
      <c r="W272" s="12">
        <v>0.0</v>
      </c>
      <c r="X272" s="12">
        <v>0.0</v>
      </c>
      <c r="Y272" s="12"/>
      <c r="Z272" s="12">
        <v>0.0</v>
      </c>
      <c r="AA272" s="12">
        <v>0.0</v>
      </c>
      <c r="AB272" s="12">
        <v>0.0</v>
      </c>
      <c r="AC272" s="16">
        <f t="shared" si="38"/>
        <v>0</v>
      </c>
      <c r="AD272" s="12"/>
      <c r="AE272" s="12"/>
      <c r="AF272" s="12">
        <v>0.0</v>
      </c>
      <c r="AG272" s="12">
        <v>0.0</v>
      </c>
      <c r="AH272" s="12"/>
      <c r="AI272" s="12">
        <v>0.0</v>
      </c>
      <c r="AJ272" s="12">
        <v>0.0</v>
      </c>
      <c r="AK272" s="12">
        <v>0.0</v>
      </c>
      <c r="AL272" s="12">
        <f t="shared" si="53"/>
        <v>0</v>
      </c>
      <c r="AM272" s="12">
        <v>0.0</v>
      </c>
      <c r="AN272" s="12">
        <v>0.0</v>
      </c>
      <c r="AO272" s="12"/>
      <c r="AP272" s="12">
        <v>0.0</v>
      </c>
      <c r="AQ272" s="12">
        <v>0.0</v>
      </c>
      <c r="AR272" s="12">
        <v>0.0</v>
      </c>
      <c r="AS272" s="12">
        <f t="shared" si="82"/>
        <v>0</v>
      </c>
      <c r="AT272" s="16">
        <f t="shared" si="75"/>
        <v>0</v>
      </c>
      <c r="AU272" s="18">
        <f t="shared" si="84"/>
        <v>108107.18</v>
      </c>
      <c r="AV272" s="18"/>
      <c r="AW272" s="18"/>
      <c r="AX272" s="12">
        <f t="shared" si="1"/>
        <v>0</v>
      </c>
      <c r="AY272" s="12"/>
      <c r="AZ272" s="12">
        <v>0.0</v>
      </c>
      <c r="BA272" s="18">
        <f t="shared" si="85"/>
        <v>6581.8</v>
      </c>
      <c r="BB272" s="10">
        <f t="shared" si="16"/>
        <v>558553.7633</v>
      </c>
      <c r="BC272" s="16">
        <f t="shared" si="80"/>
        <v>98735.45</v>
      </c>
      <c r="BD272" s="16"/>
      <c r="BE272" s="16"/>
      <c r="BF272" s="6"/>
      <c r="BG272" s="6"/>
      <c r="BH272" s="6"/>
      <c r="BI272" s="29">
        <f t="shared" si="83"/>
        <v>16786.33194</v>
      </c>
      <c r="BJ272" s="6"/>
      <c r="BK272" s="15">
        <f t="shared" si="76"/>
        <v>0</v>
      </c>
      <c r="BN272" s="16">
        <f t="shared" si="14"/>
        <v>-16786.33194</v>
      </c>
      <c r="BO272" s="16">
        <f t="shared" si="86"/>
        <v>7389.188387</v>
      </c>
      <c r="BY272" s="6">
        <f t="shared" si="2"/>
        <v>2024</v>
      </c>
      <c r="BZ272" s="6" t="str">
        <f t="shared" si="3"/>
        <v>julio</v>
      </c>
      <c r="CA272" s="6" t="str">
        <f t="shared" si="4"/>
        <v>7</v>
      </c>
    </row>
    <row r="273">
      <c r="A273" s="8">
        <v>45480.0</v>
      </c>
      <c r="B273" s="12">
        <v>0.0</v>
      </c>
      <c r="C273" s="12">
        <v>0.0</v>
      </c>
      <c r="D273" s="12"/>
      <c r="E273" s="12">
        <v>0.0</v>
      </c>
      <c r="F273" s="12">
        <v>0.0</v>
      </c>
      <c r="G273" s="12">
        <v>0.0</v>
      </c>
      <c r="H273" s="12">
        <f t="shared" si="46"/>
        <v>0</v>
      </c>
      <c r="I273" s="12">
        <v>0.0</v>
      </c>
      <c r="J273" s="12">
        <v>0.0</v>
      </c>
      <c r="K273" s="12"/>
      <c r="L273" s="12">
        <v>0.0</v>
      </c>
      <c r="M273" s="12">
        <v>0.0</v>
      </c>
      <c r="N273" s="12">
        <v>0.0</v>
      </c>
      <c r="O273" s="16">
        <f t="shared" si="33"/>
        <v>0</v>
      </c>
      <c r="P273" s="12">
        <v>0.0</v>
      </c>
      <c r="Q273" s="12">
        <v>0.0</v>
      </c>
      <c r="R273" s="12"/>
      <c r="S273" s="12">
        <v>0.0</v>
      </c>
      <c r="T273" s="12">
        <v>0.0</v>
      </c>
      <c r="U273" s="12">
        <v>0.0</v>
      </c>
      <c r="V273" s="16">
        <f t="shared" si="37"/>
        <v>0</v>
      </c>
      <c r="W273" s="12">
        <v>0.0</v>
      </c>
      <c r="X273" s="12">
        <v>0.0</v>
      </c>
      <c r="Y273" s="12"/>
      <c r="Z273" s="12">
        <v>0.0</v>
      </c>
      <c r="AA273" s="12">
        <v>0.0</v>
      </c>
      <c r="AB273" s="12">
        <v>0.0</v>
      </c>
      <c r="AC273" s="16">
        <f t="shared" si="38"/>
        <v>0</v>
      </c>
      <c r="AD273" s="12"/>
      <c r="AE273" s="12"/>
      <c r="AF273" s="12">
        <v>0.0</v>
      </c>
      <c r="AG273" s="12">
        <v>0.0</v>
      </c>
      <c r="AH273" s="12"/>
      <c r="AI273" s="12">
        <v>0.0</v>
      </c>
      <c r="AJ273" s="12">
        <v>0.0</v>
      </c>
      <c r="AK273" s="12">
        <v>0.0</v>
      </c>
      <c r="AL273" s="12">
        <f t="shared" si="53"/>
        <v>0</v>
      </c>
      <c r="AM273" s="12">
        <v>0.0</v>
      </c>
      <c r="AN273" s="12">
        <v>0.0</v>
      </c>
      <c r="AO273" s="12"/>
      <c r="AP273" s="12">
        <v>0.0</v>
      </c>
      <c r="AQ273" s="12">
        <v>0.0</v>
      </c>
      <c r="AR273" s="12">
        <v>0.0</v>
      </c>
      <c r="AS273" s="12">
        <f t="shared" si="82"/>
        <v>0</v>
      </c>
      <c r="AT273" s="16">
        <f t="shared" si="75"/>
        <v>0</v>
      </c>
      <c r="AU273" s="18">
        <f t="shared" si="84"/>
        <v>108107.18</v>
      </c>
      <c r="AV273" s="18"/>
      <c r="AW273" s="18"/>
      <c r="AX273" s="12">
        <f t="shared" si="1"/>
        <v>0</v>
      </c>
      <c r="AY273" s="12"/>
      <c r="AZ273" s="12">
        <v>0.0</v>
      </c>
      <c r="BA273" s="18">
        <f t="shared" si="85"/>
        <v>6581.8</v>
      </c>
      <c r="BB273" s="10">
        <f t="shared" si="16"/>
        <v>478760.3686</v>
      </c>
      <c r="BC273" s="16">
        <f t="shared" si="80"/>
        <v>98735.45</v>
      </c>
      <c r="BD273" s="16"/>
      <c r="BE273" s="16"/>
      <c r="BF273" s="6"/>
      <c r="BG273" s="6"/>
      <c r="BH273" s="6"/>
      <c r="BI273" s="29">
        <f t="shared" si="83"/>
        <v>16786.33194</v>
      </c>
      <c r="BJ273" s="6"/>
      <c r="BK273" s="15">
        <f t="shared" si="76"/>
        <v>0</v>
      </c>
      <c r="BN273" s="16">
        <f t="shared" si="14"/>
        <v>-16786.33194</v>
      </c>
      <c r="BO273" s="16">
        <f t="shared" si="86"/>
        <v>-9397.143548</v>
      </c>
      <c r="BY273" s="6">
        <f t="shared" si="2"/>
        <v>2024</v>
      </c>
      <c r="BZ273" s="6" t="str">
        <f t="shared" si="3"/>
        <v>julio</v>
      </c>
      <c r="CA273" s="6" t="str">
        <f t="shared" si="4"/>
        <v>7</v>
      </c>
    </row>
    <row r="274">
      <c r="A274" s="8">
        <v>45481.0</v>
      </c>
      <c r="B274" s="12">
        <v>13300.94</v>
      </c>
      <c r="C274" s="12">
        <v>460.49</v>
      </c>
      <c r="D274" s="12"/>
      <c r="E274" s="12">
        <v>1021.72</v>
      </c>
      <c r="F274" s="12">
        <v>0.0</v>
      </c>
      <c r="G274" s="12">
        <v>0.0</v>
      </c>
      <c r="H274" s="12">
        <f t="shared" si="46"/>
        <v>14783.15</v>
      </c>
      <c r="I274" s="12">
        <v>10121.27</v>
      </c>
      <c r="J274" s="12">
        <v>2927.76</v>
      </c>
      <c r="K274" s="12"/>
      <c r="L274" s="12">
        <v>331.48</v>
      </c>
      <c r="M274" s="12">
        <v>0.0</v>
      </c>
      <c r="N274" s="12">
        <v>0.0</v>
      </c>
      <c r="O274" s="16">
        <f t="shared" si="33"/>
        <v>13380.51</v>
      </c>
      <c r="P274" s="12">
        <v>2952.77</v>
      </c>
      <c r="Q274" s="12">
        <v>492.66</v>
      </c>
      <c r="R274" s="12"/>
      <c r="S274" s="12">
        <v>0.0</v>
      </c>
      <c r="T274" s="12">
        <v>0.0</v>
      </c>
      <c r="U274" s="12">
        <v>0.0</v>
      </c>
      <c r="V274" s="16">
        <f t="shared" si="37"/>
        <v>3445.43</v>
      </c>
      <c r="W274" s="12">
        <v>728.97</v>
      </c>
      <c r="X274" s="12">
        <v>11.03</v>
      </c>
      <c r="Y274" s="12"/>
      <c r="Z274" s="12">
        <v>0.0</v>
      </c>
      <c r="AA274" s="12">
        <v>0.0</v>
      </c>
      <c r="AB274" s="12">
        <v>0.0</v>
      </c>
      <c r="AC274" s="16">
        <f t="shared" si="38"/>
        <v>740</v>
      </c>
      <c r="AD274" s="12"/>
      <c r="AE274" s="12"/>
      <c r="AF274" s="12">
        <v>1253.74</v>
      </c>
      <c r="AG274" s="12">
        <v>1445.81</v>
      </c>
      <c r="AH274" s="12"/>
      <c r="AI274" s="12">
        <v>0.0</v>
      </c>
      <c r="AJ274" s="12">
        <v>0.0</v>
      </c>
      <c r="AK274" s="12">
        <v>0.0</v>
      </c>
      <c r="AL274" s="12">
        <f t="shared" si="53"/>
        <v>2699.55</v>
      </c>
      <c r="AM274" s="12">
        <v>2287.0</v>
      </c>
      <c r="AN274" s="12">
        <v>0.0</v>
      </c>
      <c r="AO274" s="12"/>
      <c r="AP274" s="12">
        <v>0.0</v>
      </c>
      <c r="AQ274" s="12">
        <v>0.0</v>
      </c>
      <c r="AR274" s="12">
        <v>0.0</v>
      </c>
      <c r="AS274" s="12">
        <f t="shared" si="82"/>
        <v>2287</v>
      </c>
      <c r="AT274" s="16">
        <f t="shared" si="75"/>
        <v>22552.49</v>
      </c>
      <c r="AU274" s="18">
        <f t="shared" si="84"/>
        <v>130659.67</v>
      </c>
      <c r="AV274" s="18"/>
      <c r="AW274" s="18"/>
      <c r="AX274" s="12">
        <f t="shared" si="1"/>
        <v>22552.49</v>
      </c>
      <c r="AY274" s="12"/>
      <c r="AZ274" s="12">
        <v>3379.81</v>
      </c>
      <c r="BA274" s="18">
        <f t="shared" si="85"/>
        <v>9961.61</v>
      </c>
      <c r="BB274" s="10">
        <f t="shared" si="16"/>
        <v>506306.2213</v>
      </c>
      <c r="BC274" s="16">
        <f t="shared" ref="BC274:BC564" si="88">IFERROR(AU271/DAY(A271)*5,0)</f>
        <v>108107.18</v>
      </c>
      <c r="BD274" s="16"/>
      <c r="BE274" s="16"/>
      <c r="BF274" s="6"/>
      <c r="BG274" s="6"/>
      <c r="BH274" s="6"/>
      <c r="BI274" s="29">
        <f t="shared" si="83"/>
        <v>16786.33194</v>
      </c>
      <c r="BK274" s="15">
        <f t="shared" si="76"/>
        <v>1.34350316</v>
      </c>
      <c r="BN274" s="16">
        <f t="shared" si="14"/>
        <v>5766.158065</v>
      </c>
      <c r="BO274" s="16">
        <f t="shared" si="86"/>
        <v>-3630.985484</v>
      </c>
      <c r="BY274" s="6">
        <f t="shared" si="2"/>
        <v>2024</v>
      </c>
      <c r="BZ274" s="6" t="str">
        <f t="shared" si="3"/>
        <v>julio</v>
      </c>
      <c r="CA274" s="6" t="str">
        <f t="shared" si="4"/>
        <v>7</v>
      </c>
    </row>
    <row r="275">
      <c r="A275" s="8">
        <v>45482.0</v>
      </c>
      <c r="B275" s="12">
        <v>20548.4</v>
      </c>
      <c r="C275" s="12">
        <v>663.69</v>
      </c>
      <c r="D275" s="12"/>
      <c r="E275" s="12">
        <v>38.49</v>
      </c>
      <c r="F275" s="12">
        <v>0.0</v>
      </c>
      <c r="G275" s="12">
        <v>0.0</v>
      </c>
      <c r="H275" s="12">
        <f t="shared" si="46"/>
        <v>21250.58</v>
      </c>
      <c r="I275" s="12">
        <v>11714.86</v>
      </c>
      <c r="J275" s="12">
        <v>2981.33</v>
      </c>
      <c r="K275" s="12"/>
      <c r="L275" s="12">
        <v>1450.0</v>
      </c>
      <c r="M275" s="12">
        <v>0.0</v>
      </c>
      <c r="N275" s="12">
        <v>0.0</v>
      </c>
      <c r="O275" s="16">
        <f t="shared" si="33"/>
        <v>16146.19</v>
      </c>
      <c r="P275" s="12">
        <v>3453.5</v>
      </c>
      <c r="Q275" s="12">
        <v>617.57</v>
      </c>
      <c r="R275" s="12"/>
      <c r="S275" s="12">
        <v>0.0</v>
      </c>
      <c r="T275" s="12">
        <v>0.0</v>
      </c>
      <c r="U275" s="12">
        <v>0.0</v>
      </c>
      <c r="V275" s="16">
        <f t="shared" si="37"/>
        <v>4071.07</v>
      </c>
      <c r="W275" s="12">
        <v>30.24</v>
      </c>
      <c r="X275" s="12">
        <v>0.19</v>
      </c>
      <c r="Y275" s="12"/>
      <c r="Z275" s="12">
        <v>0.0</v>
      </c>
      <c r="AA275" s="12">
        <v>0.0</v>
      </c>
      <c r="AB275" s="12">
        <v>0.0</v>
      </c>
      <c r="AC275" s="16">
        <f t="shared" si="38"/>
        <v>30.43</v>
      </c>
      <c r="AD275" s="12"/>
      <c r="AE275" s="12"/>
      <c r="AF275" s="12">
        <v>5023.81</v>
      </c>
      <c r="AG275" s="12">
        <v>1019.83</v>
      </c>
      <c r="AH275" s="12"/>
      <c r="AI275" s="12">
        <v>0.0</v>
      </c>
      <c r="AJ275" s="12">
        <v>0.0</v>
      </c>
      <c r="AK275" s="12">
        <v>0.0</v>
      </c>
      <c r="AL275" s="12">
        <f t="shared" si="53"/>
        <v>6043.64</v>
      </c>
      <c r="AM275" s="12">
        <v>5501.0</v>
      </c>
      <c r="AN275" s="12">
        <v>0.0</v>
      </c>
      <c r="AO275" s="12"/>
      <c r="AP275" s="12">
        <v>0.0</v>
      </c>
      <c r="AQ275" s="12">
        <v>0.0</v>
      </c>
      <c r="AR275" s="12">
        <v>0.0</v>
      </c>
      <c r="AS275" s="12">
        <f t="shared" si="82"/>
        <v>5501</v>
      </c>
      <c r="AT275" s="16">
        <f t="shared" si="75"/>
        <v>31792.33</v>
      </c>
      <c r="AU275" s="18">
        <f t="shared" si="84"/>
        <v>162452</v>
      </c>
      <c r="AV275" s="18"/>
      <c r="AW275" s="18"/>
      <c r="AX275" s="12">
        <f t="shared" si="1"/>
        <v>31792.33</v>
      </c>
      <c r="AY275" s="12"/>
      <c r="AZ275" s="12">
        <v>4420.65</v>
      </c>
      <c r="BA275" s="18">
        <f t="shared" si="85"/>
        <v>14382.26</v>
      </c>
      <c r="BB275" s="10">
        <f t="shared" si="16"/>
        <v>559556.8889</v>
      </c>
      <c r="BC275" s="16">
        <f t="shared" si="88"/>
        <v>90089.31667</v>
      </c>
      <c r="BD275" s="16"/>
      <c r="BE275" s="16"/>
      <c r="BF275" s="6"/>
      <c r="BG275" s="6"/>
      <c r="BH275" s="6"/>
      <c r="BI275" s="29">
        <f t="shared" si="83"/>
        <v>16786.33194</v>
      </c>
      <c r="BK275" s="15">
        <f t="shared" si="76"/>
        <v>1.893941459</v>
      </c>
      <c r="BN275" s="16">
        <f t="shared" si="14"/>
        <v>15005.99806</v>
      </c>
      <c r="BO275" s="16">
        <f t="shared" si="86"/>
        <v>11375.01258</v>
      </c>
      <c r="BY275" s="6">
        <f t="shared" si="2"/>
        <v>2024</v>
      </c>
      <c r="BZ275" s="6" t="str">
        <f t="shared" si="3"/>
        <v>julio</v>
      </c>
      <c r="CA275" s="6" t="str">
        <f t="shared" si="4"/>
        <v>7</v>
      </c>
    </row>
    <row r="276">
      <c r="A276" s="8">
        <v>45483.0</v>
      </c>
      <c r="B276" s="12">
        <v>11395.98</v>
      </c>
      <c r="C276" s="12">
        <v>900.1</v>
      </c>
      <c r="D276" s="12"/>
      <c r="E276" s="12">
        <v>2014.25</v>
      </c>
      <c r="F276" s="12">
        <v>0.0</v>
      </c>
      <c r="G276" s="12">
        <v>0.0</v>
      </c>
      <c r="H276" s="12">
        <f t="shared" si="46"/>
        <v>14310.33</v>
      </c>
      <c r="I276" s="12">
        <v>4690.0</v>
      </c>
      <c r="J276" s="12">
        <v>2131.14</v>
      </c>
      <c r="K276" s="12"/>
      <c r="L276" s="12">
        <v>11443.26</v>
      </c>
      <c r="M276" s="12">
        <v>0.0</v>
      </c>
      <c r="N276" s="12">
        <v>0.0</v>
      </c>
      <c r="O276" s="16">
        <f t="shared" si="33"/>
        <v>18264.4</v>
      </c>
      <c r="P276" s="12">
        <v>2186.62</v>
      </c>
      <c r="Q276" s="12">
        <v>347.01</v>
      </c>
      <c r="R276" s="12"/>
      <c r="S276" s="12">
        <v>0.0</v>
      </c>
      <c r="T276" s="12">
        <v>0.0</v>
      </c>
      <c r="U276" s="12">
        <v>0.0</v>
      </c>
      <c r="V276" s="16">
        <f t="shared" si="37"/>
        <v>2533.63</v>
      </c>
      <c r="W276" s="12">
        <v>589.01</v>
      </c>
      <c r="X276" s="12">
        <v>1.02</v>
      </c>
      <c r="Y276" s="12"/>
      <c r="Z276" s="12">
        <v>0.0</v>
      </c>
      <c r="AA276" s="12">
        <v>0.0</v>
      </c>
      <c r="AB276" s="12">
        <v>0.0</v>
      </c>
      <c r="AC276" s="16">
        <f t="shared" si="38"/>
        <v>590.03</v>
      </c>
      <c r="AD276" s="12"/>
      <c r="AE276" s="12"/>
      <c r="AF276" s="12">
        <v>2573.42</v>
      </c>
      <c r="AG276" s="12">
        <v>540.06</v>
      </c>
      <c r="AH276" s="12"/>
      <c r="AI276" s="12">
        <v>0.0</v>
      </c>
      <c r="AJ276" s="12">
        <v>0.0</v>
      </c>
      <c r="AK276" s="12">
        <v>0.0</v>
      </c>
      <c r="AL276" s="12">
        <f t="shared" si="53"/>
        <v>3113.48</v>
      </c>
      <c r="AM276" s="12">
        <v>1378.0</v>
      </c>
      <c r="AN276" s="12">
        <v>0.0</v>
      </c>
      <c r="AO276" s="12"/>
      <c r="AP276" s="12">
        <v>0.0</v>
      </c>
      <c r="AQ276" s="12">
        <v>0.0</v>
      </c>
      <c r="AR276" s="12">
        <v>0.0</v>
      </c>
      <c r="AS276" s="12">
        <f t="shared" si="82"/>
        <v>1378</v>
      </c>
      <c r="AT276" s="16">
        <f t="shared" si="75"/>
        <v>25879.54</v>
      </c>
      <c r="AU276" s="18">
        <f t="shared" si="84"/>
        <v>188331.54</v>
      </c>
      <c r="AV276" s="18"/>
      <c r="AW276" s="18"/>
      <c r="AX276" s="12">
        <f t="shared" si="1"/>
        <v>25879.54</v>
      </c>
      <c r="AY276" s="12"/>
      <c r="AZ276" s="12">
        <v>2593.68</v>
      </c>
      <c r="BA276" s="18">
        <f t="shared" si="85"/>
        <v>16975.94</v>
      </c>
      <c r="BB276" s="10">
        <f t="shared" si="16"/>
        <v>583827.774</v>
      </c>
      <c r="BC276" s="16">
        <f t="shared" si="88"/>
        <v>77219.41429</v>
      </c>
      <c r="BD276" s="16"/>
      <c r="BE276" s="16"/>
      <c r="BF276" s="6"/>
      <c r="BG276" s="6"/>
      <c r="BH276" s="6"/>
      <c r="BI276" s="29">
        <f t="shared" si="83"/>
        <v>16786.33194</v>
      </c>
      <c r="BK276" s="15">
        <f t="shared" si="76"/>
        <v>1.541703101</v>
      </c>
      <c r="BN276" s="16">
        <f t="shared" si="14"/>
        <v>9093.208065</v>
      </c>
      <c r="BO276" s="16">
        <f t="shared" si="86"/>
        <v>20468.22065</v>
      </c>
      <c r="BY276" s="6">
        <f t="shared" si="2"/>
        <v>2024</v>
      </c>
      <c r="BZ276" s="6" t="str">
        <f t="shared" si="3"/>
        <v>julio</v>
      </c>
      <c r="CA276" s="6" t="str">
        <f t="shared" si="4"/>
        <v>7</v>
      </c>
    </row>
    <row r="277">
      <c r="A277" s="8">
        <v>45484.0</v>
      </c>
      <c r="B277" s="12">
        <v>4193.64</v>
      </c>
      <c r="C277" s="12">
        <v>673.47</v>
      </c>
      <c r="D277" s="12"/>
      <c r="E277" s="12">
        <v>3001.08</v>
      </c>
      <c r="F277" s="12">
        <v>0.0</v>
      </c>
      <c r="G277" s="12">
        <v>0.0</v>
      </c>
      <c r="H277" s="12">
        <f t="shared" si="46"/>
        <v>7868.19</v>
      </c>
      <c r="I277" s="12">
        <v>4947.51</v>
      </c>
      <c r="J277" s="12">
        <v>722.52</v>
      </c>
      <c r="K277" s="12"/>
      <c r="L277" s="12">
        <v>599.68</v>
      </c>
      <c r="M277" s="12">
        <v>0.0</v>
      </c>
      <c r="N277" s="12">
        <v>0.0</v>
      </c>
      <c r="O277" s="16">
        <f t="shared" si="33"/>
        <v>6269.71</v>
      </c>
      <c r="P277" s="12">
        <v>800.04</v>
      </c>
      <c r="Q277" s="12">
        <v>368.82</v>
      </c>
      <c r="R277" s="12"/>
      <c r="S277" s="12">
        <v>0.0</v>
      </c>
      <c r="T277" s="12">
        <v>0.0</v>
      </c>
      <c r="U277" s="12">
        <v>0.0</v>
      </c>
      <c r="V277" s="16">
        <f t="shared" si="37"/>
        <v>1168.86</v>
      </c>
      <c r="W277" s="12">
        <v>2897.24</v>
      </c>
      <c r="X277" s="12">
        <v>0.0</v>
      </c>
      <c r="Y277" s="12"/>
      <c r="Z277" s="12">
        <v>0.0</v>
      </c>
      <c r="AA277" s="12">
        <v>0.0</v>
      </c>
      <c r="AB277" s="12">
        <v>0.0</v>
      </c>
      <c r="AC277" s="16">
        <f t="shared" si="38"/>
        <v>2897.24</v>
      </c>
      <c r="AD277" s="12"/>
      <c r="AE277" s="12"/>
      <c r="AF277" s="12">
        <v>0.0</v>
      </c>
      <c r="AG277" s="12">
        <v>0.0</v>
      </c>
      <c r="AH277" s="12"/>
      <c r="AI277" s="12">
        <v>0.0</v>
      </c>
      <c r="AJ277" s="12">
        <v>0.0</v>
      </c>
      <c r="AK277" s="12">
        <v>0.0</v>
      </c>
      <c r="AL277" s="12">
        <f t="shared" si="53"/>
        <v>0</v>
      </c>
      <c r="AM277" s="12">
        <v>4164.0</v>
      </c>
      <c r="AN277" s="12">
        <v>0.0</v>
      </c>
      <c r="AO277" s="12"/>
      <c r="AP277" s="12">
        <v>0.0</v>
      </c>
      <c r="AQ277" s="12">
        <v>0.0</v>
      </c>
      <c r="AR277" s="12">
        <v>0.0</v>
      </c>
      <c r="AS277" s="12">
        <f t="shared" si="82"/>
        <v>4164</v>
      </c>
      <c r="AT277" s="16">
        <f t="shared" si="75"/>
        <v>14499.81</v>
      </c>
      <c r="AU277" s="18">
        <f t="shared" si="84"/>
        <v>202831.35</v>
      </c>
      <c r="AV277" s="18"/>
      <c r="AW277" s="18"/>
      <c r="AX277" s="12">
        <f t="shared" si="1"/>
        <v>14499.81</v>
      </c>
      <c r="AY277" s="12"/>
      <c r="AZ277" s="12">
        <v>2593.68</v>
      </c>
      <c r="BA277" s="18">
        <f t="shared" si="85"/>
        <v>19569.62</v>
      </c>
      <c r="BB277" s="10">
        <f t="shared" si="16"/>
        <v>571615.6227</v>
      </c>
      <c r="BC277" s="16">
        <f t="shared" si="88"/>
        <v>81662.29375</v>
      </c>
      <c r="BD277" s="16"/>
      <c r="BE277" s="16"/>
      <c r="BF277" s="6"/>
      <c r="BG277" s="6"/>
      <c r="BH277" s="6"/>
      <c r="BI277" s="29">
        <f t="shared" si="83"/>
        <v>16786.33194</v>
      </c>
      <c r="BJ277" s="6"/>
      <c r="BK277" s="15">
        <f t="shared" si="76"/>
        <v>0.8637866841</v>
      </c>
      <c r="BN277" s="16">
        <f t="shared" si="14"/>
        <v>-2286.521935</v>
      </c>
      <c r="BO277" s="16">
        <f t="shared" si="86"/>
        <v>18181.69871</v>
      </c>
      <c r="BY277" s="6">
        <f t="shared" si="2"/>
        <v>2024</v>
      </c>
      <c r="BZ277" s="6" t="str">
        <f t="shared" si="3"/>
        <v>julio</v>
      </c>
      <c r="CA277" s="6" t="str">
        <f t="shared" si="4"/>
        <v>7</v>
      </c>
    </row>
    <row r="278">
      <c r="A278" s="8">
        <v>45485.0</v>
      </c>
      <c r="B278" s="12">
        <v>13673.85</v>
      </c>
      <c r="C278" s="12">
        <v>419.02</v>
      </c>
      <c r="D278" s="12"/>
      <c r="E278" s="12">
        <v>0.0</v>
      </c>
      <c r="F278" s="12">
        <v>0.0</v>
      </c>
      <c r="G278" s="12">
        <v>0.0</v>
      </c>
      <c r="H278" s="12">
        <f t="shared" si="46"/>
        <v>14092.87</v>
      </c>
      <c r="I278" s="12">
        <v>4117.4</v>
      </c>
      <c r="J278" s="12">
        <v>1187.26</v>
      </c>
      <c r="K278" s="12"/>
      <c r="L278" s="12">
        <v>2185.4</v>
      </c>
      <c r="M278" s="12">
        <v>0.0</v>
      </c>
      <c r="N278" s="12">
        <v>0.0</v>
      </c>
      <c r="O278" s="16">
        <f t="shared" si="33"/>
        <v>7490.06</v>
      </c>
      <c r="P278" s="12">
        <v>2223.67</v>
      </c>
      <c r="Q278" s="12">
        <v>0.0</v>
      </c>
      <c r="R278" s="12"/>
      <c r="S278" s="12">
        <v>0.0</v>
      </c>
      <c r="T278" s="12">
        <v>0.0</v>
      </c>
      <c r="U278" s="12">
        <v>0.0</v>
      </c>
      <c r="V278" s="16">
        <f t="shared" si="37"/>
        <v>2223.67</v>
      </c>
      <c r="W278" s="12">
        <v>4088.52</v>
      </c>
      <c r="X278" s="12">
        <v>0.0</v>
      </c>
      <c r="Y278" s="12"/>
      <c r="Z278" s="12">
        <v>0.0</v>
      </c>
      <c r="AA278" s="12">
        <v>0.0</v>
      </c>
      <c r="AB278" s="12">
        <v>0.0</v>
      </c>
      <c r="AC278" s="16">
        <f t="shared" si="38"/>
        <v>4088.52</v>
      </c>
      <c r="AD278" s="12"/>
      <c r="AE278" s="12"/>
      <c r="AF278" s="12">
        <v>2726.77</v>
      </c>
      <c r="AG278" s="12">
        <v>0.0</v>
      </c>
      <c r="AH278" s="12"/>
      <c r="AI278" s="12">
        <v>0.0</v>
      </c>
      <c r="AJ278" s="12">
        <v>0.0</v>
      </c>
      <c r="AK278" s="12">
        <v>0.0</v>
      </c>
      <c r="AL278" s="12">
        <f t="shared" si="53"/>
        <v>2726.77</v>
      </c>
      <c r="AM278" s="12">
        <v>4732.0</v>
      </c>
      <c r="AN278" s="12">
        <v>0.0</v>
      </c>
      <c r="AO278" s="12"/>
      <c r="AP278" s="12">
        <v>0.0</v>
      </c>
      <c r="AQ278" s="12">
        <v>0.0</v>
      </c>
      <c r="AR278" s="12">
        <v>0.0</v>
      </c>
      <c r="AS278" s="12">
        <f t="shared" si="82"/>
        <v>4732</v>
      </c>
      <c r="AT278" s="16">
        <f t="shared" si="75"/>
        <v>21261.02</v>
      </c>
      <c r="AU278" s="18">
        <f t="shared" si="84"/>
        <v>224092.37</v>
      </c>
      <c r="AV278" s="18"/>
      <c r="AW278" s="18"/>
      <c r="AX278" s="12">
        <f t="shared" si="1"/>
        <v>21261.02</v>
      </c>
      <c r="AY278" s="12"/>
      <c r="AZ278" s="12">
        <v>1075.56</v>
      </c>
      <c r="BA278" s="18">
        <f t="shared" si="85"/>
        <v>20645.18</v>
      </c>
      <c r="BB278" s="10">
        <f t="shared" si="16"/>
        <v>578905.2892</v>
      </c>
      <c r="BC278" s="16">
        <f t="shared" si="88"/>
        <v>90251.11111</v>
      </c>
      <c r="BD278" s="16"/>
      <c r="BE278" s="16"/>
      <c r="BF278" s="6"/>
      <c r="BG278" s="6"/>
      <c r="BH278" s="6"/>
      <c r="BI278" s="29">
        <f t="shared" si="83"/>
        <v>16786.33194</v>
      </c>
      <c r="BK278" s="15">
        <f t="shared" si="76"/>
        <v>1.266567353</v>
      </c>
      <c r="BN278" s="16">
        <f t="shared" si="14"/>
        <v>4474.688065</v>
      </c>
      <c r="BO278" s="16">
        <f t="shared" si="86"/>
        <v>22656.38677</v>
      </c>
      <c r="BY278" s="6">
        <f t="shared" si="2"/>
        <v>2024</v>
      </c>
      <c r="BZ278" s="6" t="str">
        <f t="shared" si="3"/>
        <v>julio</v>
      </c>
      <c r="CA278" s="6" t="str">
        <f t="shared" si="4"/>
        <v>7</v>
      </c>
    </row>
    <row r="279">
      <c r="A279" s="8">
        <v>45486.0</v>
      </c>
      <c r="B279" s="12">
        <v>0.0</v>
      </c>
      <c r="C279" s="12">
        <v>0.0</v>
      </c>
      <c r="D279" s="12"/>
      <c r="E279" s="12">
        <v>0.0</v>
      </c>
      <c r="F279" s="12">
        <v>0.0</v>
      </c>
      <c r="G279" s="12">
        <v>0.0</v>
      </c>
      <c r="H279" s="12">
        <f t="shared" si="46"/>
        <v>0</v>
      </c>
      <c r="I279" s="12">
        <v>0.0</v>
      </c>
      <c r="J279" s="12">
        <v>0.0</v>
      </c>
      <c r="K279" s="12"/>
      <c r="L279" s="12">
        <v>0.0</v>
      </c>
      <c r="M279" s="12">
        <v>0.0</v>
      </c>
      <c r="N279" s="12">
        <v>0.0</v>
      </c>
      <c r="O279" s="16">
        <f t="shared" si="33"/>
        <v>0</v>
      </c>
      <c r="P279" s="12">
        <v>0.0</v>
      </c>
      <c r="Q279" s="12">
        <v>0.0</v>
      </c>
      <c r="R279" s="12"/>
      <c r="S279" s="12">
        <v>0.0</v>
      </c>
      <c r="T279" s="12">
        <v>0.0</v>
      </c>
      <c r="U279" s="12">
        <v>0.0</v>
      </c>
      <c r="V279" s="16">
        <f t="shared" si="37"/>
        <v>0</v>
      </c>
      <c r="W279" s="12">
        <v>0.0</v>
      </c>
      <c r="X279" s="12">
        <v>0.0</v>
      </c>
      <c r="Y279" s="12"/>
      <c r="Z279" s="12">
        <v>0.0</v>
      </c>
      <c r="AA279" s="12">
        <v>0.0</v>
      </c>
      <c r="AB279" s="12">
        <v>0.0</v>
      </c>
      <c r="AC279" s="16">
        <f t="shared" si="38"/>
        <v>0</v>
      </c>
      <c r="AD279" s="12"/>
      <c r="AE279" s="12"/>
      <c r="AF279" s="12">
        <v>0.0</v>
      </c>
      <c r="AG279" s="12">
        <v>0.0</v>
      </c>
      <c r="AH279" s="12"/>
      <c r="AI279" s="12">
        <v>0.0</v>
      </c>
      <c r="AJ279" s="12">
        <v>0.0</v>
      </c>
      <c r="AK279" s="12">
        <v>0.0</v>
      </c>
      <c r="AL279" s="12">
        <f t="shared" si="53"/>
        <v>0</v>
      </c>
      <c r="AM279" s="12">
        <v>0.0</v>
      </c>
      <c r="AN279" s="12">
        <v>0.0</v>
      </c>
      <c r="AO279" s="12"/>
      <c r="AP279" s="12">
        <v>0.0</v>
      </c>
      <c r="AQ279" s="12">
        <v>0.0</v>
      </c>
      <c r="AR279" s="12">
        <v>0.0</v>
      </c>
      <c r="AS279" s="12">
        <f t="shared" si="82"/>
        <v>0</v>
      </c>
      <c r="AT279" s="16">
        <f t="shared" si="75"/>
        <v>0</v>
      </c>
      <c r="AU279" s="18">
        <f t="shared" si="84"/>
        <v>224092.37</v>
      </c>
      <c r="AV279" s="18"/>
      <c r="AW279" s="18"/>
      <c r="AX279" s="12">
        <f t="shared" si="1"/>
        <v>0</v>
      </c>
      <c r="AY279" s="12"/>
      <c r="AZ279" s="12">
        <v>0.0</v>
      </c>
      <c r="BA279" s="18">
        <f t="shared" si="85"/>
        <v>20645.18</v>
      </c>
      <c r="BB279" s="10">
        <f t="shared" si="16"/>
        <v>534374.1131</v>
      </c>
      <c r="BC279" s="16">
        <f t="shared" si="88"/>
        <v>94165.77</v>
      </c>
      <c r="BD279" s="16"/>
      <c r="BE279" s="16"/>
      <c r="BF279" s="6"/>
      <c r="BG279" s="6"/>
      <c r="BH279" s="6"/>
      <c r="BI279" s="29">
        <f t="shared" si="83"/>
        <v>16786.33194</v>
      </c>
      <c r="BJ279" s="6"/>
      <c r="BK279" s="15">
        <f t="shared" si="76"/>
        <v>0</v>
      </c>
      <c r="BN279" s="16">
        <f t="shared" si="14"/>
        <v>-16786.33194</v>
      </c>
      <c r="BO279" s="16">
        <f t="shared" si="86"/>
        <v>5870.054839</v>
      </c>
      <c r="BY279" s="6">
        <f t="shared" si="2"/>
        <v>2024</v>
      </c>
      <c r="BZ279" s="6" t="str">
        <f t="shared" si="3"/>
        <v>julio</v>
      </c>
      <c r="CA279" s="6" t="str">
        <f t="shared" si="4"/>
        <v>7</v>
      </c>
    </row>
    <row r="280">
      <c r="A280" s="8">
        <v>45487.0</v>
      </c>
      <c r="B280" s="12">
        <v>0.0</v>
      </c>
      <c r="C280" s="12">
        <v>0.0</v>
      </c>
      <c r="D280" s="12"/>
      <c r="E280" s="12">
        <v>0.0</v>
      </c>
      <c r="F280" s="12">
        <v>0.0</v>
      </c>
      <c r="G280" s="12">
        <v>0.0</v>
      </c>
      <c r="H280" s="12">
        <f t="shared" si="46"/>
        <v>0</v>
      </c>
      <c r="I280" s="12">
        <v>0.0</v>
      </c>
      <c r="J280" s="12">
        <v>0.0</v>
      </c>
      <c r="K280" s="12"/>
      <c r="L280" s="12">
        <v>0.0</v>
      </c>
      <c r="M280" s="12">
        <v>0.0</v>
      </c>
      <c r="N280" s="12">
        <v>0.0</v>
      </c>
      <c r="O280" s="16">
        <f t="shared" si="33"/>
        <v>0</v>
      </c>
      <c r="P280" s="12">
        <v>0.0</v>
      </c>
      <c r="Q280" s="12">
        <v>0.0</v>
      </c>
      <c r="R280" s="12"/>
      <c r="S280" s="12">
        <v>0.0</v>
      </c>
      <c r="T280" s="12">
        <v>0.0</v>
      </c>
      <c r="U280" s="12">
        <v>0.0</v>
      </c>
      <c r="V280" s="16">
        <f t="shared" si="37"/>
        <v>0</v>
      </c>
      <c r="W280" s="12">
        <v>0.0</v>
      </c>
      <c r="X280" s="12">
        <v>0.0</v>
      </c>
      <c r="Y280" s="12"/>
      <c r="Z280" s="12">
        <v>0.0</v>
      </c>
      <c r="AA280" s="12">
        <v>0.0</v>
      </c>
      <c r="AB280" s="12">
        <v>0.0</v>
      </c>
      <c r="AC280" s="16">
        <f t="shared" si="38"/>
        <v>0</v>
      </c>
      <c r="AD280" s="12"/>
      <c r="AE280" s="12"/>
      <c r="AF280" s="12">
        <v>0.0</v>
      </c>
      <c r="AG280" s="12">
        <v>0.0</v>
      </c>
      <c r="AH280" s="12"/>
      <c r="AI280" s="12">
        <v>0.0</v>
      </c>
      <c r="AJ280" s="12">
        <v>0.0</v>
      </c>
      <c r="AK280" s="12">
        <v>0.0</v>
      </c>
      <c r="AL280" s="12">
        <f t="shared" si="53"/>
        <v>0</v>
      </c>
      <c r="AM280" s="12">
        <v>0.0</v>
      </c>
      <c r="AN280" s="12">
        <v>0.0</v>
      </c>
      <c r="AO280" s="12"/>
      <c r="AP280" s="12">
        <v>0.0</v>
      </c>
      <c r="AQ280" s="12">
        <v>0.0</v>
      </c>
      <c r="AR280" s="12">
        <v>0.0</v>
      </c>
      <c r="AS280" s="12">
        <f t="shared" si="82"/>
        <v>0</v>
      </c>
      <c r="AT280" s="16">
        <f t="shared" si="75"/>
        <v>0</v>
      </c>
      <c r="AU280" s="18">
        <f t="shared" si="84"/>
        <v>224092.37</v>
      </c>
      <c r="AV280" s="18"/>
      <c r="AW280" s="18"/>
      <c r="AX280" s="12">
        <f t="shared" si="1"/>
        <v>0</v>
      </c>
      <c r="AY280" s="12"/>
      <c r="AZ280" s="12">
        <v>0.0</v>
      </c>
      <c r="BA280" s="18">
        <f t="shared" si="85"/>
        <v>20645.18</v>
      </c>
      <c r="BB280" s="10">
        <f t="shared" si="16"/>
        <v>496204.5336</v>
      </c>
      <c r="BC280" s="16">
        <f t="shared" si="88"/>
        <v>92196.06818</v>
      </c>
      <c r="BD280" s="16"/>
      <c r="BE280" s="16"/>
      <c r="BF280" s="6"/>
      <c r="BG280" s="6"/>
      <c r="BH280" s="6"/>
      <c r="BI280" s="29">
        <f t="shared" si="83"/>
        <v>16786.33194</v>
      </c>
      <c r="BJ280" s="6"/>
      <c r="BK280" s="15">
        <f t="shared" si="76"/>
        <v>0</v>
      </c>
      <c r="BN280" s="16">
        <f t="shared" si="14"/>
        <v>-16786.33194</v>
      </c>
      <c r="BO280" s="16">
        <f t="shared" si="86"/>
        <v>-10916.2771</v>
      </c>
      <c r="BY280" s="6">
        <f t="shared" si="2"/>
        <v>2024</v>
      </c>
      <c r="BZ280" s="6" t="str">
        <f t="shared" si="3"/>
        <v>julio</v>
      </c>
      <c r="CA280" s="6" t="str">
        <f t="shared" si="4"/>
        <v>7</v>
      </c>
    </row>
    <row r="281">
      <c r="A281" s="8">
        <v>45488.0</v>
      </c>
      <c r="B281" s="12">
        <v>26216.97</v>
      </c>
      <c r="C281" s="12">
        <v>1586.12</v>
      </c>
      <c r="D281" s="12"/>
      <c r="E281" s="12">
        <v>0.0</v>
      </c>
      <c r="F281" s="12">
        <v>0.0</v>
      </c>
      <c r="G281" s="12">
        <v>0.0</v>
      </c>
      <c r="H281" s="12">
        <f t="shared" si="46"/>
        <v>27803.09</v>
      </c>
      <c r="I281" s="12">
        <v>14521.6</v>
      </c>
      <c r="J281" s="12">
        <v>3640.14</v>
      </c>
      <c r="K281" s="12"/>
      <c r="L281" s="12">
        <v>0.0</v>
      </c>
      <c r="M281" s="12">
        <v>0.0</v>
      </c>
      <c r="N281" s="12">
        <v>0.0</v>
      </c>
      <c r="O281" s="16">
        <f t="shared" si="33"/>
        <v>18161.74</v>
      </c>
      <c r="P281" s="12">
        <v>4027.82</v>
      </c>
      <c r="Q281" s="12">
        <v>758.59</v>
      </c>
      <c r="R281" s="12"/>
      <c r="S281" s="12">
        <v>0.0</v>
      </c>
      <c r="T281" s="12">
        <v>0.0</v>
      </c>
      <c r="U281" s="12">
        <v>0.0</v>
      </c>
      <c r="V281" s="16">
        <f t="shared" si="37"/>
        <v>4786.41</v>
      </c>
      <c r="W281" s="12">
        <v>173.24</v>
      </c>
      <c r="X281" s="12">
        <v>1.79</v>
      </c>
      <c r="Y281" s="12"/>
      <c r="Z281" s="12">
        <v>0.0</v>
      </c>
      <c r="AA281" s="12">
        <v>0.0</v>
      </c>
      <c r="AB281" s="12">
        <v>0.0</v>
      </c>
      <c r="AC281" s="16">
        <f t="shared" si="38"/>
        <v>175.03</v>
      </c>
      <c r="AD281" s="12"/>
      <c r="AE281" s="12"/>
      <c r="AF281" s="12">
        <v>9101.09</v>
      </c>
      <c r="AG281" s="12">
        <v>759.66</v>
      </c>
      <c r="AH281" s="12"/>
      <c r="AI281" s="12">
        <v>0.0</v>
      </c>
      <c r="AJ281" s="12">
        <v>0.0</v>
      </c>
      <c r="AK281" s="12">
        <v>0.0</v>
      </c>
      <c r="AL281" s="12">
        <f t="shared" si="53"/>
        <v>9860.75</v>
      </c>
      <c r="AM281" s="12">
        <v>0.0</v>
      </c>
      <c r="AN281" s="12">
        <v>0.0</v>
      </c>
      <c r="AO281" s="12"/>
      <c r="AP281" s="12">
        <v>0.0</v>
      </c>
      <c r="AQ281" s="12">
        <v>0.0</v>
      </c>
      <c r="AR281" s="12">
        <v>0.0</v>
      </c>
      <c r="AS281" s="12">
        <f t="shared" si="82"/>
        <v>0</v>
      </c>
      <c r="AT281" s="16">
        <f t="shared" si="75"/>
        <v>32983.93</v>
      </c>
      <c r="AU281" s="18">
        <f t="shared" si="84"/>
        <v>257076.3</v>
      </c>
      <c r="AV281" s="18"/>
      <c r="AW281" s="18"/>
      <c r="AX281" s="12">
        <f t="shared" si="1"/>
        <v>32983.93</v>
      </c>
      <c r="AY281" s="12"/>
      <c r="AZ281" s="12">
        <v>2012.79</v>
      </c>
      <c r="BA281" s="18">
        <f t="shared" si="85"/>
        <v>22657.97</v>
      </c>
      <c r="BB281" s="10">
        <f t="shared" si="16"/>
        <v>531291.02</v>
      </c>
      <c r="BC281" s="16">
        <f t="shared" si="88"/>
        <v>93371.82083</v>
      </c>
      <c r="BD281" s="16"/>
      <c r="BE281" s="16"/>
      <c r="BF281" s="6"/>
      <c r="BG281" s="6"/>
      <c r="BH281" s="6"/>
      <c r="BI281" s="29">
        <f t="shared" si="83"/>
        <v>16786.33194</v>
      </c>
      <c r="BK281" s="15">
        <f t="shared" si="76"/>
        <v>1.964927783</v>
      </c>
      <c r="BN281" s="16">
        <f t="shared" si="14"/>
        <v>16197.59806</v>
      </c>
      <c r="BO281" s="16">
        <f t="shared" si="86"/>
        <v>5281.320968</v>
      </c>
      <c r="BY281" s="6">
        <f t="shared" si="2"/>
        <v>2024</v>
      </c>
      <c r="BZ281" s="6" t="str">
        <f t="shared" si="3"/>
        <v>julio</v>
      </c>
      <c r="CA281" s="6" t="str">
        <f t="shared" si="4"/>
        <v>7</v>
      </c>
    </row>
    <row r="282">
      <c r="A282" s="8">
        <v>45489.0</v>
      </c>
      <c r="B282" s="12">
        <v>12857.9</v>
      </c>
      <c r="C282" s="12">
        <v>845.46</v>
      </c>
      <c r="D282" s="12"/>
      <c r="E282" s="12">
        <v>0.0</v>
      </c>
      <c r="F282" s="12">
        <v>0.0</v>
      </c>
      <c r="G282" s="12">
        <v>0.0</v>
      </c>
      <c r="H282" s="12">
        <f t="shared" si="46"/>
        <v>13703.36</v>
      </c>
      <c r="I282" s="12">
        <v>7952.89</v>
      </c>
      <c r="J282" s="12">
        <v>1872.03</v>
      </c>
      <c r="K282" s="12"/>
      <c r="L282" s="12">
        <v>0.0</v>
      </c>
      <c r="M282" s="12">
        <v>0.0</v>
      </c>
      <c r="N282" s="12">
        <v>0.0</v>
      </c>
      <c r="O282" s="16">
        <f t="shared" si="33"/>
        <v>9824.92</v>
      </c>
      <c r="P282" s="12">
        <v>2958.41</v>
      </c>
      <c r="Q282" s="12">
        <v>563.5</v>
      </c>
      <c r="R282" s="12"/>
      <c r="S282" s="12">
        <v>0.0</v>
      </c>
      <c r="T282" s="12">
        <v>0.0</v>
      </c>
      <c r="U282" s="12">
        <v>0.0</v>
      </c>
      <c r="V282" s="16">
        <f t="shared" si="37"/>
        <v>3521.91</v>
      </c>
      <c r="W282" s="12">
        <v>3718.47</v>
      </c>
      <c r="X282" s="12">
        <v>7.89</v>
      </c>
      <c r="Y282" s="12"/>
      <c r="Z282" s="12">
        <v>0.0</v>
      </c>
      <c r="AA282" s="12">
        <v>0.0</v>
      </c>
      <c r="AB282" s="12">
        <v>0.0</v>
      </c>
      <c r="AC282" s="16">
        <f t="shared" si="38"/>
        <v>3726.36</v>
      </c>
      <c r="AD282" s="12"/>
      <c r="AE282" s="12"/>
      <c r="AF282" s="12">
        <v>1604.22</v>
      </c>
      <c r="AG282" s="12">
        <v>1269.41</v>
      </c>
      <c r="AH282" s="12"/>
      <c r="AI282" s="12">
        <v>0.0</v>
      </c>
      <c r="AJ282" s="12">
        <v>0.0</v>
      </c>
      <c r="AK282" s="12">
        <v>0.0</v>
      </c>
      <c r="AL282" s="12">
        <f t="shared" si="53"/>
        <v>2873.63</v>
      </c>
      <c r="AM282" s="12">
        <v>3932.0</v>
      </c>
      <c r="AN282" s="12">
        <v>0.0</v>
      </c>
      <c r="AO282" s="12"/>
      <c r="AP282" s="12">
        <v>0.0</v>
      </c>
      <c r="AQ282" s="12">
        <v>0.0</v>
      </c>
      <c r="AR282" s="12">
        <v>0.0</v>
      </c>
      <c r="AS282" s="12">
        <f t="shared" si="82"/>
        <v>3932</v>
      </c>
      <c r="AT282" s="16">
        <f t="shared" si="75"/>
        <v>23878.82</v>
      </c>
      <c r="AU282" s="18">
        <f t="shared" si="84"/>
        <v>280955.12</v>
      </c>
      <c r="AV282" s="18"/>
      <c r="AW282" s="18"/>
      <c r="AX282" s="12">
        <f t="shared" si="1"/>
        <v>23878.82</v>
      </c>
      <c r="AY282" s="12"/>
      <c r="AZ282" s="12">
        <v>3069.61</v>
      </c>
      <c r="BA282" s="18">
        <f t="shared" si="85"/>
        <v>25727.58</v>
      </c>
      <c r="BB282" s="10">
        <f t="shared" si="16"/>
        <v>544350.545</v>
      </c>
      <c r="BC282" s="16">
        <f t="shared" si="88"/>
        <v>86189.37308</v>
      </c>
      <c r="BD282" s="16"/>
      <c r="BE282" s="16"/>
      <c r="BF282" s="6"/>
      <c r="BG282" s="6"/>
      <c r="BH282" s="6"/>
      <c r="BI282" s="29">
        <f t="shared" si="83"/>
        <v>16786.33194</v>
      </c>
      <c r="BK282" s="15">
        <f t="shared" si="76"/>
        <v>1.422515657</v>
      </c>
      <c r="BN282" s="16">
        <f t="shared" si="14"/>
        <v>7092.488065</v>
      </c>
      <c r="BO282" s="16">
        <f t="shared" si="86"/>
        <v>12373.80903</v>
      </c>
      <c r="BY282" s="6">
        <f t="shared" si="2"/>
        <v>2024</v>
      </c>
      <c r="BZ282" s="6" t="str">
        <f t="shared" si="3"/>
        <v>julio</v>
      </c>
      <c r="CA282" s="6" t="str">
        <f t="shared" si="4"/>
        <v>7</v>
      </c>
    </row>
    <row r="283">
      <c r="A283" s="8">
        <v>45490.0</v>
      </c>
      <c r="B283" s="12">
        <v>13457.35</v>
      </c>
      <c r="C283" s="12">
        <v>0.0</v>
      </c>
      <c r="D283" s="12"/>
      <c r="E283" s="12">
        <v>0.0</v>
      </c>
      <c r="F283" s="12">
        <v>0.0</v>
      </c>
      <c r="G283" s="12">
        <v>0.0</v>
      </c>
      <c r="H283" s="12">
        <f t="shared" si="46"/>
        <v>13457.35</v>
      </c>
      <c r="I283" s="12">
        <v>10657.65</v>
      </c>
      <c r="J283" s="12">
        <v>0.0</v>
      </c>
      <c r="K283" s="12"/>
      <c r="L283" s="12">
        <v>0.0</v>
      </c>
      <c r="M283" s="12">
        <v>0.0</v>
      </c>
      <c r="N283" s="12">
        <v>0.0</v>
      </c>
      <c r="O283" s="16">
        <f t="shared" si="33"/>
        <v>10657.65</v>
      </c>
      <c r="P283" s="12">
        <v>1957.75</v>
      </c>
      <c r="Q283" s="12">
        <v>0.0</v>
      </c>
      <c r="R283" s="12"/>
      <c r="S283" s="12">
        <v>0.0</v>
      </c>
      <c r="T283" s="12">
        <v>0.0</v>
      </c>
      <c r="U283" s="12">
        <v>0.0</v>
      </c>
      <c r="V283" s="16">
        <f t="shared" si="37"/>
        <v>1957.75</v>
      </c>
      <c r="W283" s="12">
        <v>6990.74</v>
      </c>
      <c r="X283" s="12">
        <v>0.0</v>
      </c>
      <c r="Y283" s="12"/>
      <c r="Z283" s="12">
        <v>0.0</v>
      </c>
      <c r="AA283" s="12">
        <v>0.0</v>
      </c>
      <c r="AB283" s="12">
        <v>0.0</v>
      </c>
      <c r="AC283" s="16">
        <f t="shared" si="38"/>
        <v>6990.74</v>
      </c>
      <c r="AD283" s="12"/>
      <c r="AE283" s="12"/>
      <c r="AF283" s="12">
        <v>2923.33</v>
      </c>
      <c r="AG283" s="12">
        <v>0.0</v>
      </c>
      <c r="AH283" s="12"/>
      <c r="AI283" s="12">
        <v>0.0</v>
      </c>
      <c r="AJ283" s="12">
        <v>0.0</v>
      </c>
      <c r="AK283" s="12">
        <v>0.0</v>
      </c>
      <c r="AL283" s="12">
        <f t="shared" si="53"/>
        <v>2923.33</v>
      </c>
      <c r="AM283" s="12">
        <v>10591.0</v>
      </c>
      <c r="AN283" s="12">
        <v>0.0</v>
      </c>
      <c r="AO283" s="12"/>
      <c r="AP283" s="12">
        <v>0.0</v>
      </c>
      <c r="AQ283" s="12">
        <v>0.0</v>
      </c>
      <c r="AR283" s="12">
        <v>0.0</v>
      </c>
      <c r="AS283" s="12">
        <f t="shared" si="82"/>
        <v>10591</v>
      </c>
      <c r="AT283" s="16">
        <f t="shared" si="75"/>
        <v>33120.47</v>
      </c>
      <c r="AU283" s="18">
        <f t="shared" si="84"/>
        <v>314075.59</v>
      </c>
      <c r="AV283" s="18"/>
      <c r="AW283" s="18"/>
      <c r="AX283" s="12">
        <f t="shared" si="1"/>
        <v>33120.47</v>
      </c>
      <c r="AY283" s="12"/>
      <c r="AZ283" s="12">
        <v>21.23</v>
      </c>
      <c r="BA283" s="18">
        <f t="shared" si="85"/>
        <v>25748.81</v>
      </c>
      <c r="BB283" s="10">
        <f t="shared" si="16"/>
        <v>572726.0759</v>
      </c>
      <c r="BC283" s="16">
        <f t="shared" si="88"/>
        <v>80032.98929</v>
      </c>
      <c r="BD283" s="16"/>
      <c r="BE283" s="16"/>
      <c r="BF283" s="6"/>
      <c r="BG283" s="6"/>
      <c r="BH283" s="6"/>
      <c r="BI283" s="29">
        <f t="shared" si="83"/>
        <v>16786.33194</v>
      </c>
      <c r="BK283" s="15">
        <f t="shared" si="76"/>
        <v>1.973061782</v>
      </c>
      <c r="BN283" s="16">
        <f t="shared" si="14"/>
        <v>16334.13806</v>
      </c>
      <c r="BO283" s="16">
        <f t="shared" si="86"/>
        <v>28707.9471</v>
      </c>
      <c r="BY283" s="6">
        <f t="shared" si="2"/>
        <v>2024</v>
      </c>
      <c r="BZ283" s="6" t="str">
        <f t="shared" si="3"/>
        <v>julio</v>
      </c>
      <c r="CA283" s="6" t="str">
        <f t="shared" si="4"/>
        <v>7</v>
      </c>
    </row>
    <row r="284">
      <c r="A284" s="8">
        <v>45491.0</v>
      </c>
      <c r="B284" s="12">
        <v>60158.92</v>
      </c>
      <c r="C284" s="12">
        <v>0.0</v>
      </c>
      <c r="D284" s="12"/>
      <c r="E284" s="12">
        <v>1572.83</v>
      </c>
      <c r="F284" s="12">
        <v>0.0</v>
      </c>
      <c r="G284" s="12">
        <v>0.0</v>
      </c>
      <c r="H284" s="12">
        <f t="shared" si="46"/>
        <v>61731.75</v>
      </c>
      <c r="I284" s="12">
        <v>6701.75</v>
      </c>
      <c r="J284" s="12">
        <v>0.0</v>
      </c>
      <c r="K284" s="12"/>
      <c r="L284" s="12">
        <v>439.04</v>
      </c>
      <c r="M284" s="12">
        <v>0.0</v>
      </c>
      <c r="N284" s="12">
        <v>0.0</v>
      </c>
      <c r="O284" s="16">
        <f t="shared" si="33"/>
        <v>7140.79</v>
      </c>
      <c r="P284" s="12">
        <v>1324.24</v>
      </c>
      <c r="Q284" s="12">
        <v>0.0</v>
      </c>
      <c r="R284" s="12"/>
      <c r="S284" s="12">
        <v>0.0</v>
      </c>
      <c r="T284" s="12">
        <v>0.0</v>
      </c>
      <c r="U284" s="12">
        <v>0.0</v>
      </c>
      <c r="V284" s="16">
        <f t="shared" si="37"/>
        <v>1324.24</v>
      </c>
      <c r="W284" s="12">
        <v>4682.93</v>
      </c>
      <c r="X284" s="12">
        <v>0.0</v>
      </c>
      <c r="Y284" s="12"/>
      <c r="Z284" s="12">
        <v>43.69</v>
      </c>
      <c r="AA284" s="12">
        <v>0.0</v>
      </c>
      <c r="AB284" s="12">
        <v>0.0</v>
      </c>
      <c r="AC284" s="16">
        <f t="shared" si="38"/>
        <v>4726.62</v>
      </c>
      <c r="AD284" s="12"/>
      <c r="AE284" s="12"/>
      <c r="AF284" s="12">
        <v>490.21</v>
      </c>
      <c r="AG284" s="12">
        <v>0.0</v>
      </c>
      <c r="AH284" s="12"/>
      <c r="AI284" s="12">
        <v>0.0</v>
      </c>
      <c r="AJ284" s="12">
        <v>0.0</v>
      </c>
      <c r="AK284" s="12">
        <v>0.0</v>
      </c>
      <c r="AL284" s="12">
        <f t="shared" si="53"/>
        <v>490.21</v>
      </c>
      <c r="AM284" s="12">
        <v>4262.0</v>
      </c>
      <c r="AN284" s="12">
        <v>0.0</v>
      </c>
      <c r="AO284" s="12"/>
      <c r="AP284" s="12">
        <v>0.0</v>
      </c>
      <c r="AQ284" s="12">
        <v>0.0</v>
      </c>
      <c r="AR284" s="12">
        <v>0.0</v>
      </c>
      <c r="AS284" s="12">
        <f t="shared" si="82"/>
        <v>4262</v>
      </c>
      <c r="AT284" s="16">
        <f t="shared" si="75"/>
        <v>17943.86</v>
      </c>
      <c r="AU284" s="18">
        <f t="shared" si="84"/>
        <v>332019.45</v>
      </c>
      <c r="AV284" s="18"/>
      <c r="AW284" s="18"/>
      <c r="AX284" s="12">
        <f t="shared" si="1"/>
        <v>17943.86</v>
      </c>
      <c r="AY284" s="12"/>
      <c r="AZ284" s="12">
        <v>603.33</v>
      </c>
      <c r="BA284" s="18">
        <f t="shared" si="85"/>
        <v>26352.14</v>
      </c>
      <c r="BB284" s="10">
        <f t="shared" si="16"/>
        <v>571811.275</v>
      </c>
      <c r="BC284" s="16">
        <f t="shared" si="88"/>
        <v>85692.1</v>
      </c>
      <c r="BD284" s="16"/>
      <c r="BE284" s="16"/>
      <c r="BF284" s="6"/>
      <c r="BG284" s="6"/>
      <c r="BH284" s="6"/>
      <c r="BI284" s="29">
        <f t="shared" si="83"/>
        <v>16786.33194</v>
      </c>
      <c r="BK284" s="15">
        <f t="shared" si="76"/>
        <v>1.068956581</v>
      </c>
      <c r="BN284" s="16">
        <f t="shared" si="14"/>
        <v>1157.528065</v>
      </c>
      <c r="BO284" s="16">
        <f t="shared" si="86"/>
        <v>29865.47516</v>
      </c>
      <c r="BY284" s="6">
        <f t="shared" si="2"/>
        <v>2024</v>
      </c>
      <c r="BZ284" s="6" t="str">
        <f t="shared" si="3"/>
        <v>julio</v>
      </c>
      <c r="CA284" s="6" t="str">
        <f t="shared" si="4"/>
        <v>7</v>
      </c>
    </row>
    <row r="285">
      <c r="A285" s="8">
        <v>45492.0</v>
      </c>
      <c r="B285" s="12">
        <v>11240.39</v>
      </c>
      <c r="C285" s="12">
        <v>618.78</v>
      </c>
      <c r="D285" s="12"/>
      <c r="E285" s="12">
        <v>0.0</v>
      </c>
      <c r="F285" s="12">
        <v>0.0</v>
      </c>
      <c r="G285" s="12">
        <v>0.0</v>
      </c>
      <c r="H285" s="12">
        <f t="shared" si="46"/>
        <v>11859.17</v>
      </c>
      <c r="I285" s="12">
        <v>4111.2</v>
      </c>
      <c r="J285" s="12">
        <v>1254.39</v>
      </c>
      <c r="K285" s="12"/>
      <c r="L285" s="12">
        <v>0.0</v>
      </c>
      <c r="M285" s="12">
        <v>0.0</v>
      </c>
      <c r="N285" s="12">
        <v>0.0</v>
      </c>
      <c r="O285" s="16">
        <f t="shared" si="33"/>
        <v>5365.59</v>
      </c>
      <c r="P285" s="12">
        <v>1555.02</v>
      </c>
      <c r="Q285" s="12">
        <v>105.24</v>
      </c>
      <c r="R285" s="12"/>
      <c r="S285" s="12">
        <v>0.0</v>
      </c>
      <c r="T285" s="12">
        <v>0.0</v>
      </c>
      <c r="U285" s="12">
        <v>0.0</v>
      </c>
      <c r="V285" s="16">
        <f t="shared" si="37"/>
        <v>1660.26</v>
      </c>
      <c r="W285" s="12">
        <v>5552.98</v>
      </c>
      <c r="X285" s="12">
        <v>3699.49</v>
      </c>
      <c r="Y285" s="12"/>
      <c r="Z285" s="12">
        <v>0.0</v>
      </c>
      <c r="AA285" s="12">
        <v>0.0</v>
      </c>
      <c r="AB285" s="12">
        <v>0.0</v>
      </c>
      <c r="AC285" s="16">
        <f t="shared" si="38"/>
        <v>9252.47</v>
      </c>
      <c r="AD285" s="12"/>
      <c r="AE285" s="12"/>
      <c r="AF285" s="12">
        <v>1421.86</v>
      </c>
      <c r="AG285" s="12">
        <v>0.0</v>
      </c>
      <c r="AH285" s="12"/>
      <c r="AI285" s="12">
        <v>0.0</v>
      </c>
      <c r="AJ285" s="12">
        <v>0.0</v>
      </c>
      <c r="AK285" s="12">
        <v>0.0</v>
      </c>
      <c r="AL285" s="12">
        <f t="shared" si="53"/>
        <v>1421.86</v>
      </c>
      <c r="AM285" s="12">
        <v>5640.0</v>
      </c>
      <c r="AN285" s="12">
        <v>6440.0</v>
      </c>
      <c r="AO285" s="12"/>
      <c r="AP285" s="12">
        <v>0.0</v>
      </c>
      <c r="AQ285" s="12">
        <v>0.0</v>
      </c>
      <c r="AR285" s="12">
        <v>0.0</v>
      </c>
      <c r="AS285" s="12">
        <f t="shared" si="82"/>
        <v>12080</v>
      </c>
      <c r="AT285" s="16">
        <f t="shared" si="75"/>
        <v>29780.18</v>
      </c>
      <c r="AU285" s="18">
        <f t="shared" si="84"/>
        <v>361799.63</v>
      </c>
      <c r="AV285" s="18"/>
      <c r="AW285" s="18"/>
      <c r="AX285" s="12">
        <f t="shared" si="1"/>
        <v>29780.18</v>
      </c>
      <c r="AY285" s="12"/>
      <c r="AZ285" s="12">
        <v>848.93</v>
      </c>
      <c r="BA285" s="18">
        <f t="shared" si="85"/>
        <v>27201.07</v>
      </c>
      <c r="BB285" s="10">
        <f t="shared" si="16"/>
        <v>590304.6595</v>
      </c>
      <c r="BC285" s="16">
        <f t="shared" si="88"/>
        <v>87798.475</v>
      </c>
      <c r="BD285" s="16"/>
      <c r="BE285" s="16"/>
      <c r="BF285" s="6"/>
      <c r="BG285" s="6"/>
      <c r="BH285" s="6"/>
      <c r="BI285" s="29">
        <f t="shared" si="83"/>
        <v>16786.33194</v>
      </c>
      <c r="BK285" s="15">
        <f t="shared" si="76"/>
        <v>1.774073104</v>
      </c>
      <c r="BN285" s="16">
        <f t="shared" si="14"/>
        <v>12993.84806</v>
      </c>
      <c r="BO285" s="16">
        <f t="shared" si="86"/>
        <v>42859.32323</v>
      </c>
      <c r="BY285" s="6">
        <f t="shared" si="2"/>
        <v>2024</v>
      </c>
      <c r="BZ285" s="6" t="str">
        <f t="shared" si="3"/>
        <v>julio</v>
      </c>
      <c r="CA285" s="6" t="str">
        <f t="shared" si="4"/>
        <v>7</v>
      </c>
    </row>
    <row r="286">
      <c r="A286" s="8">
        <v>45493.0</v>
      </c>
      <c r="B286" s="12">
        <v>0.0</v>
      </c>
      <c r="C286" s="12">
        <v>0.0</v>
      </c>
      <c r="D286" s="12"/>
      <c r="E286" s="12">
        <v>0.0</v>
      </c>
      <c r="F286" s="12">
        <v>0.0</v>
      </c>
      <c r="G286" s="12">
        <v>0.0</v>
      </c>
      <c r="H286" s="12">
        <v>0.0</v>
      </c>
      <c r="I286" s="12">
        <v>0.0</v>
      </c>
      <c r="J286" s="12">
        <v>0.0</v>
      </c>
      <c r="K286" s="12"/>
      <c r="L286" s="12">
        <v>0.0</v>
      </c>
      <c r="M286" s="12">
        <v>0.0</v>
      </c>
      <c r="N286" s="12">
        <v>0.0</v>
      </c>
      <c r="O286" s="16">
        <v>0.0</v>
      </c>
      <c r="P286" s="12">
        <v>0.0</v>
      </c>
      <c r="Q286" s="12">
        <v>0.0</v>
      </c>
      <c r="R286" s="12"/>
      <c r="S286" s="12">
        <v>0.0</v>
      </c>
      <c r="T286" s="12">
        <v>0.0</v>
      </c>
      <c r="U286" s="12">
        <v>0.0</v>
      </c>
      <c r="V286" s="16">
        <v>0.0</v>
      </c>
      <c r="W286" s="12">
        <v>0.0</v>
      </c>
      <c r="X286" s="12">
        <v>0.0</v>
      </c>
      <c r="Y286" s="12"/>
      <c r="Z286" s="12">
        <v>0.0</v>
      </c>
      <c r="AA286" s="12">
        <v>0.0</v>
      </c>
      <c r="AB286" s="12">
        <v>0.0</v>
      </c>
      <c r="AC286" s="16">
        <v>0.0</v>
      </c>
      <c r="AD286" s="12"/>
      <c r="AE286" s="12"/>
      <c r="AF286" s="12">
        <v>0.0</v>
      </c>
      <c r="AG286" s="12">
        <v>0.0</v>
      </c>
      <c r="AH286" s="12"/>
      <c r="AI286" s="12">
        <v>0.0</v>
      </c>
      <c r="AJ286" s="12">
        <v>0.0</v>
      </c>
      <c r="AK286" s="12">
        <v>0.0</v>
      </c>
      <c r="AL286" s="12">
        <v>0.0</v>
      </c>
      <c r="AM286" s="12">
        <v>0.0</v>
      </c>
      <c r="AN286" s="12">
        <v>0.0</v>
      </c>
      <c r="AO286" s="12"/>
      <c r="AP286" s="12">
        <v>0.0</v>
      </c>
      <c r="AQ286" s="12">
        <v>0.0</v>
      </c>
      <c r="AR286" s="12">
        <v>0.0</v>
      </c>
      <c r="AS286" s="12">
        <v>0.0</v>
      </c>
      <c r="AT286" s="16">
        <f t="shared" si="75"/>
        <v>0</v>
      </c>
      <c r="AU286" s="18">
        <f t="shared" si="84"/>
        <v>361799.63</v>
      </c>
      <c r="AV286" s="18"/>
      <c r="AW286" s="18"/>
      <c r="AX286" s="12">
        <f t="shared" si="1"/>
        <v>0</v>
      </c>
      <c r="AY286" s="12"/>
      <c r="AZ286" s="12">
        <v>0.0</v>
      </c>
      <c r="BA286" s="18">
        <f t="shared" si="85"/>
        <v>27201.07</v>
      </c>
      <c r="BB286" s="10">
        <f t="shared" si="16"/>
        <v>560789.4265</v>
      </c>
      <c r="BC286" s="16">
        <f t="shared" si="88"/>
        <v>92375.17353</v>
      </c>
      <c r="BD286" s="16"/>
      <c r="BE286" s="16"/>
      <c r="BF286" s="6"/>
      <c r="BG286" s="6"/>
      <c r="BH286" s="6"/>
      <c r="BI286" s="29">
        <f t="shared" si="83"/>
        <v>16786.33194</v>
      </c>
      <c r="BJ286" s="6"/>
      <c r="BK286" s="15">
        <f t="shared" si="76"/>
        <v>0</v>
      </c>
      <c r="BN286" s="16">
        <f t="shared" si="14"/>
        <v>-16786.33194</v>
      </c>
      <c r="BO286" s="16">
        <f t="shared" si="86"/>
        <v>26072.99129</v>
      </c>
      <c r="BY286" s="6">
        <f t="shared" si="2"/>
        <v>2024</v>
      </c>
      <c r="BZ286" s="6" t="str">
        <f t="shared" si="3"/>
        <v>julio</v>
      </c>
      <c r="CA286" s="6" t="str">
        <f t="shared" si="4"/>
        <v>7</v>
      </c>
    </row>
    <row r="287">
      <c r="A287" s="8">
        <v>45494.0</v>
      </c>
      <c r="B287" s="12">
        <v>0.0</v>
      </c>
      <c r="C287" s="12">
        <v>0.0</v>
      </c>
      <c r="D287" s="12"/>
      <c r="E287" s="12">
        <v>0.0</v>
      </c>
      <c r="F287" s="12">
        <v>0.0</v>
      </c>
      <c r="G287" s="12">
        <v>0.0</v>
      </c>
      <c r="H287" s="12">
        <v>0.0</v>
      </c>
      <c r="I287" s="12">
        <v>0.0</v>
      </c>
      <c r="J287" s="12">
        <v>0.0</v>
      </c>
      <c r="K287" s="12"/>
      <c r="L287" s="12">
        <v>0.0</v>
      </c>
      <c r="M287" s="12">
        <v>0.0</v>
      </c>
      <c r="N287" s="12">
        <v>0.0</v>
      </c>
      <c r="O287" s="16">
        <v>0.0</v>
      </c>
      <c r="P287" s="12">
        <v>0.0</v>
      </c>
      <c r="Q287" s="12">
        <v>0.0</v>
      </c>
      <c r="R287" s="12"/>
      <c r="S287" s="12">
        <v>0.0</v>
      </c>
      <c r="T287" s="12">
        <v>0.0</v>
      </c>
      <c r="U287" s="12">
        <v>0.0</v>
      </c>
      <c r="V287" s="16">
        <v>0.0</v>
      </c>
      <c r="W287" s="12">
        <v>0.0</v>
      </c>
      <c r="X287" s="12">
        <v>0.0</v>
      </c>
      <c r="Y287" s="12"/>
      <c r="Z287" s="12">
        <v>0.0</v>
      </c>
      <c r="AA287" s="12">
        <v>0.0</v>
      </c>
      <c r="AB287" s="12">
        <v>0.0</v>
      </c>
      <c r="AC287" s="16">
        <v>0.0</v>
      </c>
      <c r="AD287" s="12"/>
      <c r="AE287" s="12"/>
      <c r="AF287" s="12">
        <v>0.0</v>
      </c>
      <c r="AG287" s="12">
        <v>0.0</v>
      </c>
      <c r="AH287" s="12"/>
      <c r="AI287" s="12">
        <v>0.0</v>
      </c>
      <c r="AJ287" s="12">
        <v>0.0</v>
      </c>
      <c r="AK287" s="12">
        <v>0.0</v>
      </c>
      <c r="AL287" s="12">
        <v>0.0</v>
      </c>
      <c r="AM287" s="12">
        <v>0.0</v>
      </c>
      <c r="AN287" s="12">
        <v>0.0</v>
      </c>
      <c r="AO287" s="12"/>
      <c r="AP287" s="12">
        <v>0.0</v>
      </c>
      <c r="AQ287" s="12">
        <v>0.0</v>
      </c>
      <c r="AR287" s="12">
        <v>0.0</v>
      </c>
      <c r="AS287" s="12">
        <v>0.0</v>
      </c>
      <c r="AT287" s="16">
        <f t="shared" si="75"/>
        <v>0</v>
      </c>
      <c r="AU287" s="18">
        <f t="shared" si="84"/>
        <v>361799.63</v>
      </c>
      <c r="AV287" s="18"/>
      <c r="AW287" s="18"/>
      <c r="AX287" s="12">
        <f t="shared" si="1"/>
        <v>0</v>
      </c>
      <c r="AY287" s="12"/>
      <c r="AZ287" s="12">
        <v>0.0</v>
      </c>
      <c r="BA287" s="18">
        <f t="shared" si="85"/>
        <v>27201.07</v>
      </c>
      <c r="BB287" s="10">
        <f t="shared" si="16"/>
        <v>534085.1681</v>
      </c>
      <c r="BC287" s="16">
        <f t="shared" si="88"/>
        <v>92227.625</v>
      </c>
      <c r="BD287" s="16"/>
      <c r="BE287" s="16"/>
      <c r="BF287" s="6"/>
      <c r="BG287" s="6"/>
      <c r="BH287" s="6"/>
      <c r="BI287" s="29">
        <f t="shared" si="83"/>
        <v>16786.33194</v>
      </c>
      <c r="BJ287" s="6"/>
      <c r="BK287" s="15">
        <f t="shared" si="76"/>
        <v>0</v>
      </c>
      <c r="BN287" s="16">
        <f t="shared" si="14"/>
        <v>-16786.33194</v>
      </c>
      <c r="BO287" s="16">
        <f t="shared" si="86"/>
        <v>9286.659355</v>
      </c>
      <c r="BY287" s="6">
        <f t="shared" si="2"/>
        <v>2024</v>
      </c>
      <c r="BZ287" s="6" t="str">
        <f t="shared" si="3"/>
        <v>julio</v>
      </c>
      <c r="CA287" s="6" t="str">
        <f t="shared" si="4"/>
        <v>7</v>
      </c>
    </row>
    <row r="288">
      <c r="A288" s="8">
        <v>45495.0</v>
      </c>
      <c r="B288" s="12">
        <v>142897.85</v>
      </c>
      <c r="C288" s="12">
        <v>301.54</v>
      </c>
      <c r="D288" s="12"/>
      <c r="E288" s="12">
        <v>0.0</v>
      </c>
      <c r="F288" s="12">
        <v>0.0</v>
      </c>
      <c r="G288" s="12">
        <v>0.0</v>
      </c>
      <c r="H288" s="12">
        <f t="shared" ref="H288:H363" si="89">B288+C288+E288+F288+G288</f>
        <v>143199.39</v>
      </c>
      <c r="I288" s="12">
        <v>12895.33</v>
      </c>
      <c r="J288" s="12">
        <v>1734.2</v>
      </c>
      <c r="K288" s="12"/>
      <c r="L288" s="12">
        <v>0.0</v>
      </c>
      <c r="M288" s="12">
        <v>0.0</v>
      </c>
      <c r="N288" s="12">
        <v>0.0</v>
      </c>
      <c r="O288" s="16">
        <f t="shared" ref="O288:O294" si="90">+N288+M288+L288+J288+I288</f>
        <v>14629.53</v>
      </c>
      <c r="P288" s="12">
        <v>5385.88</v>
      </c>
      <c r="Q288" s="12">
        <v>11.33</v>
      </c>
      <c r="R288" s="12"/>
      <c r="S288" s="12">
        <v>0.0</v>
      </c>
      <c r="T288" s="12">
        <v>0.0</v>
      </c>
      <c r="U288" s="12">
        <v>0.0</v>
      </c>
      <c r="V288" s="16">
        <f t="shared" ref="V288:V362" si="91">P288+Q288+S288+T288+U288</f>
        <v>5397.21</v>
      </c>
      <c r="W288" s="12">
        <v>147.95</v>
      </c>
      <c r="X288" s="12">
        <v>88.44</v>
      </c>
      <c r="Y288" s="12"/>
      <c r="Z288" s="12">
        <v>0.0</v>
      </c>
      <c r="AA288" s="12">
        <v>0.0</v>
      </c>
      <c r="AB288" s="12">
        <v>0.0</v>
      </c>
      <c r="AC288" s="16">
        <f t="shared" ref="AC288:AC335" si="92">W288+X288+Z288+AA288+AB288</f>
        <v>236.39</v>
      </c>
      <c r="AD288" s="12"/>
      <c r="AE288" s="12"/>
      <c r="AF288" s="12">
        <v>6518.21</v>
      </c>
      <c r="AG288" s="12">
        <v>1819.79</v>
      </c>
      <c r="AH288" s="12"/>
      <c r="AI288" s="12">
        <v>0.0</v>
      </c>
      <c r="AJ288" s="12">
        <v>0.0</v>
      </c>
      <c r="AK288" s="12">
        <v>0.0</v>
      </c>
      <c r="AL288" s="12">
        <f t="shared" ref="AL288:AL334" si="93">AK288+AJ288+AI288+AG288+AF288</f>
        <v>8338</v>
      </c>
      <c r="AM288" s="12">
        <v>0.0</v>
      </c>
      <c r="AN288" s="12">
        <v>0.0</v>
      </c>
      <c r="AO288" s="12"/>
      <c r="AP288" s="12">
        <v>0.0</v>
      </c>
      <c r="AQ288" s="12">
        <v>0.0</v>
      </c>
      <c r="AR288" s="12">
        <v>0.0</v>
      </c>
      <c r="AS288" s="12">
        <f t="shared" ref="AS288:AS335" si="94">AR288+AQ288+AP288+AN288+AM288</f>
        <v>0</v>
      </c>
      <c r="AT288" s="16">
        <f t="shared" si="75"/>
        <v>28601.13</v>
      </c>
      <c r="AU288" s="18">
        <f t="shared" si="84"/>
        <v>390400.76</v>
      </c>
      <c r="AV288" s="18"/>
      <c r="AW288" s="18"/>
      <c r="AX288" s="12">
        <f t="shared" si="1"/>
        <v>28601.13</v>
      </c>
      <c r="AY288" s="12"/>
      <c r="AZ288" s="12">
        <v>2719.32</v>
      </c>
      <c r="BA288" s="18">
        <f t="shared" si="85"/>
        <v>29920.39</v>
      </c>
      <c r="BB288" s="10">
        <f t="shared" si="16"/>
        <v>550110.1618</v>
      </c>
      <c r="BC288" s="16">
        <f t="shared" si="88"/>
        <v>95210.42895</v>
      </c>
      <c r="BD288" s="16"/>
      <c r="BE288" s="16"/>
      <c r="BF288" s="6"/>
      <c r="BG288" s="6"/>
      <c r="BH288" s="6"/>
      <c r="BI288" s="29">
        <f t="shared" si="83"/>
        <v>16786.33194</v>
      </c>
      <c r="BK288" s="15">
        <f t="shared" si="76"/>
        <v>1.703834412</v>
      </c>
      <c r="BN288" s="16">
        <f t="shared" si="14"/>
        <v>11814.79806</v>
      </c>
      <c r="BO288" s="16">
        <f t="shared" si="86"/>
        <v>21101.45742</v>
      </c>
      <c r="BY288" s="6">
        <f t="shared" si="2"/>
        <v>2024</v>
      </c>
      <c r="BZ288" s="6" t="str">
        <f t="shared" si="3"/>
        <v>julio</v>
      </c>
      <c r="CA288" s="6" t="str">
        <f t="shared" si="4"/>
        <v>7</v>
      </c>
    </row>
    <row r="289">
      <c r="A289" s="8">
        <v>45496.0</v>
      </c>
      <c r="B289" s="12">
        <v>10330.82</v>
      </c>
      <c r="C289" s="12">
        <v>871.38</v>
      </c>
      <c r="D289" s="12"/>
      <c r="E289" s="12">
        <v>3111.5</v>
      </c>
      <c r="F289" s="12">
        <v>0.0</v>
      </c>
      <c r="G289" s="12">
        <v>0.0</v>
      </c>
      <c r="H289" s="12">
        <f t="shared" si="89"/>
        <v>14313.7</v>
      </c>
      <c r="I289" s="12">
        <v>4562.12</v>
      </c>
      <c r="J289" s="12">
        <v>2169.67</v>
      </c>
      <c r="K289" s="12"/>
      <c r="L289" s="12">
        <v>566.54</v>
      </c>
      <c r="M289" s="12">
        <v>0.0</v>
      </c>
      <c r="N289" s="12">
        <v>0.0</v>
      </c>
      <c r="O289" s="16">
        <f t="shared" si="90"/>
        <v>7298.33</v>
      </c>
      <c r="P289" s="12">
        <v>1733.41</v>
      </c>
      <c r="Q289" s="12">
        <v>239.19</v>
      </c>
      <c r="R289" s="12"/>
      <c r="S289" s="12">
        <v>0.0</v>
      </c>
      <c r="T289" s="12">
        <v>0.0</v>
      </c>
      <c r="U289" s="12">
        <v>0.0</v>
      </c>
      <c r="V289" s="16">
        <f t="shared" si="91"/>
        <v>1972.6</v>
      </c>
      <c r="W289" s="12">
        <v>3507.38</v>
      </c>
      <c r="X289" s="12">
        <v>3.38</v>
      </c>
      <c r="Y289" s="12"/>
      <c r="Z289" s="12">
        <v>0.0</v>
      </c>
      <c r="AA289" s="12">
        <v>0.0</v>
      </c>
      <c r="AB289" s="12">
        <v>0.0</v>
      </c>
      <c r="AC289" s="16">
        <f t="shared" si="92"/>
        <v>3510.76</v>
      </c>
      <c r="AD289" s="12"/>
      <c r="AE289" s="12"/>
      <c r="AF289" s="12">
        <v>335.7</v>
      </c>
      <c r="AG289" s="12">
        <v>0.0</v>
      </c>
      <c r="AH289" s="12"/>
      <c r="AI289" s="12">
        <v>0.0</v>
      </c>
      <c r="AJ289" s="12">
        <v>0.0</v>
      </c>
      <c r="AK289" s="12">
        <v>0.0</v>
      </c>
      <c r="AL289" s="12">
        <f t="shared" si="93"/>
        <v>335.7</v>
      </c>
      <c r="AM289" s="12">
        <v>3528.0</v>
      </c>
      <c r="AN289" s="12">
        <v>0.0</v>
      </c>
      <c r="AO289" s="12"/>
      <c r="AP289" s="12">
        <v>0.0</v>
      </c>
      <c r="AQ289" s="12">
        <v>0.0</v>
      </c>
      <c r="AR289" s="12">
        <v>0.0</v>
      </c>
      <c r="AS289" s="12">
        <f t="shared" si="94"/>
        <v>3528</v>
      </c>
      <c r="AT289" s="16">
        <f t="shared" si="75"/>
        <v>16645.39</v>
      </c>
      <c r="AU289" s="18">
        <f t="shared" si="84"/>
        <v>407046.15</v>
      </c>
      <c r="AV289" s="18"/>
      <c r="AW289" s="18"/>
      <c r="AX289" s="12">
        <f t="shared" si="1"/>
        <v>16645.39</v>
      </c>
      <c r="AY289" s="12"/>
      <c r="AZ289" s="12">
        <v>602.66</v>
      </c>
      <c r="BA289" s="18">
        <f t="shared" si="85"/>
        <v>30523.05</v>
      </c>
      <c r="BB289" s="10">
        <f t="shared" si="16"/>
        <v>548627.4196</v>
      </c>
      <c r="BC289" s="16">
        <f t="shared" si="88"/>
        <v>90449.9075</v>
      </c>
      <c r="BD289" s="16"/>
      <c r="BE289" s="16"/>
      <c r="BF289" s="6"/>
      <c r="BG289" s="6"/>
      <c r="BH289" s="6"/>
      <c r="BI289" s="29">
        <f t="shared" si="83"/>
        <v>16786.33194</v>
      </c>
      <c r="BJ289" s="6"/>
      <c r="BK289" s="15">
        <f t="shared" si="76"/>
        <v>0.9916037681</v>
      </c>
      <c r="BN289" s="16">
        <f t="shared" si="14"/>
        <v>-140.9419355</v>
      </c>
      <c r="BO289" s="16">
        <f t="shared" si="86"/>
        <v>20960.51548</v>
      </c>
      <c r="BY289" s="6">
        <f t="shared" si="2"/>
        <v>2024</v>
      </c>
      <c r="BZ289" s="6" t="str">
        <f t="shared" si="3"/>
        <v>julio</v>
      </c>
      <c r="CA289" s="6" t="str">
        <f t="shared" si="4"/>
        <v>7</v>
      </c>
    </row>
    <row r="290">
      <c r="A290" s="8">
        <v>45497.0</v>
      </c>
      <c r="B290" s="12">
        <v>11502.34</v>
      </c>
      <c r="C290" s="12">
        <v>1674.69</v>
      </c>
      <c r="D290" s="12"/>
      <c r="E290" s="12">
        <v>2125.05</v>
      </c>
      <c r="F290" s="12">
        <v>0.0</v>
      </c>
      <c r="G290" s="12">
        <v>0.0</v>
      </c>
      <c r="H290" s="12">
        <f t="shared" si="89"/>
        <v>15302.08</v>
      </c>
      <c r="I290" s="12">
        <v>4063.01</v>
      </c>
      <c r="J290" s="12">
        <v>1584.08</v>
      </c>
      <c r="K290" s="12"/>
      <c r="L290" s="12">
        <v>1917.89</v>
      </c>
      <c r="M290" s="12">
        <v>0.0</v>
      </c>
      <c r="N290" s="12">
        <v>0.0</v>
      </c>
      <c r="O290" s="16">
        <f t="shared" si="90"/>
        <v>7564.98</v>
      </c>
      <c r="P290" s="12">
        <v>1463.67</v>
      </c>
      <c r="Q290" s="12">
        <v>417.21</v>
      </c>
      <c r="R290" s="12"/>
      <c r="S290" s="12">
        <v>0.0</v>
      </c>
      <c r="T290" s="12">
        <v>0.0</v>
      </c>
      <c r="U290" s="12">
        <v>0.0</v>
      </c>
      <c r="V290" s="16">
        <f t="shared" si="91"/>
        <v>1880.88</v>
      </c>
      <c r="W290" s="12">
        <v>2225.2</v>
      </c>
      <c r="X290" s="12">
        <v>150.0</v>
      </c>
      <c r="Y290" s="12"/>
      <c r="Z290" s="12">
        <v>0.0</v>
      </c>
      <c r="AA290" s="12">
        <v>0.0</v>
      </c>
      <c r="AB290" s="12">
        <v>0.0</v>
      </c>
      <c r="AC290" s="16">
        <f t="shared" si="92"/>
        <v>2375.2</v>
      </c>
      <c r="AD290" s="12"/>
      <c r="AE290" s="12"/>
      <c r="AF290" s="12">
        <v>590.56</v>
      </c>
      <c r="AG290" s="12">
        <v>1762.95</v>
      </c>
      <c r="AH290" s="12"/>
      <c r="AI290" s="12">
        <v>0.0</v>
      </c>
      <c r="AJ290" s="12">
        <v>0.0</v>
      </c>
      <c r="AK290" s="12">
        <v>0.0</v>
      </c>
      <c r="AL290" s="12">
        <f t="shared" si="93"/>
        <v>2353.51</v>
      </c>
      <c r="AM290" s="12">
        <v>2086.0</v>
      </c>
      <c r="AN290" s="12">
        <v>0.0</v>
      </c>
      <c r="AO290" s="12"/>
      <c r="AP290" s="12">
        <v>0.0</v>
      </c>
      <c r="AQ290" s="12">
        <v>0.0</v>
      </c>
      <c r="AR290" s="12">
        <v>0.0</v>
      </c>
      <c r="AS290" s="12">
        <f t="shared" si="94"/>
        <v>2086</v>
      </c>
      <c r="AT290" s="16">
        <f t="shared" si="75"/>
        <v>16260.57</v>
      </c>
      <c r="AU290" s="18">
        <f t="shared" si="84"/>
        <v>423306.72</v>
      </c>
      <c r="AV290" s="18"/>
      <c r="AW290" s="18"/>
      <c r="AX290" s="12">
        <f t="shared" si="1"/>
        <v>16260.57</v>
      </c>
      <c r="AY290" s="12"/>
      <c r="AZ290" s="12">
        <v>7956.09</v>
      </c>
      <c r="BA290" s="18">
        <f t="shared" si="85"/>
        <v>38479.14</v>
      </c>
      <c r="BB290" s="10">
        <f t="shared" si="16"/>
        <v>546771.18</v>
      </c>
      <c r="BC290" s="16">
        <f t="shared" si="88"/>
        <v>86142.76905</v>
      </c>
      <c r="BD290" s="16"/>
      <c r="BE290" s="16"/>
      <c r="BF290" s="6"/>
      <c r="BG290" s="6"/>
      <c r="BH290" s="6"/>
      <c r="BI290" s="29">
        <f t="shared" si="83"/>
        <v>16786.33194</v>
      </c>
      <c r="BJ290" s="6"/>
      <c r="BK290" s="15">
        <f t="shared" si="76"/>
        <v>0.9686791648</v>
      </c>
      <c r="BN290" s="16">
        <f t="shared" si="14"/>
        <v>-525.7619355</v>
      </c>
      <c r="BO290" s="16">
        <f t="shared" si="86"/>
        <v>20434.75355</v>
      </c>
      <c r="BY290" s="6">
        <f t="shared" si="2"/>
        <v>2024</v>
      </c>
      <c r="BZ290" s="6" t="str">
        <f t="shared" si="3"/>
        <v>julio</v>
      </c>
      <c r="CA290" s="6" t="str">
        <f t="shared" si="4"/>
        <v>7</v>
      </c>
    </row>
    <row r="291">
      <c r="A291" s="8">
        <v>45498.0</v>
      </c>
      <c r="B291" s="12">
        <v>7176.39</v>
      </c>
      <c r="C291" s="12">
        <v>308.02</v>
      </c>
      <c r="D291" s="12"/>
      <c r="E291" s="12">
        <v>0.0</v>
      </c>
      <c r="F291" s="12">
        <v>0.0</v>
      </c>
      <c r="G291" s="12">
        <v>0.0</v>
      </c>
      <c r="H291" s="12">
        <f t="shared" si="89"/>
        <v>7484.41</v>
      </c>
      <c r="I291" s="12">
        <v>3261.0</v>
      </c>
      <c r="J291" s="12">
        <v>1542.41</v>
      </c>
      <c r="K291" s="12"/>
      <c r="L291" s="12">
        <v>0.0</v>
      </c>
      <c r="M291" s="12">
        <v>0.0</v>
      </c>
      <c r="N291" s="12">
        <v>0.0</v>
      </c>
      <c r="O291" s="16">
        <f t="shared" si="90"/>
        <v>4803.41</v>
      </c>
      <c r="P291" s="12">
        <v>1726.49</v>
      </c>
      <c r="Q291" s="12">
        <v>197.62</v>
      </c>
      <c r="R291" s="12"/>
      <c r="S291" s="12">
        <v>0.0</v>
      </c>
      <c r="T291" s="12">
        <v>0.0</v>
      </c>
      <c r="U291" s="12">
        <v>0.0</v>
      </c>
      <c r="V291" s="16">
        <f t="shared" si="91"/>
        <v>1924.11</v>
      </c>
      <c r="W291" s="12">
        <v>3807.71</v>
      </c>
      <c r="X291" s="12">
        <v>1.23</v>
      </c>
      <c r="Y291" s="12"/>
      <c r="Z291" s="12">
        <v>0.0</v>
      </c>
      <c r="AA291" s="12">
        <v>0.0</v>
      </c>
      <c r="AB291" s="12">
        <v>0.0</v>
      </c>
      <c r="AC291" s="16">
        <f t="shared" si="92"/>
        <v>3808.94</v>
      </c>
      <c r="AD291" s="12"/>
      <c r="AE291" s="12"/>
      <c r="AF291" s="12">
        <v>0.29</v>
      </c>
      <c r="AG291" s="12">
        <v>400.0</v>
      </c>
      <c r="AH291" s="12"/>
      <c r="AI291" s="12">
        <v>0.0</v>
      </c>
      <c r="AJ291" s="12">
        <v>0.0</v>
      </c>
      <c r="AK291" s="12">
        <v>0.0</v>
      </c>
      <c r="AL291" s="12">
        <f t="shared" si="93"/>
        <v>400.29</v>
      </c>
      <c r="AM291" s="12">
        <v>4114.0</v>
      </c>
      <c r="AN291" s="12">
        <v>0.0</v>
      </c>
      <c r="AO291" s="12"/>
      <c r="AP291" s="12">
        <v>0.0</v>
      </c>
      <c r="AQ291" s="12">
        <v>0.0</v>
      </c>
      <c r="AR291" s="12">
        <v>0.0</v>
      </c>
      <c r="AS291" s="12">
        <f t="shared" si="94"/>
        <v>4114</v>
      </c>
      <c r="AT291" s="16">
        <f t="shared" si="75"/>
        <v>15050.75</v>
      </c>
      <c r="AU291" s="18">
        <f t="shared" si="84"/>
        <v>438357.47</v>
      </c>
      <c r="AV291" s="18"/>
      <c r="AW291" s="18"/>
      <c r="AX291" s="12">
        <f t="shared" si="1"/>
        <v>15050.75</v>
      </c>
      <c r="AY291" s="12"/>
      <c r="AZ291" s="12">
        <v>3372.5</v>
      </c>
      <c r="BA291" s="18">
        <f t="shared" si="85"/>
        <v>41851.64</v>
      </c>
      <c r="BB291" s="10">
        <f t="shared" si="16"/>
        <v>543563.2628</v>
      </c>
      <c r="BC291" s="16">
        <f t="shared" si="88"/>
        <v>88727.44545</v>
      </c>
      <c r="BD291" s="16"/>
      <c r="BE291" s="16"/>
      <c r="BF291" s="6"/>
      <c r="BG291" s="6"/>
      <c r="BH291" s="6"/>
      <c r="BI291" s="29">
        <f t="shared" si="83"/>
        <v>16786.33194</v>
      </c>
      <c r="BJ291" s="6"/>
      <c r="BK291" s="15">
        <f t="shared" si="76"/>
        <v>0.8966074338</v>
      </c>
      <c r="BN291" s="16">
        <f t="shared" si="14"/>
        <v>-1735.581935</v>
      </c>
      <c r="BO291" s="16">
        <f t="shared" si="86"/>
        <v>18699.17161</v>
      </c>
      <c r="BY291" s="6">
        <f t="shared" si="2"/>
        <v>2024</v>
      </c>
      <c r="BZ291" s="6" t="str">
        <f t="shared" si="3"/>
        <v>julio</v>
      </c>
      <c r="CA291" s="6" t="str">
        <f t="shared" si="4"/>
        <v>7</v>
      </c>
    </row>
    <row r="292">
      <c r="A292" s="8">
        <v>45499.0</v>
      </c>
      <c r="B292" s="12">
        <v>9524.81</v>
      </c>
      <c r="C292" s="12">
        <v>402.77</v>
      </c>
      <c r="D292" s="12"/>
      <c r="E292" s="12">
        <v>0.0</v>
      </c>
      <c r="F292" s="12">
        <v>0.0</v>
      </c>
      <c r="G292" s="12">
        <v>0.0</v>
      </c>
      <c r="H292" s="12">
        <f t="shared" si="89"/>
        <v>9927.58</v>
      </c>
      <c r="I292" s="12">
        <v>11213.0</v>
      </c>
      <c r="J292" s="12">
        <v>1859.78</v>
      </c>
      <c r="K292" s="12"/>
      <c r="L292" s="12">
        <v>0.0</v>
      </c>
      <c r="M292" s="12">
        <v>0.0</v>
      </c>
      <c r="N292" s="12">
        <v>0.0</v>
      </c>
      <c r="O292" s="16">
        <f t="shared" si="90"/>
        <v>13072.78</v>
      </c>
      <c r="P292" s="12">
        <v>1684.03</v>
      </c>
      <c r="Q292" s="12">
        <v>372.35</v>
      </c>
      <c r="R292" s="12"/>
      <c r="S292" s="12">
        <v>0.0</v>
      </c>
      <c r="T292" s="12">
        <v>0.0</v>
      </c>
      <c r="U292" s="12">
        <v>0.0</v>
      </c>
      <c r="V292" s="16">
        <f t="shared" si="91"/>
        <v>2056.38</v>
      </c>
      <c r="W292" s="12">
        <v>3239.54</v>
      </c>
      <c r="X292" s="12">
        <v>38.19</v>
      </c>
      <c r="Y292" s="12"/>
      <c r="Z292" s="12">
        <v>0.0</v>
      </c>
      <c r="AA292" s="12">
        <v>0.0</v>
      </c>
      <c r="AB292" s="12">
        <v>0.0</v>
      </c>
      <c r="AC292" s="16">
        <f t="shared" si="92"/>
        <v>3277.73</v>
      </c>
      <c r="AD292" s="12"/>
      <c r="AE292" s="12"/>
      <c r="AF292" s="12">
        <v>615.29</v>
      </c>
      <c r="AG292" s="12">
        <v>0.0</v>
      </c>
      <c r="AH292" s="12"/>
      <c r="AI292" s="12">
        <v>0.0</v>
      </c>
      <c r="AJ292" s="12">
        <v>0.0</v>
      </c>
      <c r="AK292" s="12">
        <v>0.0</v>
      </c>
      <c r="AL292" s="12">
        <f t="shared" si="93"/>
        <v>615.29</v>
      </c>
      <c r="AM292" s="12">
        <v>3094.0</v>
      </c>
      <c r="AN292" s="12">
        <v>0.0</v>
      </c>
      <c r="AO292" s="12"/>
      <c r="AP292" s="12">
        <v>0.0</v>
      </c>
      <c r="AQ292" s="12">
        <v>0.0</v>
      </c>
      <c r="AR292" s="12">
        <v>0.0</v>
      </c>
      <c r="AS292" s="12">
        <f t="shared" si="94"/>
        <v>3094</v>
      </c>
      <c r="AT292" s="16">
        <f t="shared" si="75"/>
        <v>22116.18</v>
      </c>
      <c r="AU292" s="18">
        <f t="shared" si="84"/>
        <v>460473.65</v>
      </c>
      <c r="AV292" s="18"/>
      <c r="AW292" s="18"/>
      <c r="AX292" s="12">
        <f t="shared" si="1"/>
        <v>22116.18</v>
      </c>
      <c r="AY292" s="12"/>
      <c r="AZ292" s="12">
        <v>0.0</v>
      </c>
      <c r="BA292" s="18">
        <f t="shared" si="85"/>
        <v>41851.64</v>
      </c>
      <c r="BB292" s="10">
        <f t="shared" si="16"/>
        <v>549026.275</v>
      </c>
      <c r="BC292" s="16">
        <f t="shared" si="88"/>
        <v>88488.29348</v>
      </c>
      <c r="BD292" s="16"/>
      <c r="BE292" s="16"/>
      <c r="BF292" s="6"/>
      <c r="BG292" s="6"/>
      <c r="BH292" s="6"/>
      <c r="BI292" s="29">
        <f t="shared" si="83"/>
        <v>16786.33194</v>
      </c>
      <c r="BK292" s="15">
        <f t="shared" si="76"/>
        <v>1.31751118</v>
      </c>
      <c r="BN292" s="16">
        <f t="shared" si="14"/>
        <v>5329.848065</v>
      </c>
      <c r="BO292" s="16">
        <f t="shared" si="86"/>
        <v>24029.01968</v>
      </c>
      <c r="BY292" s="6">
        <f t="shared" si="2"/>
        <v>2024</v>
      </c>
      <c r="BZ292" s="6" t="str">
        <f t="shared" si="3"/>
        <v>julio</v>
      </c>
      <c r="CA292" s="6" t="str">
        <f t="shared" si="4"/>
        <v>7</v>
      </c>
    </row>
    <row r="293">
      <c r="A293" s="8">
        <v>45500.0</v>
      </c>
      <c r="B293" s="16"/>
      <c r="C293" s="16"/>
      <c r="D293" s="16"/>
      <c r="E293" s="16"/>
      <c r="F293" s="16"/>
      <c r="G293" s="16"/>
      <c r="H293" s="12">
        <f t="shared" si="89"/>
        <v>0</v>
      </c>
      <c r="I293" s="16"/>
      <c r="J293" s="16"/>
      <c r="K293" s="16"/>
      <c r="L293" s="16"/>
      <c r="M293" s="16"/>
      <c r="N293" s="16"/>
      <c r="O293" s="16">
        <f t="shared" si="90"/>
        <v>0</v>
      </c>
      <c r="P293" s="16"/>
      <c r="Q293" s="16"/>
      <c r="R293" s="16"/>
      <c r="S293" s="16"/>
      <c r="T293" s="16"/>
      <c r="U293" s="16"/>
      <c r="V293" s="16">
        <f t="shared" si="91"/>
        <v>0</v>
      </c>
      <c r="W293" s="16"/>
      <c r="X293" s="16"/>
      <c r="Y293" s="16"/>
      <c r="Z293" s="16"/>
      <c r="AA293" s="16"/>
      <c r="AB293" s="16"/>
      <c r="AC293" s="16">
        <f t="shared" si="92"/>
        <v>0</v>
      </c>
      <c r="AD293" s="16"/>
      <c r="AE293" s="16"/>
      <c r="AF293" s="16"/>
      <c r="AG293" s="16"/>
      <c r="AH293" s="16"/>
      <c r="AI293" s="16"/>
      <c r="AJ293" s="16"/>
      <c r="AK293" s="16"/>
      <c r="AL293" s="12">
        <f t="shared" si="93"/>
        <v>0</v>
      </c>
      <c r="AM293" s="16"/>
      <c r="AN293" s="16"/>
      <c r="AO293" s="16"/>
      <c r="AP293" s="16"/>
      <c r="AQ293" s="16"/>
      <c r="AR293" s="16"/>
      <c r="AS293" s="12">
        <f t="shared" si="94"/>
        <v>0</v>
      </c>
      <c r="AT293" s="16">
        <f t="shared" si="75"/>
        <v>0</v>
      </c>
      <c r="AU293" s="18">
        <f t="shared" si="84"/>
        <v>460473.65</v>
      </c>
      <c r="AV293" s="18"/>
      <c r="AW293" s="18"/>
      <c r="AX293" s="12">
        <f t="shared" si="1"/>
        <v>0</v>
      </c>
      <c r="AY293" s="12"/>
      <c r="AZ293" s="12">
        <v>0.0</v>
      </c>
      <c r="BA293" s="18">
        <f t="shared" si="85"/>
        <v>41851.64</v>
      </c>
      <c r="BB293" s="10">
        <f t="shared" si="16"/>
        <v>528691.9685</v>
      </c>
      <c r="BC293" s="16">
        <f t="shared" si="88"/>
        <v>88188.9</v>
      </c>
      <c r="BD293" s="16"/>
      <c r="BE293" s="16"/>
      <c r="BF293" s="6"/>
      <c r="BG293" s="6"/>
      <c r="BH293" s="6"/>
      <c r="BI293" s="29">
        <f t="shared" si="83"/>
        <v>16786.33194</v>
      </c>
      <c r="BJ293" s="6"/>
      <c r="BK293" s="15">
        <f t="shared" si="76"/>
        <v>0</v>
      </c>
      <c r="BN293" s="16">
        <f t="shared" si="14"/>
        <v>-16786.33194</v>
      </c>
      <c r="BO293" s="16">
        <f t="shared" si="86"/>
        <v>7242.687742</v>
      </c>
      <c r="BY293" s="6">
        <f t="shared" si="2"/>
        <v>2024</v>
      </c>
      <c r="BZ293" s="6" t="str">
        <f t="shared" si="3"/>
        <v>julio</v>
      </c>
      <c r="CA293" s="6" t="str">
        <f t="shared" si="4"/>
        <v>7</v>
      </c>
    </row>
    <row r="294">
      <c r="A294" s="8">
        <v>45501.0</v>
      </c>
      <c r="B294" s="16"/>
      <c r="C294" s="16"/>
      <c r="D294" s="16"/>
      <c r="E294" s="16"/>
      <c r="F294" s="16"/>
      <c r="G294" s="16"/>
      <c r="H294" s="12">
        <f t="shared" si="89"/>
        <v>0</v>
      </c>
      <c r="I294" s="16"/>
      <c r="J294" s="16"/>
      <c r="K294" s="16"/>
      <c r="L294" s="16"/>
      <c r="M294" s="16"/>
      <c r="N294" s="16"/>
      <c r="O294" s="16">
        <f t="shared" si="90"/>
        <v>0</v>
      </c>
      <c r="P294" s="16"/>
      <c r="Q294" s="16"/>
      <c r="R294" s="16"/>
      <c r="S294" s="16"/>
      <c r="T294" s="16"/>
      <c r="U294" s="16"/>
      <c r="V294" s="16">
        <f t="shared" si="91"/>
        <v>0</v>
      </c>
      <c r="W294" s="16"/>
      <c r="X294" s="16"/>
      <c r="Y294" s="16"/>
      <c r="Z294" s="16"/>
      <c r="AA294" s="16"/>
      <c r="AB294" s="16"/>
      <c r="AC294" s="16">
        <f t="shared" si="92"/>
        <v>0</v>
      </c>
      <c r="AD294" s="16"/>
      <c r="AE294" s="16"/>
      <c r="AF294" s="16"/>
      <c r="AG294" s="16"/>
      <c r="AH294" s="16"/>
      <c r="AI294" s="16"/>
      <c r="AJ294" s="16"/>
      <c r="AK294" s="16"/>
      <c r="AL294" s="12">
        <f t="shared" si="93"/>
        <v>0</v>
      </c>
      <c r="AM294" s="16"/>
      <c r="AN294" s="16"/>
      <c r="AO294" s="16"/>
      <c r="AP294" s="16"/>
      <c r="AQ294" s="16"/>
      <c r="AR294" s="16"/>
      <c r="AS294" s="12">
        <f t="shared" si="94"/>
        <v>0</v>
      </c>
      <c r="AT294" s="16">
        <f t="shared" si="75"/>
        <v>0</v>
      </c>
      <c r="AU294" s="18">
        <f t="shared" si="84"/>
        <v>460473.65</v>
      </c>
      <c r="AV294" s="18"/>
      <c r="AW294" s="18"/>
      <c r="AX294" s="12">
        <f t="shared" si="1"/>
        <v>0</v>
      </c>
      <c r="AY294" s="12"/>
      <c r="AZ294" s="12">
        <v>0.0</v>
      </c>
      <c r="BA294" s="18">
        <f t="shared" si="85"/>
        <v>41851.64</v>
      </c>
      <c r="BB294" s="10">
        <f t="shared" si="16"/>
        <v>509810.1125</v>
      </c>
      <c r="BC294" s="16">
        <f t="shared" si="88"/>
        <v>87671.494</v>
      </c>
      <c r="BD294" s="16"/>
      <c r="BE294" s="16"/>
      <c r="BF294" s="6"/>
      <c r="BG294" s="6"/>
      <c r="BH294" s="6"/>
      <c r="BI294" s="29">
        <f t="shared" si="83"/>
        <v>16786.33194</v>
      </c>
      <c r="BJ294" s="6"/>
      <c r="BK294" s="15">
        <f t="shared" si="76"/>
        <v>0</v>
      </c>
      <c r="BN294" s="16">
        <f t="shared" si="14"/>
        <v>-16786.33194</v>
      </c>
      <c r="BO294" s="16">
        <f t="shared" si="86"/>
        <v>-9543.644194</v>
      </c>
      <c r="BY294" s="6">
        <f t="shared" si="2"/>
        <v>2024</v>
      </c>
      <c r="BZ294" s="6" t="str">
        <f t="shared" si="3"/>
        <v>julio</v>
      </c>
      <c r="CA294" s="6" t="str">
        <f t="shared" si="4"/>
        <v>7</v>
      </c>
    </row>
    <row r="295">
      <c r="A295" s="8">
        <v>45502.0</v>
      </c>
      <c r="B295" s="12">
        <v>21617.46</v>
      </c>
      <c r="C295" s="12">
        <v>1419.61</v>
      </c>
      <c r="D295" s="12"/>
      <c r="E295" s="12">
        <v>1771.75</v>
      </c>
      <c r="F295" s="12">
        <v>0.0</v>
      </c>
      <c r="G295" s="12">
        <v>0.0</v>
      </c>
      <c r="H295" s="12">
        <f t="shared" si="89"/>
        <v>24808.82</v>
      </c>
      <c r="I295" s="12">
        <v>3126.1</v>
      </c>
      <c r="J295" s="12">
        <v>1707.92</v>
      </c>
      <c r="K295" s="12"/>
      <c r="L295" s="12">
        <v>428.48</v>
      </c>
      <c r="M295" s="12">
        <v>0.0</v>
      </c>
      <c r="N295" s="12">
        <v>0.0</v>
      </c>
      <c r="O295" s="16">
        <f>+N295+M295+L295+$J$295+$I$295</f>
        <v>5262.5</v>
      </c>
      <c r="P295" s="12">
        <v>4530.67</v>
      </c>
      <c r="Q295" s="12">
        <v>352.13</v>
      </c>
      <c r="R295" s="12"/>
      <c r="S295" s="12">
        <v>0.0</v>
      </c>
      <c r="T295" s="12">
        <v>0.0</v>
      </c>
      <c r="U295" s="12">
        <v>0.0</v>
      </c>
      <c r="V295" s="16">
        <f t="shared" si="91"/>
        <v>4882.8</v>
      </c>
      <c r="W295" s="12">
        <v>6909.53</v>
      </c>
      <c r="X295" s="12">
        <v>0.0</v>
      </c>
      <c r="Y295" s="12"/>
      <c r="Z295" s="12">
        <v>0.0</v>
      </c>
      <c r="AA295" s="12">
        <v>0.0</v>
      </c>
      <c r="AB295" s="12">
        <v>0.0</v>
      </c>
      <c r="AC295" s="16">
        <f t="shared" si="92"/>
        <v>6909.53</v>
      </c>
      <c r="AD295" s="12"/>
      <c r="AE295" s="12"/>
      <c r="AF295" s="12">
        <v>6237.37</v>
      </c>
      <c r="AG295" s="12">
        <v>0.0</v>
      </c>
      <c r="AH295" s="12"/>
      <c r="AI295" s="12">
        <v>0.0</v>
      </c>
      <c r="AJ295" s="12">
        <v>0.0</v>
      </c>
      <c r="AK295" s="12">
        <v>0.0</v>
      </c>
      <c r="AL295" s="12">
        <f t="shared" si="93"/>
        <v>6237.37</v>
      </c>
      <c r="AM295" s="12">
        <v>10813.0</v>
      </c>
      <c r="AN295" s="12">
        <v>0.0</v>
      </c>
      <c r="AO295" s="12"/>
      <c r="AP295" s="12">
        <v>0.0</v>
      </c>
      <c r="AQ295" s="12">
        <v>0.0</v>
      </c>
      <c r="AR295" s="12">
        <v>0.0</v>
      </c>
      <c r="AS295" s="12">
        <f t="shared" si="94"/>
        <v>10813</v>
      </c>
      <c r="AT295" s="16">
        <f t="shared" si="75"/>
        <v>34105.2</v>
      </c>
      <c r="AU295" s="18">
        <f t="shared" si="84"/>
        <v>494578.85</v>
      </c>
      <c r="AV295" s="18"/>
      <c r="AW295" s="18"/>
      <c r="AX295" s="12">
        <f t="shared" si="1"/>
        <v>34105.2</v>
      </c>
      <c r="AY295" s="12"/>
      <c r="AZ295" s="12">
        <v>2157.96</v>
      </c>
      <c r="BA295" s="18">
        <f t="shared" si="85"/>
        <v>44009.6</v>
      </c>
      <c r="BB295" s="10">
        <f t="shared" si="16"/>
        <v>528687.7362</v>
      </c>
      <c r="BC295" s="16">
        <f t="shared" si="88"/>
        <v>88552.625</v>
      </c>
      <c r="BD295" s="16"/>
      <c r="BE295" s="16"/>
      <c r="BF295" s="6"/>
      <c r="BG295" s="6"/>
      <c r="BH295" s="6"/>
      <c r="BI295" s="29">
        <f t="shared" si="83"/>
        <v>16786.33194</v>
      </c>
      <c r="BK295" s="15">
        <f t="shared" si="76"/>
        <v>2.031724389</v>
      </c>
      <c r="BN295" s="16">
        <f t="shared" si="14"/>
        <v>17318.86806</v>
      </c>
      <c r="BO295" s="16">
        <f t="shared" si="86"/>
        <v>7775.223871</v>
      </c>
      <c r="BY295" s="6">
        <f t="shared" si="2"/>
        <v>2024</v>
      </c>
      <c r="BZ295" s="6" t="str">
        <f t="shared" si="3"/>
        <v>julio</v>
      </c>
      <c r="CA295" s="6" t="str">
        <f t="shared" si="4"/>
        <v>7</v>
      </c>
    </row>
    <row r="296">
      <c r="A296" s="8">
        <v>45503.0</v>
      </c>
      <c r="B296" s="12">
        <v>36942.17</v>
      </c>
      <c r="C296" s="12">
        <v>1769.06</v>
      </c>
      <c r="D296" s="12"/>
      <c r="E296" s="12">
        <v>0.0</v>
      </c>
      <c r="F296" s="12">
        <v>0.0</v>
      </c>
      <c r="G296" s="12">
        <v>0.0</v>
      </c>
      <c r="H296" s="12">
        <f t="shared" si="89"/>
        <v>38711.23</v>
      </c>
      <c r="I296" s="12">
        <v>32459.0</v>
      </c>
      <c r="J296" s="12">
        <v>708.68</v>
      </c>
      <c r="K296" s="12"/>
      <c r="L296" s="12">
        <v>0.0</v>
      </c>
      <c r="M296" s="12">
        <v>0.0</v>
      </c>
      <c r="N296" s="12">
        <v>0.0</v>
      </c>
      <c r="O296" s="16">
        <f>+N296+M296+L296+$J$296+$I$296</f>
        <v>33167.68</v>
      </c>
      <c r="P296" s="12">
        <v>11000.15</v>
      </c>
      <c r="Q296" s="12">
        <v>715.57</v>
      </c>
      <c r="R296" s="12"/>
      <c r="S296" s="12">
        <v>0.0</v>
      </c>
      <c r="T296" s="12">
        <v>0.0</v>
      </c>
      <c r="U296" s="12">
        <v>0.0</v>
      </c>
      <c r="V296" s="16">
        <f t="shared" si="91"/>
        <v>11715.72</v>
      </c>
      <c r="W296" s="12">
        <v>56.11</v>
      </c>
      <c r="X296" s="12">
        <v>0.03</v>
      </c>
      <c r="Y296" s="12"/>
      <c r="Z296" s="12">
        <v>0.0</v>
      </c>
      <c r="AA296" s="12">
        <v>0.0</v>
      </c>
      <c r="AB296" s="12">
        <v>0.0</v>
      </c>
      <c r="AC296" s="16">
        <f t="shared" si="92"/>
        <v>56.14</v>
      </c>
      <c r="AD296" s="12"/>
      <c r="AE296" s="12"/>
      <c r="AF296" s="12">
        <v>2343.18</v>
      </c>
      <c r="AG296" s="12">
        <v>0.0</v>
      </c>
      <c r="AH296" s="12"/>
      <c r="AI296" s="12">
        <v>0.0</v>
      </c>
      <c r="AJ296" s="12">
        <v>0.0</v>
      </c>
      <c r="AK296" s="12">
        <v>0.0</v>
      </c>
      <c r="AL296" s="12">
        <f t="shared" si="93"/>
        <v>2343.18</v>
      </c>
      <c r="AM296" s="12">
        <v>0.0</v>
      </c>
      <c r="AN296" s="12">
        <v>0.0</v>
      </c>
      <c r="AO296" s="12"/>
      <c r="AP296" s="12">
        <v>0.0</v>
      </c>
      <c r="AQ296" s="12">
        <v>0.0</v>
      </c>
      <c r="AR296" s="12">
        <v>0.0</v>
      </c>
      <c r="AS296" s="12">
        <f t="shared" si="94"/>
        <v>0</v>
      </c>
      <c r="AT296" s="16">
        <f t="shared" si="75"/>
        <v>47282.72</v>
      </c>
      <c r="AU296" s="18">
        <f t="shared" si="84"/>
        <v>541861.57</v>
      </c>
      <c r="AV296" s="18"/>
      <c r="AW296" s="18"/>
      <c r="AX296" s="12">
        <f t="shared" si="1"/>
        <v>47282.72</v>
      </c>
      <c r="AY296" s="12"/>
      <c r="AZ296" s="12">
        <v>2828.16</v>
      </c>
      <c r="BA296" s="18">
        <f t="shared" si="85"/>
        <v>46837.76</v>
      </c>
      <c r="BB296" s="10">
        <f t="shared" si="16"/>
        <v>559923.6223</v>
      </c>
      <c r="BC296" s="16">
        <f t="shared" si="88"/>
        <v>85272.89815</v>
      </c>
      <c r="BD296" s="16"/>
      <c r="BE296" s="16"/>
      <c r="BF296" s="6"/>
      <c r="BG296" s="6"/>
      <c r="BH296" s="6"/>
      <c r="BI296" s="29">
        <f t="shared" si="83"/>
        <v>16786.33194</v>
      </c>
      <c r="BK296" s="15">
        <f t="shared" si="76"/>
        <v>2.816739248</v>
      </c>
      <c r="BN296" s="16">
        <f t="shared" si="14"/>
        <v>30496.38806</v>
      </c>
      <c r="BO296" s="16">
        <f t="shared" si="86"/>
        <v>38271.61194</v>
      </c>
      <c r="BY296" s="6">
        <f t="shared" si="2"/>
        <v>2024</v>
      </c>
      <c r="BZ296" s="6" t="str">
        <f t="shared" si="3"/>
        <v>julio</v>
      </c>
      <c r="CA296" s="6" t="str">
        <f t="shared" si="4"/>
        <v>7</v>
      </c>
    </row>
    <row r="297">
      <c r="A297" s="8">
        <v>45504.0</v>
      </c>
      <c r="B297" s="12">
        <f>37890.95+5389.49+740.82+6585.04</f>
        <v>50606.3</v>
      </c>
      <c r="C297" s="12">
        <f>3142.47+426.05+2111.02</f>
        <v>5679.54</v>
      </c>
      <c r="D297" s="12"/>
      <c r="E297" s="12">
        <v>0.0</v>
      </c>
      <c r="F297" s="12">
        <v>0.0</v>
      </c>
      <c r="G297" s="12">
        <v>0.0</v>
      </c>
      <c r="H297" s="12">
        <f t="shared" si="89"/>
        <v>56285.84</v>
      </c>
      <c r="I297" s="12">
        <f>24578+2845+853.39+2456.15+317.59</f>
        <v>31050.13</v>
      </c>
      <c r="J297" s="12">
        <f>6268.63+2511.44+2739.8</f>
        <v>11519.87</v>
      </c>
      <c r="K297" s="12"/>
      <c r="L297" s="12">
        <v>0.0</v>
      </c>
      <c r="M297" s="12">
        <v>0.0</v>
      </c>
      <c r="N297" s="12">
        <v>0.0</v>
      </c>
      <c r="O297" s="16">
        <f>+N297+M297+L297+$J$297+$I$297</f>
        <v>42570</v>
      </c>
      <c r="P297" s="12">
        <f>12467.4+1805.49+196.75+1345.88</f>
        <v>15815.52</v>
      </c>
      <c r="Q297" s="12">
        <f>1135.48+171.02</f>
        <v>1306.5</v>
      </c>
      <c r="R297" s="12"/>
      <c r="S297" s="12">
        <v>0.0</v>
      </c>
      <c r="T297" s="12">
        <v>0.0</v>
      </c>
      <c r="U297" s="12">
        <v>0.0</v>
      </c>
      <c r="V297" s="16">
        <f t="shared" si="91"/>
        <v>17122.02</v>
      </c>
      <c r="W297" s="12">
        <f>14132.08+35.95+300.69</f>
        <v>14468.72</v>
      </c>
      <c r="X297" s="12">
        <v>7.4</v>
      </c>
      <c r="Y297" s="12"/>
      <c r="Z297" s="12">
        <v>0.0</v>
      </c>
      <c r="AA297" s="12">
        <v>0.0</v>
      </c>
      <c r="AB297" s="12">
        <v>0.0</v>
      </c>
      <c r="AC297" s="16">
        <f t="shared" si="92"/>
        <v>14476.12</v>
      </c>
      <c r="AD297" s="12"/>
      <c r="AE297" s="12"/>
      <c r="AF297" s="12">
        <f>3820.59+577.09+2990.37</f>
        <v>7388.05</v>
      </c>
      <c r="AG297" s="12">
        <f>90.38+387.99</f>
        <v>478.37</v>
      </c>
      <c r="AH297" s="12"/>
      <c r="AI297" s="12">
        <v>0.0</v>
      </c>
      <c r="AJ297" s="12">
        <v>0.0</v>
      </c>
      <c r="AK297" s="12">
        <v>0.0</v>
      </c>
      <c r="AL297" s="12">
        <f t="shared" si="93"/>
        <v>7866.42</v>
      </c>
      <c r="AM297" s="12">
        <v>18589.0</v>
      </c>
      <c r="AN297" s="12">
        <v>0.0</v>
      </c>
      <c r="AO297" s="12"/>
      <c r="AP297" s="12">
        <v>0.0</v>
      </c>
      <c r="AQ297" s="12">
        <v>0.0</v>
      </c>
      <c r="AR297" s="12">
        <v>0.0</v>
      </c>
      <c r="AS297" s="12">
        <f t="shared" si="94"/>
        <v>18589</v>
      </c>
      <c r="AT297" s="16">
        <f t="shared" si="75"/>
        <v>100623.56</v>
      </c>
      <c r="AU297" s="18">
        <f t="shared" si="84"/>
        <v>642485.13</v>
      </c>
      <c r="AV297" s="18"/>
      <c r="AW297" s="18"/>
      <c r="AX297" s="12">
        <f t="shared" si="1"/>
        <v>100623.56</v>
      </c>
      <c r="AY297" s="12"/>
      <c r="AZ297" s="12">
        <v>3189.68</v>
      </c>
      <c r="BA297" s="18">
        <f t="shared" si="85"/>
        <v>50027.44</v>
      </c>
      <c r="BB297" s="10">
        <f t="shared" si="16"/>
        <v>642485.13</v>
      </c>
      <c r="BC297" s="16">
        <f t="shared" si="88"/>
        <v>82227.4375</v>
      </c>
      <c r="BD297" s="16"/>
      <c r="BE297" s="16"/>
      <c r="BF297" s="6"/>
      <c r="BG297" s="6"/>
      <c r="BH297" s="6"/>
      <c r="BI297" s="29">
        <f t="shared" si="83"/>
        <v>16786.33194</v>
      </c>
      <c r="BK297" s="15">
        <f t="shared" si="76"/>
        <v>5.994374494</v>
      </c>
      <c r="BN297" s="16">
        <f t="shared" si="14"/>
        <v>83837.22806</v>
      </c>
      <c r="BO297" s="16">
        <f t="shared" si="86"/>
        <v>122108.84</v>
      </c>
      <c r="BY297" s="6">
        <f t="shared" si="2"/>
        <v>2024</v>
      </c>
      <c r="BZ297" s="6" t="str">
        <f t="shared" si="3"/>
        <v>julio</v>
      </c>
      <c r="CA297" s="6" t="str">
        <f t="shared" si="4"/>
        <v>7</v>
      </c>
    </row>
    <row r="298">
      <c r="A298" s="8">
        <v>45505.0</v>
      </c>
      <c r="B298" s="12">
        <v>2123.12</v>
      </c>
      <c r="C298" s="12">
        <v>1000.0</v>
      </c>
      <c r="D298" s="12"/>
      <c r="E298" s="12">
        <v>0.0</v>
      </c>
      <c r="F298" s="12">
        <v>0.0</v>
      </c>
      <c r="G298" s="12">
        <v>0.0</v>
      </c>
      <c r="H298" s="12">
        <f t="shared" si="89"/>
        <v>3123.12</v>
      </c>
      <c r="I298" s="12">
        <v>745.0</v>
      </c>
      <c r="J298" s="12">
        <v>600.0</v>
      </c>
      <c r="K298" s="12"/>
      <c r="L298" s="12">
        <v>0.0</v>
      </c>
      <c r="M298" s="12">
        <v>0.0</v>
      </c>
      <c r="N298" s="12">
        <v>0.0</v>
      </c>
      <c r="O298" s="16">
        <f>+N298+M298+L298+J298+$I$298</f>
        <v>1345</v>
      </c>
      <c r="P298" s="12">
        <v>123.0</v>
      </c>
      <c r="Q298" s="12">
        <v>100.0</v>
      </c>
      <c r="R298" s="12"/>
      <c r="S298" s="12">
        <v>0.0</v>
      </c>
      <c r="T298" s="12">
        <v>0.0</v>
      </c>
      <c r="U298" s="12">
        <v>0.0</v>
      </c>
      <c r="V298" s="16">
        <f t="shared" si="91"/>
        <v>223</v>
      </c>
      <c r="W298" s="12">
        <v>15.0</v>
      </c>
      <c r="X298" s="12">
        <v>0.0</v>
      </c>
      <c r="Y298" s="12"/>
      <c r="Z298" s="12">
        <v>0.0</v>
      </c>
      <c r="AA298" s="12">
        <v>0.0</v>
      </c>
      <c r="AB298" s="12">
        <v>0.0</v>
      </c>
      <c r="AC298" s="16">
        <f t="shared" si="92"/>
        <v>15</v>
      </c>
      <c r="AD298" s="12"/>
      <c r="AE298" s="12"/>
      <c r="AF298" s="12">
        <v>0.0</v>
      </c>
      <c r="AG298" s="12">
        <v>0.0</v>
      </c>
      <c r="AH298" s="12"/>
      <c r="AI298" s="12">
        <v>0.0</v>
      </c>
      <c r="AJ298" s="12">
        <v>0.0</v>
      </c>
      <c r="AK298" s="12">
        <v>0.0</v>
      </c>
      <c r="AL298" s="12">
        <f t="shared" si="93"/>
        <v>0</v>
      </c>
      <c r="AM298" s="12">
        <v>0.0</v>
      </c>
      <c r="AN298" s="12">
        <v>0.0</v>
      </c>
      <c r="AO298" s="12"/>
      <c r="AP298" s="12">
        <v>0.0</v>
      </c>
      <c r="AQ298" s="12">
        <v>0.0</v>
      </c>
      <c r="AR298" s="12">
        <v>0.0</v>
      </c>
      <c r="AS298" s="12">
        <f t="shared" si="94"/>
        <v>0</v>
      </c>
      <c r="AT298" s="16">
        <f t="shared" si="75"/>
        <v>1583</v>
      </c>
      <c r="AU298" s="18">
        <f>IF(AT298="","",AT298)</f>
        <v>1583</v>
      </c>
      <c r="AV298" s="18"/>
      <c r="AW298" s="18"/>
      <c r="AX298" s="12">
        <f t="shared" si="1"/>
        <v>1583</v>
      </c>
      <c r="AY298" s="12"/>
      <c r="AZ298" s="12">
        <v>200.0</v>
      </c>
      <c r="BA298" s="18">
        <f>IF(AZ298="","",AZ298)</f>
        <v>200</v>
      </c>
      <c r="BB298" s="10">
        <f t="shared" si="16"/>
        <v>49073</v>
      </c>
      <c r="BC298" s="16">
        <f t="shared" si="88"/>
        <v>85272.21552</v>
      </c>
      <c r="BD298" s="16"/>
      <c r="BE298" s="16"/>
      <c r="BF298" s="6"/>
      <c r="BG298" s="12">
        <v>631243.19</v>
      </c>
      <c r="BH298" s="6"/>
      <c r="BI298" s="29">
        <f t="shared" ref="BI298:BI328" si="95">IF(AT298="","",$BG$298/DAY(EOMONTH(A298,0)))</f>
        <v>20362.68355</v>
      </c>
      <c r="BJ298" s="6"/>
      <c r="BK298" s="15">
        <f t="shared" si="76"/>
        <v>0.07774024461</v>
      </c>
      <c r="BN298" s="16">
        <f t="shared" si="14"/>
        <v>-18779.68355</v>
      </c>
      <c r="BO298" s="16">
        <f>IF(AT298="","",BN298)</f>
        <v>-18779.68355</v>
      </c>
      <c r="BQ298" s="12">
        <v>5815.54</v>
      </c>
      <c r="BR298" s="12">
        <v>5488.62</v>
      </c>
      <c r="BS298" s="12">
        <v>1709.26</v>
      </c>
      <c r="BT298" s="12">
        <v>0.0</v>
      </c>
      <c r="BU298" s="12">
        <v>90.38</v>
      </c>
      <c r="BV298" s="12">
        <v>0.0</v>
      </c>
      <c r="BW298" s="16">
        <f t="shared" ref="BW298:BW299" si="96">BV298+BU298+BT298+BS298+BR298</f>
        <v>7288.26</v>
      </c>
      <c r="BY298" s="6">
        <f t="shared" si="2"/>
        <v>2024</v>
      </c>
      <c r="BZ298" s="6" t="str">
        <f t="shared" si="3"/>
        <v>agosto</v>
      </c>
      <c r="CA298" s="6" t="str">
        <f t="shared" si="4"/>
        <v>8</v>
      </c>
    </row>
    <row r="299">
      <c r="A299" s="8">
        <v>45506.0</v>
      </c>
      <c r="B299" s="12">
        <v>1253.0</v>
      </c>
      <c r="C299" s="12">
        <v>956.0</v>
      </c>
      <c r="D299" s="12"/>
      <c r="E299" s="12">
        <v>0.0</v>
      </c>
      <c r="F299" s="12">
        <v>0.0</v>
      </c>
      <c r="G299" s="12">
        <v>0.0</v>
      </c>
      <c r="H299" s="12">
        <f t="shared" si="89"/>
        <v>2209</v>
      </c>
      <c r="I299" s="12">
        <v>1000.0</v>
      </c>
      <c r="J299" s="12">
        <v>500.0</v>
      </c>
      <c r="K299" s="12"/>
      <c r="L299" s="12">
        <v>0.0</v>
      </c>
      <c r="M299" s="12">
        <v>0.0</v>
      </c>
      <c r="N299" s="12">
        <v>0.0</v>
      </c>
      <c r="O299" s="16">
        <f t="shared" ref="O299:O450" si="97">+N299+M299+L299+J299+I299</f>
        <v>1500</v>
      </c>
      <c r="P299" s="12">
        <v>250.0</v>
      </c>
      <c r="Q299" s="12">
        <v>200.0</v>
      </c>
      <c r="R299" s="12"/>
      <c r="S299" s="12">
        <v>0.0</v>
      </c>
      <c r="T299" s="12">
        <v>0.0</v>
      </c>
      <c r="U299" s="12">
        <v>0.0</v>
      </c>
      <c r="V299" s="16">
        <f t="shared" si="91"/>
        <v>450</v>
      </c>
      <c r="W299" s="12">
        <v>0.0</v>
      </c>
      <c r="X299" s="12">
        <v>0.0</v>
      </c>
      <c r="Y299" s="12"/>
      <c r="Z299" s="12">
        <v>0.0</v>
      </c>
      <c r="AA299" s="12">
        <v>0.0</v>
      </c>
      <c r="AB299" s="12">
        <v>0.0</v>
      </c>
      <c r="AC299" s="16">
        <f t="shared" si="92"/>
        <v>0</v>
      </c>
      <c r="AD299" s="12"/>
      <c r="AE299" s="12"/>
      <c r="AF299" s="12">
        <v>0.0</v>
      </c>
      <c r="AG299" s="12">
        <v>0.0</v>
      </c>
      <c r="AH299" s="12"/>
      <c r="AI299" s="12">
        <v>0.0</v>
      </c>
      <c r="AJ299" s="12">
        <v>0.0</v>
      </c>
      <c r="AK299" s="12">
        <v>0.0</v>
      </c>
      <c r="AL299" s="12">
        <f t="shared" si="93"/>
        <v>0</v>
      </c>
      <c r="AM299" s="12">
        <v>0.0</v>
      </c>
      <c r="AN299" s="12">
        <v>0.0</v>
      </c>
      <c r="AO299" s="12"/>
      <c r="AP299" s="12">
        <v>0.0</v>
      </c>
      <c r="AQ299" s="12">
        <v>0.0</v>
      </c>
      <c r="AR299" s="12">
        <v>0.0</v>
      </c>
      <c r="AS299" s="12">
        <f t="shared" si="94"/>
        <v>0</v>
      </c>
      <c r="AT299" s="16">
        <f t="shared" si="75"/>
        <v>1950</v>
      </c>
      <c r="AU299" s="18">
        <f t="shared" ref="AU299:AU328" si="98">IF(AT299="","",AT299)+AU298</f>
        <v>3533</v>
      </c>
      <c r="AV299" s="18"/>
      <c r="AW299" s="18"/>
      <c r="AX299" s="12">
        <f t="shared" si="1"/>
        <v>1950</v>
      </c>
      <c r="AY299" s="12"/>
      <c r="AZ299" s="12">
        <v>0.0</v>
      </c>
      <c r="BA299" s="18">
        <f t="shared" ref="BA299:BA328" si="99">IF(AZ299="","",AZ299+BA298)</f>
        <v>200</v>
      </c>
      <c r="BB299" s="10">
        <f t="shared" si="16"/>
        <v>54761.5</v>
      </c>
      <c r="BC299" s="16">
        <f t="shared" si="88"/>
        <v>90310.26167</v>
      </c>
      <c r="BD299" s="16"/>
      <c r="BE299" s="16"/>
      <c r="BF299" s="6"/>
      <c r="BG299" s="6"/>
      <c r="BH299" s="6"/>
      <c r="BI299" s="29">
        <f t="shared" si="95"/>
        <v>20362.68355</v>
      </c>
      <c r="BJ299" s="6"/>
      <c r="BK299" s="15">
        <f t="shared" si="76"/>
        <v>0.09576340934</v>
      </c>
      <c r="BN299" s="16">
        <f t="shared" si="14"/>
        <v>-18412.68355</v>
      </c>
      <c r="BO299" s="16">
        <f t="shared" ref="BO299:BO328" si="100">IF(AT299="","",BN299+BO298)</f>
        <v>-37192.3671</v>
      </c>
      <c r="BQ299" s="12">
        <v>740.82</v>
      </c>
      <c r="BR299" s="12">
        <v>853.39</v>
      </c>
      <c r="BS299" s="12">
        <v>196.75</v>
      </c>
      <c r="BT299" s="12">
        <v>0.0</v>
      </c>
      <c r="BU299" s="12">
        <v>577.09</v>
      </c>
      <c r="BV299" s="12">
        <v>0.0</v>
      </c>
      <c r="BW299" s="16">
        <f t="shared" si="96"/>
        <v>1627.23</v>
      </c>
      <c r="BY299" s="6">
        <f t="shared" si="2"/>
        <v>2024</v>
      </c>
      <c r="BZ299" s="6" t="str">
        <f t="shared" si="3"/>
        <v>agosto</v>
      </c>
      <c r="CA299" s="6" t="str">
        <f t="shared" si="4"/>
        <v>8</v>
      </c>
    </row>
    <row r="300">
      <c r="A300" s="8">
        <v>45507.0</v>
      </c>
      <c r="B300" s="16"/>
      <c r="C300" s="16"/>
      <c r="D300" s="16"/>
      <c r="E300" s="16"/>
      <c r="F300" s="16"/>
      <c r="G300" s="16"/>
      <c r="H300" s="12">
        <f t="shared" si="89"/>
        <v>0</v>
      </c>
      <c r="I300" s="16"/>
      <c r="J300" s="16"/>
      <c r="K300" s="16"/>
      <c r="L300" s="16"/>
      <c r="M300" s="16"/>
      <c r="N300" s="16"/>
      <c r="O300" s="16">
        <f t="shared" si="97"/>
        <v>0</v>
      </c>
      <c r="P300" s="16"/>
      <c r="Q300" s="16"/>
      <c r="R300" s="16"/>
      <c r="S300" s="16"/>
      <c r="T300" s="16"/>
      <c r="U300" s="16"/>
      <c r="V300" s="16">
        <f t="shared" si="91"/>
        <v>0</v>
      </c>
      <c r="W300" s="16"/>
      <c r="X300" s="16"/>
      <c r="Y300" s="16"/>
      <c r="Z300" s="16"/>
      <c r="AA300" s="16"/>
      <c r="AB300" s="16"/>
      <c r="AC300" s="16">
        <f t="shared" si="92"/>
        <v>0</v>
      </c>
      <c r="AD300" s="16"/>
      <c r="AE300" s="16"/>
      <c r="AF300" s="16"/>
      <c r="AG300" s="16"/>
      <c r="AH300" s="16"/>
      <c r="AI300" s="16"/>
      <c r="AJ300" s="16"/>
      <c r="AK300" s="16"/>
      <c r="AL300" s="12">
        <f t="shared" si="93"/>
        <v>0</v>
      </c>
      <c r="AM300" s="16"/>
      <c r="AN300" s="16"/>
      <c r="AO300" s="16"/>
      <c r="AP300" s="16"/>
      <c r="AQ300" s="16"/>
      <c r="AR300" s="16"/>
      <c r="AS300" s="12">
        <f t="shared" si="94"/>
        <v>0</v>
      </c>
      <c r="AT300" s="16">
        <f t="shared" si="75"/>
        <v>0</v>
      </c>
      <c r="AU300" s="18">
        <f t="shared" si="98"/>
        <v>3533</v>
      </c>
      <c r="AV300" s="18"/>
      <c r="AW300" s="18"/>
      <c r="AX300" s="12">
        <f t="shared" si="1"/>
        <v>0</v>
      </c>
      <c r="AY300" s="12"/>
      <c r="AZ300" s="12">
        <v>0.0</v>
      </c>
      <c r="BA300" s="18">
        <f t="shared" si="99"/>
        <v>200</v>
      </c>
      <c r="BB300" s="10">
        <f t="shared" si="16"/>
        <v>36507.66667</v>
      </c>
      <c r="BC300" s="16">
        <f t="shared" si="88"/>
        <v>103626.6339</v>
      </c>
      <c r="BD300" s="16"/>
      <c r="BE300" s="16"/>
      <c r="BF300" s="6"/>
      <c r="BG300" s="6"/>
      <c r="BH300" s="6"/>
      <c r="BI300" s="29">
        <f t="shared" si="95"/>
        <v>20362.68355</v>
      </c>
      <c r="BJ300" s="6"/>
      <c r="BK300" s="15">
        <f t="shared" si="76"/>
        <v>0</v>
      </c>
      <c r="BN300" s="16">
        <f t="shared" si="14"/>
        <v>-20362.68355</v>
      </c>
      <c r="BO300" s="16">
        <f t="shared" si="100"/>
        <v>-57555.05065</v>
      </c>
      <c r="BQ300" s="16"/>
      <c r="BR300" s="16"/>
      <c r="BS300" s="16"/>
      <c r="BT300" s="16"/>
      <c r="BU300" s="16"/>
      <c r="BV300" s="16"/>
      <c r="BW300" s="16"/>
      <c r="BY300" s="6">
        <f t="shared" si="2"/>
        <v>2024</v>
      </c>
      <c r="BZ300" s="6" t="str">
        <f t="shared" si="3"/>
        <v>agosto</v>
      </c>
      <c r="CA300" s="6" t="str">
        <f t="shared" si="4"/>
        <v>8</v>
      </c>
    </row>
    <row r="301">
      <c r="A301" s="8">
        <v>45508.0</v>
      </c>
      <c r="B301" s="16"/>
      <c r="C301" s="16"/>
      <c r="D301" s="16"/>
      <c r="E301" s="16"/>
      <c r="F301" s="16"/>
      <c r="G301" s="16"/>
      <c r="H301" s="12">
        <f t="shared" si="89"/>
        <v>0</v>
      </c>
      <c r="I301" s="16"/>
      <c r="J301" s="16"/>
      <c r="K301" s="16"/>
      <c r="L301" s="16"/>
      <c r="M301" s="16"/>
      <c r="N301" s="16"/>
      <c r="O301" s="16">
        <f t="shared" si="97"/>
        <v>0</v>
      </c>
      <c r="P301" s="16"/>
      <c r="Q301" s="16"/>
      <c r="R301" s="16"/>
      <c r="S301" s="16"/>
      <c r="T301" s="16"/>
      <c r="U301" s="16"/>
      <c r="V301" s="16">
        <f t="shared" si="91"/>
        <v>0</v>
      </c>
      <c r="W301" s="16"/>
      <c r="X301" s="16"/>
      <c r="Y301" s="16"/>
      <c r="Z301" s="16"/>
      <c r="AA301" s="16"/>
      <c r="AB301" s="16"/>
      <c r="AC301" s="16">
        <f t="shared" si="92"/>
        <v>0</v>
      </c>
      <c r="AD301" s="16"/>
      <c r="AE301" s="16"/>
      <c r="AF301" s="16"/>
      <c r="AG301" s="16"/>
      <c r="AH301" s="16"/>
      <c r="AI301" s="16"/>
      <c r="AJ301" s="16"/>
      <c r="AK301" s="16"/>
      <c r="AL301" s="12">
        <f t="shared" si="93"/>
        <v>0</v>
      </c>
      <c r="AM301" s="16"/>
      <c r="AN301" s="16"/>
      <c r="AO301" s="16"/>
      <c r="AP301" s="16"/>
      <c r="AQ301" s="16"/>
      <c r="AR301" s="16"/>
      <c r="AS301" s="12">
        <f t="shared" si="94"/>
        <v>0</v>
      </c>
      <c r="AT301" s="16">
        <f t="shared" si="75"/>
        <v>0</v>
      </c>
      <c r="AU301" s="18">
        <f t="shared" si="98"/>
        <v>3533</v>
      </c>
      <c r="AV301" s="18"/>
      <c r="AW301" s="18"/>
      <c r="AX301" s="12">
        <f t="shared" si="1"/>
        <v>0</v>
      </c>
      <c r="AY301" s="12"/>
      <c r="AZ301" s="12">
        <v>0.0</v>
      </c>
      <c r="BA301" s="18">
        <f t="shared" si="99"/>
        <v>200</v>
      </c>
      <c r="BB301" s="10">
        <f t="shared" si="16"/>
        <v>27380.75</v>
      </c>
      <c r="BC301" s="16">
        <f t="shared" si="88"/>
        <v>7915</v>
      </c>
      <c r="BD301" s="16"/>
      <c r="BE301" s="16"/>
      <c r="BF301" s="6"/>
      <c r="BG301" s="6"/>
      <c r="BH301" s="6"/>
      <c r="BI301" s="29">
        <f t="shared" si="95"/>
        <v>20362.68355</v>
      </c>
      <c r="BJ301" s="6"/>
      <c r="BK301" s="15">
        <f t="shared" si="76"/>
        <v>0</v>
      </c>
      <c r="BN301" s="16">
        <f t="shared" si="14"/>
        <v>-20362.68355</v>
      </c>
      <c r="BO301" s="16">
        <f t="shared" si="100"/>
        <v>-77917.73419</v>
      </c>
      <c r="BQ301" s="16"/>
      <c r="BR301" s="16"/>
      <c r="BS301" s="16"/>
      <c r="BT301" s="16"/>
      <c r="BU301" s="16"/>
      <c r="BV301" s="16"/>
      <c r="BW301" s="16"/>
      <c r="BY301" s="6">
        <f t="shared" si="2"/>
        <v>2024</v>
      </c>
      <c r="BZ301" s="6" t="str">
        <f t="shared" si="3"/>
        <v>agosto</v>
      </c>
      <c r="CA301" s="6" t="str">
        <f t="shared" si="4"/>
        <v>8</v>
      </c>
    </row>
    <row r="302">
      <c r="A302" s="8">
        <v>45509.0</v>
      </c>
      <c r="B302" s="12">
        <v>1231.0</v>
      </c>
      <c r="C302" s="12">
        <v>650.0</v>
      </c>
      <c r="D302" s="12"/>
      <c r="E302" s="12">
        <v>0.0</v>
      </c>
      <c r="F302" s="12">
        <v>0.0</v>
      </c>
      <c r="G302" s="12">
        <v>0.0</v>
      </c>
      <c r="H302" s="12">
        <f t="shared" si="89"/>
        <v>1881</v>
      </c>
      <c r="I302" s="12">
        <v>1250.0</v>
      </c>
      <c r="J302" s="12">
        <v>1000.0</v>
      </c>
      <c r="K302" s="12"/>
      <c r="L302" s="12">
        <v>0.0</v>
      </c>
      <c r="M302" s="12">
        <v>0.0</v>
      </c>
      <c r="N302" s="12">
        <v>0.0</v>
      </c>
      <c r="O302" s="16">
        <f t="shared" si="97"/>
        <v>2250</v>
      </c>
      <c r="P302" s="12">
        <v>400.0</v>
      </c>
      <c r="Q302" s="12">
        <v>250.0</v>
      </c>
      <c r="R302" s="12"/>
      <c r="S302" s="12">
        <v>0.0</v>
      </c>
      <c r="T302" s="12">
        <v>0.0</v>
      </c>
      <c r="U302" s="12">
        <v>0.0</v>
      </c>
      <c r="V302" s="16">
        <f t="shared" si="91"/>
        <v>650</v>
      </c>
      <c r="W302" s="12">
        <v>50.0</v>
      </c>
      <c r="X302" s="12">
        <v>25.0</v>
      </c>
      <c r="Y302" s="12"/>
      <c r="Z302" s="12">
        <v>0.0</v>
      </c>
      <c r="AA302" s="12">
        <v>0.0</v>
      </c>
      <c r="AB302" s="12">
        <v>0.0</v>
      </c>
      <c r="AC302" s="16">
        <f t="shared" si="92"/>
        <v>75</v>
      </c>
      <c r="AD302" s="12"/>
      <c r="AE302" s="12"/>
      <c r="AF302" s="12">
        <v>0.0</v>
      </c>
      <c r="AG302" s="12">
        <v>0.0</v>
      </c>
      <c r="AH302" s="12"/>
      <c r="AI302" s="12">
        <v>0.0</v>
      </c>
      <c r="AJ302" s="12">
        <v>0.0</v>
      </c>
      <c r="AK302" s="12">
        <v>0.0</v>
      </c>
      <c r="AL302" s="12">
        <f t="shared" si="93"/>
        <v>0</v>
      </c>
      <c r="AM302" s="12">
        <v>0.0</v>
      </c>
      <c r="AN302" s="12">
        <v>0.0</v>
      </c>
      <c r="AO302" s="12"/>
      <c r="AP302" s="12">
        <v>0.0</v>
      </c>
      <c r="AQ302" s="12">
        <v>0.0</v>
      </c>
      <c r="AR302" s="12">
        <v>0.0</v>
      </c>
      <c r="AS302" s="12">
        <f t="shared" si="94"/>
        <v>0</v>
      </c>
      <c r="AT302" s="16">
        <f t="shared" si="75"/>
        <v>2975</v>
      </c>
      <c r="AU302" s="18">
        <f t="shared" si="98"/>
        <v>6508</v>
      </c>
      <c r="AV302" s="18"/>
      <c r="AW302" s="18"/>
      <c r="AX302" s="12">
        <f t="shared" si="1"/>
        <v>2975</v>
      </c>
      <c r="AY302" s="12"/>
      <c r="AZ302" s="12">
        <v>0.0</v>
      </c>
      <c r="BA302" s="18">
        <f t="shared" si="99"/>
        <v>200</v>
      </c>
      <c r="BB302" s="10">
        <f t="shared" si="16"/>
        <v>40349.6</v>
      </c>
      <c r="BC302" s="16">
        <f t="shared" si="88"/>
        <v>8832.5</v>
      </c>
      <c r="BD302" s="16"/>
      <c r="BE302" s="16"/>
      <c r="BF302" s="6"/>
      <c r="BG302" s="6"/>
      <c r="BH302" s="6"/>
      <c r="BI302" s="29">
        <f t="shared" si="95"/>
        <v>20362.68355</v>
      </c>
      <c r="BJ302" s="6"/>
      <c r="BK302" s="15">
        <f t="shared" si="76"/>
        <v>0.1461005861</v>
      </c>
      <c r="BN302" s="16">
        <f t="shared" si="14"/>
        <v>-17387.68355</v>
      </c>
      <c r="BO302" s="16">
        <f t="shared" si="100"/>
        <v>-95305.41774</v>
      </c>
      <c r="BQ302" s="16"/>
      <c r="BR302" s="16"/>
      <c r="BS302" s="16"/>
      <c r="BT302" s="16"/>
      <c r="BU302" s="16"/>
      <c r="BV302" s="16"/>
      <c r="BW302" s="16"/>
      <c r="BY302" s="6">
        <f t="shared" si="2"/>
        <v>2024</v>
      </c>
      <c r="BZ302" s="6" t="str">
        <f t="shared" si="3"/>
        <v>agosto</v>
      </c>
      <c r="CA302" s="6" t="str">
        <f t="shared" si="4"/>
        <v>8</v>
      </c>
    </row>
    <row r="303">
      <c r="A303" s="8">
        <v>45510.0</v>
      </c>
      <c r="B303" s="12">
        <v>43111.74</v>
      </c>
      <c r="C303" s="12">
        <v>51220.63</v>
      </c>
      <c r="D303" s="12"/>
      <c r="E303" s="12">
        <v>0.0</v>
      </c>
      <c r="F303" s="12">
        <v>0.0</v>
      </c>
      <c r="G303" s="12">
        <v>0.0</v>
      </c>
      <c r="H303" s="12">
        <f t="shared" si="89"/>
        <v>94332.37</v>
      </c>
      <c r="I303" s="12">
        <v>10884.74</v>
      </c>
      <c r="J303" s="12">
        <v>6956.78</v>
      </c>
      <c r="K303" s="12"/>
      <c r="L303" s="12">
        <v>0.0</v>
      </c>
      <c r="M303" s="12">
        <v>0.0</v>
      </c>
      <c r="N303" s="12">
        <v>0.0</v>
      </c>
      <c r="O303" s="16">
        <f t="shared" si="97"/>
        <v>17841.52</v>
      </c>
      <c r="P303" s="12">
        <v>9059.91</v>
      </c>
      <c r="Q303" s="12">
        <v>7204.99</v>
      </c>
      <c r="R303" s="12"/>
      <c r="S303" s="12">
        <v>0.0</v>
      </c>
      <c r="T303" s="12">
        <v>0.0</v>
      </c>
      <c r="U303" s="12">
        <v>0.0</v>
      </c>
      <c r="V303" s="16">
        <f t="shared" si="91"/>
        <v>16264.9</v>
      </c>
      <c r="W303" s="12">
        <v>126.11</v>
      </c>
      <c r="X303" s="12">
        <v>170.87</v>
      </c>
      <c r="Y303" s="12"/>
      <c r="Z303" s="12">
        <v>0.0</v>
      </c>
      <c r="AA303" s="12">
        <v>0.0</v>
      </c>
      <c r="AB303" s="12">
        <v>0.0</v>
      </c>
      <c r="AC303" s="16">
        <f t="shared" si="92"/>
        <v>296.98</v>
      </c>
      <c r="AD303" s="12"/>
      <c r="AE303" s="12"/>
      <c r="AF303" s="12">
        <v>6325.86</v>
      </c>
      <c r="AG303" s="12">
        <v>10123.22</v>
      </c>
      <c r="AH303" s="12"/>
      <c r="AI303" s="12">
        <v>0.0</v>
      </c>
      <c r="AJ303" s="12">
        <v>0.0</v>
      </c>
      <c r="AK303" s="12">
        <v>0.0</v>
      </c>
      <c r="AL303" s="12">
        <f t="shared" si="93"/>
        <v>16449.08</v>
      </c>
      <c r="AM303" s="12">
        <v>0.0</v>
      </c>
      <c r="AN303" s="12">
        <v>0.0</v>
      </c>
      <c r="AO303" s="12"/>
      <c r="AP303" s="12">
        <v>0.0</v>
      </c>
      <c r="AQ303" s="12">
        <v>0.0</v>
      </c>
      <c r="AR303" s="12">
        <v>0.0</v>
      </c>
      <c r="AS303" s="12">
        <f t="shared" si="94"/>
        <v>0</v>
      </c>
      <c r="AT303" s="16">
        <f t="shared" si="75"/>
        <v>50852.48</v>
      </c>
      <c r="AU303" s="18">
        <f t="shared" si="98"/>
        <v>57360.48</v>
      </c>
      <c r="AV303" s="18"/>
      <c r="AW303" s="18"/>
      <c r="AX303" s="12">
        <f t="shared" si="1"/>
        <v>50852.48</v>
      </c>
      <c r="AY303" s="12"/>
      <c r="AZ303" s="12">
        <v>3458.74</v>
      </c>
      <c r="BA303" s="18">
        <f t="shared" si="99"/>
        <v>3658.74</v>
      </c>
      <c r="BB303" s="10">
        <f t="shared" si="16"/>
        <v>296362.48</v>
      </c>
      <c r="BC303" s="16">
        <f t="shared" si="88"/>
        <v>5888.333333</v>
      </c>
      <c r="BD303" s="16"/>
      <c r="BE303" s="16"/>
      <c r="BF303" s="6"/>
      <c r="BG303" s="6"/>
      <c r="BH303" s="6"/>
      <c r="BI303" s="29">
        <f t="shared" si="95"/>
        <v>20362.68355</v>
      </c>
      <c r="BK303" s="15">
        <f t="shared" si="76"/>
        <v>2.49733685</v>
      </c>
      <c r="BN303" s="16">
        <f t="shared" si="14"/>
        <v>30489.79645</v>
      </c>
      <c r="BO303" s="16">
        <f t="shared" si="100"/>
        <v>-64815.62129</v>
      </c>
      <c r="BY303" s="6">
        <f t="shared" si="2"/>
        <v>2024</v>
      </c>
      <c r="BZ303" s="6" t="str">
        <f t="shared" si="3"/>
        <v>agosto</v>
      </c>
      <c r="CA303" s="6" t="str">
        <f t="shared" si="4"/>
        <v>8</v>
      </c>
    </row>
    <row r="304">
      <c r="A304" s="8">
        <v>45511.0</v>
      </c>
      <c r="B304" s="12">
        <v>20047.84</v>
      </c>
      <c r="C304" s="12">
        <v>1556.09</v>
      </c>
      <c r="D304" s="12"/>
      <c r="E304" s="12">
        <v>1038.88</v>
      </c>
      <c r="F304" s="12">
        <v>0.0</v>
      </c>
      <c r="G304" s="12">
        <v>0.0</v>
      </c>
      <c r="H304" s="12">
        <f t="shared" si="89"/>
        <v>22642.81</v>
      </c>
      <c r="I304" s="12">
        <v>13286.0</v>
      </c>
      <c r="J304" s="12">
        <v>2648.71</v>
      </c>
      <c r="K304" s="12"/>
      <c r="L304" s="12">
        <v>326.33</v>
      </c>
      <c r="M304" s="12">
        <v>0.0</v>
      </c>
      <c r="N304" s="12">
        <v>0.0</v>
      </c>
      <c r="O304" s="16">
        <f t="shared" si="97"/>
        <v>16261.04</v>
      </c>
      <c r="P304" s="12">
        <v>4490.35</v>
      </c>
      <c r="Q304" s="12">
        <v>964.14</v>
      </c>
      <c r="R304" s="12"/>
      <c r="S304" s="12">
        <v>0.0</v>
      </c>
      <c r="T304" s="12">
        <v>0.0</v>
      </c>
      <c r="U304" s="12">
        <v>0.0</v>
      </c>
      <c r="V304" s="16">
        <f t="shared" si="91"/>
        <v>5454.49</v>
      </c>
      <c r="W304" s="12">
        <v>11973.81</v>
      </c>
      <c r="X304" s="12">
        <v>0.0</v>
      </c>
      <c r="Y304" s="12"/>
      <c r="Z304" s="12">
        <v>0.0</v>
      </c>
      <c r="AA304" s="12">
        <v>0.0</v>
      </c>
      <c r="AB304" s="12">
        <v>0.0</v>
      </c>
      <c r="AC304" s="16">
        <f t="shared" si="92"/>
        <v>11973.81</v>
      </c>
      <c r="AD304" s="12"/>
      <c r="AE304" s="12"/>
      <c r="AF304" s="12">
        <v>6900.63</v>
      </c>
      <c r="AG304" s="12">
        <v>463.96</v>
      </c>
      <c r="AH304" s="12"/>
      <c r="AI304" s="12">
        <v>0.0</v>
      </c>
      <c r="AJ304" s="12">
        <v>0.0</v>
      </c>
      <c r="AK304" s="12">
        <v>0.0</v>
      </c>
      <c r="AL304" s="12">
        <f t="shared" si="93"/>
        <v>7364.59</v>
      </c>
      <c r="AM304" s="12">
        <v>15027.0</v>
      </c>
      <c r="AN304" s="12">
        <v>0.0</v>
      </c>
      <c r="AO304" s="12"/>
      <c r="AP304" s="12">
        <v>0.0</v>
      </c>
      <c r="AQ304" s="12">
        <v>0.0</v>
      </c>
      <c r="AR304" s="12">
        <v>0.0</v>
      </c>
      <c r="AS304" s="12">
        <f t="shared" si="94"/>
        <v>15027</v>
      </c>
      <c r="AT304" s="16">
        <f t="shared" si="75"/>
        <v>56080.93</v>
      </c>
      <c r="AU304" s="18">
        <f t="shared" si="98"/>
        <v>113441.41</v>
      </c>
      <c r="AV304" s="18"/>
      <c r="AW304" s="18"/>
      <c r="AX304" s="12">
        <f t="shared" si="1"/>
        <v>56080.93</v>
      </c>
      <c r="AY304" s="12"/>
      <c r="AZ304" s="12">
        <v>1876.09</v>
      </c>
      <c r="BA304" s="18">
        <f t="shared" si="99"/>
        <v>5534.83</v>
      </c>
      <c r="BB304" s="10">
        <f t="shared" si="16"/>
        <v>502383.3871</v>
      </c>
      <c r="BC304" s="16">
        <f t="shared" si="88"/>
        <v>4416.25</v>
      </c>
      <c r="BD304" s="16"/>
      <c r="BE304" s="16"/>
      <c r="BF304" s="6"/>
      <c r="BG304" s="6"/>
      <c r="BH304" s="6"/>
      <c r="BI304" s="29">
        <f t="shared" si="95"/>
        <v>20362.68355</v>
      </c>
      <c r="BK304" s="15">
        <f t="shared" si="76"/>
        <v>2.754103106</v>
      </c>
      <c r="BN304" s="16">
        <f t="shared" si="14"/>
        <v>35718.24645</v>
      </c>
      <c r="BO304" s="16">
        <f t="shared" si="100"/>
        <v>-29097.37484</v>
      </c>
      <c r="BY304" s="6">
        <f t="shared" si="2"/>
        <v>2024</v>
      </c>
      <c r="BZ304" s="6" t="str">
        <f t="shared" si="3"/>
        <v>agosto</v>
      </c>
      <c r="CA304" s="6" t="str">
        <f t="shared" si="4"/>
        <v>8</v>
      </c>
    </row>
    <row r="305">
      <c r="A305" s="8">
        <v>45512.0</v>
      </c>
      <c r="B305" s="12">
        <v>9732.35</v>
      </c>
      <c r="C305" s="12">
        <v>0.0</v>
      </c>
      <c r="D305" s="12"/>
      <c r="E305" s="12">
        <v>3078.38</v>
      </c>
      <c r="F305" s="12">
        <v>0.0</v>
      </c>
      <c r="G305" s="12">
        <v>0.0</v>
      </c>
      <c r="H305" s="12">
        <f t="shared" si="89"/>
        <v>12810.73</v>
      </c>
      <c r="I305" s="12">
        <v>4635.19</v>
      </c>
      <c r="J305" s="12">
        <v>0.0</v>
      </c>
      <c r="K305" s="12"/>
      <c r="L305" s="12">
        <v>1230.15</v>
      </c>
      <c r="M305" s="12">
        <v>0.0</v>
      </c>
      <c r="N305" s="12">
        <v>0.0</v>
      </c>
      <c r="O305" s="16">
        <f t="shared" si="97"/>
        <v>5865.34</v>
      </c>
      <c r="P305" s="12">
        <v>1925.52</v>
      </c>
      <c r="Q305" s="12">
        <v>0.0</v>
      </c>
      <c r="R305" s="12"/>
      <c r="S305" s="12">
        <v>0.0</v>
      </c>
      <c r="T305" s="12">
        <v>0.0</v>
      </c>
      <c r="U305" s="12">
        <v>0.0</v>
      </c>
      <c r="V305" s="16">
        <f t="shared" si="91"/>
        <v>1925.52</v>
      </c>
      <c r="W305" s="12">
        <v>47.25</v>
      </c>
      <c r="X305" s="12">
        <v>0.0</v>
      </c>
      <c r="Y305" s="12"/>
      <c r="Z305" s="12">
        <v>0.0</v>
      </c>
      <c r="AA305" s="12">
        <v>0.0</v>
      </c>
      <c r="AB305" s="12">
        <v>0.0</v>
      </c>
      <c r="AC305" s="16">
        <f t="shared" si="92"/>
        <v>47.25</v>
      </c>
      <c r="AD305" s="12"/>
      <c r="AE305" s="12"/>
      <c r="AF305" s="12">
        <v>492.94</v>
      </c>
      <c r="AG305" s="12">
        <v>0.0</v>
      </c>
      <c r="AH305" s="12"/>
      <c r="AI305" s="12">
        <v>0.0</v>
      </c>
      <c r="AJ305" s="12">
        <v>0.0</v>
      </c>
      <c r="AK305" s="12">
        <v>0.0</v>
      </c>
      <c r="AL305" s="12">
        <f t="shared" si="93"/>
        <v>492.94</v>
      </c>
      <c r="AM305" s="12">
        <v>0.0</v>
      </c>
      <c r="AN305" s="12">
        <v>0.0</v>
      </c>
      <c r="AO305" s="12"/>
      <c r="AP305" s="12">
        <v>0.0</v>
      </c>
      <c r="AQ305" s="12">
        <v>0.0</v>
      </c>
      <c r="AR305" s="12">
        <v>0.0</v>
      </c>
      <c r="AS305" s="12">
        <f t="shared" si="94"/>
        <v>0</v>
      </c>
      <c r="AT305" s="16">
        <f t="shared" si="75"/>
        <v>8331.05</v>
      </c>
      <c r="AU305" s="18">
        <f t="shared" si="98"/>
        <v>121772.46</v>
      </c>
      <c r="AV305" s="18"/>
      <c r="AW305" s="18"/>
      <c r="AX305" s="12">
        <f t="shared" si="1"/>
        <v>8331.05</v>
      </c>
      <c r="AY305" s="12"/>
      <c r="AZ305" s="12">
        <v>1295.23</v>
      </c>
      <c r="BA305" s="18">
        <f t="shared" si="99"/>
        <v>6830.06</v>
      </c>
      <c r="BB305" s="10">
        <f t="shared" si="16"/>
        <v>471868.2825</v>
      </c>
      <c r="BC305" s="16">
        <f t="shared" si="88"/>
        <v>6508</v>
      </c>
      <c r="BD305" s="16"/>
      <c r="BE305" s="16"/>
      <c r="BF305" s="6"/>
      <c r="BG305" s="6"/>
      <c r="BH305" s="6"/>
      <c r="BI305" s="29">
        <f t="shared" si="95"/>
        <v>20362.68355</v>
      </c>
      <c r="BJ305" s="6"/>
      <c r="BK305" s="15">
        <f t="shared" si="76"/>
        <v>0.4091332059</v>
      </c>
      <c r="BN305" s="16">
        <f t="shared" si="14"/>
        <v>-12031.63355</v>
      </c>
      <c r="BO305" s="16">
        <f t="shared" si="100"/>
        <v>-41129.00839</v>
      </c>
      <c r="BY305" s="6">
        <f t="shared" si="2"/>
        <v>2024</v>
      </c>
      <c r="BZ305" s="6" t="str">
        <f t="shared" si="3"/>
        <v>agosto</v>
      </c>
      <c r="CA305" s="6" t="str">
        <f t="shared" si="4"/>
        <v>8</v>
      </c>
    </row>
    <row r="306">
      <c r="A306" s="8">
        <v>45513.0</v>
      </c>
      <c r="B306" s="12">
        <v>14525.03</v>
      </c>
      <c r="C306" s="12">
        <v>0.0</v>
      </c>
      <c r="D306" s="12"/>
      <c r="E306" s="12">
        <v>39.13</v>
      </c>
      <c r="F306" s="12">
        <v>0.0</v>
      </c>
      <c r="G306" s="12">
        <v>0.0</v>
      </c>
      <c r="H306" s="12">
        <f t="shared" si="89"/>
        <v>14564.16</v>
      </c>
      <c r="I306" s="12">
        <v>7506.0</v>
      </c>
      <c r="J306" s="12">
        <v>0.0</v>
      </c>
      <c r="K306" s="12"/>
      <c r="L306" s="12">
        <v>2455.49</v>
      </c>
      <c r="M306" s="12">
        <v>0.0</v>
      </c>
      <c r="N306" s="12">
        <v>0.0</v>
      </c>
      <c r="O306" s="16">
        <f t="shared" si="97"/>
        <v>9961.49</v>
      </c>
      <c r="P306" s="12">
        <v>3425.73</v>
      </c>
      <c r="Q306" s="12">
        <v>0.0</v>
      </c>
      <c r="R306" s="12"/>
      <c r="S306" s="12">
        <v>0.0</v>
      </c>
      <c r="T306" s="12">
        <v>0.0</v>
      </c>
      <c r="U306" s="12">
        <v>0.0</v>
      </c>
      <c r="V306" s="16">
        <f t="shared" si="91"/>
        <v>3425.73</v>
      </c>
      <c r="W306" s="12">
        <v>1928.74</v>
      </c>
      <c r="X306" s="12">
        <v>0.0</v>
      </c>
      <c r="Y306" s="12"/>
      <c r="Z306" s="12">
        <v>0.0</v>
      </c>
      <c r="AA306" s="12">
        <v>0.0</v>
      </c>
      <c r="AB306" s="12">
        <v>0.0</v>
      </c>
      <c r="AC306" s="16">
        <f t="shared" si="92"/>
        <v>1928.74</v>
      </c>
      <c r="AD306" s="12"/>
      <c r="AE306" s="12"/>
      <c r="AF306" s="12">
        <v>646.0</v>
      </c>
      <c r="AG306" s="12">
        <v>0.0</v>
      </c>
      <c r="AH306" s="12"/>
      <c r="AI306" s="12">
        <v>0.0</v>
      </c>
      <c r="AJ306" s="12">
        <v>0.0</v>
      </c>
      <c r="AK306" s="12">
        <v>0.0</v>
      </c>
      <c r="AL306" s="12">
        <f t="shared" si="93"/>
        <v>646</v>
      </c>
      <c r="AM306" s="12">
        <v>2041.0</v>
      </c>
      <c r="AN306" s="12">
        <v>0.0</v>
      </c>
      <c r="AO306" s="12"/>
      <c r="AP306" s="12">
        <v>0.0</v>
      </c>
      <c r="AQ306" s="12">
        <v>0.0</v>
      </c>
      <c r="AR306" s="12">
        <v>0.0</v>
      </c>
      <c r="AS306" s="12">
        <f t="shared" si="94"/>
        <v>2041</v>
      </c>
      <c r="AT306" s="16">
        <f t="shared" si="75"/>
        <v>18002.96</v>
      </c>
      <c r="AU306" s="18">
        <f t="shared" si="98"/>
        <v>139775.42</v>
      </c>
      <c r="AV306" s="18"/>
      <c r="AW306" s="18"/>
      <c r="AX306" s="12">
        <f t="shared" si="1"/>
        <v>18002.96</v>
      </c>
      <c r="AY306" s="12"/>
      <c r="AZ306" s="12">
        <v>3524.58</v>
      </c>
      <c r="BA306" s="18">
        <f t="shared" si="99"/>
        <v>10354.64</v>
      </c>
      <c r="BB306" s="10">
        <f t="shared" si="16"/>
        <v>481448.6689</v>
      </c>
      <c r="BC306" s="16">
        <f t="shared" si="88"/>
        <v>47800.4</v>
      </c>
      <c r="BD306" s="16"/>
      <c r="BE306" s="16"/>
      <c r="BF306" s="6"/>
      <c r="BG306" s="6"/>
      <c r="BH306" s="6"/>
      <c r="BI306" s="29">
        <f t="shared" si="95"/>
        <v>20362.68355</v>
      </c>
      <c r="BJ306" s="6"/>
      <c r="BK306" s="15">
        <f t="shared" si="76"/>
        <v>0.8841152964</v>
      </c>
      <c r="BN306" s="16">
        <f t="shared" si="14"/>
        <v>-2359.723548</v>
      </c>
      <c r="BO306" s="16">
        <f t="shared" si="100"/>
        <v>-43488.73194</v>
      </c>
      <c r="BY306" s="6">
        <f t="shared" si="2"/>
        <v>2024</v>
      </c>
      <c r="BZ306" s="6" t="str">
        <f t="shared" si="3"/>
        <v>agosto</v>
      </c>
      <c r="CA306" s="6" t="str">
        <f t="shared" si="4"/>
        <v>8</v>
      </c>
    </row>
    <row r="307">
      <c r="A307" s="8">
        <v>45514.0</v>
      </c>
      <c r="B307" s="16"/>
      <c r="C307" s="16"/>
      <c r="D307" s="16"/>
      <c r="E307" s="16"/>
      <c r="F307" s="16"/>
      <c r="G307" s="16"/>
      <c r="H307" s="12">
        <f t="shared" si="89"/>
        <v>0</v>
      </c>
      <c r="I307" s="16"/>
      <c r="J307" s="16"/>
      <c r="K307" s="16"/>
      <c r="L307" s="16"/>
      <c r="M307" s="16"/>
      <c r="N307" s="16"/>
      <c r="O307" s="16">
        <f t="shared" si="97"/>
        <v>0</v>
      </c>
      <c r="P307" s="16"/>
      <c r="Q307" s="16"/>
      <c r="R307" s="16"/>
      <c r="S307" s="16"/>
      <c r="T307" s="16"/>
      <c r="U307" s="16"/>
      <c r="V307" s="16">
        <f t="shared" si="91"/>
        <v>0</v>
      </c>
      <c r="W307" s="16"/>
      <c r="X307" s="16"/>
      <c r="Y307" s="16"/>
      <c r="Z307" s="16"/>
      <c r="AA307" s="16"/>
      <c r="AB307" s="16"/>
      <c r="AC307" s="16">
        <f t="shared" si="92"/>
        <v>0</v>
      </c>
      <c r="AD307" s="16"/>
      <c r="AE307" s="16"/>
      <c r="AF307" s="16"/>
      <c r="AG307" s="16"/>
      <c r="AH307" s="16"/>
      <c r="AI307" s="16"/>
      <c r="AJ307" s="16"/>
      <c r="AK307" s="16"/>
      <c r="AL307" s="12">
        <f t="shared" si="93"/>
        <v>0</v>
      </c>
      <c r="AM307" s="16"/>
      <c r="AN307" s="16"/>
      <c r="AO307" s="16"/>
      <c r="AP307" s="16"/>
      <c r="AQ307" s="16"/>
      <c r="AR307" s="16"/>
      <c r="AS307" s="12">
        <f t="shared" si="94"/>
        <v>0</v>
      </c>
      <c r="AT307" s="16">
        <f t="shared" si="75"/>
        <v>0</v>
      </c>
      <c r="AU307" s="18">
        <f t="shared" si="98"/>
        <v>139775.42</v>
      </c>
      <c r="AV307" s="18"/>
      <c r="AW307" s="18"/>
      <c r="AX307" s="12">
        <f t="shared" si="1"/>
        <v>0</v>
      </c>
      <c r="AY307" s="12"/>
      <c r="AZ307" s="12">
        <v>0.0</v>
      </c>
      <c r="BA307" s="18">
        <f t="shared" si="99"/>
        <v>10354.64</v>
      </c>
      <c r="BB307" s="10">
        <f t="shared" si="16"/>
        <v>433303.802</v>
      </c>
      <c r="BC307" s="16">
        <f t="shared" si="88"/>
        <v>81029.57857</v>
      </c>
      <c r="BD307" s="16"/>
      <c r="BE307" s="16"/>
      <c r="BF307" s="6"/>
      <c r="BG307" s="6"/>
      <c r="BH307" s="6"/>
      <c r="BI307" s="29">
        <f t="shared" si="95"/>
        <v>20362.68355</v>
      </c>
      <c r="BJ307" s="6"/>
      <c r="BK307" s="15">
        <f t="shared" si="76"/>
        <v>0</v>
      </c>
      <c r="BN307" s="16">
        <f t="shared" si="14"/>
        <v>-20362.68355</v>
      </c>
      <c r="BO307" s="16">
        <f t="shared" si="100"/>
        <v>-63851.41548</v>
      </c>
      <c r="BY307" s="6">
        <f t="shared" si="2"/>
        <v>2024</v>
      </c>
      <c r="BZ307" s="6" t="str">
        <f t="shared" si="3"/>
        <v>agosto</v>
      </c>
      <c r="CA307" s="6" t="str">
        <f t="shared" si="4"/>
        <v>8</v>
      </c>
    </row>
    <row r="308">
      <c r="A308" s="8">
        <v>45515.0</v>
      </c>
      <c r="B308" s="16"/>
      <c r="C308" s="16"/>
      <c r="D308" s="16"/>
      <c r="E308" s="16"/>
      <c r="F308" s="16"/>
      <c r="G308" s="16"/>
      <c r="H308" s="12">
        <f t="shared" si="89"/>
        <v>0</v>
      </c>
      <c r="I308" s="16"/>
      <c r="J308" s="16"/>
      <c r="K308" s="16"/>
      <c r="L308" s="16"/>
      <c r="M308" s="16"/>
      <c r="N308" s="16"/>
      <c r="O308" s="16">
        <f t="shared" si="97"/>
        <v>0</v>
      </c>
      <c r="P308" s="16"/>
      <c r="Q308" s="16"/>
      <c r="R308" s="16"/>
      <c r="S308" s="16"/>
      <c r="T308" s="16"/>
      <c r="U308" s="16"/>
      <c r="V308" s="16">
        <f t="shared" si="91"/>
        <v>0</v>
      </c>
      <c r="W308" s="16"/>
      <c r="X308" s="16"/>
      <c r="Y308" s="16"/>
      <c r="Z308" s="16"/>
      <c r="AA308" s="16"/>
      <c r="AB308" s="16"/>
      <c r="AC308" s="16">
        <f t="shared" si="92"/>
        <v>0</v>
      </c>
      <c r="AD308" s="16"/>
      <c r="AE308" s="16"/>
      <c r="AF308" s="16"/>
      <c r="AG308" s="16"/>
      <c r="AH308" s="16"/>
      <c r="AI308" s="16"/>
      <c r="AJ308" s="16"/>
      <c r="AK308" s="16"/>
      <c r="AL308" s="12">
        <f t="shared" si="93"/>
        <v>0</v>
      </c>
      <c r="AM308" s="16"/>
      <c r="AN308" s="16"/>
      <c r="AO308" s="16"/>
      <c r="AP308" s="16"/>
      <c r="AQ308" s="16"/>
      <c r="AR308" s="16"/>
      <c r="AS308" s="12">
        <f t="shared" si="94"/>
        <v>0</v>
      </c>
      <c r="AT308" s="16">
        <f t="shared" si="75"/>
        <v>0</v>
      </c>
      <c r="AU308" s="18">
        <f t="shared" si="98"/>
        <v>139775.42</v>
      </c>
      <c r="AV308" s="18"/>
      <c r="AW308" s="18"/>
      <c r="AX308" s="12">
        <f t="shared" si="1"/>
        <v>0</v>
      </c>
      <c r="AY308" s="12"/>
      <c r="AZ308" s="12">
        <v>0.0</v>
      </c>
      <c r="BA308" s="18">
        <f t="shared" si="99"/>
        <v>10354.64</v>
      </c>
      <c r="BB308" s="10">
        <f t="shared" si="16"/>
        <v>393912.5473</v>
      </c>
      <c r="BC308" s="16">
        <f t="shared" si="88"/>
        <v>76107.7875</v>
      </c>
      <c r="BD308" s="16"/>
      <c r="BE308" s="16"/>
      <c r="BF308" s="6"/>
      <c r="BG308" s="6"/>
      <c r="BH308" s="6"/>
      <c r="BI308" s="29">
        <f t="shared" si="95"/>
        <v>20362.68355</v>
      </c>
      <c r="BJ308" s="6"/>
      <c r="BK308" s="15">
        <f t="shared" si="76"/>
        <v>0</v>
      </c>
      <c r="BN308" s="16">
        <f t="shared" si="14"/>
        <v>-20362.68355</v>
      </c>
      <c r="BO308" s="16">
        <f t="shared" si="100"/>
        <v>-84214.09903</v>
      </c>
      <c r="BY308" s="6">
        <f t="shared" si="2"/>
        <v>2024</v>
      </c>
      <c r="BZ308" s="6" t="str">
        <f t="shared" si="3"/>
        <v>agosto</v>
      </c>
      <c r="CA308" s="6" t="str">
        <f t="shared" si="4"/>
        <v>8</v>
      </c>
    </row>
    <row r="309">
      <c r="A309" s="8">
        <v>45516.0</v>
      </c>
      <c r="B309" s="12">
        <v>22805.65</v>
      </c>
      <c r="C309" s="12">
        <v>3312.43</v>
      </c>
      <c r="D309" s="12"/>
      <c r="E309" s="12">
        <v>0.0</v>
      </c>
      <c r="F309" s="12">
        <v>0.0</v>
      </c>
      <c r="G309" s="12">
        <v>0.0</v>
      </c>
      <c r="H309" s="12">
        <f t="shared" si="89"/>
        <v>26118.08</v>
      </c>
      <c r="I309" s="12">
        <v>16500.3</v>
      </c>
      <c r="J309" s="12">
        <v>2912.68</v>
      </c>
      <c r="K309" s="12"/>
      <c r="L309" s="12">
        <v>2185.4</v>
      </c>
      <c r="M309" s="12">
        <v>0.0</v>
      </c>
      <c r="N309" s="12">
        <v>0.0</v>
      </c>
      <c r="O309" s="16">
        <f t="shared" si="97"/>
        <v>21598.38</v>
      </c>
      <c r="P309" s="12">
        <v>3551.44</v>
      </c>
      <c r="Q309" s="12">
        <v>1380.98</v>
      </c>
      <c r="R309" s="12"/>
      <c r="S309" s="12">
        <v>0.0</v>
      </c>
      <c r="T309" s="12">
        <v>0.0</v>
      </c>
      <c r="U309" s="12">
        <v>0.0</v>
      </c>
      <c r="V309" s="16">
        <f t="shared" si="91"/>
        <v>4932.42</v>
      </c>
      <c r="W309" s="12">
        <v>6732.9</v>
      </c>
      <c r="X309" s="12">
        <v>0.0</v>
      </c>
      <c r="Y309" s="12"/>
      <c r="Z309" s="12">
        <v>0.0</v>
      </c>
      <c r="AA309" s="12">
        <v>0.0</v>
      </c>
      <c r="AB309" s="12">
        <v>0.0</v>
      </c>
      <c r="AC309" s="16">
        <f t="shared" si="92"/>
        <v>6732.9</v>
      </c>
      <c r="AD309" s="12"/>
      <c r="AE309" s="12"/>
      <c r="AF309" s="12">
        <v>6421.88</v>
      </c>
      <c r="AG309" s="12">
        <v>607.39</v>
      </c>
      <c r="AH309" s="12"/>
      <c r="AI309" s="12">
        <v>0.0</v>
      </c>
      <c r="AJ309" s="12">
        <v>0.0</v>
      </c>
      <c r="AK309" s="12">
        <v>0.0</v>
      </c>
      <c r="AL309" s="12">
        <f t="shared" si="93"/>
        <v>7029.27</v>
      </c>
      <c r="AM309" s="12">
        <v>10031.0</v>
      </c>
      <c r="AN309" s="12">
        <v>0.0</v>
      </c>
      <c r="AO309" s="12"/>
      <c r="AP309" s="12">
        <v>0.0</v>
      </c>
      <c r="AQ309" s="12">
        <v>0.0</v>
      </c>
      <c r="AR309" s="12">
        <v>0.0</v>
      </c>
      <c r="AS309" s="12">
        <f t="shared" si="94"/>
        <v>10031</v>
      </c>
      <c r="AT309" s="16">
        <f t="shared" si="75"/>
        <v>50323.97</v>
      </c>
      <c r="AU309" s="18">
        <f t="shared" si="98"/>
        <v>190099.39</v>
      </c>
      <c r="AV309" s="18"/>
      <c r="AW309" s="18"/>
      <c r="AX309" s="12">
        <f t="shared" si="1"/>
        <v>50323.97</v>
      </c>
      <c r="AY309" s="12"/>
      <c r="AZ309" s="12">
        <v>494.4</v>
      </c>
      <c r="BA309" s="18">
        <f t="shared" si="99"/>
        <v>10849.04</v>
      </c>
      <c r="BB309" s="10">
        <f t="shared" si="16"/>
        <v>491090.0908</v>
      </c>
      <c r="BC309" s="16">
        <f t="shared" si="88"/>
        <v>77653.01111</v>
      </c>
      <c r="BD309" s="16"/>
      <c r="BE309" s="16"/>
      <c r="BF309" s="6"/>
      <c r="BG309" s="6"/>
      <c r="BH309" s="6"/>
      <c r="BI309" s="29">
        <f t="shared" si="95"/>
        <v>20362.68355</v>
      </c>
      <c r="BK309" s="15">
        <f t="shared" si="76"/>
        <v>2.47138202</v>
      </c>
      <c r="BN309" s="16">
        <f t="shared" si="14"/>
        <v>29961.28645</v>
      </c>
      <c r="BO309" s="16">
        <f t="shared" si="100"/>
        <v>-54252.81258</v>
      </c>
      <c r="BY309" s="6">
        <f t="shared" si="2"/>
        <v>2024</v>
      </c>
      <c r="BZ309" s="6" t="str">
        <f t="shared" si="3"/>
        <v>agosto</v>
      </c>
      <c r="CA309" s="6" t="str">
        <f t="shared" si="4"/>
        <v>8</v>
      </c>
    </row>
    <row r="310">
      <c r="A310" s="8">
        <v>45517.0</v>
      </c>
      <c r="B310" s="12">
        <v>11454.53</v>
      </c>
      <c r="C310" s="12">
        <v>719.49</v>
      </c>
      <c r="D310" s="12"/>
      <c r="E310" s="12">
        <v>0.0</v>
      </c>
      <c r="F310" s="12">
        <v>0.0</v>
      </c>
      <c r="G310" s="12">
        <v>0.0</v>
      </c>
      <c r="H310" s="12">
        <f t="shared" si="89"/>
        <v>12174.02</v>
      </c>
      <c r="I310" s="12">
        <v>8255.03</v>
      </c>
      <c r="J310" s="12">
        <v>2693.79</v>
      </c>
      <c r="K310" s="12"/>
      <c r="L310" s="12">
        <v>0.0</v>
      </c>
      <c r="M310" s="12">
        <v>0.0</v>
      </c>
      <c r="N310" s="12">
        <v>0.0</v>
      </c>
      <c r="O310" s="16">
        <f t="shared" si="97"/>
        <v>10948.82</v>
      </c>
      <c r="P310" s="12">
        <v>3239.66</v>
      </c>
      <c r="Q310" s="12">
        <v>415.77</v>
      </c>
      <c r="R310" s="12"/>
      <c r="S310" s="12">
        <v>0.0</v>
      </c>
      <c r="T310" s="12">
        <v>0.0</v>
      </c>
      <c r="U310" s="12">
        <v>0.0</v>
      </c>
      <c r="V310" s="16">
        <f t="shared" si="91"/>
        <v>3655.43</v>
      </c>
      <c r="W310" s="12">
        <v>3965.37</v>
      </c>
      <c r="X310" s="12">
        <v>0.0</v>
      </c>
      <c r="Y310" s="12"/>
      <c r="Z310" s="12">
        <v>0.0</v>
      </c>
      <c r="AA310" s="12">
        <v>0.0</v>
      </c>
      <c r="AB310" s="12">
        <v>0.0</v>
      </c>
      <c r="AC310" s="16">
        <f t="shared" si="92"/>
        <v>3965.37</v>
      </c>
      <c r="AD310" s="12"/>
      <c r="AE310" s="12"/>
      <c r="AF310" s="12">
        <v>283.86</v>
      </c>
      <c r="AG310" s="12">
        <v>0.0</v>
      </c>
      <c r="AH310" s="12"/>
      <c r="AI310" s="12">
        <v>0.0</v>
      </c>
      <c r="AJ310" s="12">
        <v>0.0</v>
      </c>
      <c r="AK310" s="12">
        <v>0.0</v>
      </c>
      <c r="AL310" s="12">
        <f t="shared" si="93"/>
        <v>283.86</v>
      </c>
      <c r="AM310" s="12">
        <v>4297.0</v>
      </c>
      <c r="AN310" s="12">
        <v>0.0</v>
      </c>
      <c r="AO310" s="12"/>
      <c r="AP310" s="12">
        <v>0.0</v>
      </c>
      <c r="AQ310" s="12">
        <v>0.0</v>
      </c>
      <c r="AR310" s="12">
        <v>0.0</v>
      </c>
      <c r="AS310" s="12">
        <f t="shared" si="94"/>
        <v>4297</v>
      </c>
      <c r="AT310" s="16">
        <f t="shared" si="75"/>
        <v>23150.48</v>
      </c>
      <c r="AU310" s="18">
        <f t="shared" si="98"/>
        <v>213249.87</v>
      </c>
      <c r="AV310" s="18"/>
      <c r="AW310" s="18"/>
      <c r="AX310" s="12">
        <f t="shared" si="1"/>
        <v>23150.48</v>
      </c>
      <c r="AY310" s="12"/>
      <c r="AZ310" s="12">
        <v>0.0</v>
      </c>
      <c r="BA310" s="18">
        <f t="shared" si="99"/>
        <v>10849.04</v>
      </c>
      <c r="BB310" s="10">
        <f t="shared" si="16"/>
        <v>508518.9208</v>
      </c>
      <c r="BC310" s="16">
        <f t="shared" si="88"/>
        <v>69887.71</v>
      </c>
      <c r="BD310" s="16"/>
      <c r="BE310" s="16"/>
      <c r="BF310" s="6"/>
      <c r="BG310" s="6"/>
      <c r="BH310" s="6"/>
      <c r="BI310" s="29">
        <f t="shared" si="95"/>
        <v>20362.68355</v>
      </c>
      <c r="BK310" s="15">
        <f t="shared" si="76"/>
        <v>1.136907124</v>
      </c>
      <c r="BN310" s="16">
        <f t="shared" si="14"/>
        <v>2787.796452</v>
      </c>
      <c r="BO310" s="16">
        <f t="shared" si="100"/>
        <v>-51465.01613</v>
      </c>
      <c r="BY310" s="6">
        <f t="shared" si="2"/>
        <v>2024</v>
      </c>
      <c r="BZ310" s="6" t="str">
        <f t="shared" si="3"/>
        <v>agosto</v>
      </c>
      <c r="CA310" s="6" t="str">
        <f t="shared" si="4"/>
        <v>8</v>
      </c>
    </row>
    <row r="311">
      <c r="A311" s="8">
        <v>45518.0</v>
      </c>
      <c r="B311" s="12">
        <v>2769.04</v>
      </c>
      <c r="C311" s="12">
        <v>1603.0</v>
      </c>
      <c r="D311" s="12"/>
      <c r="E311" s="12">
        <v>0.0</v>
      </c>
      <c r="F311" s="12">
        <v>0.0</v>
      </c>
      <c r="G311" s="12">
        <v>0.0</v>
      </c>
      <c r="H311" s="12">
        <f t="shared" si="89"/>
        <v>4372.04</v>
      </c>
      <c r="I311" s="12">
        <v>1495.0</v>
      </c>
      <c r="J311" s="12">
        <v>1403.87</v>
      </c>
      <c r="K311" s="12"/>
      <c r="L311" s="12">
        <v>0.0</v>
      </c>
      <c r="M311" s="12">
        <v>0.0</v>
      </c>
      <c r="N311" s="12">
        <v>0.0</v>
      </c>
      <c r="O311" s="16">
        <f t="shared" si="97"/>
        <v>2898.87</v>
      </c>
      <c r="P311" s="12">
        <v>944.44</v>
      </c>
      <c r="Q311" s="12">
        <v>407.05</v>
      </c>
      <c r="R311" s="12"/>
      <c r="S311" s="12">
        <v>0.0</v>
      </c>
      <c r="T311" s="12">
        <v>0.0</v>
      </c>
      <c r="U311" s="12">
        <v>0.0</v>
      </c>
      <c r="V311" s="16">
        <f t="shared" si="91"/>
        <v>1351.49</v>
      </c>
      <c r="W311" s="12">
        <v>852.26</v>
      </c>
      <c r="X311" s="12">
        <v>5.71</v>
      </c>
      <c r="Y311" s="12"/>
      <c r="Z311" s="12">
        <v>0.0</v>
      </c>
      <c r="AA311" s="12">
        <v>0.0</v>
      </c>
      <c r="AB311" s="12">
        <v>0.0</v>
      </c>
      <c r="AC311" s="16">
        <f t="shared" si="92"/>
        <v>857.97</v>
      </c>
      <c r="AD311" s="12"/>
      <c r="AE311" s="12"/>
      <c r="AF311" s="12">
        <v>1068.16</v>
      </c>
      <c r="AG311" s="12">
        <v>532.5</v>
      </c>
      <c r="AH311" s="12"/>
      <c r="AI311" s="12">
        <v>0.0</v>
      </c>
      <c r="AJ311" s="12">
        <v>0.0</v>
      </c>
      <c r="AK311" s="12">
        <v>0.0</v>
      </c>
      <c r="AL311" s="12">
        <f t="shared" si="93"/>
        <v>1600.66</v>
      </c>
      <c r="AM311" s="12">
        <v>0.0</v>
      </c>
      <c r="AN311" s="12">
        <v>0.0</v>
      </c>
      <c r="AO311" s="12"/>
      <c r="AP311" s="12">
        <v>0.0</v>
      </c>
      <c r="AQ311" s="12">
        <v>0.0</v>
      </c>
      <c r="AR311" s="12">
        <v>0.0</v>
      </c>
      <c r="AS311" s="12">
        <f t="shared" si="94"/>
        <v>0</v>
      </c>
      <c r="AT311" s="16">
        <f t="shared" si="75"/>
        <v>6708.99</v>
      </c>
      <c r="AU311" s="18">
        <f t="shared" si="98"/>
        <v>219958.86</v>
      </c>
      <c r="AV311" s="18"/>
      <c r="AW311" s="18"/>
      <c r="AX311" s="12">
        <f t="shared" si="1"/>
        <v>6708.99</v>
      </c>
      <c r="AY311" s="12"/>
      <c r="AZ311" s="12">
        <v>1922.82</v>
      </c>
      <c r="BA311" s="18">
        <f t="shared" si="99"/>
        <v>12771.86</v>
      </c>
      <c r="BB311" s="10">
        <f t="shared" si="16"/>
        <v>487051.7614</v>
      </c>
      <c r="BC311" s="16">
        <f t="shared" si="88"/>
        <v>63534.28182</v>
      </c>
      <c r="BD311" s="16"/>
      <c r="BE311" s="16"/>
      <c r="BF311" s="6"/>
      <c r="BG311" s="6"/>
      <c r="BH311" s="6"/>
      <c r="BI311" s="29">
        <f t="shared" si="95"/>
        <v>20362.68355</v>
      </c>
      <c r="BJ311" s="6"/>
      <c r="BK311" s="15">
        <f t="shared" si="76"/>
        <v>0.3294747465</v>
      </c>
      <c r="BN311" s="16">
        <f t="shared" si="14"/>
        <v>-13653.69355</v>
      </c>
      <c r="BO311" s="16">
        <f t="shared" si="100"/>
        <v>-65118.70968</v>
      </c>
      <c r="BY311" s="6">
        <f t="shared" si="2"/>
        <v>2024</v>
      </c>
      <c r="BZ311" s="6" t="str">
        <f t="shared" si="3"/>
        <v>agosto</v>
      </c>
      <c r="CA311" s="6" t="str">
        <f t="shared" si="4"/>
        <v>8</v>
      </c>
    </row>
    <row r="312">
      <c r="A312" s="8">
        <v>45519.0</v>
      </c>
      <c r="B312" s="16"/>
      <c r="C312" s="16"/>
      <c r="D312" s="16"/>
      <c r="E312" s="16"/>
      <c r="F312" s="16"/>
      <c r="G312" s="16"/>
      <c r="H312" s="12">
        <f t="shared" si="89"/>
        <v>0</v>
      </c>
      <c r="I312" s="16"/>
      <c r="J312" s="16"/>
      <c r="K312" s="16"/>
      <c r="L312" s="16"/>
      <c r="M312" s="16"/>
      <c r="N312" s="16"/>
      <c r="O312" s="16">
        <f t="shared" si="97"/>
        <v>0</v>
      </c>
      <c r="P312" s="16"/>
      <c r="Q312" s="16"/>
      <c r="R312" s="16"/>
      <c r="S312" s="16"/>
      <c r="T312" s="16"/>
      <c r="U312" s="16"/>
      <c r="V312" s="16">
        <f t="shared" si="91"/>
        <v>0</v>
      </c>
      <c r="W312" s="16"/>
      <c r="X312" s="16"/>
      <c r="Y312" s="16"/>
      <c r="Z312" s="16"/>
      <c r="AA312" s="16"/>
      <c r="AB312" s="16"/>
      <c r="AC312" s="16">
        <f t="shared" si="92"/>
        <v>0</v>
      </c>
      <c r="AD312" s="16"/>
      <c r="AE312" s="16"/>
      <c r="AF312" s="16"/>
      <c r="AG312" s="16"/>
      <c r="AH312" s="16"/>
      <c r="AI312" s="16"/>
      <c r="AJ312" s="16"/>
      <c r="AK312" s="16"/>
      <c r="AL312" s="12">
        <f t="shared" si="93"/>
        <v>0</v>
      </c>
      <c r="AM312" s="16"/>
      <c r="AN312" s="16"/>
      <c r="AO312" s="16"/>
      <c r="AP312" s="16"/>
      <c r="AQ312" s="16"/>
      <c r="AR312" s="16"/>
      <c r="AS312" s="12">
        <f t="shared" si="94"/>
        <v>0</v>
      </c>
      <c r="AT312" s="16">
        <f t="shared" si="75"/>
        <v>0</v>
      </c>
      <c r="AU312" s="18">
        <f t="shared" si="98"/>
        <v>219958.86</v>
      </c>
      <c r="AV312" s="18"/>
      <c r="AW312" s="18"/>
      <c r="AX312" s="12">
        <f t="shared" si="1"/>
        <v>0</v>
      </c>
      <c r="AY312" s="12"/>
      <c r="AZ312" s="12">
        <v>0.0</v>
      </c>
      <c r="BA312" s="18">
        <f t="shared" si="99"/>
        <v>12771.86</v>
      </c>
      <c r="BB312" s="10">
        <f t="shared" si="16"/>
        <v>454581.644</v>
      </c>
      <c r="BC312" s="16">
        <f t="shared" si="88"/>
        <v>79208.07917</v>
      </c>
      <c r="BD312" s="16"/>
      <c r="BE312" s="16"/>
      <c r="BF312" s="6"/>
      <c r="BG312" s="6"/>
      <c r="BH312" s="6"/>
      <c r="BI312" s="29">
        <f t="shared" si="95"/>
        <v>20362.68355</v>
      </c>
      <c r="BJ312" s="6"/>
      <c r="BK312" s="15">
        <f t="shared" si="76"/>
        <v>0</v>
      </c>
      <c r="BN312" s="16">
        <f t="shared" si="14"/>
        <v>-20362.68355</v>
      </c>
      <c r="BO312" s="16">
        <f t="shared" si="100"/>
        <v>-85481.39323</v>
      </c>
      <c r="BY312" s="6">
        <f t="shared" si="2"/>
        <v>2024</v>
      </c>
      <c r="BZ312" s="6" t="str">
        <f t="shared" si="3"/>
        <v>agosto</v>
      </c>
      <c r="CA312" s="6" t="str">
        <f t="shared" si="4"/>
        <v>8</v>
      </c>
    </row>
    <row r="313">
      <c r="A313" s="8">
        <v>45520.0</v>
      </c>
      <c r="B313" s="12">
        <v>24830.13</v>
      </c>
      <c r="C313" s="12">
        <v>794.11</v>
      </c>
      <c r="D313" s="12"/>
      <c r="E313" s="12">
        <v>2048.09</v>
      </c>
      <c r="F313" s="12">
        <v>0.0</v>
      </c>
      <c r="G313" s="12">
        <v>0.0</v>
      </c>
      <c r="H313" s="12">
        <f t="shared" si="89"/>
        <v>27672.33</v>
      </c>
      <c r="I313" s="12">
        <v>13245.8</v>
      </c>
      <c r="J313" s="12">
        <v>1755.62</v>
      </c>
      <c r="K313" s="12"/>
      <c r="L313" s="12">
        <v>11409.42</v>
      </c>
      <c r="M313" s="12">
        <v>0.0</v>
      </c>
      <c r="N313" s="12">
        <v>0.0</v>
      </c>
      <c r="O313" s="16">
        <f t="shared" si="97"/>
        <v>26410.84</v>
      </c>
      <c r="P313" s="12">
        <v>4757.38</v>
      </c>
      <c r="Q313" s="12">
        <v>595.98</v>
      </c>
      <c r="R313" s="12"/>
      <c r="S313" s="12">
        <v>0.0</v>
      </c>
      <c r="T313" s="12">
        <v>0.0</v>
      </c>
      <c r="U313" s="12">
        <v>0.0</v>
      </c>
      <c r="V313" s="16">
        <f t="shared" si="91"/>
        <v>5353.36</v>
      </c>
      <c r="W313" s="12">
        <v>6559.9</v>
      </c>
      <c r="X313" s="12">
        <v>1.22</v>
      </c>
      <c r="Y313" s="12"/>
      <c r="Z313" s="12">
        <v>0.0</v>
      </c>
      <c r="AA313" s="12">
        <v>0.0</v>
      </c>
      <c r="AB313" s="12">
        <v>0.0</v>
      </c>
      <c r="AC313" s="16">
        <f t="shared" si="92"/>
        <v>6561.12</v>
      </c>
      <c r="AD313" s="12"/>
      <c r="AE313" s="12"/>
      <c r="AF313" s="12">
        <v>4120.02</v>
      </c>
      <c r="AG313" s="12">
        <v>0.0</v>
      </c>
      <c r="AH313" s="12"/>
      <c r="AI313" s="12">
        <v>0.0</v>
      </c>
      <c r="AJ313" s="12">
        <v>0.0</v>
      </c>
      <c r="AK313" s="12">
        <v>0.0</v>
      </c>
      <c r="AL313" s="12">
        <f t="shared" si="93"/>
        <v>4120.02</v>
      </c>
      <c r="AM313" s="12">
        <v>7276.0</v>
      </c>
      <c r="AN313" s="12">
        <v>0.0</v>
      </c>
      <c r="AO313" s="12"/>
      <c r="AP313" s="12">
        <v>0.0</v>
      </c>
      <c r="AQ313" s="12">
        <v>0.0</v>
      </c>
      <c r="AR313" s="12">
        <v>0.0</v>
      </c>
      <c r="AS313" s="12">
        <f t="shared" si="94"/>
        <v>7276</v>
      </c>
      <c r="AT313" s="16">
        <f t="shared" si="75"/>
        <v>49721.34</v>
      </c>
      <c r="AU313" s="18">
        <f t="shared" si="98"/>
        <v>269680.2</v>
      </c>
      <c r="AV313" s="18"/>
      <c r="AW313" s="18"/>
      <c r="AX313" s="12">
        <f t="shared" si="1"/>
        <v>49721.34</v>
      </c>
      <c r="AY313" s="12"/>
      <c r="AZ313" s="12">
        <v>449.98</v>
      </c>
      <c r="BA313" s="18">
        <f t="shared" si="99"/>
        <v>13221.84</v>
      </c>
      <c r="BB313" s="10">
        <f t="shared" si="16"/>
        <v>522505.3875</v>
      </c>
      <c r="BC313" s="16">
        <f t="shared" si="88"/>
        <v>82019.18077</v>
      </c>
      <c r="BD313" s="16"/>
      <c r="BE313" s="16"/>
      <c r="BF313" s="6"/>
      <c r="BG313" s="6"/>
      <c r="BH313" s="6"/>
      <c r="BI313" s="29">
        <f t="shared" si="95"/>
        <v>20362.68355</v>
      </c>
      <c r="BK313" s="15">
        <f t="shared" si="76"/>
        <v>2.441787198</v>
      </c>
      <c r="BN313" s="16">
        <f t="shared" si="14"/>
        <v>29358.65645</v>
      </c>
      <c r="BO313" s="16">
        <f t="shared" si="100"/>
        <v>-56122.73677</v>
      </c>
      <c r="BY313" s="6">
        <f t="shared" si="2"/>
        <v>2024</v>
      </c>
      <c r="BZ313" s="6" t="str">
        <f t="shared" si="3"/>
        <v>agosto</v>
      </c>
      <c r="CA313" s="6" t="str">
        <f t="shared" si="4"/>
        <v>8</v>
      </c>
    </row>
    <row r="314">
      <c r="A314" s="8">
        <v>45521.0</v>
      </c>
      <c r="B314" s="16"/>
      <c r="C314" s="16"/>
      <c r="D314" s="16"/>
      <c r="E314" s="16"/>
      <c r="F314" s="16"/>
      <c r="G314" s="16"/>
      <c r="H314" s="12">
        <f t="shared" si="89"/>
        <v>0</v>
      </c>
      <c r="I314" s="16"/>
      <c r="J314" s="16"/>
      <c r="K314" s="16"/>
      <c r="L314" s="16"/>
      <c r="M314" s="16"/>
      <c r="N314" s="16"/>
      <c r="O314" s="16">
        <f t="shared" si="97"/>
        <v>0</v>
      </c>
      <c r="P314" s="16"/>
      <c r="Q314" s="16"/>
      <c r="R314" s="16"/>
      <c r="S314" s="16"/>
      <c r="T314" s="16"/>
      <c r="U314" s="16"/>
      <c r="V314" s="16">
        <f t="shared" si="91"/>
        <v>0</v>
      </c>
      <c r="W314" s="16"/>
      <c r="X314" s="16"/>
      <c r="Y314" s="16"/>
      <c r="Z314" s="16"/>
      <c r="AA314" s="16"/>
      <c r="AB314" s="16"/>
      <c r="AC314" s="16">
        <f t="shared" si="92"/>
        <v>0</v>
      </c>
      <c r="AD314" s="16"/>
      <c r="AE314" s="16"/>
      <c r="AF314" s="16"/>
      <c r="AG314" s="16"/>
      <c r="AH314" s="16"/>
      <c r="AI314" s="16"/>
      <c r="AJ314" s="16"/>
      <c r="AK314" s="16"/>
      <c r="AL314" s="12">
        <f t="shared" si="93"/>
        <v>0</v>
      </c>
      <c r="AM314" s="16"/>
      <c r="AN314" s="16"/>
      <c r="AO314" s="16"/>
      <c r="AP314" s="16"/>
      <c r="AQ314" s="16"/>
      <c r="AR314" s="16"/>
      <c r="AS314" s="12">
        <f t="shared" si="94"/>
        <v>0</v>
      </c>
      <c r="AT314" s="16">
        <f t="shared" si="75"/>
        <v>0</v>
      </c>
      <c r="AU314" s="18">
        <f t="shared" si="98"/>
        <v>269680.2</v>
      </c>
      <c r="AV314" s="18"/>
      <c r="AW314" s="18"/>
      <c r="AX314" s="12">
        <f t="shared" si="1"/>
        <v>0</v>
      </c>
      <c r="AY314" s="12"/>
      <c r="AZ314" s="12">
        <v>0.0</v>
      </c>
      <c r="BA314" s="18">
        <f t="shared" si="99"/>
        <v>13221.84</v>
      </c>
      <c r="BB314" s="10">
        <f t="shared" si="16"/>
        <v>491769.7765</v>
      </c>
      <c r="BC314" s="16">
        <f t="shared" si="88"/>
        <v>78556.73571</v>
      </c>
      <c r="BD314" s="16"/>
      <c r="BE314" s="16"/>
      <c r="BF314" s="6"/>
      <c r="BG314" s="6"/>
      <c r="BH314" s="6"/>
      <c r="BI314" s="29">
        <f t="shared" si="95"/>
        <v>20362.68355</v>
      </c>
      <c r="BJ314" s="6"/>
      <c r="BK314" s="15">
        <f t="shared" si="76"/>
        <v>0</v>
      </c>
      <c r="BN314" s="16">
        <f t="shared" si="14"/>
        <v>-20362.68355</v>
      </c>
      <c r="BO314" s="16">
        <f t="shared" si="100"/>
        <v>-76485.42032</v>
      </c>
      <c r="BY314" s="6">
        <f t="shared" si="2"/>
        <v>2024</v>
      </c>
      <c r="BZ314" s="6" t="str">
        <f t="shared" si="3"/>
        <v>agosto</v>
      </c>
      <c r="CA314" s="6" t="str">
        <f t="shared" si="4"/>
        <v>8</v>
      </c>
    </row>
    <row r="315">
      <c r="A315" s="8">
        <v>45522.0</v>
      </c>
      <c r="B315" s="16"/>
      <c r="C315" s="16"/>
      <c r="D315" s="16"/>
      <c r="E315" s="16"/>
      <c r="F315" s="16"/>
      <c r="G315" s="16"/>
      <c r="H315" s="12">
        <f t="shared" si="89"/>
        <v>0</v>
      </c>
      <c r="I315" s="16"/>
      <c r="J315" s="16"/>
      <c r="K315" s="16"/>
      <c r="L315" s="16"/>
      <c r="M315" s="16"/>
      <c r="N315" s="16"/>
      <c r="O315" s="16">
        <f t="shared" si="97"/>
        <v>0</v>
      </c>
      <c r="P315" s="16"/>
      <c r="Q315" s="16"/>
      <c r="R315" s="16"/>
      <c r="S315" s="16"/>
      <c r="T315" s="16"/>
      <c r="U315" s="16"/>
      <c r="V315" s="16">
        <f t="shared" si="91"/>
        <v>0</v>
      </c>
      <c r="W315" s="16"/>
      <c r="X315" s="16"/>
      <c r="Y315" s="16"/>
      <c r="Z315" s="16"/>
      <c r="AA315" s="16"/>
      <c r="AB315" s="16"/>
      <c r="AC315" s="16">
        <f t="shared" si="92"/>
        <v>0</v>
      </c>
      <c r="AD315" s="16"/>
      <c r="AE315" s="16"/>
      <c r="AF315" s="16"/>
      <c r="AG315" s="16"/>
      <c r="AH315" s="16"/>
      <c r="AI315" s="16"/>
      <c r="AJ315" s="16"/>
      <c r="AK315" s="16"/>
      <c r="AL315" s="12">
        <f t="shared" si="93"/>
        <v>0</v>
      </c>
      <c r="AM315" s="16"/>
      <c r="AN315" s="16"/>
      <c r="AO315" s="16"/>
      <c r="AP315" s="16"/>
      <c r="AQ315" s="16"/>
      <c r="AR315" s="16"/>
      <c r="AS315" s="12">
        <f t="shared" si="94"/>
        <v>0</v>
      </c>
      <c r="AT315" s="16">
        <f t="shared" si="75"/>
        <v>0</v>
      </c>
      <c r="AU315" s="18">
        <f t="shared" si="98"/>
        <v>269680.2</v>
      </c>
      <c r="AV315" s="18"/>
      <c r="AW315" s="18"/>
      <c r="AX315" s="12">
        <f t="shared" si="1"/>
        <v>0</v>
      </c>
      <c r="AY315" s="12"/>
      <c r="AZ315" s="12">
        <v>0.0</v>
      </c>
      <c r="BA315" s="18">
        <f t="shared" si="99"/>
        <v>13221.84</v>
      </c>
      <c r="BB315" s="10">
        <f t="shared" si="16"/>
        <v>464449.2333</v>
      </c>
      <c r="BC315" s="16">
        <f t="shared" si="88"/>
        <v>73319.62</v>
      </c>
      <c r="BD315" s="16"/>
      <c r="BE315" s="16"/>
      <c r="BF315" s="6"/>
      <c r="BG315" s="6"/>
      <c r="BH315" s="6"/>
      <c r="BI315" s="29">
        <f t="shared" si="95"/>
        <v>20362.68355</v>
      </c>
      <c r="BJ315" s="6"/>
      <c r="BK315" s="15">
        <f t="shared" si="76"/>
        <v>0</v>
      </c>
      <c r="BN315" s="16">
        <f t="shared" si="14"/>
        <v>-20362.68355</v>
      </c>
      <c r="BO315" s="16">
        <f t="shared" si="100"/>
        <v>-96848.10387</v>
      </c>
      <c r="BY315" s="6">
        <f t="shared" si="2"/>
        <v>2024</v>
      </c>
      <c r="BZ315" s="6" t="str">
        <f t="shared" si="3"/>
        <v>agosto</v>
      </c>
      <c r="CA315" s="6" t="str">
        <f t="shared" si="4"/>
        <v>8</v>
      </c>
    </row>
    <row r="316">
      <c r="A316" s="8">
        <v>45523.0</v>
      </c>
      <c r="B316" s="12">
        <v>98076.38</v>
      </c>
      <c r="C316" s="12">
        <v>167.09</v>
      </c>
      <c r="D316" s="12"/>
      <c r="E316" s="12">
        <v>2166.7</v>
      </c>
      <c r="F316" s="12">
        <v>0.0</v>
      </c>
      <c r="G316" s="12">
        <v>0.0</v>
      </c>
      <c r="H316" s="12">
        <f t="shared" si="89"/>
        <v>100410.17</v>
      </c>
      <c r="I316" s="12">
        <v>12795.87</v>
      </c>
      <c r="J316" s="12">
        <v>1560.0</v>
      </c>
      <c r="K316" s="12"/>
      <c r="L316" s="12">
        <v>405.99</v>
      </c>
      <c r="M316" s="12">
        <v>0.0</v>
      </c>
      <c r="N316" s="12">
        <v>0.0</v>
      </c>
      <c r="O316" s="16">
        <f t="shared" si="97"/>
        <v>14761.86</v>
      </c>
      <c r="P316" s="12">
        <v>5629.62</v>
      </c>
      <c r="Q316" s="12">
        <v>250.88</v>
      </c>
      <c r="R316" s="12"/>
      <c r="S316" s="12">
        <v>0.0</v>
      </c>
      <c r="T316" s="12">
        <v>0.0</v>
      </c>
      <c r="U316" s="12">
        <v>0.0</v>
      </c>
      <c r="V316" s="16">
        <f t="shared" si="91"/>
        <v>5880.5</v>
      </c>
      <c r="W316" s="12">
        <v>22.92</v>
      </c>
      <c r="X316" s="12">
        <v>1.98</v>
      </c>
      <c r="Y316" s="12"/>
      <c r="Z316" s="12">
        <v>0.0</v>
      </c>
      <c r="AA316" s="12">
        <v>0.0</v>
      </c>
      <c r="AB316" s="12">
        <v>0.0</v>
      </c>
      <c r="AC316" s="16">
        <f t="shared" si="92"/>
        <v>24.9</v>
      </c>
      <c r="AD316" s="12"/>
      <c r="AE316" s="12"/>
      <c r="AF316" s="12">
        <v>2776.14</v>
      </c>
      <c r="AG316" s="12">
        <v>0.0</v>
      </c>
      <c r="AH316" s="12"/>
      <c r="AI316" s="12">
        <v>0.0</v>
      </c>
      <c r="AJ316" s="12">
        <v>0.0</v>
      </c>
      <c r="AK316" s="12">
        <v>0.0</v>
      </c>
      <c r="AL316" s="12">
        <f t="shared" si="93"/>
        <v>2776.14</v>
      </c>
      <c r="AM316" s="12">
        <v>0.0</v>
      </c>
      <c r="AN316" s="12">
        <v>0.0</v>
      </c>
      <c r="AO316" s="12"/>
      <c r="AP316" s="12">
        <v>0.0</v>
      </c>
      <c r="AQ316" s="12">
        <v>0.0</v>
      </c>
      <c r="AR316" s="12">
        <v>0.0</v>
      </c>
      <c r="AS316" s="12">
        <f t="shared" si="94"/>
        <v>0</v>
      </c>
      <c r="AT316" s="16">
        <f t="shared" si="75"/>
        <v>23443.4</v>
      </c>
      <c r="AU316" s="18">
        <f t="shared" si="98"/>
        <v>293123.6</v>
      </c>
      <c r="AV316" s="18"/>
      <c r="AW316" s="18"/>
      <c r="AX316" s="12">
        <f t="shared" si="1"/>
        <v>23443.4</v>
      </c>
      <c r="AY316" s="12"/>
      <c r="AZ316" s="12">
        <v>3205.04</v>
      </c>
      <c r="BA316" s="18">
        <f t="shared" si="99"/>
        <v>16426.88</v>
      </c>
      <c r="BB316" s="10">
        <f t="shared" si="16"/>
        <v>478254.2947</v>
      </c>
      <c r="BC316" s="16">
        <f t="shared" si="88"/>
        <v>84275.0625</v>
      </c>
      <c r="BD316" s="16"/>
      <c r="BE316" s="16"/>
      <c r="BF316" s="6"/>
      <c r="BG316" s="6"/>
      <c r="BH316" s="6"/>
      <c r="BI316" s="29">
        <f t="shared" si="95"/>
        <v>20362.68355</v>
      </c>
      <c r="BK316" s="15">
        <f t="shared" si="76"/>
        <v>1.151292262</v>
      </c>
      <c r="BN316" s="16">
        <f t="shared" si="14"/>
        <v>3080.716452</v>
      </c>
      <c r="BO316" s="16">
        <f t="shared" si="100"/>
        <v>-93767.38742</v>
      </c>
      <c r="BY316" s="6">
        <f t="shared" si="2"/>
        <v>2024</v>
      </c>
      <c r="BZ316" s="6" t="str">
        <f t="shared" si="3"/>
        <v>agosto</v>
      </c>
      <c r="CA316" s="6" t="str">
        <f t="shared" si="4"/>
        <v>8</v>
      </c>
    </row>
    <row r="317">
      <c r="A317" s="8">
        <v>45524.0</v>
      </c>
      <c r="B317" s="12">
        <v>18369.13</v>
      </c>
      <c r="C317" s="12">
        <v>235.29</v>
      </c>
      <c r="D317" s="12"/>
      <c r="E317" s="12">
        <v>0.0</v>
      </c>
      <c r="F317" s="12">
        <v>0.0</v>
      </c>
      <c r="G317" s="12">
        <v>0.0</v>
      </c>
      <c r="H317" s="12">
        <f t="shared" si="89"/>
        <v>18604.42</v>
      </c>
      <c r="I317" s="12">
        <v>13659.3</v>
      </c>
      <c r="J317" s="12">
        <v>2910.65</v>
      </c>
      <c r="K317" s="12"/>
      <c r="L317" s="12">
        <v>0.0</v>
      </c>
      <c r="M317" s="12">
        <v>0.0</v>
      </c>
      <c r="N317" s="12">
        <v>0.0</v>
      </c>
      <c r="O317" s="16">
        <f t="shared" si="97"/>
        <v>16569.95</v>
      </c>
      <c r="P317" s="12">
        <v>4163.08</v>
      </c>
      <c r="Q317" s="12">
        <v>257.09</v>
      </c>
      <c r="R317" s="12"/>
      <c r="S317" s="12">
        <v>0.0</v>
      </c>
      <c r="T317" s="12">
        <v>0.0</v>
      </c>
      <c r="U317" s="12">
        <v>0.0</v>
      </c>
      <c r="V317" s="16">
        <f t="shared" si="91"/>
        <v>4420.17</v>
      </c>
      <c r="W317" s="12">
        <v>4077.83</v>
      </c>
      <c r="X317" s="12">
        <v>0.52</v>
      </c>
      <c r="Y317" s="12"/>
      <c r="Z317" s="12">
        <v>0.0</v>
      </c>
      <c r="AA317" s="12">
        <v>0.0</v>
      </c>
      <c r="AB317" s="12">
        <v>0.0</v>
      </c>
      <c r="AC317" s="16">
        <f t="shared" si="92"/>
        <v>4078.35</v>
      </c>
      <c r="AD317" s="12"/>
      <c r="AE317" s="12"/>
      <c r="AF317" s="12">
        <v>205.86</v>
      </c>
      <c r="AG317" s="12">
        <v>0.0</v>
      </c>
      <c r="AH317" s="12"/>
      <c r="AI317" s="12">
        <v>0.0</v>
      </c>
      <c r="AJ317" s="12">
        <v>0.0</v>
      </c>
      <c r="AK317" s="12">
        <v>0.0</v>
      </c>
      <c r="AL317" s="12">
        <f t="shared" si="93"/>
        <v>205.86</v>
      </c>
      <c r="AM317" s="12">
        <v>4315.0</v>
      </c>
      <c r="AN317" s="12">
        <v>0.0</v>
      </c>
      <c r="AO317" s="12"/>
      <c r="AP317" s="12">
        <v>0.0</v>
      </c>
      <c r="AQ317" s="12">
        <v>0.0</v>
      </c>
      <c r="AR317" s="12">
        <v>0.0</v>
      </c>
      <c r="AS317" s="12">
        <f t="shared" si="94"/>
        <v>4315</v>
      </c>
      <c r="AT317" s="16">
        <f t="shared" si="75"/>
        <v>29589.33</v>
      </c>
      <c r="AU317" s="18">
        <f t="shared" si="98"/>
        <v>322712.93</v>
      </c>
      <c r="AV317" s="18"/>
      <c r="AW317" s="18"/>
      <c r="AX317" s="12">
        <f t="shared" si="1"/>
        <v>29589.33</v>
      </c>
      <c r="AY317" s="12"/>
      <c r="AZ317" s="12">
        <v>422.94</v>
      </c>
      <c r="BA317" s="18">
        <f t="shared" si="99"/>
        <v>16849.82</v>
      </c>
      <c r="BB317" s="10">
        <f t="shared" si="16"/>
        <v>500205.0415</v>
      </c>
      <c r="BC317" s="16">
        <f t="shared" si="88"/>
        <v>79317.70588</v>
      </c>
      <c r="BD317" s="16"/>
      <c r="BE317" s="16"/>
      <c r="BF317" s="6"/>
      <c r="BG317" s="6"/>
      <c r="BH317" s="6"/>
      <c r="BI317" s="29">
        <f t="shared" si="95"/>
        <v>20362.68355</v>
      </c>
      <c r="BK317" s="15">
        <f t="shared" si="76"/>
        <v>1.453115447</v>
      </c>
      <c r="BN317" s="16">
        <f t="shared" si="14"/>
        <v>9226.646452</v>
      </c>
      <c r="BO317" s="16">
        <f t="shared" si="100"/>
        <v>-84540.74097</v>
      </c>
      <c r="BY317" s="6">
        <f t="shared" si="2"/>
        <v>2024</v>
      </c>
      <c r="BZ317" s="6" t="str">
        <f t="shared" si="3"/>
        <v>agosto</v>
      </c>
      <c r="CA317" s="6" t="str">
        <f t="shared" si="4"/>
        <v>8</v>
      </c>
    </row>
    <row r="318">
      <c r="A318" s="8">
        <v>45525.0</v>
      </c>
      <c r="B318" s="12">
        <v>11044.68</v>
      </c>
      <c r="C318" s="12">
        <v>1270.96</v>
      </c>
      <c r="D318" s="12"/>
      <c r="E318" s="12">
        <v>2757.25</v>
      </c>
      <c r="F318" s="12">
        <v>0.0</v>
      </c>
      <c r="G318" s="12">
        <v>0.0</v>
      </c>
      <c r="H318" s="12">
        <f t="shared" si="89"/>
        <v>15072.89</v>
      </c>
      <c r="I318" s="12">
        <v>6789.35</v>
      </c>
      <c r="J318" s="12">
        <v>1749.94</v>
      </c>
      <c r="K318" s="12"/>
      <c r="L318" s="12">
        <v>550.85</v>
      </c>
      <c r="M318" s="12">
        <v>0.0</v>
      </c>
      <c r="N318" s="12">
        <v>0.0</v>
      </c>
      <c r="O318" s="16">
        <f t="shared" si="97"/>
        <v>9090.14</v>
      </c>
      <c r="P318" s="12">
        <v>2352.45</v>
      </c>
      <c r="Q318" s="12">
        <v>890.65</v>
      </c>
      <c r="R318" s="12"/>
      <c r="S318" s="12">
        <v>0.0</v>
      </c>
      <c r="T318" s="12">
        <v>0.0</v>
      </c>
      <c r="U318" s="12">
        <v>0.0</v>
      </c>
      <c r="V318" s="16">
        <f t="shared" si="91"/>
        <v>3243.1</v>
      </c>
      <c r="W318" s="12">
        <v>202.11</v>
      </c>
      <c r="X318" s="12">
        <v>0.0</v>
      </c>
      <c r="Y318" s="12"/>
      <c r="Z318" s="12">
        <v>406.57</v>
      </c>
      <c r="AA318" s="12">
        <v>0.0</v>
      </c>
      <c r="AB318" s="12">
        <v>0.0</v>
      </c>
      <c r="AC318" s="16">
        <f t="shared" si="92"/>
        <v>608.68</v>
      </c>
      <c r="AD318" s="12"/>
      <c r="AE318" s="12"/>
      <c r="AF318" s="12">
        <v>4961.83</v>
      </c>
      <c r="AG318" s="12">
        <v>1522.4</v>
      </c>
      <c r="AH318" s="12"/>
      <c r="AI318" s="12">
        <v>0.0</v>
      </c>
      <c r="AJ318" s="12">
        <v>0.0</v>
      </c>
      <c r="AK318" s="12">
        <v>0.0</v>
      </c>
      <c r="AL318" s="12">
        <f t="shared" si="93"/>
        <v>6484.23</v>
      </c>
      <c r="AM318" s="12">
        <v>0.0</v>
      </c>
      <c r="AN318" s="12">
        <v>0.0</v>
      </c>
      <c r="AO318" s="12"/>
      <c r="AP318" s="12">
        <v>0.0</v>
      </c>
      <c r="AQ318" s="12">
        <v>0.0</v>
      </c>
      <c r="AR318" s="12">
        <v>0.0</v>
      </c>
      <c r="AS318" s="12">
        <f t="shared" si="94"/>
        <v>0</v>
      </c>
      <c r="AT318" s="16">
        <f t="shared" si="75"/>
        <v>19426.15</v>
      </c>
      <c r="AU318" s="18">
        <f t="shared" si="98"/>
        <v>342139.08</v>
      </c>
      <c r="AV318" s="18"/>
      <c r="AW318" s="18"/>
      <c r="AX318" s="12">
        <f t="shared" si="1"/>
        <v>19426.15</v>
      </c>
      <c r="AY318" s="12"/>
      <c r="AZ318" s="12">
        <v>6064.97</v>
      </c>
      <c r="BA318" s="18">
        <f t="shared" si="99"/>
        <v>22914.79</v>
      </c>
      <c r="BB318" s="10">
        <f t="shared" si="16"/>
        <v>505062.4514</v>
      </c>
      <c r="BC318" s="16">
        <f t="shared" si="88"/>
        <v>74911.16667</v>
      </c>
      <c r="BD318" s="16"/>
      <c r="BE318" s="16"/>
      <c r="BF318" s="6"/>
      <c r="BG318" s="6"/>
      <c r="BH318" s="6"/>
      <c r="BI318" s="29">
        <f t="shared" si="95"/>
        <v>20362.68355</v>
      </c>
      <c r="BJ318" s="6"/>
      <c r="BK318" s="15">
        <f t="shared" si="76"/>
        <v>0.9540073613</v>
      </c>
      <c r="BN318" s="16">
        <f t="shared" si="14"/>
        <v>-936.5335484</v>
      </c>
      <c r="BO318" s="16">
        <f t="shared" si="100"/>
        <v>-85477.27452</v>
      </c>
      <c r="BY318" s="6">
        <f t="shared" si="2"/>
        <v>2024</v>
      </c>
      <c r="BZ318" s="6" t="str">
        <f t="shared" si="3"/>
        <v>agosto</v>
      </c>
      <c r="CA318" s="6" t="str">
        <f t="shared" si="4"/>
        <v>8</v>
      </c>
    </row>
    <row r="319">
      <c r="A319" s="8">
        <v>45526.0</v>
      </c>
      <c r="B319" s="12">
        <v>231900.58</v>
      </c>
      <c r="C319" s="12">
        <v>0.0</v>
      </c>
      <c r="D319" s="12"/>
      <c r="E319" s="12">
        <v>0.0</v>
      </c>
      <c r="F319" s="12">
        <v>0.0</v>
      </c>
      <c r="G319" s="12">
        <v>0.0</v>
      </c>
      <c r="H319" s="12">
        <f t="shared" si="89"/>
        <v>231900.58</v>
      </c>
      <c r="I319" s="12">
        <v>20855.33</v>
      </c>
      <c r="J319" s="12">
        <v>0.0</v>
      </c>
      <c r="K319" s="12"/>
      <c r="L319" s="12">
        <v>0.0</v>
      </c>
      <c r="M319" s="12">
        <v>0.0</v>
      </c>
      <c r="N319" s="12">
        <v>0.0</v>
      </c>
      <c r="O319" s="16">
        <f t="shared" si="97"/>
        <v>20855.33</v>
      </c>
      <c r="P319" s="12">
        <v>4340.79</v>
      </c>
      <c r="Q319" s="12">
        <v>0.0</v>
      </c>
      <c r="R319" s="12"/>
      <c r="S319" s="12">
        <v>0.0</v>
      </c>
      <c r="T319" s="12">
        <v>0.0</v>
      </c>
      <c r="U319" s="12">
        <v>0.0</v>
      </c>
      <c r="V319" s="16">
        <f t="shared" si="91"/>
        <v>4340.79</v>
      </c>
      <c r="W319" s="12">
        <v>4238.8</v>
      </c>
      <c r="X319" s="12">
        <v>0.0</v>
      </c>
      <c r="Y319" s="12"/>
      <c r="Z319" s="12">
        <v>0.0</v>
      </c>
      <c r="AA319" s="12">
        <v>0.0</v>
      </c>
      <c r="AB319" s="12">
        <v>0.0</v>
      </c>
      <c r="AC319" s="16">
        <f t="shared" si="92"/>
        <v>4238.8</v>
      </c>
      <c r="AD319" s="12"/>
      <c r="AE319" s="12"/>
      <c r="AF319" s="12">
        <v>6061.27</v>
      </c>
      <c r="AG319" s="12">
        <v>0.0</v>
      </c>
      <c r="AH319" s="12"/>
      <c r="AI319" s="12">
        <v>0.0</v>
      </c>
      <c r="AJ319" s="12">
        <v>0.0</v>
      </c>
      <c r="AK319" s="12">
        <v>0.0</v>
      </c>
      <c r="AL319" s="12">
        <f t="shared" si="93"/>
        <v>6061.27</v>
      </c>
      <c r="AM319" s="12">
        <v>10130.0</v>
      </c>
      <c r="AN319" s="12">
        <v>0.0</v>
      </c>
      <c r="AO319" s="12"/>
      <c r="AP319" s="12">
        <v>0.0</v>
      </c>
      <c r="AQ319" s="12">
        <v>0.0</v>
      </c>
      <c r="AR319" s="12">
        <v>0.0</v>
      </c>
      <c r="AS319" s="12">
        <f t="shared" si="94"/>
        <v>10130</v>
      </c>
      <c r="AT319" s="16">
        <f t="shared" si="75"/>
        <v>45626.19</v>
      </c>
      <c r="AU319" s="18">
        <f t="shared" si="98"/>
        <v>387765.27</v>
      </c>
      <c r="AV319" s="18"/>
      <c r="AW319" s="18"/>
      <c r="AX319" s="12">
        <f t="shared" si="1"/>
        <v>45626.19</v>
      </c>
      <c r="AY319" s="12"/>
      <c r="AZ319" s="12">
        <v>1301.36</v>
      </c>
      <c r="BA319" s="18">
        <f t="shared" si="99"/>
        <v>24216.15</v>
      </c>
      <c r="BB319" s="10">
        <f t="shared" si="16"/>
        <v>546396.5168</v>
      </c>
      <c r="BC319" s="16">
        <f t="shared" si="88"/>
        <v>77137.78947</v>
      </c>
      <c r="BD319" s="16"/>
      <c r="BE319" s="16"/>
      <c r="BF319" s="6"/>
      <c r="BG319" s="6"/>
      <c r="BH319" s="6"/>
      <c r="BI319" s="29">
        <f t="shared" si="95"/>
        <v>20362.68355</v>
      </c>
      <c r="BK319" s="15">
        <f t="shared" si="76"/>
        <v>2.240676672</v>
      </c>
      <c r="BN319" s="16">
        <f t="shared" si="14"/>
        <v>25263.50645</v>
      </c>
      <c r="BO319" s="16">
        <f t="shared" si="100"/>
        <v>-60213.76806</v>
      </c>
      <c r="BY319" s="6">
        <f t="shared" si="2"/>
        <v>2024</v>
      </c>
      <c r="BZ319" s="6" t="str">
        <f t="shared" si="3"/>
        <v>agosto</v>
      </c>
      <c r="CA319" s="6" t="str">
        <f t="shared" si="4"/>
        <v>8</v>
      </c>
    </row>
    <row r="320">
      <c r="A320" s="8">
        <v>45527.0</v>
      </c>
      <c r="B320" s="12">
        <v>78535.04</v>
      </c>
      <c r="C320" s="12">
        <v>770.64</v>
      </c>
      <c r="D320" s="12"/>
      <c r="E320" s="12">
        <v>0.0</v>
      </c>
      <c r="F320" s="12">
        <v>0.0</v>
      </c>
      <c r="G320" s="12">
        <v>0.0</v>
      </c>
      <c r="H320" s="12">
        <f t="shared" si="89"/>
        <v>79305.68</v>
      </c>
      <c r="I320" s="12">
        <v>11759.11</v>
      </c>
      <c r="J320" s="12">
        <v>2577.08</v>
      </c>
      <c r="K320" s="12"/>
      <c r="L320" s="12">
        <v>0.0</v>
      </c>
      <c r="M320" s="12">
        <v>0.0</v>
      </c>
      <c r="N320" s="12">
        <v>0.0</v>
      </c>
      <c r="O320" s="16">
        <f t="shared" si="97"/>
        <v>14336.19</v>
      </c>
      <c r="P320" s="12">
        <v>3804.94</v>
      </c>
      <c r="Q320" s="12">
        <v>462.05</v>
      </c>
      <c r="R320" s="12"/>
      <c r="S320" s="12">
        <v>0.0</v>
      </c>
      <c r="T320" s="12">
        <v>0.0</v>
      </c>
      <c r="U320" s="12">
        <v>0.0</v>
      </c>
      <c r="V320" s="16">
        <f t="shared" si="91"/>
        <v>4266.99</v>
      </c>
      <c r="W320" s="12">
        <v>5203.96</v>
      </c>
      <c r="X320" s="12">
        <v>0.0</v>
      </c>
      <c r="Y320" s="12"/>
      <c r="Z320" s="12">
        <v>0.0</v>
      </c>
      <c r="AA320" s="12">
        <v>0.0</v>
      </c>
      <c r="AB320" s="12">
        <v>0.0</v>
      </c>
      <c r="AC320" s="16">
        <f t="shared" si="92"/>
        <v>5203.96</v>
      </c>
      <c r="AD320" s="12"/>
      <c r="AE320" s="12"/>
      <c r="AF320" s="12">
        <v>5055.59</v>
      </c>
      <c r="AG320" s="12">
        <v>0.0</v>
      </c>
      <c r="AH320" s="12"/>
      <c r="AI320" s="12">
        <v>0.0</v>
      </c>
      <c r="AJ320" s="12">
        <v>0.0</v>
      </c>
      <c r="AK320" s="12">
        <v>0.0</v>
      </c>
      <c r="AL320" s="12">
        <f t="shared" si="93"/>
        <v>5055.59</v>
      </c>
      <c r="AM320" s="12">
        <v>6307.0</v>
      </c>
      <c r="AN320" s="12">
        <v>0.0</v>
      </c>
      <c r="AO320" s="12"/>
      <c r="AP320" s="12">
        <v>0.0</v>
      </c>
      <c r="AQ320" s="12">
        <v>0.0</v>
      </c>
      <c r="AR320" s="12">
        <v>0.0</v>
      </c>
      <c r="AS320" s="12">
        <f t="shared" si="94"/>
        <v>6307</v>
      </c>
      <c r="AT320" s="16">
        <f t="shared" si="75"/>
        <v>35169.73</v>
      </c>
      <c r="AU320" s="18">
        <f t="shared" si="98"/>
        <v>422935</v>
      </c>
      <c r="AV320" s="18"/>
      <c r="AW320" s="18"/>
      <c r="AX320" s="12">
        <f t="shared" si="1"/>
        <v>35169.73</v>
      </c>
      <c r="AY320" s="12"/>
      <c r="AZ320" s="12">
        <v>6835.95</v>
      </c>
      <c r="BA320" s="18">
        <f t="shared" si="99"/>
        <v>31052.1</v>
      </c>
      <c r="BB320" s="10">
        <f t="shared" si="16"/>
        <v>570042.8261</v>
      </c>
      <c r="BC320" s="16">
        <f t="shared" si="88"/>
        <v>80678.2325</v>
      </c>
      <c r="BD320" s="16"/>
      <c r="BE320" s="16"/>
      <c r="BF320" s="6"/>
      <c r="BG320" s="6"/>
      <c r="BH320" s="6"/>
      <c r="BI320" s="29">
        <f t="shared" si="95"/>
        <v>20362.68355</v>
      </c>
      <c r="BK320" s="15">
        <f t="shared" si="76"/>
        <v>1.72716577</v>
      </c>
      <c r="BN320" s="16">
        <f t="shared" si="14"/>
        <v>14807.04645</v>
      </c>
      <c r="BO320" s="16">
        <f t="shared" si="100"/>
        <v>-45406.72161</v>
      </c>
      <c r="BY320" s="6">
        <f t="shared" si="2"/>
        <v>2024</v>
      </c>
      <c r="BZ320" s="6" t="str">
        <f t="shared" si="3"/>
        <v>agosto</v>
      </c>
      <c r="CA320" s="6" t="str">
        <f t="shared" si="4"/>
        <v>8</v>
      </c>
    </row>
    <row r="321">
      <c r="A321" s="8">
        <v>45528.0</v>
      </c>
      <c r="B321" s="12"/>
      <c r="C321" s="12"/>
      <c r="D321" s="12"/>
      <c r="E321" s="12"/>
      <c r="F321" s="12"/>
      <c r="G321" s="12"/>
      <c r="H321" s="12">
        <f t="shared" si="89"/>
        <v>0</v>
      </c>
      <c r="I321" s="12"/>
      <c r="J321" s="12"/>
      <c r="K321" s="12"/>
      <c r="L321" s="12"/>
      <c r="M321" s="12"/>
      <c r="N321" s="12"/>
      <c r="O321" s="16">
        <f t="shared" si="97"/>
        <v>0</v>
      </c>
      <c r="P321" s="12"/>
      <c r="Q321" s="12"/>
      <c r="R321" s="12"/>
      <c r="S321" s="12"/>
      <c r="T321" s="12"/>
      <c r="U321" s="12"/>
      <c r="V321" s="16">
        <f t="shared" si="91"/>
        <v>0</v>
      </c>
      <c r="W321" s="12"/>
      <c r="X321" s="12"/>
      <c r="Y321" s="12"/>
      <c r="Z321" s="12"/>
      <c r="AA321" s="12"/>
      <c r="AB321" s="12"/>
      <c r="AC321" s="16">
        <f t="shared" si="92"/>
        <v>0</v>
      </c>
      <c r="AD321" s="12"/>
      <c r="AE321" s="12"/>
      <c r="AF321" s="12"/>
      <c r="AG321" s="12"/>
      <c r="AH321" s="12"/>
      <c r="AI321" s="12"/>
      <c r="AJ321" s="12"/>
      <c r="AK321" s="12"/>
      <c r="AL321" s="12">
        <f t="shared" si="93"/>
        <v>0</v>
      </c>
      <c r="AM321" s="12"/>
      <c r="AN321" s="12"/>
      <c r="AO321" s="12"/>
      <c r="AP321" s="12"/>
      <c r="AQ321" s="12"/>
      <c r="AR321" s="12"/>
      <c r="AS321" s="12">
        <f t="shared" si="94"/>
        <v>0</v>
      </c>
      <c r="AT321" s="16">
        <f t="shared" si="75"/>
        <v>0</v>
      </c>
      <c r="AU321" s="18">
        <f t="shared" si="98"/>
        <v>422935</v>
      </c>
      <c r="AV321" s="18"/>
      <c r="AW321" s="18"/>
      <c r="AX321" s="12">
        <f t="shared" si="1"/>
        <v>0</v>
      </c>
      <c r="AY321" s="12"/>
      <c r="AZ321" s="12">
        <v>0.0</v>
      </c>
      <c r="BA321" s="18">
        <f t="shared" si="99"/>
        <v>31052.1</v>
      </c>
      <c r="BB321" s="10">
        <f t="shared" si="16"/>
        <v>546291.0417</v>
      </c>
      <c r="BC321" s="16">
        <f t="shared" si="88"/>
        <v>81461.68571</v>
      </c>
      <c r="BD321" s="16"/>
      <c r="BE321" s="16"/>
      <c r="BF321" s="6"/>
      <c r="BG321" s="6"/>
      <c r="BH321" s="6"/>
      <c r="BI321" s="29">
        <f t="shared" si="95"/>
        <v>20362.68355</v>
      </c>
      <c r="BJ321" s="6"/>
      <c r="BK321" s="15">
        <f t="shared" si="76"/>
        <v>0</v>
      </c>
      <c r="BN321" s="16">
        <f t="shared" si="14"/>
        <v>-20362.68355</v>
      </c>
      <c r="BO321" s="16">
        <f t="shared" si="100"/>
        <v>-65769.40516</v>
      </c>
      <c r="BY321" s="6">
        <f t="shared" si="2"/>
        <v>2024</v>
      </c>
      <c r="BZ321" s="6" t="str">
        <f t="shared" si="3"/>
        <v>agosto</v>
      </c>
      <c r="CA321" s="6" t="str">
        <f t="shared" si="4"/>
        <v>8</v>
      </c>
    </row>
    <row r="322">
      <c r="A322" s="8">
        <v>45529.0</v>
      </c>
      <c r="B322" s="16"/>
      <c r="C322" s="16"/>
      <c r="D322" s="16"/>
      <c r="E322" s="16"/>
      <c r="F322" s="16"/>
      <c r="G322" s="16"/>
      <c r="H322" s="12">
        <f t="shared" si="89"/>
        <v>0</v>
      </c>
      <c r="I322" s="16"/>
      <c r="J322" s="16"/>
      <c r="K322" s="16"/>
      <c r="L322" s="16"/>
      <c r="M322" s="16"/>
      <c r="N322" s="16"/>
      <c r="O322" s="16">
        <f t="shared" si="97"/>
        <v>0</v>
      </c>
      <c r="P322" s="16"/>
      <c r="Q322" s="16"/>
      <c r="R322" s="16"/>
      <c r="S322" s="16"/>
      <c r="T322" s="16"/>
      <c r="U322" s="16"/>
      <c r="V322" s="16">
        <f t="shared" si="91"/>
        <v>0</v>
      </c>
      <c r="W322" s="16"/>
      <c r="X322" s="16"/>
      <c r="Y322" s="16"/>
      <c r="Z322" s="16"/>
      <c r="AA322" s="16"/>
      <c r="AB322" s="16"/>
      <c r="AC322" s="16">
        <f t="shared" si="92"/>
        <v>0</v>
      </c>
      <c r="AD322" s="16"/>
      <c r="AE322" s="16"/>
      <c r="AF322" s="16"/>
      <c r="AG322" s="16"/>
      <c r="AH322" s="16"/>
      <c r="AI322" s="16"/>
      <c r="AJ322" s="16"/>
      <c r="AK322" s="16"/>
      <c r="AL322" s="12">
        <f t="shared" si="93"/>
        <v>0</v>
      </c>
      <c r="AM322" s="16"/>
      <c r="AN322" s="16"/>
      <c r="AO322" s="16"/>
      <c r="AP322" s="16"/>
      <c r="AQ322" s="16"/>
      <c r="AR322" s="16"/>
      <c r="AS322" s="12">
        <f t="shared" si="94"/>
        <v>0</v>
      </c>
      <c r="AT322" s="16">
        <f t="shared" si="75"/>
        <v>0</v>
      </c>
      <c r="AU322" s="18">
        <f t="shared" si="98"/>
        <v>422935</v>
      </c>
      <c r="AV322" s="18"/>
      <c r="AW322" s="18"/>
      <c r="AX322" s="12">
        <f t="shared" si="1"/>
        <v>0</v>
      </c>
      <c r="AY322" s="12"/>
      <c r="AZ322" s="12">
        <v>0.0</v>
      </c>
      <c r="BA322" s="18">
        <f t="shared" si="99"/>
        <v>31052.1</v>
      </c>
      <c r="BB322" s="10">
        <f t="shared" si="16"/>
        <v>524439.4</v>
      </c>
      <c r="BC322" s="16">
        <f t="shared" si="88"/>
        <v>88128.47045</v>
      </c>
      <c r="BD322" s="16"/>
      <c r="BE322" s="16"/>
      <c r="BF322" s="6"/>
      <c r="BG322" s="6"/>
      <c r="BH322" s="6"/>
      <c r="BI322" s="29">
        <f t="shared" si="95"/>
        <v>20362.68355</v>
      </c>
      <c r="BJ322" s="6"/>
      <c r="BK322" s="15">
        <f t="shared" si="76"/>
        <v>0</v>
      </c>
      <c r="BN322" s="16">
        <f t="shared" si="14"/>
        <v>-20362.68355</v>
      </c>
      <c r="BO322" s="16">
        <f t="shared" si="100"/>
        <v>-86132.08871</v>
      </c>
      <c r="BY322" s="6">
        <f t="shared" si="2"/>
        <v>2024</v>
      </c>
      <c r="BZ322" s="6" t="str">
        <f t="shared" si="3"/>
        <v>agosto</v>
      </c>
      <c r="CA322" s="6" t="str">
        <f t="shared" si="4"/>
        <v>8</v>
      </c>
    </row>
    <row r="323">
      <c r="A323" s="8">
        <v>45530.0</v>
      </c>
      <c r="B323" s="12">
        <v>19486.32</v>
      </c>
      <c r="C323" s="12">
        <v>2514.32</v>
      </c>
      <c r="D323" s="12"/>
      <c r="E323" s="12">
        <v>0.0</v>
      </c>
      <c r="F323" s="12">
        <v>0.0</v>
      </c>
      <c r="G323" s="12">
        <v>0.0</v>
      </c>
      <c r="H323" s="12">
        <f t="shared" si="89"/>
        <v>22000.64</v>
      </c>
      <c r="I323" s="12">
        <v>10996.3</v>
      </c>
      <c r="J323" s="12">
        <v>2832.77</v>
      </c>
      <c r="K323" s="12"/>
      <c r="L323" s="12">
        <v>0.0</v>
      </c>
      <c r="M323" s="12">
        <v>0.0</v>
      </c>
      <c r="N323" s="12">
        <v>0.0</v>
      </c>
      <c r="O323" s="16">
        <f t="shared" si="97"/>
        <v>13829.07</v>
      </c>
      <c r="P323" s="12">
        <v>5009.57</v>
      </c>
      <c r="Q323" s="12">
        <v>195.03</v>
      </c>
      <c r="R323" s="12"/>
      <c r="S323" s="12">
        <v>0.0</v>
      </c>
      <c r="T323" s="12">
        <v>0.0</v>
      </c>
      <c r="U323" s="12">
        <v>0.0</v>
      </c>
      <c r="V323" s="16">
        <f t="shared" si="91"/>
        <v>5204.6</v>
      </c>
      <c r="W323" s="12">
        <v>7.37</v>
      </c>
      <c r="X323" s="12">
        <v>0.0</v>
      </c>
      <c r="Y323" s="12"/>
      <c r="Z323" s="12">
        <v>0.0</v>
      </c>
      <c r="AA323" s="12">
        <v>0.0</v>
      </c>
      <c r="AB323" s="12">
        <v>0.0</v>
      </c>
      <c r="AC323" s="16">
        <f t="shared" si="92"/>
        <v>7.37</v>
      </c>
      <c r="AD323" s="12"/>
      <c r="AE323" s="12"/>
      <c r="AF323" s="12">
        <v>3163.23</v>
      </c>
      <c r="AG323" s="12">
        <v>393.73</v>
      </c>
      <c r="AH323" s="12"/>
      <c r="AI323" s="12">
        <v>0.0</v>
      </c>
      <c r="AJ323" s="12">
        <v>0.0</v>
      </c>
      <c r="AK323" s="12">
        <v>0.0</v>
      </c>
      <c r="AL323" s="12">
        <f t="shared" si="93"/>
        <v>3556.96</v>
      </c>
      <c r="AM323" s="12">
        <v>0.0</v>
      </c>
      <c r="AN323" s="12">
        <v>0.0</v>
      </c>
      <c r="AO323" s="12"/>
      <c r="AP323" s="12">
        <v>0.0</v>
      </c>
      <c r="AQ323" s="12">
        <v>0.0</v>
      </c>
      <c r="AR323" s="12">
        <v>0.0</v>
      </c>
      <c r="AS323" s="12">
        <f t="shared" si="94"/>
        <v>0</v>
      </c>
      <c r="AT323" s="16">
        <f t="shared" si="75"/>
        <v>22598</v>
      </c>
      <c r="AU323" s="18">
        <f t="shared" si="98"/>
        <v>445533</v>
      </c>
      <c r="AV323" s="18"/>
      <c r="AW323" s="18"/>
      <c r="AX323" s="12">
        <f t="shared" si="1"/>
        <v>22598</v>
      </c>
      <c r="AY323" s="12"/>
      <c r="AZ323" s="12">
        <v>2035.23</v>
      </c>
      <c r="BA323" s="18">
        <f t="shared" si="99"/>
        <v>33087.33</v>
      </c>
      <c r="BB323" s="10">
        <f t="shared" si="16"/>
        <v>531212.4231</v>
      </c>
      <c r="BC323" s="16">
        <f t="shared" si="88"/>
        <v>91942.3913</v>
      </c>
      <c r="BD323" s="16"/>
      <c r="BE323" s="16"/>
      <c r="BF323" s="6"/>
      <c r="BG323" s="6"/>
      <c r="BH323" s="6"/>
      <c r="BI323" s="29">
        <f t="shared" si="95"/>
        <v>20362.68355</v>
      </c>
      <c r="BK323" s="15">
        <f t="shared" si="76"/>
        <v>1.109775141</v>
      </c>
      <c r="BN323" s="16">
        <f t="shared" si="14"/>
        <v>2235.316452</v>
      </c>
      <c r="BO323" s="16">
        <f t="shared" si="100"/>
        <v>-83896.77226</v>
      </c>
      <c r="BY323" s="6">
        <f t="shared" si="2"/>
        <v>2024</v>
      </c>
      <c r="BZ323" s="6" t="str">
        <f t="shared" si="3"/>
        <v>agosto</v>
      </c>
      <c r="CA323" s="6" t="str">
        <f t="shared" si="4"/>
        <v>8</v>
      </c>
    </row>
    <row r="324">
      <c r="A324" s="8">
        <v>45531.0</v>
      </c>
      <c r="B324" s="12">
        <v>157964.92</v>
      </c>
      <c r="C324" s="12">
        <v>4266.12</v>
      </c>
      <c r="D324" s="12"/>
      <c r="E324" s="12">
        <v>0.0</v>
      </c>
      <c r="F324" s="12">
        <v>0.0</v>
      </c>
      <c r="G324" s="12">
        <v>0.0</v>
      </c>
      <c r="H324" s="12">
        <f t="shared" si="89"/>
        <v>162231.04</v>
      </c>
      <c r="I324" s="12">
        <v>23875.35</v>
      </c>
      <c r="J324" s="12">
        <v>1680.85</v>
      </c>
      <c r="K324" s="12"/>
      <c r="L324" s="12">
        <v>0.0</v>
      </c>
      <c r="M324" s="12">
        <v>0.0</v>
      </c>
      <c r="N324" s="12">
        <v>0.0</v>
      </c>
      <c r="O324" s="16">
        <f t="shared" si="97"/>
        <v>25556.2</v>
      </c>
      <c r="P324" s="12">
        <v>3813.11</v>
      </c>
      <c r="Q324" s="12">
        <v>556.02</v>
      </c>
      <c r="R324" s="12"/>
      <c r="S324" s="12">
        <v>0.0</v>
      </c>
      <c r="T324" s="12">
        <v>0.0</v>
      </c>
      <c r="U324" s="12">
        <v>0.0</v>
      </c>
      <c r="V324" s="16">
        <f t="shared" si="91"/>
        <v>4369.13</v>
      </c>
      <c r="W324" s="12">
        <v>3.18</v>
      </c>
      <c r="X324" s="12">
        <v>0.0</v>
      </c>
      <c r="Y324" s="12"/>
      <c r="Z324" s="12">
        <v>0.0</v>
      </c>
      <c r="AA324" s="12">
        <v>0.0</v>
      </c>
      <c r="AB324" s="12">
        <v>5357.84</v>
      </c>
      <c r="AC324" s="16">
        <f t="shared" si="92"/>
        <v>5361.02</v>
      </c>
      <c r="AD324" s="12"/>
      <c r="AE324" s="12"/>
      <c r="AF324" s="12">
        <v>4240.56</v>
      </c>
      <c r="AG324" s="12">
        <v>152.27</v>
      </c>
      <c r="AH324" s="12"/>
      <c r="AI324" s="12">
        <v>0.0</v>
      </c>
      <c r="AJ324" s="12">
        <v>0.0</v>
      </c>
      <c r="AK324" s="12">
        <v>0.0</v>
      </c>
      <c r="AL324" s="12">
        <f t="shared" si="93"/>
        <v>4392.83</v>
      </c>
      <c r="AM324" s="12">
        <v>7377.0</v>
      </c>
      <c r="AN324" s="12">
        <v>0.0</v>
      </c>
      <c r="AO324" s="12"/>
      <c r="AP324" s="12">
        <v>0.0</v>
      </c>
      <c r="AQ324" s="12">
        <v>0.0</v>
      </c>
      <c r="AR324" s="12">
        <v>0.0</v>
      </c>
      <c r="AS324" s="12">
        <f t="shared" si="94"/>
        <v>7377</v>
      </c>
      <c r="AT324" s="16">
        <f t="shared" si="75"/>
        <v>47056.18</v>
      </c>
      <c r="AU324" s="18">
        <f t="shared" si="98"/>
        <v>492589.18</v>
      </c>
      <c r="AV324" s="18"/>
      <c r="AW324" s="18"/>
      <c r="AX324" s="12">
        <f t="shared" si="1"/>
        <v>47056.18</v>
      </c>
      <c r="AY324" s="12"/>
      <c r="AZ324" s="12">
        <v>661.03</v>
      </c>
      <c r="BA324" s="18">
        <f t="shared" si="99"/>
        <v>33748.36</v>
      </c>
      <c r="BB324" s="10">
        <f t="shared" si="16"/>
        <v>565565.3548</v>
      </c>
      <c r="BC324" s="16">
        <f t="shared" si="88"/>
        <v>88111.45833</v>
      </c>
      <c r="BD324" s="16"/>
      <c r="BE324" s="16"/>
      <c r="BF324" s="6"/>
      <c r="BG324" s="6"/>
      <c r="BH324" s="6"/>
      <c r="BI324" s="29">
        <f t="shared" si="95"/>
        <v>20362.68355</v>
      </c>
      <c r="BK324" s="15">
        <f t="shared" si="76"/>
        <v>2.310902681</v>
      </c>
      <c r="BN324" s="16">
        <f t="shared" si="14"/>
        <v>26693.49645</v>
      </c>
      <c r="BO324" s="16">
        <f t="shared" si="100"/>
        <v>-57203.27581</v>
      </c>
      <c r="BY324" s="6">
        <f t="shared" si="2"/>
        <v>2024</v>
      </c>
      <c r="BZ324" s="6" t="str">
        <f t="shared" si="3"/>
        <v>agosto</v>
      </c>
      <c r="CA324" s="6" t="str">
        <f t="shared" si="4"/>
        <v>8</v>
      </c>
    </row>
    <row r="325">
      <c r="A325" s="8">
        <v>45532.0</v>
      </c>
      <c r="B325" s="12">
        <v>6769.21</v>
      </c>
      <c r="C325" s="12">
        <v>171075.53</v>
      </c>
      <c r="D325" s="12"/>
      <c r="E325" s="12">
        <v>0.0</v>
      </c>
      <c r="F325" s="12">
        <v>0.0</v>
      </c>
      <c r="G325" s="12">
        <v>0.0</v>
      </c>
      <c r="H325" s="12">
        <f t="shared" si="89"/>
        <v>177844.74</v>
      </c>
      <c r="I325" s="12">
        <v>6254.37</v>
      </c>
      <c r="J325" s="12">
        <v>2232.83</v>
      </c>
      <c r="K325" s="12"/>
      <c r="L325" s="12">
        <v>0.0</v>
      </c>
      <c r="M325" s="12">
        <v>0.0</v>
      </c>
      <c r="N325" s="12">
        <v>0.0</v>
      </c>
      <c r="O325" s="16">
        <f t="shared" si="97"/>
        <v>8487.2</v>
      </c>
      <c r="P325" s="12">
        <v>1655.86</v>
      </c>
      <c r="Q325" s="12">
        <v>432.34</v>
      </c>
      <c r="R325" s="12"/>
      <c r="S325" s="12">
        <v>0.0</v>
      </c>
      <c r="T325" s="12">
        <v>0.0</v>
      </c>
      <c r="U325" s="12">
        <v>0.0</v>
      </c>
      <c r="V325" s="16">
        <f t="shared" si="91"/>
        <v>2088.2</v>
      </c>
      <c r="W325" s="12">
        <v>13048.24</v>
      </c>
      <c r="X325" s="12">
        <v>200.0</v>
      </c>
      <c r="Y325" s="12"/>
      <c r="Z325" s="12">
        <v>0.0</v>
      </c>
      <c r="AA325" s="12">
        <v>0.0</v>
      </c>
      <c r="AB325" s="12">
        <v>0.0</v>
      </c>
      <c r="AC325" s="16">
        <f t="shared" si="92"/>
        <v>13248.24</v>
      </c>
      <c r="AD325" s="12"/>
      <c r="AE325" s="12"/>
      <c r="AF325" s="12">
        <v>413.83</v>
      </c>
      <c r="AG325" s="12">
        <v>0.0</v>
      </c>
      <c r="AH325" s="12"/>
      <c r="AI325" s="12">
        <v>0.0</v>
      </c>
      <c r="AJ325" s="12">
        <v>0.0</v>
      </c>
      <c r="AK325" s="12">
        <v>0.0</v>
      </c>
      <c r="AL325" s="12">
        <f t="shared" si="93"/>
        <v>413.83</v>
      </c>
      <c r="AM325" s="12">
        <v>20206.0</v>
      </c>
      <c r="AN325" s="12">
        <v>0.0</v>
      </c>
      <c r="AO325" s="12"/>
      <c r="AP325" s="12">
        <v>0.0</v>
      </c>
      <c r="AQ325" s="12">
        <v>0.0</v>
      </c>
      <c r="AR325" s="12">
        <v>0.0</v>
      </c>
      <c r="AS325" s="12">
        <f t="shared" si="94"/>
        <v>20206</v>
      </c>
      <c r="AT325" s="16">
        <f t="shared" si="75"/>
        <v>44443.47</v>
      </c>
      <c r="AU325" s="18">
        <f t="shared" si="98"/>
        <v>537032.65</v>
      </c>
      <c r="AV325" s="18"/>
      <c r="AW325" s="18"/>
      <c r="AX325" s="12">
        <f t="shared" si="1"/>
        <v>44443.47</v>
      </c>
      <c r="AY325" s="12"/>
      <c r="AZ325" s="12">
        <v>297.93</v>
      </c>
      <c r="BA325" s="18">
        <f t="shared" si="99"/>
        <v>34046.29</v>
      </c>
      <c r="BB325" s="10">
        <f t="shared" si="16"/>
        <v>594571.8625</v>
      </c>
      <c r="BC325" s="16">
        <f t="shared" si="88"/>
        <v>84587</v>
      </c>
      <c r="BD325" s="16"/>
      <c r="BE325" s="16"/>
      <c r="BF325" s="6"/>
      <c r="BG325" s="6"/>
      <c r="BH325" s="6"/>
      <c r="BI325" s="29">
        <f t="shared" si="95"/>
        <v>20362.68355</v>
      </c>
      <c r="BK325" s="15">
        <f t="shared" si="76"/>
        <v>2.182593954</v>
      </c>
      <c r="BN325" s="16">
        <f t="shared" si="14"/>
        <v>24080.78645</v>
      </c>
      <c r="BO325" s="16">
        <f t="shared" si="100"/>
        <v>-33122.48935</v>
      </c>
      <c r="BY325" s="6">
        <f t="shared" si="2"/>
        <v>2024</v>
      </c>
      <c r="BZ325" s="6" t="str">
        <f t="shared" si="3"/>
        <v>agosto</v>
      </c>
      <c r="CA325" s="6" t="str">
        <f t="shared" si="4"/>
        <v>8</v>
      </c>
    </row>
    <row r="326">
      <c r="A326" s="8">
        <v>45533.0</v>
      </c>
      <c r="B326" s="12">
        <v>9393.6</v>
      </c>
      <c r="C326" s="12">
        <v>0.0</v>
      </c>
      <c r="D326" s="12"/>
      <c r="E326" s="12">
        <v>185.89</v>
      </c>
      <c r="F326" s="12">
        <v>0.0</v>
      </c>
      <c r="G326" s="12">
        <v>0.0</v>
      </c>
      <c r="H326" s="12">
        <f t="shared" si="89"/>
        <v>9579.49</v>
      </c>
      <c r="I326" s="12">
        <v>20514.15</v>
      </c>
      <c r="J326" s="12">
        <v>0.0</v>
      </c>
      <c r="K326" s="12"/>
      <c r="L326" s="12">
        <v>6540.77</v>
      </c>
      <c r="M326" s="12">
        <v>0.0</v>
      </c>
      <c r="N326" s="12">
        <v>0.0</v>
      </c>
      <c r="O326" s="16">
        <f t="shared" si="97"/>
        <v>27054.92</v>
      </c>
      <c r="P326" s="12">
        <v>3067.5</v>
      </c>
      <c r="Q326" s="12">
        <v>0.0</v>
      </c>
      <c r="R326" s="12"/>
      <c r="S326" s="12">
        <v>0.0</v>
      </c>
      <c r="T326" s="12">
        <v>0.0</v>
      </c>
      <c r="U326" s="12">
        <v>0.0</v>
      </c>
      <c r="V326" s="16">
        <f t="shared" si="91"/>
        <v>3067.5</v>
      </c>
      <c r="W326" s="12">
        <v>8782.82</v>
      </c>
      <c r="X326" s="12">
        <v>0.0</v>
      </c>
      <c r="Y326" s="12"/>
      <c r="Z326" s="12">
        <v>0.0</v>
      </c>
      <c r="AA326" s="12">
        <v>0.0</v>
      </c>
      <c r="AB326" s="12">
        <v>0.0</v>
      </c>
      <c r="AC326" s="16">
        <f t="shared" si="92"/>
        <v>8782.82</v>
      </c>
      <c r="AD326" s="12"/>
      <c r="AE326" s="12"/>
      <c r="AF326" s="12">
        <v>1479.22</v>
      </c>
      <c r="AG326" s="12">
        <v>0.0</v>
      </c>
      <c r="AH326" s="12"/>
      <c r="AI326" s="12">
        <v>10902.56</v>
      </c>
      <c r="AJ326" s="12">
        <v>0.0</v>
      </c>
      <c r="AK326" s="12">
        <v>0.0</v>
      </c>
      <c r="AL326" s="12">
        <f t="shared" si="93"/>
        <v>12381.78</v>
      </c>
      <c r="AM326" s="12">
        <v>10661.0</v>
      </c>
      <c r="AN326" s="12">
        <v>0.0</v>
      </c>
      <c r="AO326" s="12"/>
      <c r="AP326" s="12">
        <v>0.0</v>
      </c>
      <c r="AQ326" s="12">
        <v>0.0</v>
      </c>
      <c r="AR326" s="12">
        <v>0.0</v>
      </c>
      <c r="AS326" s="12">
        <f t="shared" si="94"/>
        <v>10661</v>
      </c>
      <c r="AT326" s="16">
        <f t="shared" si="75"/>
        <v>61948.02</v>
      </c>
      <c r="AU326" s="18">
        <f t="shared" si="98"/>
        <v>598980.67</v>
      </c>
      <c r="AV326" s="18"/>
      <c r="AW326" s="18"/>
      <c r="AX326" s="12">
        <f t="shared" si="1"/>
        <v>61948.02</v>
      </c>
      <c r="AY326" s="12"/>
      <c r="AZ326" s="12">
        <v>15798.24</v>
      </c>
      <c r="BA326" s="18">
        <f t="shared" si="99"/>
        <v>49844.53</v>
      </c>
      <c r="BB326" s="10">
        <f t="shared" si="16"/>
        <v>640289.6817</v>
      </c>
      <c r="BC326" s="16">
        <f t="shared" si="88"/>
        <v>85679.42308</v>
      </c>
      <c r="BD326" s="16"/>
      <c r="BE326" s="16"/>
      <c r="BF326" s="6"/>
      <c r="BG326" s="6"/>
      <c r="BH326" s="6"/>
      <c r="BI326" s="29">
        <f t="shared" si="95"/>
        <v>20362.68355</v>
      </c>
      <c r="BK326" s="15">
        <f t="shared" si="76"/>
        <v>3.042232614</v>
      </c>
      <c r="BN326" s="16">
        <f t="shared" si="14"/>
        <v>41585.33645</v>
      </c>
      <c r="BO326" s="16">
        <f t="shared" si="100"/>
        <v>8462.847097</v>
      </c>
      <c r="BY326" s="6">
        <f t="shared" si="2"/>
        <v>2024</v>
      </c>
      <c r="BZ326" s="6" t="str">
        <f t="shared" si="3"/>
        <v>agosto</v>
      </c>
      <c r="CA326" s="6" t="str">
        <f t="shared" si="4"/>
        <v>8</v>
      </c>
    </row>
    <row r="327">
      <c r="A327" s="8">
        <v>45534.0</v>
      </c>
      <c r="B327" s="12">
        <v>37472.66</v>
      </c>
      <c r="C327" s="12">
        <v>23288.1</v>
      </c>
      <c r="D327" s="12"/>
      <c r="E327" s="12">
        <v>0.0</v>
      </c>
      <c r="F327" s="12">
        <v>0.0</v>
      </c>
      <c r="G327" s="12">
        <v>0.0</v>
      </c>
      <c r="H327" s="12">
        <f t="shared" si="89"/>
        <v>60760.76</v>
      </c>
      <c r="I327" s="12">
        <v>32786.3</v>
      </c>
      <c r="J327" s="12">
        <v>2150.18</v>
      </c>
      <c r="K327" s="12"/>
      <c r="L327" s="12">
        <v>0.0</v>
      </c>
      <c r="M327" s="12">
        <v>0.0</v>
      </c>
      <c r="N327" s="12">
        <v>0.0</v>
      </c>
      <c r="O327" s="16">
        <f t="shared" si="97"/>
        <v>34936.48</v>
      </c>
      <c r="P327" s="12">
        <v>10354.12</v>
      </c>
      <c r="Q327" s="12">
        <v>1555.39</v>
      </c>
      <c r="R327" s="12"/>
      <c r="S327" s="12">
        <v>0.0</v>
      </c>
      <c r="T327" s="12">
        <v>0.0</v>
      </c>
      <c r="U327" s="12">
        <v>0.0</v>
      </c>
      <c r="V327" s="16">
        <f t="shared" si="91"/>
        <v>11909.51</v>
      </c>
      <c r="W327" s="12">
        <v>2290.19</v>
      </c>
      <c r="X327" s="12">
        <v>0.016</v>
      </c>
      <c r="Y327" s="12"/>
      <c r="Z327" s="12">
        <v>0.0</v>
      </c>
      <c r="AA327" s="12">
        <v>0.0</v>
      </c>
      <c r="AB327" s="12">
        <v>0.0</v>
      </c>
      <c r="AC327" s="16">
        <f t="shared" si="92"/>
        <v>2290.206</v>
      </c>
      <c r="AD327" s="12"/>
      <c r="AE327" s="12"/>
      <c r="AF327" s="12">
        <v>2328.36</v>
      </c>
      <c r="AG327" s="12">
        <v>1049.46</v>
      </c>
      <c r="AH327" s="12"/>
      <c r="AI327" s="12">
        <v>0.0</v>
      </c>
      <c r="AJ327" s="12">
        <v>0.0</v>
      </c>
      <c r="AK327" s="12">
        <v>0.0</v>
      </c>
      <c r="AL327" s="12">
        <f t="shared" si="93"/>
        <v>3377.82</v>
      </c>
      <c r="AM327" s="12">
        <v>0.0</v>
      </c>
      <c r="AN327" s="12">
        <v>0.0</v>
      </c>
      <c r="AO327" s="12"/>
      <c r="AP327" s="12">
        <v>0.0</v>
      </c>
      <c r="AQ327" s="12">
        <v>0.0</v>
      </c>
      <c r="AR327" s="12">
        <v>0.0</v>
      </c>
      <c r="AS327" s="12">
        <f t="shared" si="94"/>
        <v>0</v>
      </c>
      <c r="AT327" s="16">
        <f t="shared" si="75"/>
        <v>52514.016</v>
      </c>
      <c r="AU327" s="18">
        <f t="shared" si="98"/>
        <v>651494.686</v>
      </c>
      <c r="AV327" s="18"/>
      <c r="AW327" s="18"/>
      <c r="AX327" s="12">
        <f t="shared" si="1"/>
        <v>52514.016</v>
      </c>
      <c r="AY327" s="12"/>
      <c r="AZ327" s="12">
        <v>162.5</v>
      </c>
      <c r="BA327" s="18">
        <f t="shared" si="99"/>
        <v>50007.03</v>
      </c>
      <c r="BB327" s="10">
        <f t="shared" si="16"/>
        <v>673211.1755</v>
      </c>
      <c r="BC327" s="16">
        <f t="shared" si="88"/>
        <v>91220.21852</v>
      </c>
      <c r="BD327" s="16"/>
      <c r="BE327" s="16"/>
      <c r="BF327" s="6"/>
      <c r="BG327" s="6"/>
      <c r="BH327" s="6"/>
      <c r="BI327" s="29">
        <f t="shared" si="95"/>
        <v>20362.68355</v>
      </c>
      <c r="BK327" s="15">
        <f t="shared" si="76"/>
        <v>2.578933954</v>
      </c>
      <c r="BN327" s="16">
        <f t="shared" si="14"/>
        <v>32151.33245</v>
      </c>
      <c r="BO327" s="16">
        <f t="shared" si="100"/>
        <v>40614.17955</v>
      </c>
      <c r="BY327" s="6">
        <f t="shared" si="2"/>
        <v>2024</v>
      </c>
      <c r="BZ327" s="6" t="str">
        <f t="shared" si="3"/>
        <v>agosto</v>
      </c>
      <c r="CA327" s="6" t="str">
        <f t="shared" si="4"/>
        <v>8</v>
      </c>
    </row>
    <row r="328">
      <c r="A328" s="8">
        <v>45535.0</v>
      </c>
      <c r="B328" s="12">
        <f>36332+10638.65+5965.58+8911.41+4888.8</f>
        <v>66736.44</v>
      </c>
      <c r="C328" s="12">
        <f>4325.06+152.71+438.52+3363+30558.52</f>
        <v>38837.81</v>
      </c>
      <c r="D328" s="12"/>
      <c r="E328" s="12">
        <v>0.0</v>
      </c>
      <c r="F328" s="12">
        <v>0.0</v>
      </c>
      <c r="G328" s="12">
        <v>0.0</v>
      </c>
      <c r="H328" s="12">
        <f t="shared" si="89"/>
        <v>105574.25</v>
      </c>
      <c r="I328" s="12">
        <f>15000+8965.36+15459.25+3987.66+7785.98</f>
        <v>51198.25</v>
      </c>
      <c r="J328" s="12">
        <f>3000+1391.63+1616.37+1954.26</f>
        <v>7962.26</v>
      </c>
      <c r="K328" s="12"/>
      <c r="L328" s="12">
        <v>3567.27</v>
      </c>
      <c r="M328" s="12">
        <v>0.0</v>
      </c>
      <c r="N328" s="12">
        <v>0.0</v>
      </c>
      <c r="O328" s="16">
        <f t="shared" si="97"/>
        <v>62727.78</v>
      </c>
      <c r="P328" s="12">
        <f>9529.74+3123.64+2376.81+2632.1+1080.24</f>
        <v>18742.53</v>
      </c>
      <c r="Q328" s="12">
        <f>768.45+85.76+9.4+253.67+357.09</f>
        <v>1474.37</v>
      </c>
      <c r="R328" s="12"/>
      <c r="S328" s="12">
        <v>0.0</v>
      </c>
      <c r="T328" s="12">
        <v>0.0</v>
      </c>
      <c r="U328" s="12">
        <v>0.0</v>
      </c>
      <c r="V328" s="16">
        <f t="shared" si="91"/>
        <v>20216.9</v>
      </c>
      <c r="W328" s="12">
        <f>69.83+9.32+6140.62+0.86+73.11</f>
        <v>6293.74</v>
      </c>
      <c r="X328" s="12">
        <f>0.03+688</f>
        <v>688.03</v>
      </c>
      <c r="Y328" s="12"/>
      <c r="Z328" s="12">
        <v>0.0</v>
      </c>
      <c r="AA328" s="12">
        <v>0.0</v>
      </c>
      <c r="AB328" s="12">
        <v>0.0</v>
      </c>
      <c r="AC328" s="16">
        <f t="shared" si="92"/>
        <v>6981.77</v>
      </c>
      <c r="AD328" s="12"/>
      <c r="AE328" s="12"/>
      <c r="AF328" s="12">
        <f>1319.97+1550.93+365.16</f>
        <v>3236.06</v>
      </c>
      <c r="AG328" s="12">
        <f>1809.96+132.25</f>
        <v>1942.21</v>
      </c>
      <c r="AH328" s="12"/>
      <c r="AI328" s="12">
        <v>0.0</v>
      </c>
      <c r="AJ328" s="12">
        <v>0.0</v>
      </c>
      <c r="AK328" s="12">
        <v>0.0</v>
      </c>
      <c r="AL328" s="12">
        <f t="shared" si="93"/>
        <v>5178.27</v>
      </c>
      <c r="AM328" s="12">
        <v>6784.0</v>
      </c>
      <c r="AN328" s="12">
        <v>0.0</v>
      </c>
      <c r="AO328" s="12"/>
      <c r="AP328" s="12">
        <v>0.0</v>
      </c>
      <c r="AQ328" s="12">
        <v>0.0</v>
      </c>
      <c r="AR328" s="12">
        <v>0.0</v>
      </c>
      <c r="AS328" s="12">
        <f t="shared" si="94"/>
        <v>6784</v>
      </c>
      <c r="AT328" s="16">
        <f t="shared" si="75"/>
        <v>101888.72</v>
      </c>
      <c r="AU328" s="18">
        <f t="shared" si="98"/>
        <v>753383.406</v>
      </c>
      <c r="AV328" s="18"/>
      <c r="AW328" s="18"/>
      <c r="AX328" s="12">
        <f t="shared" si="1"/>
        <v>101888.72</v>
      </c>
      <c r="AY328" s="12"/>
      <c r="AZ328" s="12">
        <f>4139.58+464.46+482.48+718.82</f>
        <v>5805.34</v>
      </c>
      <c r="BA328" s="18">
        <f t="shared" si="99"/>
        <v>55812.37</v>
      </c>
      <c r="BB328" s="10">
        <f t="shared" si="16"/>
        <v>753383.406</v>
      </c>
      <c r="BC328" s="16">
        <f t="shared" si="88"/>
        <v>95898.6875</v>
      </c>
      <c r="BD328" s="16"/>
      <c r="BE328" s="16"/>
      <c r="BF328" s="6"/>
      <c r="BG328" s="6"/>
      <c r="BH328" s="6"/>
      <c r="BI328" s="29">
        <f t="shared" si="95"/>
        <v>20362.68355</v>
      </c>
      <c r="BK328" s="15">
        <f t="shared" si="76"/>
        <v>5.003698052</v>
      </c>
      <c r="BN328" s="16">
        <f t="shared" si="14"/>
        <v>81526.03645</v>
      </c>
      <c r="BO328" s="16">
        <f t="shared" si="100"/>
        <v>122140.216</v>
      </c>
      <c r="BY328" s="6">
        <f t="shared" si="2"/>
        <v>2024</v>
      </c>
      <c r="BZ328" s="6" t="str">
        <f t="shared" si="3"/>
        <v>agosto</v>
      </c>
      <c r="CA328" s="6" t="str">
        <f t="shared" si="4"/>
        <v>8</v>
      </c>
    </row>
    <row r="329">
      <c r="A329" s="8">
        <v>45536.0</v>
      </c>
      <c r="B329" s="12">
        <v>0.0</v>
      </c>
      <c r="C329" s="12">
        <v>0.0</v>
      </c>
      <c r="D329" s="12"/>
      <c r="E329" s="12">
        <v>0.0</v>
      </c>
      <c r="F329" s="12">
        <v>0.0</v>
      </c>
      <c r="G329" s="12">
        <v>0.0</v>
      </c>
      <c r="H329" s="12">
        <f t="shared" si="89"/>
        <v>0</v>
      </c>
      <c r="I329" s="12">
        <v>0.0</v>
      </c>
      <c r="J329" s="12">
        <v>0.0</v>
      </c>
      <c r="K329" s="12"/>
      <c r="L329" s="12">
        <v>0.0</v>
      </c>
      <c r="M329" s="12">
        <v>0.0</v>
      </c>
      <c r="N329" s="12">
        <v>0.0</v>
      </c>
      <c r="O329" s="16">
        <f t="shared" si="97"/>
        <v>0</v>
      </c>
      <c r="P329" s="12">
        <v>0.0</v>
      </c>
      <c r="Q329" s="12">
        <v>0.0</v>
      </c>
      <c r="R329" s="12"/>
      <c r="S329" s="12">
        <v>0.0</v>
      </c>
      <c r="T329" s="12">
        <v>0.0</v>
      </c>
      <c r="U329" s="12">
        <v>0.0</v>
      </c>
      <c r="V329" s="16">
        <f t="shared" si="91"/>
        <v>0</v>
      </c>
      <c r="W329" s="12">
        <v>0.0</v>
      </c>
      <c r="X329" s="12">
        <v>0.0</v>
      </c>
      <c r="Y329" s="12"/>
      <c r="Z329" s="12">
        <v>0.0</v>
      </c>
      <c r="AA329" s="12">
        <v>0.0</v>
      </c>
      <c r="AB329" s="12">
        <v>0.0</v>
      </c>
      <c r="AC329" s="16">
        <f t="shared" si="92"/>
        <v>0</v>
      </c>
      <c r="AD329" s="12"/>
      <c r="AE329" s="12"/>
      <c r="AF329" s="12">
        <v>0.0</v>
      </c>
      <c r="AG329" s="12">
        <v>0.0</v>
      </c>
      <c r="AH329" s="12"/>
      <c r="AI329" s="12">
        <v>0.0</v>
      </c>
      <c r="AJ329" s="12">
        <v>0.0</v>
      </c>
      <c r="AK329" s="12">
        <v>0.0</v>
      </c>
      <c r="AL329" s="12">
        <f t="shared" si="93"/>
        <v>0</v>
      </c>
      <c r="AM329" s="12">
        <v>0.0</v>
      </c>
      <c r="AN329" s="12">
        <v>0.0</v>
      </c>
      <c r="AO329" s="12"/>
      <c r="AP329" s="12">
        <v>0.0</v>
      </c>
      <c r="AQ329" s="12">
        <v>0.0</v>
      </c>
      <c r="AR329" s="16"/>
      <c r="AS329" s="12">
        <f t="shared" si="94"/>
        <v>0</v>
      </c>
      <c r="AT329" s="16">
        <f t="shared" si="75"/>
        <v>0</v>
      </c>
      <c r="AU329" s="18">
        <f t="shared" ref="AU329:AU330" si="101">IF(AT329="","",AT329)</f>
        <v>0</v>
      </c>
      <c r="AV329" s="18"/>
      <c r="AW329" s="18"/>
      <c r="AX329" s="12">
        <f t="shared" si="1"/>
        <v>0</v>
      </c>
      <c r="AY329" s="12"/>
      <c r="AZ329" s="12">
        <v>0.0</v>
      </c>
      <c r="BA329" s="18">
        <f t="shared" ref="BA329:BA330" si="102">IF(AZ329="","",AZ329)</f>
        <v>0</v>
      </c>
      <c r="BB329" s="10">
        <f t="shared" si="16"/>
        <v>0</v>
      </c>
      <c r="BC329" s="16">
        <f t="shared" si="88"/>
        <v>103272.5293</v>
      </c>
      <c r="BD329" s="16"/>
      <c r="BE329" s="16"/>
      <c r="BF329" s="6"/>
      <c r="BG329" s="12">
        <v>581094.36</v>
      </c>
      <c r="BH329" s="6"/>
      <c r="BI329" s="29">
        <f t="shared" ref="BI329:BI358" si="103">IF(AT329="","",$BG$329/DAY(EOMONTH(A329,0)))</f>
        <v>19369.812</v>
      </c>
      <c r="BJ329" s="6"/>
      <c r="BK329" s="15">
        <f t="shared" si="76"/>
        <v>0</v>
      </c>
      <c r="BN329" s="16">
        <f t="shared" si="14"/>
        <v>-19369.812</v>
      </c>
      <c r="BO329" s="16">
        <f>IF(AT329="","",BN329)</f>
        <v>-19369.812</v>
      </c>
      <c r="BQ329" s="16"/>
      <c r="BR329" s="16"/>
      <c r="BS329" s="16"/>
      <c r="BT329" s="16"/>
      <c r="BU329" s="16"/>
      <c r="BV329" s="16"/>
      <c r="BW329" s="16"/>
      <c r="BY329" s="6">
        <f t="shared" si="2"/>
        <v>2024</v>
      </c>
      <c r="BZ329" s="6" t="str">
        <f t="shared" si="3"/>
        <v>septiembre</v>
      </c>
      <c r="CA329" s="6" t="str">
        <f t="shared" si="4"/>
        <v>9</v>
      </c>
    </row>
    <row r="330">
      <c r="A330" s="8">
        <v>45537.0</v>
      </c>
      <c r="B330" s="12">
        <v>1269.2</v>
      </c>
      <c r="C330" s="12">
        <v>950.0</v>
      </c>
      <c r="D330" s="12"/>
      <c r="E330" s="12">
        <v>0.0</v>
      </c>
      <c r="F330" s="12">
        <v>0.0</v>
      </c>
      <c r="G330" s="12">
        <v>0.0</v>
      </c>
      <c r="H330" s="12">
        <f t="shared" si="89"/>
        <v>2219.2</v>
      </c>
      <c r="I330" s="12">
        <v>2450.0</v>
      </c>
      <c r="J330" s="12">
        <v>1250.0</v>
      </c>
      <c r="K330" s="12"/>
      <c r="L330" s="12">
        <v>0.0</v>
      </c>
      <c r="M330" s="12">
        <v>0.0</v>
      </c>
      <c r="N330" s="12">
        <v>0.0</v>
      </c>
      <c r="O330" s="16">
        <f t="shared" si="97"/>
        <v>3700</v>
      </c>
      <c r="P330" s="12">
        <v>400.0</v>
      </c>
      <c r="Q330" s="12">
        <v>236.0</v>
      </c>
      <c r="R330" s="12"/>
      <c r="S330" s="12">
        <v>0.0</v>
      </c>
      <c r="T330" s="12">
        <v>0.0</v>
      </c>
      <c r="U330" s="12">
        <v>0.0</v>
      </c>
      <c r="V330" s="16">
        <f t="shared" si="91"/>
        <v>636</v>
      </c>
      <c r="W330" s="12">
        <v>98.45</v>
      </c>
      <c r="X330" s="12">
        <v>25.0</v>
      </c>
      <c r="Y330" s="12"/>
      <c r="Z330" s="12">
        <v>0.0</v>
      </c>
      <c r="AA330" s="12">
        <v>0.0</v>
      </c>
      <c r="AB330" s="12">
        <v>0.0</v>
      </c>
      <c r="AC330" s="16">
        <f t="shared" si="92"/>
        <v>123.45</v>
      </c>
      <c r="AD330" s="12"/>
      <c r="AE330" s="12"/>
      <c r="AF330" s="12">
        <v>0.0</v>
      </c>
      <c r="AG330" s="12">
        <v>0.0</v>
      </c>
      <c r="AH330" s="12"/>
      <c r="AI330" s="12">
        <v>0.0</v>
      </c>
      <c r="AJ330" s="12">
        <v>0.0</v>
      </c>
      <c r="AK330" s="12">
        <v>0.0</v>
      </c>
      <c r="AL330" s="12">
        <f t="shared" si="93"/>
        <v>0</v>
      </c>
      <c r="AM330" s="12">
        <v>0.0</v>
      </c>
      <c r="AN330" s="12">
        <v>0.0</v>
      </c>
      <c r="AO330" s="12"/>
      <c r="AP330" s="12">
        <v>0.0</v>
      </c>
      <c r="AQ330" s="12">
        <v>0.0</v>
      </c>
      <c r="AR330" s="12">
        <v>0.0</v>
      </c>
      <c r="AS330" s="12">
        <f t="shared" si="94"/>
        <v>0</v>
      </c>
      <c r="AT330" s="16">
        <f t="shared" si="75"/>
        <v>4459.45</v>
      </c>
      <c r="AU330" s="18">
        <f t="shared" si="101"/>
        <v>4459.45</v>
      </c>
      <c r="AV330" s="18"/>
      <c r="AW330" s="18"/>
      <c r="AX330" s="12">
        <f t="shared" si="1"/>
        <v>4459.45</v>
      </c>
      <c r="AY330" s="12"/>
      <c r="AZ330" s="12">
        <v>425.0</v>
      </c>
      <c r="BA330" s="18">
        <f t="shared" si="102"/>
        <v>425</v>
      </c>
      <c r="BB330" s="10">
        <f t="shared" si="16"/>
        <v>66891.75</v>
      </c>
      <c r="BC330" s="16">
        <f t="shared" si="88"/>
        <v>108582.4477</v>
      </c>
      <c r="BD330" s="16"/>
      <c r="BE330" s="16"/>
      <c r="BF330" s="6"/>
      <c r="BG330" s="6"/>
      <c r="BH330" s="6"/>
      <c r="BI330" s="29">
        <f t="shared" si="103"/>
        <v>19369.812</v>
      </c>
      <c r="BJ330" s="6"/>
      <c r="BK330" s="15">
        <f t="shared" si="76"/>
        <v>0.2302268086</v>
      </c>
      <c r="BN330" s="16">
        <f t="shared" si="14"/>
        <v>-14910.362</v>
      </c>
      <c r="BO330" s="16">
        <f t="shared" ref="BO330:BO358" si="104">IF(AT330="","",BN330+BO329)</f>
        <v>-34280.174</v>
      </c>
      <c r="BQ330" s="12">
        <v>10791.36</v>
      </c>
      <c r="BR330" s="12">
        <v>10356.99</v>
      </c>
      <c r="BS330" s="12">
        <v>3209.4</v>
      </c>
      <c r="BT330" s="12">
        <v>6140.62</v>
      </c>
      <c r="BU330" s="12">
        <v>0.0</v>
      </c>
      <c r="BV330" s="12">
        <v>0.0</v>
      </c>
      <c r="BW330" s="16">
        <f t="shared" ref="BW330:BW333" si="105">BV330+BU330+BT330+BS330+BR330</f>
        <v>19707.01</v>
      </c>
      <c r="BY330" s="6">
        <f t="shared" si="2"/>
        <v>2024</v>
      </c>
      <c r="BZ330" s="6" t="str">
        <f t="shared" si="3"/>
        <v>septiembre</v>
      </c>
      <c r="CA330" s="6" t="str">
        <f t="shared" si="4"/>
        <v>9</v>
      </c>
    </row>
    <row r="331">
      <c r="A331" s="8">
        <v>45538.0</v>
      </c>
      <c r="B331" s="12">
        <v>1000.0</v>
      </c>
      <c r="C331" s="12">
        <v>800.0</v>
      </c>
      <c r="D331" s="12"/>
      <c r="E331" s="12">
        <v>0.0</v>
      </c>
      <c r="F331" s="12">
        <v>0.0</v>
      </c>
      <c r="G331" s="12">
        <v>0.0</v>
      </c>
      <c r="H331" s="12">
        <f t="shared" si="89"/>
        <v>1800</v>
      </c>
      <c r="I331" s="12">
        <v>1450.0</v>
      </c>
      <c r="J331" s="12">
        <v>920.0</v>
      </c>
      <c r="K331" s="12"/>
      <c r="L331" s="12">
        <v>0.0</v>
      </c>
      <c r="M331" s="12">
        <v>0.0</v>
      </c>
      <c r="N331" s="12">
        <v>0.0</v>
      </c>
      <c r="O331" s="16">
        <f t="shared" si="97"/>
        <v>2370</v>
      </c>
      <c r="P331" s="12">
        <v>200.0</v>
      </c>
      <c r="Q331" s="12">
        <v>100.0</v>
      </c>
      <c r="R331" s="12"/>
      <c r="S331" s="12">
        <v>0.0</v>
      </c>
      <c r="T331" s="12">
        <v>0.0</v>
      </c>
      <c r="U331" s="12">
        <v>0.0</v>
      </c>
      <c r="V331" s="16">
        <f t="shared" si="91"/>
        <v>300</v>
      </c>
      <c r="W331" s="12">
        <v>45.0</v>
      </c>
      <c r="X331" s="12">
        <v>1.2</v>
      </c>
      <c r="Y331" s="12"/>
      <c r="Z331" s="12">
        <v>0.0</v>
      </c>
      <c r="AA331" s="12">
        <v>0.0</v>
      </c>
      <c r="AB331" s="12">
        <v>0.0</v>
      </c>
      <c r="AC331" s="16">
        <f t="shared" si="92"/>
        <v>46.2</v>
      </c>
      <c r="AD331" s="12"/>
      <c r="AE331" s="12"/>
      <c r="AF331" s="12">
        <v>400.0</v>
      </c>
      <c r="AG331" s="12">
        <v>250.0</v>
      </c>
      <c r="AH331" s="12"/>
      <c r="AI331" s="12">
        <v>0.0</v>
      </c>
      <c r="AJ331" s="12">
        <v>0.0</v>
      </c>
      <c r="AK331" s="12">
        <v>0.0</v>
      </c>
      <c r="AL331" s="12">
        <f t="shared" si="93"/>
        <v>650</v>
      </c>
      <c r="AM331" s="12">
        <v>0.0</v>
      </c>
      <c r="AN331" s="12">
        <v>0.0</v>
      </c>
      <c r="AO331" s="12"/>
      <c r="AP331" s="12">
        <v>0.0</v>
      </c>
      <c r="AQ331" s="12">
        <v>0.0</v>
      </c>
      <c r="AR331" s="12">
        <v>0.0</v>
      </c>
      <c r="AS331" s="12">
        <f t="shared" si="94"/>
        <v>0</v>
      </c>
      <c r="AT331" s="16">
        <f t="shared" si="75"/>
        <v>3366.2</v>
      </c>
      <c r="AU331" s="18">
        <f t="shared" ref="AU331:AU358" si="106">IF(AT331="","",AT331+AU330)</f>
        <v>7825.65</v>
      </c>
      <c r="AV331" s="18"/>
      <c r="AW331" s="18"/>
      <c r="AX331" s="12">
        <f t="shared" si="1"/>
        <v>3366.2</v>
      </c>
      <c r="AY331" s="12"/>
      <c r="AZ331" s="12">
        <v>250.0</v>
      </c>
      <c r="BA331" s="18">
        <f t="shared" ref="BA331:BA358" si="107">IF(AZ331="","",AZ331+BA330)</f>
        <v>675</v>
      </c>
      <c r="BB331" s="10">
        <f t="shared" si="16"/>
        <v>78256.5</v>
      </c>
      <c r="BC331" s="16">
        <f t="shared" si="88"/>
        <v>121513.4526</v>
      </c>
      <c r="BD331" s="16"/>
      <c r="BE331" s="16"/>
      <c r="BF331" s="6"/>
      <c r="BG331" s="6"/>
      <c r="BH331" s="6"/>
      <c r="BI331" s="29">
        <f t="shared" si="103"/>
        <v>19369.812</v>
      </c>
      <c r="BJ331" s="6"/>
      <c r="BK331" s="15">
        <f t="shared" si="76"/>
        <v>0.1737858891</v>
      </c>
      <c r="BN331" s="16">
        <f t="shared" si="14"/>
        <v>-16003.612</v>
      </c>
      <c r="BO331" s="16">
        <f t="shared" si="104"/>
        <v>-50283.786</v>
      </c>
      <c r="BQ331" s="12">
        <v>6404.1</v>
      </c>
      <c r="BR331" s="12">
        <v>17075.62</v>
      </c>
      <c r="BS331" s="12">
        <v>2367.41</v>
      </c>
      <c r="BT331" s="12">
        <v>0.87</v>
      </c>
      <c r="BU331" s="12">
        <v>1683.18</v>
      </c>
      <c r="BV331" s="12">
        <v>0.0</v>
      </c>
      <c r="BW331" s="16">
        <f t="shared" si="105"/>
        <v>21127.08</v>
      </c>
      <c r="BY331" s="6">
        <f t="shared" si="2"/>
        <v>2024</v>
      </c>
      <c r="BZ331" s="6" t="str">
        <f t="shared" si="3"/>
        <v>septiembre</v>
      </c>
      <c r="CA331" s="6" t="str">
        <f t="shared" si="4"/>
        <v>9</v>
      </c>
    </row>
    <row r="332">
      <c r="A332" s="8">
        <v>45539.0</v>
      </c>
      <c r="B332" s="12">
        <v>1500.0</v>
      </c>
      <c r="C332" s="12">
        <v>600.0</v>
      </c>
      <c r="D332" s="12"/>
      <c r="E332" s="12">
        <v>0.0</v>
      </c>
      <c r="F332" s="12">
        <v>0.0</v>
      </c>
      <c r="G332" s="12">
        <v>0.0</v>
      </c>
      <c r="H332" s="12">
        <f t="shared" si="89"/>
        <v>2100</v>
      </c>
      <c r="I332" s="12">
        <v>2540.0</v>
      </c>
      <c r="J332" s="12">
        <v>800.0</v>
      </c>
      <c r="K332" s="12"/>
      <c r="L332" s="12">
        <v>0.0</v>
      </c>
      <c r="M332" s="12">
        <v>0.0</v>
      </c>
      <c r="N332" s="12">
        <v>0.0</v>
      </c>
      <c r="O332" s="16">
        <f t="shared" si="97"/>
        <v>3340</v>
      </c>
      <c r="P332" s="12">
        <v>500.0</v>
      </c>
      <c r="Q332" s="12">
        <v>80.0</v>
      </c>
      <c r="R332" s="12"/>
      <c r="S332" s="12">
        <v>0.0</v>
      </c>
      <c r="T332" s="12">
        <v>0.0</v>
      </c>
      <c r="U332" s="12">
        <v>0.0</v>
      </c>
      <c r="V332" s="16">
        <f t="shared" si="91"/>
        <v>580</v>
      </c>
      <c r="W332" s="12">
        <v>120.0</v>
      </c>
      <c r="X332" s="12">
        <v>0.03</v>
      </c>
      <c r="Y332" s="12"/>
      <c r="Z332" s="12">
        <v>0.0</v>
      </c>
      <c r="AA332" s="12">
        <v>0.0</v>
      </c>
      <c r="AB332" s="12">
        <v>0.0</v>
      </c>
      <c r="AC332" s="16">
        <f t="shared" si="92"/>
        <v>120.03</v>
      </c>
      <c r="AD332" s="12"/>
      <c r="AE332" s="12"/>
      <c r="AF332" s="12">
        <v>500.0</v>
      </c>
      <c r="AG332" s="12">
        <v>100.0</v>
      </c>
      <c r="AH332" s="12"/>
      <c r="AI332" s="12">
        <v>0.0</v>
      </c>
      <c r="AJ332" s="12">
        <v>0.0</v>
      </c>
      <c r="AK332" s="12">
        <v>0.0</v>
      </c>
      <c r="AL332" s="12">
        <f t="shared" si="93"/>
        <v>600</v>
      </c>
      <c r="AM332" s="12">
        <v>3825.0</v>
      </c>
      <c r="AN332" s="12">
        <v>0.0</v>
      </c>
      <c r="AO332" s="12"/>
      <c r="AP332" s="12">
        <v>0.0</v>
      </c>
      <c r="AQ332" s="12">
        <v>0.0</v>
      </c>
      <c r="AR332" s="12">
        <v>0.0</v>
      </c>
      <c r="AS332" s="12">
        <f t="shared" si="94"/>
        <v>3825</v>
      </c>
      <c r="AT332" s="16">
        <f t="shared" si="75"/>
        <v>8465.03</v>
      </c>
      <c r="AU332" s="18">
        <f t="shared" si="106"/>
        <v>16290.68</v>
      </c>
      <c r="AV332" s="18"/>
      <c r="AW332" s="18"/>
      <c r="AX332" s="12">
        <f t="shared" si="1"/>
        <v>8465.03</v>
      </c>
      <c r="AY332" s="12"/>
      <c r="AZ332" s="12">
        <v>120.0</v>
      </c>
      <c r="BA332" s="18">
        <f t="shared" si="107"/>
        <v>795</v>
      </c>
      <c r="BB332" s="10">
        <f t="shared" si="16"/>
        <v>122180.1</v>
      </c>
      <c r="BC332" s="16">
        <f t="shared" si="88"/>
        <v>0</v>
      </c>
      <c r="BD332" s="16"/>
      <c r="BE332" s="16"/>
      <c r="BF332" s="6"/>
      <c r="BG332" s="6"/>
      <c r="BH332" s="6"/>
      <c r="BI332" s="29">
        <f t="shared" si="103"/>
        <v>19369.812</v>
      </c>
      <c r="BJ332" s="6"/>
      <c r="BK332" s="15">
        <f t="shared" si="76"/>
        <v>0.4370217945</v>
      </c>
      <c r="BN332" s="16">
        <f t="shared" si="14"/>
        <v>-10904.782</v>
      </c>
      <c r="BO332" s="16">
        <f t="shared" si="104"/>
        <v>-61188.568</v>
      </c>
      <c r="BQ332" s="12">
        <v>12274.41</v>
      </c>
      <c r="BR332" s="12">
        <v>5919.13</v>
      </c>
      <c r="BS332" s="12">
        <v>2885.77</v>
      </c>
      <c r="BT332" s="12">
        <v>77.11</v>
      </c>
      <c r="BU332" s="12">
        <v>365.16</v>
      </c>
      <c r="BV332" s="12">
        <v>0.0</v>
      </c>
      <c r="BW332" s="16">
        <f t="shared" si="105"/>
        <v>9247.17</v>
      </c>
      <c r="BY332" s="6">
        <f t="shared" si="2"/>
        <v>2024</v>
      </c>
      <c r="BZ332" s="6" t="str">
        <f t="shared" si="3"/>
        <v>septiembre</v>
      </c>
      <c r="CA332" s="6" t="str">
        <f t="shared" si="4"/>
        <v>9</v>
      </c>
    </row>
    <row r="333">
      <c r="A333" s="8">
        <v>45540.0</v>
      </c>
      <c r="B333" s="12">
        <v>1200.0</v>
      </c>
      <c r="C333" s="12">
        <v>130.0</v>
      </c>
      <c r="D333" s="12"/>
      <c r="E333" s="12">
        <v>0.0</v>
      </c>
      <c r="F333" s="12">
        <v>0.0</v>
      </c>
      <c r="G333" s="12">
        <v>0.0</v>
      </c>
      <c r="H333" s="12">
        <f t="shared" si="89"/>
        <v>1330</v>
      </c>
      <c r="I333" s="12">
        <v>2000.0</v>
      </c>
      <c r="J333" s="12">
        <v>190.0</v>
      </c>
      <c r="K333" s="12"/>
      <c r="L333" s="12">
        <v>0.0</v>
      </c>
      <c r="M333" s="12">
        <v>0.0</v>
      </c>
      <c r="N333" s="12">
        <v>0.0</v>
      </c>
      <c r="O333" s="16">
        <f t="shared" si="97"/>
        <v>2190</v>
      </c>
      <c r="P333" s="12">
        <v>300.0</v>
      </c>
      <c r="Q333" s="12">
        <v>2150.0</v>
      </c>
      <c r="R333" s="12"/>
      <c r="S333" s="12">
        <v>0.0</v>
      </c>
      <c r="T333" s="12">
        <v>0.0</v>
      </c>
      <c r="U333" s="12">
        <v>0.0</v>
      </c>
      <c r="V333" s="16">
        <f t="shared" si="91"/>
        <v>2450</v>
      </c>
      <c r="W333" s="12">
        <v>190.0</v>
      </c>
      <c r="X333" s="12">
        <v>50.0</v>
      </c>
      <c r="Y333" s="12"/>
      <c r="Z333" s="12">
        <v>0.0</v>
      </c>
      <c r="AA333" s="12">
        <v>0.0</v>
      </c>
      <c r="AB333" s="12">
        <v>0.0</v>
      </c>
      <c r="AC333" s="16">
        <f t="shared" si="92"/>
        <v>240</v>
      </c>
      <c r="AD333" s="12"/>
      <c r="AE333" s="12"/>
      <c r="AF333" s="12">
        <v>520.0</v>
      </c>
      <c r="AG333" s="12">
        <v>230.0</v>
      </c>
      <c r="AH333" s="12"/>
      <c r="AI333" s="12">
        <v>0.0</v>
      </c>
      <c r="AJ333" s="12">
        <v>0.0</v>
      </c>
      <c r="AK333" s="12">
        <v>0.0</v>
      </c>
      <c r="AL333" s="12">
        <f t="shared" si="93"/>
        <v>750</v>
      </c>
      <c r="AM333" s="12">
        <v>0.0</v>
      </c>
      <c r="AN333" s="12">
        <v>0.0</v>
      </c>
      <c r="AO333" s="12"/>
      <c r="AP333" s="12">
        <v>0.0</v>
      </c>
      <c r="AQ333" s="12">
        <v>0.0</v>
      </c>
      <c r="AR333" s="12">
        <v>0.0</v>
      </c>
      <c r="AS333" s="12">
        <f t="shared" si="94"/>
        <v>0</v>
      </c>
      <c r="AT333" s="16">
        <f t="shared" si="75"/>
        <v>5630</v>
      </c>
      <c r="AU333" s="18">
        <f t="shared" si="106"/>
        <v>21920.68</v>
      </c>
      <c r="AV333" s="18"/>
      <c r="AW333" s="18"/>
      <c r="AX333" s="12">
        <f t="shared" si="1"/>
        <v>5630</v>
      </c>
      <c r="AY333" s="12"/>
      <c r="AZ333" s="12">
        <v>235.0</v>
      </c>
      <c r="BA333" s="18">
        <f t="shared" si="107"/>
        <v>1030</v>
      </c>
      <c r="BB333" s="10">
        <f t="shared" si="16"/>
        <v>131524.08</v>
      </c>
      <c r="BC333" s="16">
        <f t="shared" si="88"/>
        <v>11148.625</v>
      </c>
      <c r="BD333" s="16"/>
      <c r="BE333" s="16"/>
      <c r="BF333" s="6"/>
      <c r="BG333" s="6"/>
      <c r="BH333" s="6"/>
      <c r="BI333" s="29">
        <f t="shared" si="103"/>
        <v>19369.812</v>
      </c>
      <c r="BJ333" s="6"/>
      <c r="BK333" s="15">
        <f t="shared" si="76"/>
        <v>0.2906584741</v>
      </c>
      <c r="BN333" s="16">
        <f t="shared" si="14"/>
        <v>-13739.812</v>
      </c>
      <c r="BO333" s="16">
        <f t="shared" si="104"/>
        <v>-74928.38</v>
      </c>
      <c r="BQ333" s="12">
        <v>35447.32</v>
      </c>
      <c r="BR333" s="12">
        <v>7785.98</v>
      </c>
      <c r="BS333" s="12">
        <v>1437.33</v>
      </c>
      <c r="BT333" s="12">
        <v>688.0</v>
      </c>
      <c r="BU333" s="12">
        <v>0.0</v>
      </c>
      <c r="BV333" s="12">
        <v>0.0</v>
      </c>
      <c r="BW333" s="16">
        <f t="shared" si="105"/>
        <v>9911.31</v>
      </c>
      <c r="BY333" s="6">
        <f t="shared" si="2"/>
        <v>2024</v>
      </c>
      <c r="BZ333" s="6" t="str">
        <f t="shared" si="3"/>
        <v>septiembre</v>
      </c>
      <c r="CA333" s="6" t="str">
        <f t="shared" si="4"/>
        <v>9</v>
      </c>
    </row>
    <row r="334">
      <c r="A334" s="8">
        <v>45541.0</v>
      </c>
      <c r="B334" s="12">
        <v>83550.95</v>
      </c>
      <c r="C334" s="12">
        <v>3000.0</v>
      </c>
      <c r="D334" s="12"/>
      <c r="E334" s="12">
        <v>1647.75</v>
      </c>
      <c r="F334" s="12">
        <v>0.0</v>
      </c>
      <c r="G334" s="12">
        <v>0.0</v>
      </c>
      <c r="H334" s="12">
        <f t="shared" si="89"/>
        <v>88198.7</v>
      </c>
      <c r="I334" s="12">
        <v>40256.12</v>
      </c>
      <c r="J334" s="12">
        <v>5893.27</v>
      </c>
      <c r="K334" s="12"/>
      <c r="L334" s="12">
        <v>416.57</v>
      </c>
      <c r="M334" s="12">
        <v>0.0</v>
      </c>
      <c r="N334" s="12">
        <v>0.0</v>
      </c>
      <c r="O334" s="16">
        <f t="shared" si="97"/>
        <v>46565.96</v>
      </c>
      <c r="P334" s="12">
        <v>16506.26</v>
      </c>
      <c r="Q334" s="12">
        <v>1540.0</v>
      </c>
      <c r="R334" s="12"/>
      <c r="S334" s="12">
        <v>0.0</v>
      </c>
      <c r="T334" s="12">
        <v>0.0</v>
      </c>
      <c r="U334" s="12">
        <v>0.0</v>
      </c>
      <c r="V334" s="16">
        <f t="shared" si="91"/>
        <v>18046.26</v>
      </c>
      <c r="W334" s="12">
        <v>821.18</v>
      </c>
      <c r="X334" s="12">
        <v>3.91</v>
      </c>
      <c r="Y334" s="12"/>
      <c r="Z334" s="12">
        <v>0.0</v>
      </c>
      <c r="AA334" s="12">
        <v>0.0</v>
      </c>
      <c r="AB334" s="12">
        <v>0.0</v>
      </c>
      <c r="AC334" s="16">
        <f t="shared" si="92"/>
        <v>825.09</v>
      </c>
      <c r="AD334" s="12"/>
      <c r="AE334" s="12"/>
      <c r="AF334" s="12">
        <v>15976.56</v>
      </c>
      <c r="AG334" s="12">
        <v>0.0</v>
      </c>
      <c r="AH334" s="12"/>
      <c r="AI334" s="12">
        <v>0.0</v>
      </c>
      <c r="AJ334" s="12">
        <v>0.0</v>
      </c>
      <c r="AK334" s="12">
        <v>0.0</v>
      </c>
      <c r="AL334" s="12">
        <f t="shared" si="93"/>
        <v>15976.56</v>
      </c>
      <c r="AM334" s="12">
        <v>7678.0</v>
      </c>
      <c r="AN334" s="12">
        <v>0.0</v>
      </c>
      <c r="AO334" s="12"/>
      <c r="AP334" s="12">
        <v>0.0</v>
      </c>
      <c r="AQ334" s="12">
        <v>0.0</v>
      </c>
      <c r="AR334" s="12">
        <v>0.0</v>
      </c>
      <c r="AS334" s="12">
        <f t="shared" si="94"/>
        <v>7678</v>
      </c>
      <c r="AT334" s="16">
        <f t="shared" si="75"/>
        <v>89091.87</v>
      </c>
      <c r="AU334" s="18">
        <f t="shared" si="106"/>
        <v>111012.55</v>
      </c>
      <c r="AV334" s="18"/>
      <c r="AW334" s="18"/>
      <c r="AX334" s="12">
        <f t="shared" si="1"/>
        <v>89091.87</v>
      </c>
      <c r="AY334" s="12"/>
      <c r="AZ334" s="12">
        <v>5322.34</v>
      </c>
      <c r="BA334" s="18">
        <f t="shared" si="107"/>
        <v>6352.34</v>
      </c>
      <c r="BB334" s="10">
        <f t="shared" si="16"/>
        <v>555062.75</v>
      </c>
      <c r="BC334" s="16">
        <f t="shared" si="88"/>
        <v>13042.75</v>
      </c>
      <c r="BD334" s="16"/>
      <c r="BE334" s="16"/>
      <c r="BF334" s="6"/>
      <c r="BG334" s="6"/>
      <c r="BH334" s="6"/>
      <c r="BI334" s="29">
        <f t="shared" si="103"/>
        <v>19369.812</v>
      </c>
      <c r="BK334" s="15">
        <f t="shared" si="76"/>
        <v>4.599521668</v>
      </c>
      <c r="BN334" s="16">
        <f t="shared" si="14"/>
        <v>69722.058</v>
      </c>
      <c r="BO334" s="16">
        <f t="shared" si="104"/>
        <v>-5206.322</v>
      </c>
      <c r="BY334" s="6">
        <f t="shared" si="2"/>
        <v>2024</v>
      </c>
      <c r="BZ334" s="6" t="str">
        <f t="shared" si="3"/>
        <v>septiembre</v>
      </c>
      <c r="CA334" s="6" t="str">
        <f t="shared" si="4"/>
        <v>9</v>
      </c>
    </row>
    <row r="335">
      <c r="A335" s="8">
        <v>45542.0</v>
      </c>
      <c r="B335" s="12">
        <v>0.0</v>
      </c>
      <c r="C335" s="12">
        <v>0.0</v>
      </c>
      <c r="D335" s="12"/>
      <c r="E335" s="12">
        <v>0.0</v>
      </c>
      <c r="F335" s="12">
        <v>0.0</v>
      </c>
      <c r="G335" s="12">
        <v>0.0</v>
      </c>
      <c r="H335" s="12">
        <f t="shared" si="89"/>
        <v>0</v>
      </c>
      <c r="I335" s="12">
        <v>0.0</v>
      </c>
      <c r="J335" s="12">
        <v>0.0</v>
      </c>
      <c r="K335" s="12"/>
      <c r="L335" s="12">
        <v>0.0</v>
      </c>
      <c r="M335" s="12">
        <v>0.0</v>
      </c>
      <c r="N335" s="12">
        <v>0.0</v>
      </c>
      <c r="O335" s="16">
        <f t="shared" si="97"/>
        <v>0</v>
      </c>
      <c r="P335" s="12">
        <v>0.0</v>
      </c>
      <c r="Q335" s="12">
        <v>0.0</v>
      </c>
      <c r="R335" s="12"/>
      <c r="S335" s="12">
        <v>0.0</v>
      </c>
      <c r="T335" s="12">
        <v>0.0</v>
      </c>
      <c r="U335" s="12">
        <v>0.0</v>
      </c>
      <c r="V335" s="16">
        <f t="shared" si="91"/>
        <v>0</v>
      </c>
      <c r="W335" s="12">
        <v>0.0</v>
      </c>
      <c r="X335" s="12">
        <v>0.0</v>
      </c>
      <c r="Y335" s="12"/>
      <c r="Z335" s="12">
        <v>0.0</v>
      </c>
      <c r="AA335" s="12">
        <v>0.0</v>
      </c>
      <c r="AB335" s="12">
        <v>0.0</v>
      </c>
      <c r="AC335" s="16">
        <f t="shared" si="92"/>
        <v>0</v>
      </c>
      <c r="AD335" s="12"/>
      <c r="AE335" s="12"/>
      <c r="AF335" s="12">
        <v>0.0</v>
      </c>
      <c r="AG335" s="12">
        <v>0.0</v>
      </c>
      <c r="AH335" s="12"/>
      <c r="AI335" s="12">
        <v>0.0</v>
      </c>
      <c r="AJ335" s="12">
        <v>0.0</v>
      </c>
      <c r="AK335" s="12">
        <v>0.0</v>
      </c>
      <c r="AL335" s="12">
        <v>0.0</v>
      </c>
      <c r="AM335" s="12">
        <v>0.0</v>
      </c>
      <c r="AN335" s="12">
        <v>0.0</v>
      </c>
      <c r="AO335" s="12"/>
      <c r="AP335" s="12">
        <v>0.0</v>
      </c>
      <c r="AQ335" s="12">
        <v>0.0</v>
      </c>
      <c r="AR335" s="12">
        <v>0.0</v>
      </c>
      <c r="AS335" s="12">
        <f t="shared" si="94"/>
        <v>0</v>
      </c>
      <c r="AT335" s="16">
        <f t="shared" si="75"/>
        <v>0</v>
      </c>
      <c r="AU335" s="18">
        <f t="shared" si="106"/>
        <v>111012.55</v>
      </c>
      <c r="AV335" s="18"/>
      <c r="AW335" s="18"/>
      <c r="AX335" s="12">
        <f t="shared" si="1"/>
        <v>0</v>
      </c>
      <c r="AY335" s="12"/>
      <c r="AZ335" s="12">
        <v>0.0</v>
      </c>
      <c r="BA335" s="18">
        <f t="shared" si="107"/>
        <v>6352.34</v>
      </c>
      <c r="BB335" s="10">
        <f t="shared" si="16"/>
        <v>475768.0714</v>
      </c>
      <c r="BC335" s="16">
        <f t="shared" si="88"/>
        <v>20363.35</v>
      </c>
      <c r="BD335" s="16"/>
      <c r="BE335" s="16"/>
      <c r="BF335" s="6"/>
      <c r="BG335" s="6"/>
      <c r="BH335" s="6"/>
      <c r="BI335" s="29">
        <f t="shared" si="103"/>
        <v>19369.812</v>
      </c>
      <c r="BJ335" s="6"/>
      <c r="BK335" s="15">
        <f t="shared" si="76"/>
        <v>0</v>
      </c>
      <c r="BN335" s="16">
        <f t="shared" si="14"/>
        <v>-19369.812</v>
      </c>
      <c r="BO335" s="16">
        <f t="shared" si="104"/>
        <v>-24576.134</v>
      </c>
      <c r="BY335" s="6">
        <f t="shared" si="2"/>
        <v>2024</v>
      </c>
      <c r="BZ335" s="6" t="str">
        <f t="shared" si="3"/>
        <v>septiembre</v>
      </c>
      <c r="CA335" s="6" t="str">
        <f t="shared" si="4"/>
        <v>9</v>
      </c>
    </row>
    <row r="336">
      <c r="A336" s="8">
        <v>45543.0</v>
      </c>
      <c r="B336" s="12">
        <v>0.0</v>
      </c>
      <c r="C336" s="12">
        <v>0.0</v>
      </c>
      <c r="D336" s="12"/>
      <c r="E336" s="12">
        <v>0.0</v>
      </c>
      <c r="F336" s="12">
        <v>0.0</v>
      </c>
      <c r="G336" s="12">
        <v>0.0</v>
      </c>
      <c r="H336" s="12">
        <f t="shared" si="89"/>
        <v>0</v>
      </c>
      <c r="I336" s="12">
        <v>0.0</v>
      </c>
      <c r="J336" s="12">
        <v>0.0</v>
      </c>
      <c r="K336" s="12"/>
      <c r="L336" s="12">
        <v>0.0</v>
      </c>
      <c r="M336" s="12">
        <v>0.0</v>
      </c>
      <c r="N336" s="12">
        <v>0.0</v>
      </c>
      <c r="O336" s="16">
        <f t="shared" si="97"/>
        <v>0</v>
      </c>
      <c r="P336" s="12">
        <v>0.0</v>
      </c>
      <c r="Q336" s="12">
        <v>0.0</v>
      </c>
      <c r="R336" s="12"/>
      <c r="S336" s="12">
        <v>0.0</v>
      </c>
      <c r="T336" s="12">
        <v>0.0</v>
      </c>
      <c r="U336" s="12">
        <v>0.0</v>
      </c>
      <c r="V336" s="16">
        <f t="shared" si="91"/>
        <v>0</v>
      </c>
      <c r="W336" s="12">
        <v>0.0</v>
      </c>
      <c r="X336" s="12">
        <v>0.0</v>
      </c>
      <c r="Y336" s="12"/>
      <c r="Z336" s="12">
        <v>0.0</v>
      </c>
      <c r="AA336" s="12">
        <v>0.0</v>
      </c>
      <c r="AB336" s="12">
        <v>0.0</v>
      </c>
      <c r="AC336" s="12">
        <v>0.0</v>
      </c>
      <c r="AD336" s="12"/>
      <c r="AE336" s="12"/>
      <c r="AF336" s="12">
        <v>0.0</v>
      </c>
      <c r="AG336" s="12">
        <v>0.0</v>
      </c>
      <c r="AH336" s="12"/>
      <c r="AI336" s="12">
        <v>0.0</v>
      </c>
      <c r="AJ336" s="12">
        <v>0.0</v>
      </c>
      <c r="AK336" s="12">
        <v>0.0</v>
      </c>
      <c r="AL336" s="12">
        <v>0.0</v>
      </c>
      <c r="AM336" s="12">
        <v>0.0</v>
      </c>
      <c r="AN336" s="12">
        <v>0.0</v>
      </c>
      <c r="AO336" s="12"/>
      <c r="AP336" s="12">
        <v>0.0</v>
      </c>
      <c r="AQ336" s="12">
        <v>0.0</v>
      </c>
      <c r="AR336" s="12">
        <v>0.0</v>
      </c>
      <c r="AS336" s="12">
        <v>0.0</v>
      </c>
      <c r="AT336" s="16">
        <f t="shared" si="75"/>
        <v>0</v>
      </c>
      <c r="AU336" s="18">
        <f t="shared" si="106"/>
        <v>111012.55</v>
      </c>
      <c r="AV336" s="18"/>
      <c r="AW336" s="18"/>
      <c r="AX336" s="12">
        <f t="shared" si="1"/>
        <v>0</v>
      </c>
      <c r="AY336" s="12"/>
      <c r="AZ336" s="12">
        <v>0.0</v>
      </c>
      <c r="BA336" s="18">
        <f t="shared" si="107"/>
        <v>6352.34</v>
      </c>
      <c r="BB336" s="10">
        <f t="shared" si="16"/>
        <v>416297.0625</v>
      </c>
      <c r="BC336" s="16">
        <f t="shared" si="88"/>
        <v>21920.68</v>
      </c>
      <c r="BD336" s="16"/>
      <c r="BE336" s="16"/>
      <c r="BF336" s="6"/>
      <c r="BG336" s="6"/>
      <c r="BH336" s="6"/>
      <c r="BI336" s="29">
        <f t="shared" si="103"/>
        <v>19369.812</v>
      </c>
      <c r="BJ336" s="6"/>
      <c r="BK336" s="15">
        <f t="shared" si="76"/>
        <v>0</v>
      </c>
      <c r="BN336" s="16">
        <f t="shared" si="14"/>
        <v>-19369.812</v>
      </c>
      <c r="BO336" s="16">
        <f t="shared" si="104"/>
        <v>-43945.946</v>
      </c>
      <c r="BY336" s="6">
        <f t="shared" si="2"/>
        <v>2024</v>
      </c>
      <c r="BZ336" s="6" t="str">
        <f t="shared" si="3"/>
        <v>septiembre</v>
      </c>
      <c r="CA336" s="6" t="str">
        <f t="shared" si="4"/>
        <v>9</v>
      </c>
    </row>
    <row r="337">
      <c r="A337" s="8">
        <v>45544.0</v>
      </c>
      <c r="B337" s="12">
        <v>69595.0</v>
      </c>
      <c r="C337" s="12">
        <v>1946.38</v>
      </c>
      <c r="D337" s="12"/>
      <c r="E337" s="12">
        <v>4214.02</v>
      </c>
      <c r="F337" s="12">
        <v>0.0</v>
      </c>
      <c r="G337" s="12">
        <v>0.0</v>
      </c>
      <c r="H337" s="12">
        <f t="shared" si="89"/>
        <v>75755.4</v>
      </c>
      <c r="I337" s="12">
        <v>27947.3</v>
      </c>
      <c r="J337" s="12">
        <v>3719.97</v>
      </c>
      <c r="K337" s="12"/>
      <c r="L337" s="12">
        <v>873.79</v>
      </c>
      <c r="M337" s="12">
        <v>0.0</v>
      </c>
      <c r="N337" s="12">
        <v>0.0</v>
      </c>
      <c r="O337" s="16">
        <f t="shared" si="97"/>
        <v>32541.06</v>
      </c>
      <c r="P337" s="12">
        <v>4700.1</v>
      </c>
      <c r="Q337" s="12">
        <v>1644.94</v>
      </c>
      <c r="R337" s="12"/>
      <c r="S337" s="12">
        <v>0.0</v>
      </c>
      <c r="T337" s="12">
        <v>0.0</v>
      </c>
      <c r="U337" s="12">
        <v>0.0</v>
      </c>
      <c r="V337" s="16">
        <f t="shared" si="91"/>
        <v>6345.04</v>
      </c>
      <c r="W337" s="12">
        <v>3696.96</v>
      </c>
      <c r="X337" s="12">
        <v>426.29</v>
      </c>
      <c r="Y337" s="12"/>
      <c r="Z337" s="12">
        <v>0.0</v>
      </c>
      <c r="AA337" s="12">
        <v>0.0</v>
      </c>
      <c r="AB337" s="12">
        <v>0.0</v>
      </c>
      <c r="AC337" s="16">
        <f t="shared" ref="AC337:AC343" si="108">W337+X337+Z337+AA337+AB337</f>
        <v>4123.25</v>
      </c>
      <c r="AD337" s="12"/>
      <c r="AE337" s="12"/>
      <c r="AF337" s="12">
        <v>2828.85</v>
      </c>
      <c r="AG337" s="12">
        <v>530.81</v>
      </c>
      <c r="AH337" s="12"/>
      <c r="AI337" s="12">
        <v>0.0</v>
      </c>
      <c r="AJ337" s="12">
        <v>0.0</v>
      </c>
      <c r="AK337" s="12">
        <v>0.0</v>
      </c>
      <c r="AL337" s="12">
        <f t="shared" ref="AL337:AL361" si="109">AK337+AJ337+AI337+AG337+AF337</f>
        <v>3359.66</v>
      </c>
      <c r="AM337" s="12">
        <v>1521.0</v>
      </c>
      <c r="AN337" s="12">
        <v>0.0</v>
      </c>
      <c r="AO337" s="12"/>
      <c r="AP337" s="12">
        <v>0.0</v>
      </c>
      <c r="AQ337" s="12">
        <v>0.0</v>
      </c>
      <c r="AR337" s="12">
        <v>0.0</v>
      </c>
      <c r="AS337" s="12">
        <f t="shared" ref="AS337:AS361" si="110">AR337+AQ337+AP337+AN337+AM337</f>
        <v>1521</v>
      </c>
      <c r="AT337" s="16">
        <f t="shared" si="75"/>
        <v>47890.01</v>
      </c>
      <c r="AU337" s="18">
        <f t="shared" si="106"/>
        <v>158902.56</v>
      </c>
      <c r="AV337" s="18"/>
      <c r="AW337" s="18"/>
      <c r="AX337" s="12">
        <f t="shared" si="1"/>
        <v>47890.01</v>
      </c>
      <c r="AY337" s="12"/>
      <c r="AZ337" s="12">
        <v>3149.1</v>
      </c>
      <c r="BA337" s="18">
        <f t="shared" si="107"/>
        <v>9501.44</v>
      </c>
      <c r="BB337" s="10">
        <f t="shared" si="16"/>
        <v>529675.2</v>
      </c>
      <c r="BC337" s="16">
        <f t="shared" si="88"/>
        <v>92510.45833</v>
      </c>
      <c r="BD337" s="16"/>
      <c r="BE337" s="16"/>
      <c r="BF337" s="6"/>
      <c r="BG337" s="6"/>
      <c r="BH337" s="6"/>
      <c r="BI337" s="29">
        <f t="shared" si="103"/>
        <v>19369.812</v>
      </c>
      <c r="BK337" s="15">
        <f t="shared" si="76"/>
        <v>2.472404482</v>
      </c>
      <c r="BN337" s="16">
        <f t="shared" si="14"/>
        <v>28520.198</v>
      </c>
      <c r="BO337" s="16">
        <f t="shared" si="104"/>
        <v>-15425.748</v>
      </c>
      <c r="BY337" s="6">
        <f t="shared" si="2"/>
        <v>2024</v>
      </c>
      <c r="BZ337" s="6" t="str">
        <f t="shared" si="3"/>
        <v>septiembre</v>
      </c>
      <c r="CA337" s="6" t="str">
        <f t="shared" si="4"/>
        <v>9</v>
      </c>
    </row>
    <row r="338">
      <c r="A338" s="8">
        <v>45545.0</v>
      </c>
      <c r="B338" s="12">
        <v>31217.95</v>
      </c>
      <c r="C338" s="12">
        <v>448.52</v>
      </c>
      <c r="D338" s="12"/>
      <c r="E338" s="12">
        <v>0.0</v>
      </c>
      <c r="F338" s="12">
        <v>0.0</v>
      </c>
      <c r="G338" s="12">
        <v>0.0</v>
      </c>
      <c r="H338" s="12">
        <f t="shared" si="89"/>
        <v>31666.47</v>
      </c>
      <c r="I338" s="12">
        <v>5720.93</v>
      </c>
      <c r="J338" s="12">
        <v>1006.5</v>
      </c>
      <c r="K338" s="12"/>
      <c r="L338" s="12">
        <v>2185.4</v>
      </c>
      <c r="M338" s="12">
        <v>0.0</v>
      </c>
      <c r="N338" s="12">
        <v>0.0</v>
      </c>
      <c r="O338" s="16">
        <f t="shared" si="97"/>
        <v>8912.83</v>
      </c>
      <c r="P338" s="12">
        <v>3269.38</v>
      </c>
      <c r="Q338" s="12">
        <v>75.44</v>
      </c>
      <c r="R338" s="12"/>
      <c r="S338" s="12">
        <v>0.0</v>
      </c>
      <c r="T338" s="12">
        <v>0.0</v>
      </c>
      <c r="U338" s="12">
        <v>0.0</v>
      </c>
      <c r="V338" s="16">
        <f t="shared" si="91"/>
        <v>3344.82</v>
      </c>
      <c r="W338" s="12">
        <v>89.92</v>
      </c>
      <c r="X338" s="12">
        <v>0.0</v>
      </c>
      <c r="Y338" s="12"/>
      <c r="Z338" s="12">
        <v>0.0</v>
      </c>
      <c r="AA338" s="12">
        <v>0.0</v>
      </c>
      <c r="AB338" s="12">
        <v>0.0</v>
      </c>
      <c r="AC338" s="16">
        <f t="shared" si="108"/>
        <v>89.92</v>
      </c>
      <c r="AD338" s="12"/>
      <c r="AE338" s="12"/>
      <c r="AF338" s="12">
        <v>2695.15</v>
      </c>
      <c r="AG338" s="12">
        <v>201.59</v>
      </c>
      <c r="AH338" s="12"/>
      <c r="AI338" s="12">
        <v>0.0</v>
      </c>
      <c r="AJ338" s="12">
        <v>0.0</v>
      </c>
      <c r="AK338" s="12">
        <v>0.0</v>
      </c>
      <c r="AL338" s="12">
        <f t="shared" si="109"/>
        <v>2896.74</v>
      </c>
      <c r="AM338" s="12">
        <v>0.0</v>
      </c>
      <c r="AN338" s="12">
        <v>0.0</v>
      </c>
      <c r="AO338" s="12"/>
      <c r="AP338" s="12">
        <v>0.0</v>
      </c>
      <c r="AQ338" s="12">
        <v>0.0</v>
      </c>
      <c r="AR338" s="12">
        <v>0.0</v>
      </c>
      <c r="AS338" s="12">
        <f t="shared" si="110"/>
        <v>0</v>
      </c>
      <c r="AT338" s="16">
        <f t="shared" si="75"/>
        <v>15244.31</v>
      </c>
      <c r="AU338" s="18">
        <f t="shared" si="106"/>
        <v>174146.87</v>
      </c>
      <c r="AV338" s="18"/>
      <c r="AW338" s="18"/>
      <c r="AX338" s="12">
        <f t="shared" si="1"/>
        <v>15244.31</v>
      </c>
      <c r="AY338" s="12"/>
      <c r="AZ338" s="12">
        <v>556.03</v>
      </c>
      <c r="BA338" s="18">
        <f t="shared" si="107"/>
        <v>10057.47</v>
      </c>
      <c r="BB338" s="10">
        <f t="shared" si="16"/>
        <v>522440.61</v>
      </c>
      <c r="BC338" s="16">
        <f t="shared" si="88"/>
        <v>79294.67857</v>
      </c>
      <c r="BD338" s="16"/>
      <c r="BE338" s="16"/>
      <c r="BF338" s="6"/>
      <c r="BG338" s="6"/>
      <c r="BH338" s="6"/>
      <c r="BI338" s="29">
        <f t="shared" si="103"/>
        <v>19369.812</v>
      </c>
      <c r="BJ338" s="6"/>
      <c r="BK338" s="15">
        <f t="shared" si="76"/>
        <v>0.7870138337</v>
      </c>
      <c r="BN338" s="16">
        <f t="shared" si="14"/>
        <v>-4125.502</v>
      </c>
      <c r="BO338" s="16">
        <f t="shared" si="104"/>
        <v>-19551.25</v>
      </c>
      <c r="BY338" s="6">
        <f t="shared" si="2"/>
        <v>2024</v>
      </c>
      <c r="BZ338" s="6" t="str">
        <f t="shared" si="3"/>
        <v>septiembre</v>
      </c>
      <c r="CA338" s="6" t="str">
        <f t="shared" si="4"/>
        <v>9</v>
      </c>
    </row>
    <row r="339">
      <c r="A339" s="8">
        <v>45546.0</v>
      </c>
      <c r="B339" s="12">
        <v>6033.09</v>
      </c>
      <c r="C339" s="12">
        <v>412.33</v>
      </c>
      <c r="D339" s="12"/>
      <c r="E339" s="12">
        <v>0.0</v>
      </c>
      <c r="F339" s="12">
        <v>0.0</v>
      </c>
      <c r="G339" s="12">
        <v>0.0</v>
      </c>
      <c r="H339" s="12">
        <f t="shared" si="89"/>
        <v>6445.42</v>
      </c>
      <c r="I339" s="12">
        <v>1207.01</v>
      </c>
      <c r="J339" s="12">
        <v>1516.19</v>
      </c>
      <c r="K339" s="12"/>
      <c r="L339" s="12">
        <v>0.0</v>
      </c>
      <c r="M339" s="12">
        <v>0.0</v>
      </c>
      <c r="N339" s="12">
        <v>0.0</v>
      </c>
      <c r="O339" s="16">
        <f t="shared" si="97"/>
        <v>2723.2</v>
      </c>
      <c r="P339" s="12">
        <v>1137.85</v>
      </c>
      <c r="Q339" s="12">
        <v>745.28</v>
      </c>
      <c r="R339" s="12"/>
      <c r="S339" s="12">
        <v>0.0</v>
      </c>
      <c r="T339" s="12">
        <v>0.0</v>
      </c>
      <c r="U339" s="12">
        <v>0.0</v>
      </c>
      <c r="V339" s="16">
        <f t="shared" si="91"/>
        <v>1883.13</v>
      </c>
      <c r="W339" s="12">
        <v>3602.5</v>
      </c>
      <c r="X339" s="12">
        <v>0.0</v>
      </c>
      <c r="Y339" s="12"/>
      <c r="Z339" s="12">
        <v>0.0</v>
      </c>
      <c r="AA339" s="12">
        <v>0.0</v>
      </c>
      <c r="AB339" s="12">
        <v>0.0</v>
      </c>
      <c r="AC339" s="16">
        <f t="shared" si="108"/>
        <v>3602.5</v>
      </c>
      <c r="AD339" s="12"/>
      <c r="AE339" s="12"/>
      <c r="AF339" s="12">
        <v>1956.16</v>
      </c>
      <c r="AG339" s="12">
        <v>665.55</v>
      </c>
      <c r="AH339" s="12"/>
      <c r="AI339" s="12">
        <v>0.0</v>
      </c>
      <c r="AJ339" s="12">
        <v>0.0</v>
      </c>
      <c r="AK339" s="12">
        <v>0.0</v>
      </c>
      <c r="AL339" s="12">
        <f t="shared" si="109"/>
        <v>2621.71</v>
      </c>
      <c r="AM339" s="12">
        <v>3683.0</v>
      </c>
      <c r="AN339" s="12">
        <v>0.0</v>
      </c>
      <c r="AO339" s="12"/>
      <c r="AP339" s="12">
        <v>0.0</v>
      </c>
      <c r="AQ339" s="12">
        <v>0.0</v>
      </c>
      <c r="AR339" s="12">
        <v>0.0</v>
      </c>
      <c r="AS339" s="12">
        <f t="shared" si="110"/>
        <v>3683</v>
      </c>
      <c r="AT339" s="16">
        <f t="shared" si="75"/>
        <v>14513.54</v>
      </c>
      <c r="AU339" s="18">
        <f t="shared" si="106"/>
        <v>188660.41</v>
      </c>
      <c r="AV339" s="18"/>
      <c r="AW339" s="18"/>
      <c r="AX339" s="12">
        <f t="shared" si="1"/>
        <v>14513.54</v>
      </c>
      <c r="AY339" s="12"/>
      <c r="AZ339" s="12">
        <v>507.93</v>
      </c>
      <c r="BA339" s="18">
        <f t="shared" si="107"/>
        <v>10565.4</v>
      </c>
      <c r="BB339" s="10">
        <f t="shared" si="16"/>
        <v>514528.3909</v>
      </c>
      <c r="BC339" s="16">
        <f t="shared" si="88"/>
        <v>69382.84375</v>
      </c>
      <c r="BD339" s="16"/>
      <c r="BE339" s="16"/>
      <c r="BF339" s="6"/>
      <c r="BG339" s="6"/>
      <c r="BH339" s="6"/>
      <c r="BI339" s="29">
        <f t="shared" si="103"/>
        <v>19369.812</v>
      </c>
      <c r="BJ339" s="6"/>
      <c r="BK339" s="15">
        <f t="shared" si="76"/>
        <v>0.7492865703</v>
      </c>
      <c r="BN339" s="16">
        <f t="shared" si="14"/>
        <v>-4856.272</v>
      </c>
      <c r="BO339" s="16">
        <f t="shared" si="104"/>
        <v>-24407.522</v>
      </c>
      <c r="BY339" s="6">
        <f t="shared" si="2"/>
        <v>2024</v>
      </c>
      <c r="BZ339" s="6" t="str">
        <f t="shared" si="3"/>
        <v>septiembre</v>
      </c>
      <c r="CA339" s="6" t="str">
        <f t="shared" si="4"/>
        <v>9</v>
      </c>
    </row>
    <row r="340">
      <c r="A340" s="8">
        <v>45547.0</v>
      </c>
      <c r="B340" s="12">
        <v>3287.81</v>
      </c>
      <c r="C340" s="12">
        <v>1938.75</v>
      </c>
      <c r="D340" s="12"/>
      <c r="E340" s="12">
        <v>0.0</v>
      </c>
      <c r="F340" s="12">
        <v>0.0</v>
      </c>
      <c r="G340" s="12">
        <v>0.0</v>
      </c>
      <c r="H340" s="12">
        <f t="shared" si="89"/>
        <v>5226.56</v>
      </c>
      <c r="I340" s="12">
        <v>3002.99</v>
      </c>
      <c r="J340" s="12">
        <v>1561.18</v>
      </c>
      <c r="K340" s="12"/>
      <c r="L340" s="12">
        <v>0.0</v>
      </c>
      <c r="M340" s="12">
        <v>0.0</v>
      </c>
      <c r="N340" s="12">
        <v>0.0</v>
      </c>
      <c r="O340" s="16">
        <f t="shared" si="97"/>
        <v>4564.17</v>
      </c>
      <c r="P340" s="12">
        <v>212.49</v>
      </c>
      <c r="Q340" s="12">
        <v>1020.25</v>
      </c>
      <c r="R340" s="12"/>
      <c r="S340" s="12">
        <v>0.0</v>
      </c>
      <c r="T340" s="12">
        <v>0.0</v>
      </c>
      <c r="U340" s="12">
        <v>0.0</v>
      </c>
      <c r="V340" s="16">
        <f t="shared" si="91"/>
        <v>1232.74</v>
      </c>
      <c r="W340" s="12">
        <v>6461.86</v>
      </c>
      <c r="X340" s="12">
        <v>0.0</v>
      </c>
      <c r="Y340" s="12"/>
      <c r="Z340" s="12">
        <v>0.0</v>
      </c>
      <c r="AA340" s="12">
        <v>0.0</v>
      </c>
      <c r="AB340" s="12">
        <v>0.0</v>
      </c>
      <c r="AC340" s="16">
        <f t="shared" si="108"/>
        <v>6461.86</v>
      </c>
      <c r="AD340" s="12"/>
      <c r="AE340" s="12"/>
      <c r="AF340" s="12">
        <v>0.0</v>
      </c>
      <c r="AG340" s="12">
        <v>0.0</v>
      </c>
      <c r="AH340" s="12"/>
      <c r="AI340" s="12">
        <v>0.0</v>
      </c>
      <c r="AJ340" s="12">
        <v>0.0</v>
      </c>
      <c r="AK340" s="12">
        <v>0.0</v>
      </c>
      <c r="AL340" s="12">
        <f t="shared" si="109"/>
        <v>0</v>
      </c>
      <c r="AM340" s="12">
        <v>7175.0</v>
      </c>
      <c r="AN340" s="12">
        <v>0.0</v>
      </c>
      <c r="AO340" s="12"/>
      <c r="AP340" s="12">
        <v>0.0</v>
      </c>
      <c r="AQ340" s="12">
        <v>0.0</v>
      </c>
      <c r="AR340" s="12">
        <v>0.0</v>
      </c>
      <c r="AS340" s="12">
        <f t="shared" si="110"/>
        <v>7175</v>
      </c>
      <c r="AT340" s="16">
        <f t="shared" si="75"/>
        <v>19433.77</v>
      </c>
      <c r="AU340" s="18">
        <f t="shared" si="106"/>
        <v>208094.18</v>
      </c>
      <c r="AV340" s="18"/>
      <c r="AW340" s="18"/>
      <c r="AX340" s="12">
        <f t="shared" si="1"/>
        <v>19433.77</v>
      </c>
      <c r="AY340" s="12"/>
      <c r="AZ340" s="12">
        <v>1272.26</v>
      </c>
      <c r="BA340" s="18">
        <f t="shared" si="107"/>
        <v>11837.66</v>
      </c>
      <c r="BB340" s="10">
        <f t="shared" si="16"/>
        <v>520235.45</v>
      </c>
      <c r="BC340" s="16">
        <f t="shared" si="88"/>
        <v>88279.2</v>
      </c>
      <c r="BD340" s="16"/>
      <c r="BE340" s="16"/>
      <c r="BF340" s="6"/>
      <c r="BG340" s="6"/>
      <c r="BH340" s="6"/>
      <c r="BI340" s="29">
        <f t="shared" si="103"/>
        <v>19369.812</v>
      </c>
      <c r="BK340" s="15">
        <f t="shared" si="76"/>
        <v>1.003301942</v>
      </c>
      <c r="BN340" s="16">
        <f t="shared" si="14"/>
        <v>63.958</v>
      </c>
      <c r="BO340" s="16">
        <f t="shared" si="104"/>
        <v>-24343.564</v>
      </c>
      <c r="BY340" s="6">
        <f t="shared" si="2"/>
        <v>2024</v>
      </c>
      <c r="BZ340" s="6" t="str">
        <f t="shared" si="3"/>
        <v>septiembre</v>
      </c>
      <c r="CA340" s="6" t="str">
        <f t="shared" si="4"/>
        <v>9</v>
      </c>
    </row>
    <row r="341">
      <c r="A341" s="8">
        <v>45548.0</v>
      </c>
      <c r="B341" s="12">
        <v>9000.28</v>
      </c>
      <c r="C341" s="12">
        <v>907.3</v>
      </c>
      <c r="D341" s="12"/>
      <c r="E341" s="12">
        <v>0.0</v>
      </c>
      <c r="F341" s="12">
        <v>0.0</v>
      </c>
      <c r="G341" s="12">
        <v>0.0</v>
      </c>
      <c r="H341" s="12">
        <f t="shared" si="89"/>
        <v>9907.58</v>
      </c>
      <c r="I341" s="12">
        <v>1036.0</v>
      </c>
      <c r="J341" s="12">
        <v>990.19</v>
      </c>
      <c r="K341" s="12"/>
      <c r="L341" s="12">
        <v>0.0</v>
      </c>
      <c r="M341" s="12">
        <v>0.0</v>
      </c>
      <c r="N341" s="12">
        <v>0.0</v>
      </c>
      <c r="O341" s="16">
        <f t="shared" si="97"/>
        <v>2026.19</v>
      </c>
      <c r="P341" s="12">
        <v>2555.96</v>
      </c>
      <c r="Q341" s="12">
        <v>119.59</v>
      </c>
      <c r="R341" s="12"/>
      <c r="S341" s="12">
        <v>0.0</v>
      </c>
      <c r="T341" s="12">
        <v>0.0</v>
      </c>
      <c r="U341" s="12">
        <v>0.0</v>
      </c>
      <c r="V341" s="16">
        <f t="shared" si="91"/>
        <v>2675.55</v>
      </c>
      <c r="W341" s="12">
        <v>4676.64</v>
      </c>
      <c r="X341" s="12">
        <v>3.25</v>
      </c>
      <c r="Y341" s="12"/>
      <c r="Z341" s="12">
        <v>0.0</v>
      </c>
      <c r="AA341" s="12">
        <v>0.0</v>
      </c>
      <c r="AB341" s="12">
        <v>0.0</v>
      </c>
      <c r="AC341" s="16">
        <f t="shared" si="108"/>
        <v>4679.89</v>
      </c>
      <c r="AD341" s="12"/>
      <c r="AE341" s="12"/>
      <c r="AF341" s="12">
        <v>11582.8</v>
      </c>
      <c r="AG341" s="12">
        <v>0.0</v>
      </c>
      <c r="AH341" s="12"/>
      <c r="AI341" s="12">
        <v>0.0</v>
      </c>
      <c r="AJ341" s="12">
        <v>0.0</v>
      </c>
      <c r="AK341" s="12">
        <v>0.0</v>
      </c>
      <c r="AL341" s="12">
        <f t="shared" si="109"/>
        <v>11582.8</v>
      </c>
      <c r="AM341" s="12">
        <v>5503.0</v>
      </c>
      <c r="AN341" s="12">
        <v>0.0</v>
      </c>
      <c r="AO341" s="12"/>
      <c r="AP341" s="12">
        <v>0.0</v>
      </c>
      <c r="AQ341" s="12">
        <v>0.0</v>
      </c>
      <c r="AR341" s="12">
        <v>0.0</v>
      </c>
      <c r="AS341" s="12">
        <f t="shared" si="110"/>
        <v>5503</v>
      </c>
      <c r="AT341" s="16">
        <f t="shared" si="75"/>
        <v>26467.43</v>
      </c>
      <c r="AU341" s="18">
        <f t="shared" si="106"/>
        <v>234561.61</v>
      </c>
      <c r="AV341" s="18"/>
      <c r="AW341" s="18"/>
      <c r="AX341" s="12">
        <f t="shared" si="1"/>
        <v>26467.43</v>
      </c>
      <c r="AY341" s="12"/>
      <c r="AZ341" s="12">
        <v>2574.62</v>
      </c>
      <c r="BA341" s="18">
        <f t="shared" si="107"/>
        <v>14412.28</v>
      </c>
      <c r="BB341" s="10">
        <f t="shared" si="16"/>
        <v>541296.0231</v>
      </c>
      <c r="BC341" s="16">
        <f t="shared" si="88"/>
        <v>87073.435</v>
      </c>
      <c r="BD341" s="16"/>
      <c r="BE341" s="16"/>
      <c r="BF341" s="6"/>
      <c r="BG341" s="6"/>
      <c r="BH341" s="6"/>
      <c r="BI341" s="29">
        <f t="shared" si="103"/>
        <v>19369.812</v>
      </c>
      <c r="BK341" s="15">
        <f t="shared" si="76"/>
        <v>1.366426788</v>
      </c>
      <c r="BN341" s="16">
        <f t="shared" si="14"/>
        <v>7097.618</v>
      </c>
      <c r="BO341" s="16">
        <f t="shared" si="104"/>
        <v>-17245.946</v>
      </c>
      <c r="BY341" s="6">
        <f t="shared" si="2"/>
        <v>2024</v>
      </c>
      <c r="BZ341" s="6" t="str">
        <f t="shared" si="3"/>
        <v>septiembre</v>
      </c>
      <c r="CA341" s="6" t="str">
        <f t="shared" si="4"/>
        <v>9</v>
      </c>
    </row>
    <row r="342">
      <c r="A342" s="8">
        <v>45549.0</v>
      </c>
      <c r="B342" s="12">
        <v>0.0</v>
      </c>
      <c r="C342" s="12">
        <v>0.0</v>
      </c>
      <c r="D342" s="12"/>
      <c r="E342" s="12">
        <v>0.0</v>
      </c>
      <c r="F342" s="12">
        <v>0.0</v>
      </c>
      <c r="G342" s="12">
        <v>0.0</v>
      </c>
      <c r="H342" s="12">
        <f t="shared" si="89"/>
        <v>0</v>
      </c>
      <c r="I342" s="12">
        <v>0.0</v>
      </c>
      <c r="J342" s="12">
        <v>0.0</v>
      </c>
      <c r="K342" s="12"/>
      <c r="L342" s="12">
        <v>0.0</v>
      </c>
      <c r="M342" s="12">
        <v>0.0</v>
      </c>
      <c r="N342" s="12">
        <v>0.0</v>
      </c>
      <c r="O342" s="16">
        <f t="shared" si="97"/>
        <v>0</v>
      </c>
      <c r="P342" s="12">
        <v>0.0</v>
      </c>
      <c r="Q342" s="12">
        <v>0.0</v>
      </c>
      <c r="R342" s="12"/>
      <c r="S342" s="12">
        <v>0.0</v>
      </c>
      <c r="T342" s="12">
        <v>0.0</v>
      </c>
      <c r="U342" s="12">
        <v>0.0</v>
      </c>
      <c r="V342" s="16">
        <f t="shared" si="91"/>
        <v>0</v>
      </c>
      <c r="W342" s="12">
        <v>0.0</v>
      </c>
      <c r="X342" s="12">
        <v>0.0</v>
      </c>
      <c r="Y342" s="12"/>
      <c r="Z342" s="12">
        <v>0.0</v>
      </c>
      <c r="AA342" s="12">
        <v>0.0</v>
      </c>
      <c r="AB342" s="12">
        <v>0.0</v>
      </c>
      <c r="AC342" s="16">
        <f t="shared" si="108"/>
        <v>0</v>
      </c>
      <c r="AD342" s="12"/>
      <c r="AE342" s="12"/>
      <c r="AF342" s="12">
        <v>0.0</v>
      </c>
      <c r="AG342" s="12">
        <v>0.0</v>
      </c>
      <c r="AH342" s="12"/>
      <c r="AI342" s="12">
        <v>0.0</v>
      </c>
      <c r="AJ342" s="12">
        <v>0.0</v>
      </c>
      <c r="AK342" s="12">
        <v>0.0</v>
      </c>
      <c r="AL342" s="12">
        <f t="shared" si="109"/>
        <v>0</v>
      </c>
      <c r="AM342" s="12">
        <v>0.0</v>
      </c>
      <c r="AN342" s="12">
        <v>0.0</v>
      </c>
      <c r="AO342" s="12"/>
      <c r="AP342" s="12">
        <v>0.0</v>
      </c>
      <c r="AQ342" s="12">
        <v>0.0</v>
      </c>
      <c r="AR342" s="12">
        <v>0.0</v>
      </c>
      <c r="AS342" s="12">
        <f t="shared" si="110"/>
        <v>0</v>
      </c>
      <c r="AT342" s="16">
        <f t="shared" si="75"/>
        <v>0</v>
      </c>
      <c r="AU342" s="18">
        <f t="shared" si="106"/>
        <v>234561.61</v>
      </c>
      <c r="AV342" s="18"/>
      <c r="AW342" s="18"/>
      <c r="AX342" s="12">
        <f t="shared" si="1"/>
        <v>0</v>
      </c>
      <c r="AY342" s="12"/>
      <c r="AZ342" s="12">
        <v>0.0</v>
      </c>
      <c r="BA342" s="18">
        <f t="shared" si="107"/>
        <v>14412.28</v>
      </c>
      <c r="BB342" s="10">
        <f t="shared" si="16"/>
        <v>502632.0214</v>
      </c>
      <c r="BC342" s="16">
        <f t="shared" si="88"/>
        <v>85754.73182</v>
      </c>
      <c r="BD342" s="16"/>
      <c r="BE342" s="16"/>
      <c r="BF342" s="6"/>
      <c r="BG342" s="6"/>
      <c r="BH342" s="6"/>
      <c r="BI342" s="29">
        <f t="shared" si="103"/>
        <v>19369.812</v>
      </c>
      <c r="BJ342" s="6"/>
      <c r="BK342" s="15">
        <f t="shared" si="76"/>
        <v>0</v>
      </c>
      <c r="BN342" s="16">
        <f t="shared" si="14"/>
        <v>-19369.812</v>
      </c>
      <c r="BO342" s="16">
        <f t="shared" si="104"/>
        <v>-36615.758</v>
      </c>
      <c r="BY342" s="6">
        <f t="shared" si="2"/>
        <v>2024</v>
      </c>
      <c r="BZ342" s="6" t="str">
        <f t="shared" si="3"/>
        <v>septiembre</v>
      </c>
      <c r="CA342" s="6" t="str">
        <f t="shared" si="4"/>
        <v>9</v>
      </c>
    </row>
    <row r="343">
      <c r="A343" s="8">
        <v>45550.0</v>
      </c>
      <c r="B343" s="12">
        <v>0.0</v>
      </c>
      <c r="C343" s="12">
        <v>0.0</v>
      </c>
      <c r="D343" s="12"/>
      <c r="E343" s="12">
        <v>0.0</v>
      </c>
      <c r="F343" s="12">
        <v>0.0</v>
      </c>
      <c r="G343" s="12">
        <v>0.0</v>
      </c>
      <c r="H343" s="12">
        <f t="shared" si="89"/>
        <v>0</v>
      </c>
      <c r="I343" s="12">
        <v>0.0</v>
      </c>
      <c r="J343" s="12">
        <v>0.0</v>
      </c>
      <c r="K343" s="12"/>
      <c r="L343" s="12">
        <v>0.0</v>
      </c>
      <c r="M343" s="12">
        <v>0.0</v>
      </c>
      <c r="N343" s="12">
        <v>0.0</v>
      </c>
      <c r="O343" s="16">
        <f t="shared" si="97"/>
        <v>0</v>
      </c>
      <c r="P343" s="12">
        <v>0.0</v>
      </c>
      <c r="Q343" s="12">
        <v>0.0</v>
      </c>
      <c r="R343" s="12"/>
      <c r="S343" s="12">
        <v>0.0</v>
      </c>
      <c r="T343" s="12">
        <v>0.0</v>
      </c>
      <c r="U343" s="12">
        <v>0.0</v>
      </c>
      <c r="V343" s="16">
        <f t="shared" si="91"/>
        <v>0</v>
      </c>
      <c r="W343" s="12">
        <v>0.0</v>
      </c>
      <c r="X343" s="12">
        <v>0.0</v>
      </c>
      <c r="Y343" s="12"/>
      <c r="Z343" s="12">
        <v>0.0</v>
      </c>
      <c r="AA343" s="12">
        <v>0.0</v>
      </c>
      <c r="AB343" s="12">
        <v>0.0</v>
      </c>
      <c r="AC343" s="16">
        <f t="shared" si="108"/>
        <v>0</v>
      </c>
      <c r="AD343" s="12"/>
      <c r="AE343" s="12"/>
      <c r="AF343" s="12">
        <v>0.0</v>
      </c>
      <c r="AG343" s="12">
        <v>0.0</v>
      </c>
      <c r="AH343" s="12"/>
      <c r="AI343" s="12">
        <v>0.0</v>
      </c>
      <c r="AJ343" s="12">
        <v>0.0</v>
      </c>
      <c r="AK343" s="12">
        <v>0.0</v>
      </c>
      <c r="AL343" s="12">
        <f t="shared" si="109"/>
        <v>0</v>
      </c>
      <c r="AM343" s="12">
        <v>0.0</v>
      </c>
      <c r="AN343" s="12">
        <v>0.0</v>
      </c>
      <c r="AO343" s="12"/>
      <c r="AP343" s="12">
        <v>0.0</v>
      </c>
      <c r="AQ343" s="12">
        <v>0.0</v>
      </c>
      <c r="AR343" s="12">
        <v>0.0</v>
      </c>
      <c r="AS343" s="12">
        <f t="shared" si="110"/>
        <v>0</v>
      </c>
      <c r="AT343" s="16">
        <f t="shared" si="75"/>
        <v>0</v>
      </c>
      <c r="AU343" s="18">
        <f t="shared" si="106"/>
        <v>234561.61</v>
      </c>
      <c r="AV343" s="18"/>
      <c r="AW343" s="18"/>
      <c r="AX343" s="12">
        <f t="shared" si="1"/>
        <v>0</v>
      </c>
      <c r="AY343" s="12"/>
      <c r="AZ343" s="12">
        <v>0.0</v>
      </c>
      <c r="BA343" s="18">
        <f t="shared" si="107"/>
        <v>14412.28</v>
      </c>
      <c r="BB343" s="10">
        <f t="shared" si="16"/>
        <v>469123.22</v>
      </c>
      <c r="BC343" s="16">
        <f t="shared" si="88"/>
        <v>86705.90833</v>
      </c>
      <c r="BD343" s="16"/>
      <c r="BE343" s="16"/>
      <c r="BF343" s="6"/>
      <c r="BG343" s="6"/>
      <c r="BH343" s="6"/>
      <c r="BI343" s="29">
        <f t="shared" si="103"/>
        <v>19369.812</v>
      </c>
      <c r="BJ343" s="6"/>
      <c r="BK343" s="15">
        <f t="shared" si="76"/>
        <v>0</v>
      </c>
      <c r="BN343" s="16">
        <f t="shared" si="14"/>
        <v>-19369.812</v>
      </c>
      <c r="BO343" s="16">
        <f t="shared" si="104"/>
        <v>-55985.57</v>
      </c>
      <c r="BY343" s="6">
        <f t="shared" si="2"/>
        <v>2024</v>
      </c>
      <c r="BZ343" s="6" t="str">
        <f t="shared" si="3"/>
        <v>septiembre</v>
      </c>
      <c r="CA343" s="6" t="str">
        <f t="shared" si="4"/>
        <v>9</v>
      </c>
    </row>
    <row r="344">
      <c r="A344" s="8">
        <v>45551.0</v>
      </c>
      <c r="B344" s="12">
        <v>19085.84</v>
      </c>
      <c r="C344" s="12">
        <v>0.0</v>
      </c>
      <c r="D344" s="12"/>
      <c r="E344" s="12">
        <v>33868.87</v>
      </c>
      <c r="F344" s="12">
        <v>0.0</v>
      </c>
      <c r="G344" s="12">
        <v>0.0</v>
      </c>
      <c r="H344" s="12">
        <f t="shared" si="89"/>
        <v>52954.71</v>
      </c>
      <c r="I344" s="12">
        <v>36558.3</v>
      </c>
      <c r="J344" s="12">
        <v>0.0</v>
      </c>
      <c r="K344" s="12"/>
      <c r="L344" s="12">
        <v>1693.88</v>
      </c>
      <c r="M344" s="12">
        <v>0.0</v>
      </c>
      <c r="N344" s="12">
        <v>0.0</v>
      </c>
      <c r="O344" s="16">
        <f t="shared" si="97"/>
        <v>38252.18</v>
      </c>
      <c r="P344" s="12">
        <v>5372.91</v>
      </c>
      <c r="Q344" s="12">
        <v>0.0</v>
      </c>
      <c r="R344" s="12"/>
      <c r="S344" s="12">
        <v>0.0</v>
      </c>
      <c r="T344" s="12">
        <v>0.0</v>
      </c>
      <c r="U344" s="12">
        <v>0.0</v>
      </c>
      <c r="V344" s="16">
        <f t="shared" si="91"/>
        <v>5372.91</v>
      </c>
      <c r="W344" s="12">
        <v>55.6</v>
      </c>
      <c r="X344" s="12">
        <v>0.0</v>
      </c>
      <c r="Y344" s="12"/>
      <c r="Z344" s="12">
        <v>0.0</v>
      </c>
      <c r="AA344" s="12">
        <v>0.0</v>
      </c>
      <c r="AB344" s="12">
        <v>0.0</v>
      </c>
      <c r="AC344" s="12">
        <v>0.0</v>
      </c>
      <c r="AD344" s="12"/>
      <c r="AE344" s="12"/>
      <c r="AF344" s="12">
        <v>4106.82</v>
      </c>
      <c r="AG344" s="12">
        <v>0.0</v>
      </c>
      <c r="AH344" s="12"/>
      <c r="AI344" s="12">
        <v>17990.8</v>
      </c>
      <c r="AJ344" s="12">
        <v>0.0</v>
      </c>
      <c r="AK344" s="12">
        <v>0.0</v>
      </c>
      <c r="AL344" s="12">
        <f t="shared" si="109"/>
        <v>22097.62</v>
      </c>
      <c r="AM344" s="12">
        <v>0.0</v>
      </c>
      <c r="AN344" s="12">
        <v>0.0</v>
      </c>
      <c r="AO344" s="12"/>
      <c r="AP344" s="12">
        <v>0.0</v>
      </c>
      <c r="AQ344" s="12">
        <v>0.0</v>
      </c>
      <c r="AR344" s="12">
        <v>0.0</v>
      </c>
      <c r="AS344" s="12">
        <f t="shared" si="110"/>
        <v>0</v>
      </c>
      <c r="AT344" s="16">
        <f t="shared" si="75"/>
        <v>65722.71</v>
      </c>
      <c r="AU344" s="18">
        <f t="shared" si="106"/>
        <v>300284.32</v>
      </c>
      <c r="AV344" s="18"/>
      <c r="AW344" s="18"/>
      <c r="AX344" s="12">
        <f t="shared" si="1"/>
        <v>65722.71</v>
      </c>
      <c r="AY344" s="12"/>
      <c r="AZ344" s="12">
        <v>23945.06</v>
      </c>
      <c r="BA344" s="18">
        <f t="shared" si="107"/>
        <v>38357.34</v>
      </c>
      <c r="BB344" s="10">
        <f t="shared" si="16"/>
        <v>563033.1</v>
      </c>
      <c r="BC344" s="16">
        <f t="shared" si="88"/>
        <v>90216.00385</v>
      </c>
      <c r="BD344" s="16"/>
      <c r="BE344" s="16"/>
      <c r="BF344" s="6"/>
      <c r="BG344" s="6"/>
      <c r="BH344" s="6"/>
      <c r="BI344" s="29">
        <f t="shared" si="103"/>
        <v>19369.812</v>
      </c>
      <c r="BK344" s="15">
        <f t="shared" si="76"/>
        <v>3.39304842</v>
      </c>
      <c r="BN344" s="16">
        <f t="shared" si="14"/>
        <v>46352.898</v>
      </c>
      <c r="BO344" s="16">
        <f t="shared" si="104"/>
        <v>-9632.672</v>
      </c>
      <c r="BY344" s="6">
        <f t="shared" si="2"/>
        <v>2024</v>
      </c>
      <c r="BZ344" s="6" t="str">
        <f t="shared" si="3"/>
        <v>septiembre</v>
      </c>
      <c r="CA344" s="6" t="str">
        <f t="shared" si="4"/>
        <v>9</v>
      </c>
    </row>
    <row r="345">
      <c r="A345" s="8">
        <v>45552.0</v>
      </c>
      <c r="B345" s="12">
        <v>46005.32</v>
      </c>
      <c r="C345" s="12">
        <v>1901.24</v>
      </c>
      <c r="D345" s="12"/>
      <c r="E345" s="12">
        <v>0.0</v>
      </c>
      <c r="F345" s="12">
        <v>0.0</v>
      </c>
      <c r="G345" s="12">
        <v>0.0</v>
      </c>
      <c r="H345" s="12">
        <f t="shared" si="89"/>
        <v>47906.56</v>
      </c>
      <c r="I345" s="12">
        <v>9675.97</v>
      </c>
      <c r="J345" s="12">
        <v>1070.01</v>
      </c>
      <c r="K345" s="12"/>
      <c r="L345" s="12">
        <v>0.0</v>
      </c>
      <c r="M345" s="12">
        <v>0.0</v>
      </c>
      <c r="N345" s="12">
        <v>0.0</v>
      </c>
      <c r="O345" s="16">
        <f t="shared" si="97"/>
        <v>10745.98</v>
      </c>
      <c r="P345" s="12">
        <v>8817.73</v>
      </c>
      <c r="Q345" s="12">
        <v>903.15</v>
      </c>
      <c r="R345" s="12"/>
      <c r="S345" s="12">
        <v>0.0</v>
      </c>
      <c r="T345" s="12">
        <v>0.0</v>
      </c>
      <c r="U345" s="12">
        <v>0.0</v>
      </c>
      <c r="V345" s="16">
        <f t="shared" si="91"/>
        <v>9720.88</v>
      </c>
      <c r="W345" s="12">
        <v>5142.01</v>
      </c>
      <c r="X345" s="12">
        <v>3.11</v>
      </c>
      <c r="Y345" s="12"/>
      <c r="Z345" s="12">
        <v>0.0</v>
      </c>
      <c r="AA345" s="12">
        <v>0.0</v>
      </c>
      <c r="AB345" s="12">
        <v>0.0</v>
      </c>
      <c r="AC345" s="16">
        <f t="shared" ref="AC345:AC362" si="111">W345+X345+Z345+AA345+AB345</f>
        <v>5145.12</v>
      </c>
      <c r="AD345" s="12"/>
      <c r="AE345" s="12"/>
      <c r="AF345" s="12">
        <v>3284.28</v>
      </c>
      <c r="AG345" s="12">
        <v>988.26</v>
      </c>
      <c r="AH345" s="12"/>
      <c r="AI345" s="12"/>
      <c r="AJ345" s="12">
        <v>0.0</v>
      </c>
      <c r="AK345" s="12">
        <v>0.0</v>
      </c>
      <c r="AL345" s="12">
        <f t="shared" si="109"/>
        <v>4272.54</v>
      </c>
      <c r="AM345" s="12">
        <v>6634.0</v>
      </c>
      <c r="AN345" s="12">
        <v>0.0</v>
      </c>
      <c r="AO345" s="12"/>
      <c r="AP345" s="12">
        <v>0.0</v>
      </c>
      <c r="AQ345" s="12">
        <v>0.0</v>
      </c>
      <c r="AR345" s="12">
        <v>0.0</v>
      </c>
      <c r="AS345" s="12">
        <f t="shared" si="110"/>
        <v>6634</v>
      </c>
      <c r="AT345" s="16">
        <f t="shared" si="75"/>
        <v>36518.52</v>
      </c>
      <c r="AU345" s="18">
        <f t="shared" si="106"/>
        <v>336802.84</v>
      </c>
      <c r="AV345" s="18"/>
      <c r="AW345" s="18"/>
      <c r="AX345" s="12">
        <f t="shared" si="1"/>
        <v>36518.52</v>
      </c>
      <c r="AY345" s="12"/>
      <c r="AZ345" s="12">
        <v>5377.27</v>
      </c>
      <c r="BA345" s="18">
        <f t="shared" si="107"/>
        <v>43734.61</v>
      </c>
      <c r="BB345" s="10">
        <f t="shared" si="16"/>
        <v>594357.9529</v>
      </c>
      <c r="BC345" s="16">
        <f t="shared" si="88"/>
        <v>83772.00357</v>
      </c>
      <c r="BD345" s="16"/>
      <c r="BE345" s="16"/>
      <c r="BF345" s="6"/>
      <c r="BG345" s="6"/>
      <c r="BH345" s="6"/>
      <c r="BI345" s="29">
        <f t="shared" si="103"/>
        <v>19369.812</v>
      </c>
      <c r="BK345" s="15">
        <f t="shared" si="76"/>
        <v>1.88533167</v>
      </c>
      <c r="BN345" s="16">
        <f t="shared" si="14"/>
        <v>17148.708</v>
      </c>
      <c r="BO345" s="16">
        <f t="shared" si="104"/>
        <v>7516.036</v>
      </c>
      <c r="BY345" s="6">
        <f t="shared" si="2"/>
        <v>2024</v>
      </c>
      <c r="BZ345" s="6" t="str">
        <f t="shared" si="3"/>
        <v>septiembre</v>
      </c>
      <c r="CA345" s="6" t="str">
        <f t="shared" si="4"/>
        <v>9</v>
      </c>
    </row>
    <row r="346">
      <c r="A346" s="8">
        <v>45553.0</v>
      </c>
      <c r="B346" s="12">
        <v>27965.79</v>
      </c>
      <c r="C346" s="12">
        <v>0.0</v>
      </c>
      <c r="D346" s="12"/>
      <c r="E346" s="12">
        <v>0.0</v>
      </c>
      <c r="F346" s="12">
        <v>0.0</v>
      </c>
      <c r="G346" s="12">
        <v>0.0</v>
      </c>
      <c r="H346" s="12">
        <f t="shared" si="89"/>
        <v>27965.79</v>
      </c>
      <c r="I346" s="12">
        <v>35237.48</v>
      </c>
      <c r="J346" s="12">
        <v>0.0</v>
      </c>
      <c r="K346" s="12"/>
      <c r="L346" s="12">
        <v>0.0</v>
      </c>
      <c r="M346" s="12">
        <v>0.0</v>
      </c>
      <c r="N346" s="12">
        <v>0.0</v>
      </c>
      <c r="O346" s="16">
        <f t="shared" si="97"/>
        <v>35237.48</v>
      </c>
      <c r="P346" s="12">
        <v>4236.03</v>
      </c>
      <c r="Q346" s="12">
        <v>0.0</v>
      </c>
      <c r="R346" s="12"/>
      <c r="S346" s="12">
        <v>0.0</v>
      </c>
      <c r="T346" s="12">
        <v>0.0</v>
      </c>
      <c r="U346" s="12">
        <v>0.0</v>
      </c>
      <c r="V346" s="16">
        <f t="shared" si="91"/>
        <v>4236.03</v>
      </c>
      <c r="W346" s="12">
        <v>3.96</v>
      </c>
      <c r="X346" s="12">
        <v>0.0</v>
      </c>
      <c r="Y346" s="12"/>
      <c r="Z346" s="12">
        <v>0.0</v>
      </c>
      <c r="AA346" s="12">
        <v>0.0</v>
      </c>
      <c r="AB346" s="12">
        <v>0.0</v>
      </c>
      <c r="AC346" s="16">
        <f t="shared" si="111"/>
        <v>3.96</v>
      </c>
      <c r="AD346" s="12"/>
      <c r="AE346" s="12"/>
      <c r="AF346" s="12">
        <v>4545.9</v>
      </c>
      <c r="AG346" s="12">
        <v>0.0</v>
      </c>
      <c r="AH346" s="12"/>
      <c r="AI346" s="12">
        <v>0.0</v>
      </c>
      <c r="AJ346" s="12">
        <v>0.0</v>
      </c>
      <c r="AK346" s="12">
        <v>0.0</v>
      </c>
      <c r="AL346" s="12">
        <f t="shared" si="109"/>
        <v>4545.9</v>
      </c>
      <c r="AM346" s="12">
        <v>0.0</v>
      </c>
      <c r="AN346" s="12">
        <v>0.0</v>
      </c>
      <c r="AO346" s="12"/>
      <c r="AP346" s="12">
        <v>0.0</v>
      </c>
      <c r="AQ346" s="12">
        <v>0.0</v>
      </c>
      <c r="AR346" s="12">
        <v>0.0</v>
      </c>
      <c r="AS346" s="12">
        <f t="shared" si="110"/>
        <v>0</v>
      </c>
      <c r="AT346" s="16">
        <f t="shared" si="75"/>
        <v>44023.37</v>
      </c>
      <c r="AU346" s="18">
        <f t="shared" si="106"/>
        <v>380826.21</v>
      </c>
      <c r="AV346" s="18"/>
      <c r="AW346" s="18"/>
      <c r="AX346" s="12">
        <f t="shared" si="1"/>
        <v>44023.37</v>
      </c>
      <c r="AY346" s="12"/>
      <c r="AZ346" s="12">
        <v>816.37</v>
      </c>
      <c r="BA346" s="18">
        <f t="shared" si="107"/>
        <v>44550.98</v>
      </c>
      <c r="BB346" s="10">
        <f t="shared" si="16"/>
        <v>634710.35</v>
      </c>
      <c r="BC346" s="16">
        <f t="shared" si="88"/>
        <v>78187.20333</v>
      </c>
      <c r="BD346" s="16"/>
      <c r="BE346" s="16"/>
      <c r="BF346" s="6"/>
      <c r="BG346" s="6"/>
      <c r="BH346" s="6"/>
      <c r="BI346" s="29">
        <f t="shared" si="103"/>
        <v>19369.812</v>
      </c>
      <c r="BK346" s="15">
        <f t="shared" si="76"/>
        <v>2.272782513</v>
      </c>
      <c r="BN346" s="16">
        <f t="shared" si="14"/>
        <v>24653.558</v>
      </c>
      <c r="BO346" s="16">
        <f t="shared" si="104"/>
        <v>32169.594</v>
      </c>
      <c r="BY346" s="6">
        <f t="shared" si="2"/>
        <v>2024</v>
      </c>
      <c r="BZ346" s="6" t="str">
        <f t="shared" si="3"/>
        <v>septiembre</v>
      </c>
      <c r="CA346" s="6" t="str">
        <f t="shared" si="4"/>
        <v>9</v>
      </c>
    </row>
    <row r="347">
      <c r="A347" s="8">
        <v>45554.0</v>
      </c>
      <c r="B347" s="12">
        <v>9944.99</v>
      </c>
      <c r="C347" s="12">
        <v>22198.03</v>
      </c>
      <c r="D347" s="12"/>
      <c r="E347" s="12">
        <v>0.0</v>
      </c>
      <c r="F347" s="12">
        <v>0.0</v>
      </c>
      <c r="G347" s="12">
        <v>0.0</v>
      </c>
      <c r="H347" s="12">
        <f t="shared" si="89"/>
        <v>32143.02</v>
      </c>
      <c r="I347" s="12">
        <v>5596.2</v>
      </c>
      <c r="J347" s="12">
        <v>1599.31</v>
      </c>
      <c r="K347" s="12"/>
      <c r="L347" s="12">
        <v>0.0</v>
      </c>
      <c r="M347" s="12">
        <v>0.0</v>
      </c>
      <c r="N347" s="12">
        <v>0.0</v>
      </c>
      <c r="O347" s="16">
        <f t="shared" si="97"/>
        <v>7195.51</v>
      </c>
      <c r="P347" s="12">
        <v>3027.71</v>
      </c>
      <c r="Q347" s="12">
        <v>548.16</v>
      </c>
      <c r="R347" s="12"/>
      <c r="S347" s="12">
        <v>0.0</v>
      </c>
      <c r="T347" s="12">
        <v>0.0</v>
      </c>
      <c r="U347" s="12">
        <v>0.0</v>
      </c>
      <c r="V347" s="16">
        <f t="shared" si="91"/>
        <v>3575.87</v>
      </c>
      <c r="W347" s="12">
        <v>7699.22</v>
      </c>
      <c r="X347" s="12">
        <v>0.0</v>
      </c>
      <c r="Y347" s="12"/>
      <c r="Z347" s="12">
        <v>0.0</v>
      </c>
      <c r="AA347" s="12">
        <v>0.0</v>
      </c>
      <c r="AB347" s="12">
        <v>0.0</v>
      </c>
      <c r="AC347" s="16">
        <f t="shared" si="111"/>
        <v>7699.22</v>
      </c>
      <c r="AD347" s="12"/>
      <c r="AE347" s="12"/>
      <c r="AF347" s="12">
        <v>3550.58</v>
      </c>
      <c r="AG347" s="12">
        <v>1968.83</v>
      </c>
      <c r="AH347" s="12"/>
      <c r="AI347" s="12">
        <v>0.0</v>
      </c>
      <c r="AJ347" s="12">
        <v>0.0</v>
      </c>
      <c r="AK347" s="12">
        <v>0.0</v>
      </c>
      <c r="AL347" s="12">
        <f t="shared" si="109"/>
        <v>5519.41</v>
      </c>
      <c r="AM347" s="12">
        <v>10124.0</v>
      </c>
      <c r="AN347" s="12">
        <v>0.0</v>
      </c>
      <c r="AO347" s="12"/>
      <c r="AP347" s="12">
        <v>0.0</v>
      </c>
      <c r="AQ347" s="12">
        <v>0.0</v>
      </c>
      <c r="AR347" s="12">
        <v>0.0</v>
      </c>
      <c r="AS347" s="12">
        <f t="shared" si="110"/>
        <v>10124</v>
      </c>
      <c r="AT347" s="16">
        <f t="shared" si="75"/>
        <v>34114.01</v>
      </c>
      <c r="AU347" s="18">
        <f t="shared" si="106"/>
        <v>414940.22</v>
      </c>
      <c r="AV347" s="18"/>
      <c r="AW347" s="18"/>
      <c r="AX347" s="12">
        <f t="shared" si="1"/>
        <v>34114.01</v>
      </c>
      <c r="AY347" s="12"/>
      <c r="AZ347" s="12">
        <v>2464.41</v>
      </c>
      <c r="BA347" s="18">
        <f t="shared" si="107"/>
        <v>47015.39</v>
      </c>
      <c r="BB347" s="10">
        <f t="shared" si="16"/>
        <v>655168.7684</v>
      </c>
      <c r="BC347" s="16">
        <f t="shared" si="88"/>
        <v>93838.85</v>
      </c>
      <c r="BD347" s="16"/>
      <c r="BE347" s="16"/>
      <c r="BF347" s="6"/>
      <c r="BG347" s="6"/>
      <c r="BH347" s="6"/>
      <c r="BI347" s="29">
        <f t="shared" si="103"/>
        <v>19369.812</v>
      </c>
      <c r="BK347" s="15">
        <f t="shared" si="76"/>
        <v>1.761194688</v>
      </c>
      <c r="BN347" s="16">
        <f t="shared" si="14"/>
        <v>14744.198</v>
      </c>
      <c r="BO347" s="16">
        <f t="shared" si="104"/>
        <v>46913.792</v>
      </c>
      <c r="BY347" s="6">
        <f t="shared" si="2"/>
        <v>2024</v>
      </c>
      <c r="BZ347" s="6" t="str">
        <f t="shared" si="3"/>
        <v>septiembre</v>
      </c>
      <c r="CA347" s="6" t="str">
        <f t="shared" si="4"/>
        <v>9</v>
      </c>
    </row>
    <row r="348">
      <c r="A348" s="8">
        <v>45555.0</v>
      </c>
      <c r="B348" s="12">
        <v>10645.55</v>
      </c>
      <c r="C348" s="12">
        <v>322.15</v>
      </c>
      <c r="D348" s="12"/>
      <c r="E348" s="12">
        <v>0.0</v>
      </c>
      <c r="F348" s="12">
        <v>0.0</v>
      </c>
      <c r="G348" s="12">
        <v>0.0</v>
      </c>
      <c r="H348" s="12">
        <f t="shared" si="89"/>
        <v>10967.7</v>
      </c>
      <c r="I348" s="12">
        <v>2554.2</v>
      </c>
      <c r="J348" s="12">
        <v>1448.16</v>
      </c>
      <c r="K348" s="12"/>
      <c r="L348" s="12">
        <v>0.0</v>
      </c>
      <c r="M348" s="12">
        <v>0.0</v>
      </c>
      <c r="N348" s="12">
        <v>0.0</v>
      </c>
      <c r="O348" s="16">
        <f t="shared" si="97"/>
        <v>4002.36</v>
      </c>
      <c r="P348" s="12">
        <v>2140.8</v>
      </c>
      <c r="Q348" s="12">
        <v>157.79</v>
      </c>
      <c r="R348" s="12"/>
      <c r="S348" s="12">
        <v>0.0</v>
      </c>
      <c r="T348" s="12">
        <v>0.0</v>
      </c>
      <c r="U348" s="12">
        <v>0.0</v>
      </c>
      <c r="V348" s="16">
        <f t="shared" si="91"/>
        <v>2298.59</v>
      </c>
      <c r="W348" s="12">
        <v>12033.53</v>
      </c>
      <c r="X348" s="12">
        <v>88.44</v>
      </c>
      <c r="Y348" s="12"/>
      <c r="Z348" s="12">
        <v>0.0</v>
      </c>
      <c r="AA348" s="12">
        <v>0.0</v>
      </c>
      <c r="AB348" s="12">
        <v>0.0</v>
      </c>
      <c r="AC348" s="16">
        <f t="shared" si="111"/>
        <v>12121.97</v>
      </c>
      <c r="AD348" s="12"/>
      <c r="AE348" s="12"/>
      <c r="AF348" s="12">
        <v>616.98</v>
      </c>
      <c r="AG348" s="12">
        <v>0.0</v>
      </c>
      <c r="AH348" s="12"/>
      <c r="AI348" s="12">
        <v>0.0</v>
      </c>
      <c r="AJ348" s="12">
        <v>0.0</v>
      </c>
      <c r="AK348" s="12">
        <v>0.0</v>
      </c>
      <c r="AL348" s="12">
        <f t="shared" si="109"/>
        <v>616.98</v>
      </c>
      <c r="AM348" s="12">
        <v>17520.0</v>
      </c>
      <c r="AN348" s="12">
        <v>0.0</v>
      </c>
      <c r="AO348" s="12"/>
      <c r="AP348" s="12">
        <v>0.0</v>
      </c>
      <c r="AQ348" s="12">
        <v>0.0</v>
      </c>
      <c r="AR348" s="12">
        <v>0.0</v>
      </c>
      <c r="AS348" s="12">
        <f t="shared" si="110"/>
        <v>17520</v>
      </c>
      <c r="AT348" s="16">
        <f t="shared" si="75"/>
        <v>36559.9</v>
      </c>
      <c r="AU348" s="18">
        <f t="shared" si="106"/>
        <v>451500.12</v>
      </c>
      <c r="AV348" s="18"/>
      <c r="AW348" s="18"/>
      <c r="AX348" s="12">
        <f t="shared" si="1"/>
        <v>36559.9</v>
      </c>
      <c r="AY348" s="12"/>
      <c r="AZ348" s="12">
        <v>3915.38</v>
      </c>
      <c r="BA348" s="18">
        <f t="shared" si="107"/>
        <v>50930.77</v>
      </c>
      <c r="BB348" s="10">
        <f t="shared" si="16"/>
        <v>677250.18</v>
      </c>
      <c r="BC348" s="16">
        <f t="shared" si="88"/>
        <v>99059.65882</v>
      </c>
      <c r="BD348" s="16"/>
      <c r="BE348" s="16"/>
      <c r="BF348" s="6"/>
      <c r="BG348" s="6"/>
      <c r="BH348" s="6"/>
      <c r="BI348" s="29">
        <f t="shared" si="103"/>
        <v>19369.812</v>
      </c>
      <c r="BK348" s="15">
        <f t="shared" si="76"/>
        <v>1.887467984</v>
      </c>
      <c r="BN348" s="16">
        <f t="shared" si="14"/>
        <v>17190.088</v>
      </c>
      <c r="BO348" s="16">
        <f t="shared" si="104"/>
        <v>64103.88</v>
      </c>
      <c r="BY348" s="6">
        <f t="shared" si="2"/>
        <v>2024</v>
      </c>
      <c r="BZ348" s="6" t="str">
        <f t="shared" si="3"/>
        <v>septiembre</v>
      </c>
      <c r="CA348" s="6" t="str">
        <f t="shared" si="4"/>
        <v>9</v>
      </c>
    </row>
    <row r="349">
      <c r="A349" s="8">
        <v>45556.0</v>
      </c>
      <c r="B349" s="12">
        <v>5100.8</v>
      </c>
      <c r="C349" s="12">
        <v>0.0</v>
      </c>
      <c r="D349" s="12"/>
      <c r="E349" s="12">
        <v>0.0</v>
      </c>
      <c r="F349" s="12">
        <v>0.0</v>
      </c>
      <c r="G349" s="12">
        <v>0.0</v>
      </c>
      <c r="H349" s="12">
        <f t="shared" si="89"/>
        <v>5100.8</v>
      </c>
      <c r="I349" s="12">
        <v>2552.87</v>
      </c>
      <c r="J349" s="12">
        <v>0.0</v>
      </c>
      <c r="K349" s="12"/>
      <c r="L349" s="12">
        <v>0.0</v>
      </c>
      <c r="M349" s="12">
        <v>0.0</v>
      </c>
      <c r="N349" s="12">
        <v>0.0</v>
      </c>
      <c r="O349" s="16">
        <f t="shared" si="97"/>
        <v>2552.87</v>
      </c>
      <c r="P349" s="12">
        <v>1243.05</v>
      </c>
      <c r="Q349" s="12">
        <v>0.0</v>
      </c>
      <c r="R349" s="12"/>
      <c r="S349" s="12">
        <v>0.0</v>
      </c>
      <c r="T349" s="12">
        <v>0.0</v>
      </c>
      <c r="U349" s="12">
        <v>0.0</v>
      </c>
      <c r="V349" s="16">
        <f t="shared" si="91"/>
        <v>1243.05</v>
      </c>
      <c r="W349" s="12">
        <v>5.76</v>
      </c>
      <c r="X349" s="12">
        <v>0.0</v>
      </c>
      <c r="Y349" s="12"/>
      <c r="Z349" s="12">
        <v>0.0</v>
      </c>
      <c r="AA349" s="12">
        <v>0.0</v>
      </c>
      <c r="AB349" s="12">
        <v>0.0</v>
      </c>
      <c r="AC349" s="16">
        <f t="shared" si="111"/>
        <v>5.76</v>
      </c>
      <c r="AD349" s="12"/>
      <c r="AE349" s="12"/>
      <c r="AF349" s="12">
        <v>1333.95</v>
      </c>
      <c r="AG349" s="12">
        <v>0.0</v>
      </c>
      <c r="AH349" s="12"/>
      <c r="AI349" s="12">
        <v>0.0</v>
      </c>
      <c r="AJ349" s="12">
        <v>0.0</v>
      </c>
      <c r="AK349" s="12">
        <v>0.0</v>
      </c>
      <c r="AL349" s="12">
        <f t="shared" si="109"/>
        <v>1333.95</v>
      </c>
      <c r="AM349" s="12">
        <v>0.0</v>
      </c>
      <c r="AN349" s="12">
        <v>0.0</v>
      </c>
      <c r="AO349" s="12"/>
      <c r="AP349" s="12">
        <v>0.0</v>
      </c>
      <c r="AQ349" s="12">
        <v>0.0</v>
      </c>
      <c r="AR349" s="12">
        <v>0.0</v>
      </c>
      <c r="AS349" s="12">
        <f t="shared" si="110"/>
        <v>0</v>
      </c>
      <c r="AT349" s="16">
        <f t="shared" si="75"/>
        <v>5135.63</v>
      </c>
      <c r="AU349" s="18">
        <f t="shared" si="106"/>
        <v>456635.75</v>
      </c>
      <c r="AV349" s="18"/>
      <c r="AW349" s="18"/>
      <c r="AX349" s="12">
        <f t="shared" si="1"/>
        <v>5135.63</v>
      </c>
      <c r="AY349" s="12"/>
      <c r="AZ349" s="12">
        <v>1314.22</v>
      </c>
      <c r="BA349" s="18">
        <f t="shared" si="107"/>
        <v>52244.99</v>
      </c>
      <c r="BB349" s="10">
        <f t="shared" si="16"/>
        <v>652336.7857</v>
      </c>
      <c r="BC349" s="16">
        <f t="shared" si="88"/>
        <v>105785.0583</v>
      </c>
      <c r="BD349" s="16"/>
      <c r="BE349" s="16"/>
      <c r="BF349" s="6"/>
      <c r="BG349" s="6"/>
      <c r="BH349" s="6"/>
      <c r="BI349" s="29">
        <f t="shared" si="103"/>
        <v>19369.812</v>
      </c>
      <c r="BJ349" s="6"/>
      <c r="BK349" s="15">
        <f t="shared" si="76"/>
        <v>0.265135769</v>
      </c>
      <c r="BN349" s="16">
        <f t="shared" si="14"/>
        <v>-14234.182</v>
      </c>
      <c r="BO349" s="16">
        <f t="shared" si="104"/>
        <v>49869.698</v>
      </c>
      <c r="BY349" s="6">
        <f t="shared" si="2"/>
        <v>2024</v>
      </c>
      <c r="BZ349" s="6" t="str">
        <f t="shared" si="3"/>
        <v>septiembre</v>
      </c>
      <c r="CA349" s="6" t="str">
        <f t="shared" si="4"/>
        <v>9</v>
      </c>
    </row>
    <row r="350">
      <c r="A350" s="8">
        <v>45557.0</v>
      </c>
      <c r="B350" s="12">
        <v>0.0</v>
      </c>
      <c r="C350" s="12">
        <v>0.0</v>
      </c>
      <c r="D350" s="12"/>
      <c r="E350" s="12">
        <v>0.0</v>
      </c>
      <c r="F350" s="12">
        <v>0.0</v>
      </c>
      <c r="G350" s="12">
        <v>0.0</v>
      </c>
      <c r="H350" s="12">
        <f t="shared" si="89"/>
        <v>0</v>
      </c>
      <c r="I350" s="12">
        <v>0.0</v>
      </c>
      <c r="J350" s="12">
        <v>0.0</v>
      </c>
      <c r="K350" s="12"/>
      <c r="L350" s="12">
        <v>0.0</v>
      </c>
      <c r="M350" s="12">
        <v>0.0</v>
      </c>
      <c r="N350" s="12">
        <v>0.0</v>
      </c>
      <c r="O350" s="16">
        <f t="shared" si="97"/>
        <v>0</v>
      </c>
      <c r="P350" s="12">
        <v>0.0</v>
      </c>
      <c r="Q350" s="12">
        <v>0.0</v>
      </c>
      <c r="R350" s="12"/>
      <c r="S350" s="12">
        <v>0.0</v>
      </c>
      <c r="T350" s="12">
        <v>0.0</v>
      </c>
      <c r="U350" s="12">
        <v>0.0</v>
      </c>
      <c r="V350" s="16">
        <f t="shared" si="91"/>
        <v>0</v>
      </c>
      <c r="W350" s="12">
        <v>0.0</v>
      </c>
      <c r="X350" s="12">
        <v>0.0</v>
      </c>
      <c r="Y350" s="12"/>
      <c r="Z350" s="12">
        <v>0.0</v>
      </c>
      <c r="AA350" s="12">
        <v>0.0</v>
      </c>
      <c r="AB350" s="12">
        <v>0.0</v>
      </c>
      <c r="AC350" s="16">
        <f t="shared" si="111"/>
        <v>0</v>
      </c>
      <c r="AD350" s="12"/>
      <c r="AE350" s="12"/>
      <c r="AF350" s="12">
        <v>0.0</v>
      </c>
      <c r="AG350" s="12">
        <v>0.0</v>
      </c>
      <c r="AH350" s="12"/>
      <c r="AI350" s="12">
        <v>0.0</v>
      </c>
      <c r="AJ350" s="12">
        <v>0.0</v>
      </c>
      <c r="AK350" s="12">
        <v>0.0</v>
      </c>
      <c r="AL350" s="12">
        <f t="shared" si="109"/>
        <v>0</v>
      </c>
      <c r="AM350" s="12">
        <v>0.0</v>
      </c>
      <c r="AN350" s="12">
        <v>0.0</v>
      </c>
      <c r="AO350" s="12"/>
      <c r="AP350" s="12">
        <v>0.0</v>
      </c>
      <c r="AQ350" s="12">
        <v>0.0</v>
      </c>
      <c r="AR350" s="12">
        <v>0.0</v>
      </c>
      <c r="AS350" s="12">
        <f t="shared" si="110"/>
        <v>0</v>
      </c>
      <c r="AT350" s="16">
        <f t="shared" si="75"/>
        <v>0</v>
      </c>
      <c r="AU350" s="18">
        <f t="shared" si="106"/>
        <v>456635.75</v>
      </c>
      <c r="AV350" s="18"/>
      <c r="AW350" s="18"/>
      <c r="AX350" s="12">
        <f t="shared" si="1"/>
        <v>0</v>
      </c>
      <c r="AY350" s="12"/>
      <c r="AZ350" s="12">
        <v>0.0</v>
      </c>
      <c r="BA350" s="18">
        <f t="shared" si="107"/>
        <v>52244.99</v>
      </c>
      <c r="BB350" s="10">
        <f t="shared" si="16"/>
        <v>622685.1136</v>
      </c>
      <c r="BC350" s="16">
        <f t="shared" si="88"/>
        <v>109194.7947</v>
      </c>
      <c r="BD350" s="16"/>
      <c r="BE350" s="16"/>
      <c r="BF350" s="6"/>
      <c r="BG350" s="6"/>
      <c r="BH350" s="6"/>
      <c r="BI350" s="29">
        <f t="shared" si="103"/>
        <v>19369.812</v>
      </c>
      <c r="BJ350" s="6"/>
      <c r="BK350" s="15">
        <f t="shared" si="76"/>
        <v>0</v>
      </c>
      <c r="BN350" s="16">
        <f t="shared" si="14"/>
        <v>-19369.812</v>
      </c>
      <c r="BO350" s="16">
        <f t="shared" si="104"/>
        <v>30499.886</v>
      </c>
      <c r="BY350" s="6">
        <f t="shared" si="2"/>
        <v>2024</v>
      </c>
      <c r="BZ350" s="6" t="str">
        <f t="shared" si="3"/>
        <v>septiembre</v>
      </c>
      <c r="CA350" s="6" t="str">
        <f t="shared" si="4"/>
        <v>9</v>
      </c>
    </row>
    <row r="351">
      <c r="A351" s="8">
        <v>45558.0</v>
      </c>
      <c r="B351" s="12">
        <v>20242.74</v>
      </c>
      <c r="C351" s="12">
        <v>3028.03</v>
      </c>
      <c r="D351" s="12"/>
      <c r="E351" s="12">
        <v>0.0</v>
      </c>
      <c r="F351" s="12">
        <v>0.0</v>
      </c>
      <c r="G351" s="12">
        <v>0.0</v>
      </c>
      <c r="H351" s="12">
        <f t="shared" si="89"/>
        <v>23270.77</v>
      </c>
      <c r="I351" s="12">
        <v>7855.39</v>
      </c>
      <c r="J351" s="12">
        <v>2053.18</v>
      </c>
      <c r="K351" s="12"/>
      <c r="L351" s="12">
        <v>0.0</v>
      </c>
      <c r="M351" s="12">
        <v>0.0</v>
      </c>
      <c r="N351" s="12">
        <v>0.0</v>
      </c>
      <c r="O351" s="16">
        <f t="shared" si="97"/>
        <v>9908.57</v>
      </c>
      <c r="P351" s="12">
        <v>2509.38</v>
      </c>
      <c r="Q351" s="12">
        <v>651.09</v>
      </c>
      <c r="R351" s="12"/>
      <c r="S351" s="12">
        <v>0.0</v>
      </c>
      <c r="T351" s="12">
        <v>0.0</v>
      </c>
      <c r="U351" s="12">
        <v>0.0</v>
      </c>
      <c r="V351" s="16">
        <f t="shared" si="91"/>
        <v>3160.47</v>
      </c>
      <c r="W351" s="12">
        <v>6.51</v>
      </c>
      <c r="X351" s="12">
        <v>0.0</v>
      </c>
      <c r="Y351" s="12"/>
      <c r="Z351" s="12">
        <v>0.0</v>
      </c>
      <c r="AA351" s="12">
        <v>0.0</v>
      </c>
      <c r="AB351" s="12">
        <v>0.0</v>
      </c>
      <c r="AC351" s="16">
        <f t="shared" si="111"/>
        <v>6.51</v>
      </c>
      <c r="AD351" s="12"/>
      <c r="AE351" s="12"/>
      <c r="AF351" s="12">
        <v>602.78</v>
      </c>
      <c r="AG351" s="12">
        <v>383.31</v>
      </c>
      <c r="AH351" s="12"/>
      <c r="AI351" s="12">
        <v>0.0</v>
      </c>
      <c r="AJ351" s="12">
        <v>0.0</v>
      </c>
      <c r="AK351" s="12">
        <v>0.0</v>
      </c>
      <c r="AL351" s="12">
        <f t="shared" si="109"/>
        <v>986.09</v>
      </c>
      <c r="AM351" s="12">
        <v>0.0</v>
      </c>
      <c r="AN351" s="12">
        <v>0.0</v>
      </c>
      <c r="AO351" s="12"/>
      <c r="AP351" s="12">
        <v>0.0</v>
      </c>
      <c r="AQ351" s="12">
        <v>0.0</v>
      </c>
      <c r="AR351" s="12">
        <v>0.0</v>
      </c>
      <c r="AS351" s="12">
        <f t="shared" si="110"/>
        <v>0</v>
      </c>
      <c r="AT351" s="16">
        <f t="shared" si="75"/>
        <v>14061.64</v>
      </c>
      <c r="AU351" s="18">
        <f t="shared" si="106"/>
        <v>470697.39</v>
      </c>
      <c r="AV351" s="18"/>
      <c r="AW351" s="18"/>
      <c r="AX351" s="12">
        <f t="shared" si="1"/>
        <v>14061.64</v>
      </c>
      <c r="AY351" s="12"/>
      <c r="AZ351" s="12">
        <v>1824.07</v>
      </c>
      <c r="BA351" s="18">
        <f t="shared" si="107"/>
        <v>54069.06</v>
      </c>
      <c r="BB351" s="10">
        <f t="shared" si="16"/>
        <v>613953.1174</v>
      </c>
      <c r="BC351" s="16">
        <f t="shared" si="88"/>
        <v>112875.03</v>
      </c>
      <c r="BD351" s="16"/>
      <c r="BE351" s="16"/>
      <c r="BF351" s="6"/>
      <c r="BG351" s="6"/>
      <c r="BH351" s="6"/>
      <c r="BI351" s="29">
        <f t="shared" si="103"/>
        <v>19369.812</v>
      </c>
      <c r="BJ351" s="6"/>
      <c r="BK351" s="15">
        <f t="shared" si="76"/>
        <v>0.7259564522</v>
      </c>
      <c r="BN351" s="16">
        <f t="shared" si="14"/>
        <v>-5308.172</v>
      </c>
      <c r="BO351" s="16">
        <f t="shared" si="104"/>
        <v>25191.714</v>
      </c>
      <c r="BY351" s="6">
        <f t="shared" si="2"/>
        <v>2024</v>
      </c>
      <c r="BZ351" s="6" t="str">
        <f t="shared" si="3"/>
        <v>septiembre</v>
      </c>
      <c r="CA351" s="6" t="str">
        <f t="shared" si="4"/>
        <v>9</v>
      </c>
    </row>
    <row r="352">
      <c r="A352" s="8">
        <v>45559.0</v>
      </c>
      <c r="B352" s="12">
        <v>13103.21</v>
      </c>
      <c r="C352" s="12">
        <v>300.93</v>
      </c>
      <c r="D352" s="12"/>
      <c r="E352" s="12">
        <v>3216.97</v>
      </c>
      <c r="F352" s="12">
        <v>0.0</v>
      </c>
      <c r="G352" s="12">
        <v>0.0</v>
      </c>
      <c r="H352" s="12">
        <f t="shared" si="89"/>
        <v>16621.11</v>
      </c>
      <c r="I352" s="12">
        <v>2985.45</v>
      </c>
      <c r="J352" s="12">
        <v>1619.1</v>
      </c>
      <c r="K352" s="12"/>
      <c r="L352" s="12">
        <v>534.91</v>
      </c>
      <c r="M352" s="12">
        <v>0.0</v>
      </c>
      <c r="N352" s="12">
        <v>0.0</v>
      </c>
      <c r="O352" s="16">
        <f t="shared" si="97"/>
        <v>5139.46</v>
      </c>
      <c r="P352" s="12">
        <v>3348.29</v>
      </c>
      <c r="Q352" s="12">
        <v>285.29</v>
      </c>
      <c r="R352" s="12"/>
      <c r="S352" s="12">
        <v>0.0</v>
      </c>
      <c r="T352" s="12">
        <v>0.0</v>
      </c>
      <c r="U352" s="12">
        <v>0.0</v>
      </c>
      <c r="V352" s="16">
        <f t="shared" si="91"/>
        <v>3633.58</v>
      </c>
      <c r="W352" s="12">
        <v>8769.3</v>
      </c>
      <c r="X352" s="12">
        <v>0.0</v>
      </c>
      <c r="Y352" s="12"/>
      <c r="Z352" s="12">
        <v>0.0</v>
      </c>
      <c r="AA352" s="12">
        <v>0.0</v>
      </c>
      <c r="AB352" s="12">
        <v>0.0</v>
      </c>
      <c r="AC352" s="16">
        <f t="shared" si="111"/>
        <v>8769.3</v>
      </c>
      <c r="AD352" s="12"/>
      <c r="AE352" s="12"/>
      <c r="AF352" s="12">
        <v>1076.62</v>
      </c>
      <c r="AG352" s="12">
        <v>812.46</v>
      </c>
      <c r="AH352" s="12"/>
      <c r="AI352" s="12">
        <v>0.0</v>
      </c>
      <c r="AJ352" s="12">
        <v>0.0</v>
      </c>
      <c r="AK352" s="12">
        <v>0.0</v>
      </c>
      <c r="AL352" s="12">
        <f t="shared" si="109"/>
        <v>1889.08</v>
      </c>
      <c r="AM352" s="12">
        <v>10136.0</v>
      </c>
      <c r="AN352" s="12">
        <v>0.0</v>
      </c>
      <c r="AO352" s="12"/>
      <c r="AP352" s="12">
        <v>0.0</v>
      </c>
      <c r="AQ352" s="12">
        <v>0.0</v>
      </c>
      <c r="AR352" s="12">
        <v>0.0</v>
      </c>
      <c r="AS352" s="12">
        <f t="shared" si="110"/>
        <v>10136</v>
      </c>
      <c r="AT352" s="16">
        <f t="shared" si="75"/>
        <v>29567.42</v>
      </c>
      <c r="AU352" s="18">
        <f t="shared" si="106"/>
        <v>500264.81</v>
      </c>
      <c r="AV352" s="18"/>
      <c r="AW352" s="18"/>
      <c r="AX352" s="12">
        <f t="shared" si="1"/>
        <v>29567.42</v>
      </c>
      <c r="AY352" s="12"/>
      <c r="AZ352" s="12">
        <v>548.47</v>
      </c>
      <c r="BA352" s="18">
        <f t="shared" si="107"/>
        <v>54617.53</v>
      </c>
      <c r="BB352" s="10">
        <f t="shared" si="16"/>
        <v>625331.0125</v>
      </c>
      <c r="BC352" s="16">
        <f t="shared" si="88"/>
        <v>108722.7976</v>
      </c>
      <c r="BD352" s="16"/>
      <c r="BE352" s="16"/>
      <c r="BF352" s="6"/>
      <c r="BG352" s="6"/>
      <c r="BH352" s="6"/>
      <c r="BI352" s="29">
        <f t="shared" si="103"/>
        <v>19369.812</v>
      </c>
      <c r="BK352" s="15">
        <f t="shared" si="76"/>
        <v>1.526469126</v>
      </c>
      <c r="BN352" s="16">
        <f t="shared" si="14"/>
        <v>10197.608</v>
      </c>
      <c r="BO352" s="16">
        <f t="shared" si="104"/>
        <v>35389.322</v>
      </c>
      <c r="BY352" s="6">
        <f t="shared" si="2"/>
        <v>2024</v>
      </c>
      <c r="BZ352" s="6" t="str">
        <f t="shared" si="3"/>
        <v>septiembre</v>
      </c>
      <c r="CA352" s="6" t="str">
        <f t="shared" si="4"/>
        <v>9</v>
      </c>
    </row>
    <row r="353">
      <c r="A353" s="8">
        <v>45560.0</v>
      </c>
      <c r="B353" s="12">
        <v>18997.78</v>
      </c>
      <c r="C353" s="12">
        <v>2534.69</v>
      </c>
      <c r="D353" s="12"/>
      <c r="E353" s="12">
        <v>0.0</v>
      </c>
      <c r="F353" s="12">
        <v>0.0</v>
      </c>
      <c r="G353" s="12">
        <v>0.0</v>
      </c>
      <c r="H353" s="12">
        <f t="shared" si="89"/>
        <v>21532.47</v>
      </c>
      <c r="I353" s="12">
        <v>15765.0</v>
      </c>
      <c r="J353" s="12">
        <v>2586.9</v>
      </c>
      <c r="K353" s="12"/>
      <c r="L353" s="12">
        <v>0.0</v>
      </c>
      <c r="M353" s="12">
        <v>0.0</v>
      </c>
      <c r="N353" s="12">
        <v>0.0</v>
      </c>
      <c r="O353" s="16">
        <f t="shared" si="97"/>
        <v>18351.9</v>
      </c>
      <c r="P353" s="12">
        <v>3848.72</v>
      </c>
      <c r="Q353" s="12">
        <v>749.26</v>
      </c>
      <c r="R353" s="12"/>
      <c r="S353" s="12">
        <v>0.0</v>
      </c>
      <c r="T353" s="12">
        <v>0.0</v>
      </c>
      <c r="U353" s="12">
        <v>0.0</v>
      </c>
      <c r="V353" s="16">
        <f t="shared" si="91"/>
        <v>4597.98</v>
      </c>
      <c r="W353" s="12">
        <f>22.76+6729.31</f>
        <v>6752.07</v>
      </c>
      <c r="X353" s="12">
        <v>1.36</v>
      </c>
      <c r="Y353" s="12"/>
      <c r="Z353" s="12">
        <v>0.0</v>
      </c>
      <c r="AA353" s="12">
        <v>0.0</v>
      </c>
      <c r="AB353" s="12">
        <v>0.0</v>
      </c>
      <c r="AC353" s="16">
        <f t="shared" si="111"/>
        <v>6753.43</v>
      </c>
      <c r="AD353" s="12"/>
      <c r="AE353" s="12"/>
      <c r="AF353" s="12">
        <v>1092.82</v>
      </c>
      <c r="AG353" s="12">
        <v>462.0</v>
      </c>
      <c r="AH353" s="12"/>
      <c r="AI353" s="12">
        <v>0.0</v>
      </c>
      <c r="AJ353" s="12">
        <v>0.0</v>
      </c>
      <c r="AK353" s="12">
        <v>0.0</v>
      </c>
      <c r="AL353" s="12">
        <f t="shared" si="109"/>
        <v>1554.82</v>
      </c>
      <c r="AM353" s="12">
        <v>7734.0</v>
      </c>
      <c r="AN353" s="12">
        <v>0.0</v>
      </c>
      <c r="AO353" s="12"/>
      <c r="AP353" s="12">
        <v>0.0</v>
      </c>
      <c r="AQ353" s="12">
        <v>0.0</v>
      </c>
      <c r="AR353" s="12">
        <v>0.0</v>
      </c>
      <c r="AS353" s="12">
        <f t="shared" si="110"/>
        <v>7734</v>
      </c>
      <c r="AT353" s="16">
        <f t="shared" si="75"/>
        <v>38992.13</v>
      </c>
      <c r="AU353" s="18">
        <f t="shared" si="106"/>
        <v>539256.94</v>
      </c>
      <c r="AV353" s="18"/>
      <c r="AW353" s="18"/>
      <c r="AX353" s="12">
        <f t="shared" si="1"/>
        <v>38992.13</v>
      </c>
      <c r="AY353" s="12"/>
      <c r="AZ353" s="12">
        <v>0.0</v>
      </c>
      <c r="BA353" s="18">
        <f t="shared" si="107"/>
        <v>54617.53</v>
      </c>
      <c r="BB353" s="10">
        <f t="shared" si="16"/>
        <v>647108.328</v>
      </c>
      <c r="BC353" s="16">
        <f t="shared" si="88"/>
        <v>103780.8523</v>
      </c>
      <c r="BD353" s="16"/>
      <c r="BE353" s="16"/>
      <c r="BF353" s="6"/>
      <c r="BG353" s="6"/>
      <c r="BH353" s="6"/>
      <c r="BI353" s="29">
        <f t="shared" si="103"/>
        <v>19369.812</v>
      </c>
      <c r="BK353" s="15">
        <f t="shared" si="76"/>
        <v>2.013036058</v>
      </c>
      <c r="BN353" s="16">
        <f t="shared" si="14"/>
        <v>19622.318</v>
      </c>
      <c r="BO353" s="16">
        <f t="shared" si="104"/>
        <v>55011.64</v>
      </c>
      <c r="BY353" s="6">
        <f t="shared" si="2"/>
        <v>2024</v>
      </c>
      <c r="BZ353" s="6" t="str">
        <f t="shared" si="3"/>
        <v>septiembre</v>
      </c>
      <c r="CA353" s="6" t="str">
        <f t="shared" si="4"/>
        <v>9</v>
      </c>
    </row>
    <row r="354">
      <c r="A354" s="8">
        <v>45561.0</v>
      </c>
      <c r="B354" s="12">
        <v>10327.76</v>
      </c>
      <c r="C354" s="12">
        <v>703.39</v>
      </c>
      <c r="D354" s="12"/>
      <c r="E354" s="12">
        <v>0.0</v>
      </c>
      <c r="F354" s="12">
        <v>0.0</v>
      </c>
      <c r="G354" s="12">
        <v>0.0</v>
      </c>
      <c r="H354" s="12">
        <f t="shared" si="89"/>
        <v>11031.15</v>
      </c>
      <c r="I354" s="12">
        <v>9632.2</v>
      </c>
      <c r="J354" s="12">
        <v>1646.46</v>
      </c>
      <c r="K354" s="12"/>
      <c r="L354" s="12">
        <v>0.0</v>
      </c>
      <c r="M354" s="12">
        <v>0.0</v>
      </c>
      <c r="N354" s="12">
        <v>0.0</v>
      </c>
      <c r="O354" s="16">
        <f t="shared" si="97"/>
        <v>11278.66</v>
      </c>
      <c r="P354" s="12">
        <v>1681.83</v>
      </c>
      <c r="Q354" s="12">
        <v>520.19</v>
      </c>
      <c r="R354" s="12"/>
      <c r="S354" s="12">
        <v>0.0</v>
      </c>
      <c r="T354" s="12">
        <v>0.0</v>
      </c>
      <c r="U354" s="12">
        <v>0.0</v>
      </c>
      <c r="V354" s="16">
        <f t="shared" si="91"/>
        <v>2202.02</v>
      </c>
      <c r="W354" s="12">
        <v>11149.45</v>
      </c>
      <c r="X354" s="12">
        <v>0.0</v>
      </c>
      <c r="Y354" s="12"/>
      <c r="Z354" s="12">
        <v>0.0</v>
      </c>
      <c r="AA354" s="12">
        <v>0.0</v>
      </c>
      <c r="AB354" s="12">
        <v>0.0</v>
      </c>
      <c r="AC354" s="16">
        <f t="shared" si="111"/>
        <v>11149.45</v>
      </c>
      <c r="AD354" s="12"/>
      <c r="AE354" s="12"/>
      <c r="AF354" s="12">
        <v>413.76</v>
      </c>
      <c r="AG354" s="12">
        <v>2012.79</v>
      </c>
      <c r="AH354" s="12"/>
      <c r="AI354" s="12">
        <v>0.0</v>
      </c>
      <c r="AJ354" s="12">
        <v>0.0</v>
      </c>
      <c r="AK354" s="12">
        <v>0.0</v>
      </c>
      <c r="AL354" s="12">
        <f t="shared" si="109"/>
        <v>2426.55</v>
      </c>
      <c r="AM354" s="12">
        <v>17904.0</v>
      </c>
      <c r="AN354" s="12">
        <v>0.0</v>
      </c>
      <c r="AO354" s="12"/>
      <c r="AP354" s="12">
        <v>0.0</v>
      </c>
      <c r="AQ354" s="12">
        <v>0.0</v>
      </c>
      <c r="AR354" s="12">
        <v>0.0</v>
      </c>
      <c r="AS354" s="12">
        <f t="shared" si="110"/>
        <v>17904</v>
      </c>
      <c r="AT354" s="16">
        <f t="shared" si="75"/>
        <v>44960.68</v>
      </c>
      <c r="AU354" s="18">
        <f t="shared" si="106"/>
        <v>584217.62</v>
      </c>
      <c r="AV354" s="18"/>
      <c r="AW354" s="18"/>
      <c r="AX354" s="12">
        <f t="shared" si="1"/>
        <v>44960.68</v>
      </c>
      <c r="AY354" s="12"/>
      <c r="AZ354" s="12">
        <v>1050.69</v>
      </c>
      <c r="BA354" s="18">
        <f t="shared" si="107"/>
        <v>55668.22</v>
      </c>
      <c r="BB354" s="10">
        <f t="shared" si="16"/>
        <v>674097.2538</v>
      </c>
      <c r="BC354" s="16">
        <f t="shared" si="88"/>
        <v>102325.5196</v>
      </c>
      <c r="BD354" s="16"/>
      <c r="BE354" s="16"/>
      <c r="BF354" s="6"/>
      <c r="BG354" s="6"/>
      <c r="BH354" s="6"/>
      <c r="BI354" s="29">
        <f t="shared" si="103"/>
        <v>19369.812</v>
      </c>
      <c r="BK354" s="15">
        <f t="shared" si="76"/>
        <v>2.321172761</v>
      </c>
      <c r="BN354" s="16">
        <f t="shared" si="14"/>
        <v>25590.868</v>
      </c>
      <c r="BO354" s="16">
        <f t="shared" si="104"/>
        <v>80602.508</v>
      </c>
      <c r="BY354" s="6">
        <f t="shared" si="2"/>
        <v>2024</v>
      </c>
      <c r="BZ354" s="6" t="str">
        <f t="shared" si="3"/>
        <v>septiembre</v>
      </c>
      <c r="CA354" s="6" t="str">
        <f t="shared" si="4"/>
        <v>9</v>
      </c>
    </row>
    <row r="355">
      <c r="A355" s="8">
        <v>45562.0</v>
      </c>
      <c r="B355" s="12">
        <v>13143.18</v>
      </c>
      <c r="C355" s="12">
        <v>412.36</v>
      </c>
      <c r="D355" s="12"/>
      <c r="E355" s="12">
        <v>0.0</v>
      </c>
      <c r="F355" s="12">
        <v>0.0</v>
      </c>
      <c r="G355" s="12">
        <v>0.0</v>
      </c>
      <c r="H355" s="12">
        <f t="shared" si="89"/>
        <v>13555.54</v>
      </c>
      <c r="I355" s="12">
        <v>2986.3</v>
      </c>
      <c r="J355" s="12">
        <v>1126.9</v>
      </c>
      <c r="K355" s="12"/>
      <c r="L355" s="12">
        <v>0.0</v>
      </c>
      <c r="M355" s="12">
        <v>0.0</v>
      </c>
      <c r="N355" s="12">
        <v>0.0</v>
      </c>
      <c r="O355" s="16">
        <f t="shared" si="97"/>
        <v>4113.2</v>
      </c>
      <c r="P355" s="12">
        <v>3284.73</v>
      </c>
      <c r="Q355" s="12">
        <v>357.71</v>
      </c>
      <c r="R355" s="12"/>
      <c r="S355" s="12">
        <v>0.0</v>
      </c>
      <c r="T355" s="12">
        <v>0.0</v>
      </c>
      <c r="U355" s="12">
        <v>0.0</v>
      </c>
      <c r="V355" s="16">
        <f t="shared" si="91"/>
        <v>3642.44</v>
      </c>
      <c r="W355" s="12">
        <v>17613.18</v>
      </c>
      <c r="X355" s="12">
        <v>0.0</v>
      </c>
      <c r="Y355" s="12"/>
      <c r="Z355" s="12">
        <v>0.0</v>
      </c>
      <c r="AA355" s="12">
        <v>0.0</v>
      </c>
      <c r="AB355" s="12">
        <v>0.0</v>
      </c>
      <c r="AC355" s="16">
        <f t="shared" si="111"/>
        <v>17613.18</v>
      </c>
      <c r="AD355" s="12"/>
      <c r="AE355" s="12"/>
      <c r="AF355" s="12">
        <v>1455.14</v>
      </c>
      <c r="AG355" s="12">
        <v>1009.15</v>
      </c>
      <c r="AH355" s="12"/>
      <c r="AI355" s="12">
        <v>0.0</v>
      </c>
      <c r="AJ355" s="12">
        <v>0.0</v>
      </c>
      <c r="AK355" s="12">
        <v>0.0</v>
      </c>
      <c r="AL355" s="12">
        <f t="shared" si="109"/>
        <v>2464.29</v>
      </c>
      <c r="AM355" s="12">
        <v>22412.0</v>
      </c>
      <c r="AN355" s="12">
        <v>0.0</v>
      </c>
      <c r="AO355" s="12"/>
      <c r="AP355" s="12">
        <v>0.0</v>
      </c>
      <c r="AQ355" s="12">
        <v>0.0</v>
      </c>
      <c r="AR355" s="12">
        <v>0.0</v>
      </c>
      <c r="AS355" s="12">
        <f t="shared" si="110"/>
        <v>22412</v>
      </c>
      <c r="AT355" s="16">
        <f t="shared" si="75"/>
        <v>50245.11</v>
      </c>
      <c r="AU355" s="18">
        <f t="shared" si="106"/>
        <v>634462.73</v>
      </c>
      <c r="AV355" s="18"/>
      <c r="AW355" s="18"/>
      <c r="AX355" s="12">
        <f t="shared" si="1"/>
        <v>50245.11</v>
      </c>
      <c r="AY355" s="12"/>
      <c r="AZ355" s="12">
        <v>616.12</v>
      </c>
      <c r="BA355" s="18">
        <f t="shared" si="107"/>
        <v>56284.34</v>
      </c>
      <c r="BB355" s="10">
        <f t="shared" si="16"/>
        <v>704958.5889</v>
      </c>
      <c r="BC355" s="16">
        <f t="shared" si="88"/>
        <v>104221.8354</v>
      </c>
      <c r="BD355" s="16"/>
      <c r="BE355" s="16"/>
      <c r="BF355" s="6"/>
      <c r="BG355" s="6"/>
      <c r="BH355" s="6"/>
      <c r="BI355" s="29">
        <f t="shared" si="103"/>
        <v>19369.812</v>
      </c>
      <c r="BK355" s="15">
        <f t="shared" si="76"/>
        <v>2.593990587</v>
      </c>
      <c r="BN355" s="16">
        <f t="shared" si="14"/>
        <v>30875.298</v>
      </c>
      <c r="BO355" s="16">
        <f t="shared" si="104"/>
        <v>111477.806</v>
      </c>
      <c r="BY355" s="6">
        <f t="shared" si="2"/>
        <v>2024</v>
      </c>
      <c r="BZ355" s="6" t="str">
        <f t="shared" si="3"/>
        <v>septiembre</v>
      </c>
      <c r="CA355" s="6" t="str">
        <f t="shared" si="4"/>
        <v>9</v>
      </c>
    </row>
    <row r="356">
      <c r="A356" s="8">
        <v>45563.0</v>
      </c>
      <c r="B356" s="12">
        <v>6470.42</v>
      </c>
      <c r="C356" s="12">
        <v>0.0</v>
      </c>
      <c r="D356" s="12"/>
      <c r="E356" s="12">
        <v>2209.17</v>
      </c>
      <c r="F356" s="12">
        <v>0.0</v>
      </c>
      <c r="G356" s="12">
        <v>0.0</v>
      </c>
      <c r="H356" s="12">
        <f t="shared" si="89"/>
        <v>8679.59</v>
      </c>
      <c r="I356" s="12">
        <v>5624.38</v>
      </c>
      <c r="J356" s="12">
        <v>0.0</v>
      </c>
      <c r="K356" s="12"/>
      <c r="L356" s="12">
        <v>0.0</v>
      </c>
      <c r="M356" s="12">
        <v>0.0</v>
      </c>
      <c r="N356" s="12">
        <v>0.0</v>
      </c>
      <c r="O356" s="16">
        <f t="shared" si="97"/>
        <v>5624.38</v>
      </c>
      <c r="P356" s="12">
        <v>1544.82</v>
      </c>
      <c r="Q356" s="12">
        <v>0.0</v>
      </c>
      <c r="R356" s="12"/>
      <c r="S356" s="12">
        <v>0.0</v>
      </c>
      <c r="T356" s="12">
        <v>0.0</v>
      </c>
      <c r="U356" s="12">
        <v>0.0</v>
      </c>
      <c r="V356" s="16">
        <f t="shared" si="91"/>
        <v>1544.82</v>
      </c>
      <c r="W356" s="12">
        <v>1.55</v>
      </c>
      <c r="X356" s="12">
        <v>0.0</v>
      </c>
      <c r="Y356" s="12"/>
      <c r="Z356" s="12">
        <v>0.0</v>
      </c>
      <c r="AA356" s="12">
        <v>0.0</v>
      </c>
      <c r="AB356" s="12">
        <v>0.0</v>
      </c>
      <c r="AC356" s="16">
        <f t="shared" si="111"/>
        <v>1.55</v>
      </c>
      <c r="AD356" s="12"/>
      <c r="AE356" s="12"/>
      <c r="AF356" s="12">
        <v>1711.43</v>
      </c>
      <c r="AG356" s="12">
        <v>0.0</v>
      </c>
      <c r="AH356" s="12"/>
      <c r="AI356" s="12">
        <v>0.0</v>
      </c>
      <c r="AJ356" s="12">
        <v>0.0</v>
      </c>
      <c r="AK356" s="12">
        <v>0.0</v>
      </c>
      <c r="AL356" s="12">
        <f t="shared" si="109"/>
        <v>1711.43</v>
      </c>
      <c r="AM356" s="12">
        <v>0.0</v>
      </c>
      <c r="AN356" s="12">
        <v>0.0</v>
      </c>
      <c r="AO356" s="12"/>
      <c r="AP356" s="12">
        <v>0.0</v>
      </c>
      <c r="AQ356" s="12">
        <v>0.0</v>
      </c>
      <c r="AR356" s="12">
        <v>0.0</v>
      </c>
      <c r="AS356" s="12">
        <f t="shared" si="110"/>
        <v>0</v>
      </c>
      <c r="AT356" s="16">
        <f t="shared" si="75"/>
        <v>8882.18</v>
      </c>
      <c r="AU356" s="18">
        <f t="shared" si="106"/>
        <v>643344.91</v>
      </c>
      <c r="AV356" s="18"/>
      <c r="AW356" s="18"/>
      <c r="AX356" s="12">
        <f t="shared" si="1"/>
        <v>8882.18</v>
      </c>
      <c r="AY356" s="12"/>
      <c r="AZ356" s="12">
        <v>917.59</v>
      </c>
      <c r="BA356" s="18">
        <f t="shared" si="107"/>
        <v>57201.93</v>
      </c>
      <c r="BB356" s="10">
        <f t="shared" si="16"/>
        <v>689298.1179</v>
      </c>
      <c r="BC356" s="16">
        <f t="shared" si="88"/>
        <v>107851.388</v>
      </c>
      <c r="BD356" s="16"/>
      <c r="BE356" s="16"/>
      <c r="BF356" s="6"/>
      <c r="BG356" s="6"/>
      <c r="BH356" s="6"/>
      <c r="BI356" s="29">
        <f t="shared" si="103"/>
        <v>19369.812</v>
      </c>
      <c r="BJ356" s="6"/>
      <c r="BK356" s="15">
        <f t="shared" si="76"/>
        <v>0.4585578838</v>
      </c>
      <c r="BN356" s="16">
        <f t="shared" si="14"/>
        <v>-10487.632</v>
      </c>
      <c r="BO356" s="16">
        <f t="shared" si="104"/>
        <v>100990.174</v>
      </c>
      <c r="BY356" s="6">
        <f t="shared" si="2"/>
        <v>2024</v>
      </c>
      <c r="BZ356" s="6" t="str">
        <f t="shared" si="3"/>
        <v>septiembre</v>
      </c>
      <c r="CA356" s="6" t="str">
        <f t="shared" si="4"/>
        <v>9</v>
      </c>
    </row>
    <row r="357">
      <c r="A357" s="8">
        <v>45564.0</v>
      </c>
      <c r="B357" s="12">
        <v>0.0</v>
      </c>
      <c r="C357" s="12">
        <v>0.0</v>
      </c>
      <c r="D357" s="12"/>
      <c r="E357" s="12">
        <v>0.0</v>
      </c>
      <c r="F357" s="12">
        <v>0.0</v>
      </c>
      <c r="G357" s="12">
        <v>0.0</v>
      </c>
      <c r="H357" s="12">
        <f t="shared" si="89"/>
        <v>0</v>
      </c>
      <c r="I357" s="12">
        <v>0.0</v>
      </c>
      <c r="J357" s="12">
        <v>0.0</v>
      </c>
      <c r="K357" s="12"/>
      <c r="L357" s="12">
        <v>0.0</v>
      </c>
      <c r="M357" s="12">
        <v>0.0</v>
      </c>
      <c r="N357" s="12">
        <v>0.0</v>
      </c>
      <c r="O357" s="16">
        <f t="shared" si="97"/>
        <v>0</v>
      </c>
      <c r="P357" s="12">
        <v>0.0</v>
      </c>
      <c r="Q357" s="12">
        <v>0.0</v>
      </c>
      <c r="R357" s="12"/>
      <c r="S357" s="12">
        <v>0.0</v>
      </c>
      <c r="T357" s="12">
        <v>0.0</v>
      </c>
      <c r="U357" s="12">
        <v>0.0</v>
      </c>
      <c r="V357" s="16">
        <f t="shared" si="91"/>
        <v>0</v>
      </c>
      <c r="W357" s="12">
        <v>0.0</v>
      </c>
      <c r="X357" s="12">
        <v>0.0</v>
      </c>
      <c r="Y357" s="12"/>
      <c r="Z357" s="12">
        <v>0.0</v>
      </c>
      <c r="AA357" s="12">
        <v>0.0</v>
      </c>
      <c r="AB357" s="12">
        <v>0.0</v>
      </c>
      <c r="AC357" s="16">
        <f t="shared" si="111"/>
        <v>0</v>
      </c>
      <c r="AD357" s="12"/>
      <c r="AE357" s="12"/>
      <c r="AF357" s="12">
        <v>0.0</v>
      </c>
      <c r="AG357" s="12">
        <v>0.0</v>
      </c>
      <c r="AH357" s="12"/>
      <c r="AI357" s="12">
        <v>0.0</v>
      </c>
      <c r="AJ357" s="12">
        <v>0.0</v>
      </c>
      <c r="AK357" s="12">
        <v>0.0</v>
      </c>
      <c r="AL357" s="12">
        <f t="shared" si="109"/>
        <v>0</v>
      </c>
      <c r="AM357" s="12">
        <v>0.0</v>
      </c>
      <c r="AN357" s="12">
        <v>0.0</v>
      </c>
      <c r="AO357" s="12"/>
      <c r="AP357" s="12">
        <v>0.0</v>
      </c>
      <c r="AQ357" s="12">
        <v>0.0</v>
      </c>
      <c r="AR357" s="12">
        <v>0.0</v>
      </c>
      <c r="AS357" s="12">
        <f t="shared" si="110"/>
        <v>0</v>
      </c>
      <c r="AT357" s="16">
        <f t="shared" si="75"/>
        <v>0</v>
      </c>
      <c r="AU357" s="18">
        <f t="shared" si="106"/>
        <v>643344.91</v>
      </c>
      <c r="AV357" s="18"/>
      <c r="AW357" s="18"/>
      <c r="AX357" s="12">
        <f t="shared" si="1"/>
        <v>0</v>
      </c>
      <c r="AY357" s="12"/>
      <c r="AZ357" s="12">
        <v>0.0</v>
      </c>
      <c r="BA357" s="18">
        <f t="shared" si="107"/>
        <v>57201.93</v>
      </c>
      <c r="BB357" s="10">
        <f t="shared" si="16"/>
        <v>665529.2172</v>
      </c>
      <c r="BC357" s="16">
        <f t="shared" si="88"/>
        <v>112349.5423</v>
      </c>
      <c r="BD357" s="16"/>
      <c r="BE357" s="16"/>
      <c r="BF357" s="6"/>
      <c r="BG357" s="6"/>
      <c r="BH357" s="6"/>
      <c r="BI357" s="29">
        <f t="shared" si="103"/>
        <v>19369.812</v>
      </c>
      <c r="BJ357" s="6"/>
      <c r="BK357" s="15">
        <f t="shared" si="76"/>
        <v>0</v>
      </c>
      <c r="BN357" s="16">
        <f t="shared" si="14"/>
        <v>-19369.812</v>
      </c>
      <c r="BO357" s="16">
        <f t="shared" si="104"/>
        <v>81620.362</v>
      </c>
      <c r="BY357" s="6">
        <f t="shared" si="2"/>
        <v>2024</v>
      </c>
      <c r="BZ357" s="6" t="str">
        <f t="shared" si="3"/>
        <v>septiembre</v>
      </c>
      <c r="CA357" s="6" t="str">
        <f t="shared" si="4"/>
        <v>9</v>
      </c>
    </row>
    <row r="358">
      <c r="A358" s="8">
        <v>45565.0</v>
      </c>
      <c r="B358" s="12">
        <f>15064.22+22178.22+81782.35+78688.1</f>
        <v>197712.89</v>
      </c>
      <c r="C358" s="12">
        <f>510.86+1319.7+2784.61+130398.16</f>
        <v>135013.33</v>
      </c>
      <c r="D358" s="12"/>
      <c r="E358" s="12">
        <f>1684.66+95.29+2122.29</f>
        <v>3902.24</v>
      </c>
      <c r="F358" s="12">
        <v>0.0</v>
      </c>
      <c r="G358" s="12">
        <v>0.0</v>
      </c>
      <c r="H358" s="12">
        <f t="shared" si="89"/>
        <v>336628.46</v>
      </c>
      <c r="I358" s="12">
        <f>14563.3+15996.3+2694.19+53652.1+22500</f>
        <v>109405.89</v>
      </c>
      <c r="J358" s="12">
        <f>1585.69+1814.01+2032.94+10042.54+1906.78+10978.69</f>
        <v>28360.65</v>
      </c>
      <c r="K358" s="12"/>
      <c r="L358" s="12">
        <v>1351.65</v>
      </c>
      <c r="M358" s="12">
        <v>0.0</v>
      </c>
      <c r="N358" s="12">
        <v>0.0</v>
      </c>
      <c r="O358" s="16">
        <f t="shared" si="97"/>
        <v>139118.19</v>
      </c>
      <c r="P358" s="12">
        <f>4695.44+6213.97+2462.35+2000</f>
        <v>15371.76</v>
      </c>
      <c r="Q358" s="12">
        <f>229.2+540.13+1002.88+1211.23+1673.58</f>
        <v>4657.02</v>
      </c>
      <c r="R358" s="12"/>
      <c r="S358" s="12">
        <v>0.0</v>
      </c>
      <c r="T358" s="12">
        <v>0.0</v>
      </c>
      <c r="U358" s="12">
        <v>0.0</v>
      </c>
      <c r="V358" s="16">
        <f t="shared" si="91"/>
        <v>20028.78</v>
      </c>
      <c r="W358" s="12">
        <f>4514.27+0.15+2477.6+2500+1881.73</f>
        <v>11373.75</v>
      </c>
      <c r="X358" s="12">
        <f>0.09+2465.04+2442.64</f>
        <v>4907.77</v>
      </c>
      <c r="Y358" s="12"/>
      <c r="Z358" s="12">
        <v>43.69</v>
      </c>
      <c r="AA358" s="12">
        <v>0.0</v>
      </c>
      <c r="AB358" s="12">
        <v>0.0</v>
      </c>
      <c r="AC358" s="16">
        <f t="shared" si="111"/>
        <v>16325.21</v>
      </c>
      <c r="AD358" s="12"/>
      <c r="AE358" s="12"/>
      <c r="AF358" s="12">
        <f>1089.52+1273.8+1416.2</f>
        <v>3779.52</v>
      </c>
      <c r="AG358" s="12">
        <v>0.0</v>
      </c>
      <c r="AH358" s="12"/>
      <c r="AI358" s="12">
        <v>0.0</v>
      </c>
      <c r="AJ358" s="12">
        <v>0.0</v>
      </c>
      <c r="AK358" s="12">
        <v>0.0</v>
      </c>
      <c r="AL358" s="12">
        <f t="shared" si="109"/>
        <v>3779.52</v>
      </c>
      <c r="AM358" s="12">
        <f>5468+2386+1982</f>
        <v>9836</v>
      </c>
      <c r="AN358" s="12">
        <v>0.0</v>
      </c>
      <c r="AO358" s="12"/>
      <c r="AP358" s="12">
        <v>0.0</v>
      </c>
      <c r="AQ358" s="12">
        <v>0.0</v>
      </c>
      <c r="AR358" s="12">
        <v>0.0</v>
      </c>
      <c r="AS358" s="12">
        <f t="shared" si="110"/>
        <v>9836</v>
      </c>
      <c r="AT358" s="16">
        <f t="shared" si="75"/>
        <v>189087.7</v>
      </c>
      <c r="AU358" s="18">
        <f t="shared" si="106"/>
        <v>832432.61</v>
      </c>
      <c r="AV358" s="18"/>
      <c r="AW358" s="18"/>
      <c r="AX358" s="12">
        <f t="shared" si="1"/>
        <v>189087.7</v>
      </c>
      <c r="AY358" s="12"/>
      <c r="AZ358" s="12">
        <f>875.52+11193.97+2827.98</f>
        <v>14897.47</v>
      </c>
      <c r="BA358" s="18">
        <f t="shared" si="107"/>
        <v>72099.4</v>
      </c>
      <c r="BB358" s="10">
        <f t="shared" si="16"/>
        <v>832432.61</v>
      </c>
      <c r="BC358" s="16">
        <f t="shared" si="88"/>
        <v>117493.0981</v>
      </c>
      <c r="BD358" s="16"/>
      <c r="BE358" s="16"/>
      <c r="BF358" s="6"/>
      <c r="BG358" s="6"/>
      <c r="BH358" s="6"/>
      <c r="BI358" s="29">
        <f t="shared" si="103"/>
        <v>19369.812</v>
      </c>
      <c r="BK358" s="15">
        <f t="shared" si="76"/>
        <v>9.761979104</v>
      </c>
      <c r="BN358" s="16">
        <f t="shared" si="14"/>
        <v>169717.888</v>
      </c>
      <c r="BO358" s="16">
        <f t="shared" si="104"/>
        <v>251338.25</v>
      </c>
      <c r="BY358" s="6">
        <f t="shared" si="2"/>
        <v>2024</v>
      </c>
      <c r="BZ358" s="6" t="str">
        <f t="shared" si="3"/>
        <v>septiembre</v>
      </c>
      <c r="CA358" s="6" t="str">
        <f t="shared" si="4"/>
        <v>9</v>
      </c>
    </row>
    <row r="359">
      <c r="A359" s="8">
        <v>45566.0</v>
      </c>
      <c r="B359" s="12">
        <v>5000.0</v>
      </c>
      <c r="C359" s="12">
        <v>1200.0</v>
      </c>
      <c r="D359" s="12"/>
      <c r="E359" s="12">
        <v>0.0</v>
      </c>
      <c r="F359" s="12">
        <v>0.0</v>
      </c>
      <c r="G359" s="12">
        <v>0.0</v>
      </c>
      <c r="H359" s="12">
        <f t="shared" si="89"/>
        <v>6200</v>
      </c>
      <c r="I359" s="12">
        <v>400.0</v>
      </c>
      <c r="J359" s="12">
        <v>152.0</v>
      </c>
      <c r="K359" s="12"/>
      <c r="L359" s="12">
        <v>0.0</v>
      </c>
      <c r="M359" s="12">
        <v>0.0</v>
      </c>
      <c r="N359" s="12">
        <v>0.0</v>
      </c>
      <c r="O359" s="16">
        <f t="shared" si="97"/>
        <v>552</v>
      </c>
      <c r="P359" s="12">
        <v>900.0</v>
      </c>
      <c r="Q359" s="12">
        <v>250.0</v>
      </c>
      <c r="R359" s="12"/>
      <c r="S359" s="12">
        <v>0.0</v>
      </c>
      <c r="T359" s="12">
        <v>0.0</v>
      </c>
      <c r="U359" s="12">
        <v>0.0</v>
      </c>
      <c r="V359" s="16">
        <f t="shared" si="91"/>
        <v>1150</v>
      </c>
      <c r="W359" s="12">
        <v>2000.0</v>
      </c>
      <c r="X359" s="12">
        <v>15.0</v>
      </c>
      <c r="Y359" s="12"/>
      <c r="Z359" s="12">
        <v>0.0</v>
      </c>
      <c r="AA359" s="12">
        <v>0.0</v>
      </c>
      <c r="AB359" s="12">
        <v>0.0</v>
      </c>
      <c r="AC359" s="16">
        <f t="shared" si="111"/>
        <v>2015</v>
      </c>
      <c r="AD359" s="12"/>
      <c r="AE359" s="12"/>
      <c r="AF359" s="12">
        <v>1200.0</v>
      </c>
      <c r="AG359" s="12">
        <v>0.0</v>
      </c>
      <c r="AH359" s="12"/>
      <c r="AI359" s="12">
        <v>0.0</v>
      </c>
      <c r="AJ359" s="12">
        <v>0.0</v>
      </c>
      <c r="AK359" s="12">
        <v>0.0</v>
      </c>
      <c r="AL359" s="12">
        <f t="shared" si="109"/>
        <v>1200</v>
      </c>
      <c r="AM359" s="12">
        <v>0.0</v>
      </c>
      <c r="AN359" s="12">
        <v>0.0</v>
      </c>
      <c r="AO359" s="12"/>
      <c r="AP359" s="12">
        <v>0.0</v>
      </c>
      <c r="AQ359" s="12">
        <v>0.0</v>
      </c>
      <c r="AR359" s="12">
        <v>0.0</v>
      </c>
      <c r="AS359" s="12">
        <f t="shared" si="110"/>
        <v>0</v>
      </c>
      <c r="AT359" s="16">
        <f t="shared" si="75"/>
        <v>4917</v>
      </c>
      <c r="AU359" s="18">
        <f>IF(AT359="","",AT359)</f>
        <v>4917</v>
      </c>
      <c r="AV359" s="18"/>
      <c r="AW359" s="18"/>
      <c r="AX359" s="12">
        <f t="shared" si="1"/>
        <v>4917</v>
      </c>
      <c r="AY359" s="12"/>
      <c r="AZ359" s="12">
        <v>250.0</v>
      </c>
      <c r="BA359" s="18">
        <f>IF(AZ359="","",AZ359)</f>
        <v>250</v>
      </c>
      <c r="BB359" s="10">
        <f t="shared" si="16"/>
        <v>152427</v>
      </c>
      <c r="BC359" s="16">
        <f t="shared" si="88"/>
        <v>114883.0196</v>
      </c>
      <c r="BD359" s="16"/>
      <c r="BE359" s="16"/>
      <c r="BF359" s="6"/>
      <c r="BG359" s="12">
        <v>580129.36</v>
      </c>
      <c r="BH359" s="6"/>
      <c r="BI359" s="29">
        <f t="shared" ref="BI359:BI389" si="112">IF(AT359="","",$BG$359/DAY(EOMONTH(A359,0)))</f>
        <v>18713.85032</v>
      </c>
      <c r="BJ359" s="6"/>
      <c r="BK359" s="15">
        <f t="shared" si="76"/>
        <v>0.2627465709</v>
      </c>
      <c r="BN359" s="16">
        <f t="shared" si="14"/>
        <v>-13796.85032</v>
      </c>
      <c r="BO359" s="16">
        <f>IF(AT359="","",BN359)</f>
        <v>-13796.85032</v>
      </c>
      <c r="BQ359" s="12">
        <v>23497.92</v>
      </c>
      <c r="BR359" s="12">
        <v>30910.65</v>
      </c>
      <c r="BS359" s="12">
        <v>7462.38</v>
      </c>
      <c r="BT359" s="12">
        <v>2.87</v>
      </c>
      <c r="BU359" s="12">
        <v>1273.8</v>
      </c>
      <c r="BV359" s="12">
        <v>2386.0</v>
      </c>
      <c r="BW359" s="16">
        <f t="shared" ref="BW359:BW362" si="113">+BV359+BU359+BT359+BS359+BR359</f>
        <v>42035.7</v>
      </c>
      <c r="BY359" s="6">
        <f t="shared" si="2"/>
        <v>2024</v>
      </c>
      <c r="BZ359" s="6" t="str">
        <f t="shared" si="3"/>
        <v>octubre</v>
      </c>
      <c r="CA359" s="6" t="str">
        <f t="shared" si="4"/>
        <v>10</v>
      </c>
    </row>
    <row r="360">
      <c r="A360" s="8">
        <v>45567.0</v>
      </c>
      <c r="B360" s="12">
        <v>4000.0</v>
      </c>
      <c r="C360" s="12">
        <v>1300.0</v>
      </c>
      <c r="D360" s="12"/>
      <c r="E360" s="12">
        <v>0.0</v>
      </c>
      <c r="F360" s="12">
        <v>0.0</v>
      </c>
      <c r="G360" s="12">
        <v>0.0</v>
      </c>
      <c r="H360" s="12">
        <f t="shared" si="89"/>
        <v>5300</v>
      </c>
      <c r="I360" s="12">
        <v>200.0</v>
      </c>
      <c r="J360" s="12">
        <v>120.0</v>
      </c>
      <c r="K360" s="12"/>
      <c r="L360" s="12">
        <v>0.0</v>
      </c>
      <c r="M360" s="12">
        <v>0.0</v>
      </c>
      <c r="N360" s="12">
        <v>0.0</v>
      </c>
      <c r="O360" s="16">
        <f t="shared" si="97"/>
        <v>320</v>
      </c>
      <c r="P360" s="12">
        <v>860.0</v>
      </c>
      <c r="Q360" s="12">
        <v>150.0</v>
      </c>
      <c r="R360" s="12"/>
      <c r="S360" s="12">
        <v>0.0</v>
      </c>
      <c r="T360" s="12">
        <v>0.0</v>
      </c>
      <c r="U360" s="12">
        <v>0.0</v>
      </c>
      <c r="V360" s="16">
        <f t="shared" si="91"/>
        <v>1010</v>
      </c>
      <c r="W360" s="12">
        <v>1600.0</v>
      </c>
      <c r="X360" s="12">
        <v>2.1</v>
      </c>
      <c r="Y360" s="12"/>
      <c r="Z360" s="12">
        <v>0.0</v>
      </c>
      <c r="AA360" s="12">
        <v>0.0</v>
      </c>
      <c r="AB360" s="12">
        <v>0.0</v>
      </c>
      <c r="AC360" s="16">
        <f t="shared" si="111"/>
        <v>1602.1</v>
      </c>
      <c r="AD360" s="12"/>
      <c r="AE360" s="12"/>
      <c r="AF360" s="12">
        <v>260.0</v>
      </c>
      <c r="AG360" s="12">
        <v>0.0</v>
      </c>
      <c r="AH360" s="12"/>
      <c r="AI360" s="12">
        <v>0.0</v>
      </c>
      <c r="AJ360" s="12">
        <v>0.0</v>
      </c>
      <c r="AK360" s="12">
        <v>0.0</v>
      </c>
      <c r="AL360" s="12">
        <f t="shared" si="109"/>
        <v>260</v>
      </c>
      <c r="AM360" s="12">
        <v>0.0</v>
      </c>
      <c r="AN360" s="12">
        <v>0.0</v>
      </c>
      <c r="AO360" s="12"/>
      <c r="AP360" s="12">
        <v>0.0</v>
      </c>
      <c r="AQ360" s="12">
        <v>0.0</v>
      </c>
      <c r="AR360" s="12">
        <v>0.0</v>
      </c>
      <c r="AS360" s="12">
        <f t="shared" si="110"/>
        <v>0</v>
      </c>
      <c r="AT360" s="16">
        <f t="shared" si="75"/>
        <v>3192.1</v>
      </c>
      <c r="AU360" s="18">
        <f t="shared" ref="AU360:AU389" si="114">IF(AT360="","",AT360+AU359)</f>
        <v>8109.1</v>
      </c>
      <c r="AV360" s="18"/>
      <c r="AW360" s="18"/>
      <c r="AX360" s="12">
        <f t="shared" si="1"/>
        <v>3192.1</v>
      </c>
      <c r="AY360" s="12"/>
      <c r="AZ360" s="12">
        <v>100.0</v>
      </c>
      <c r="BA360" s="18">
        <f t="shared" ref="BA360:BA389" si="115">IF(AZ360="","",AZ360+BA359)</f>
        <v>350</v>
      </c>
      <c r="BB360" s="10">
        <f t="shared" si="16"/>
        <v>125691.05</v>
      </c>
      <c r="BC360" s="16">
        <f t="shared" si="88"/>
        <v>110921.5362</v>
      </c>
      <c r="BD360" s="16"/>
      <c r="BE360" s="16"/>
      <c r="BF360" s="6"/>
      <c r="BG360" s="6"/>
      <c r="BH360" s="6"/>
      <c r="BI360" s="29">
        <f t="shared" si="112"/>
        <v>18713.85032</v>
      </c>
      <c r="BJ360" s="6"/>
      <c r="BK360" s="15">
        <f t="shared" si="76"/>
        <v>0.1705741975</v>
      </c>
      <c r="BN360" s="16">
        <f t="shared" si="14"/>
        <v>-15521.75032</v>
      </c>
      <c r="BO360" s="16">
        <f t="shared" ref="BO360:BO389" si="116">IF(AT360="","",BN360+BO359)</f>
        <v>-29318.60065</v>
      </c>
      <c r="BQ360" s="12">
        <v>84662.25</v>
      </c>
      <c r="BR360" s="12">
        <v>54219.36</v>
      </c>
      <c r="BS360" s="12">
        <v>20352.51</v>
      </c>
      <c r="BT360" s="12">
        <v>262.51</v>
      </c>
      <c r="BU360" s="12">
        <v>1416.2</v>
      </c>
      <c r="BV360" s="12">
        <v>0.0</v>
      </c>
      <c r="BW360" s="16">
        <f t="shared" si="113"/>
        <v>76250.58</v>
      </c>
      <c r="BY360" s="6">
        <f t="shared" si="2"/>
        <v>2024</v>
      </c>
      <c r="BZ360" s="6" t="str">
        <f t="shared" si="3"/>
        <v>octubre</v>
      </c>
      <c r="CA360" s="6" t="str">
        <f t="shared" si="4"/>
        <v>10</v>
      </c>
    </row>
    <row r="361">
      <c r="A361" s="8">
        <v>45568.0</v>
      </c>
      <c r="B361" s="12">
        <v>3500.0</v>
      </c>
      <c r="C361" s="12">
        <v>1000.0</v>
      </c>
      <c r="D361" s="12"/>
      <c r="E361" s="12">
        <v>0.0</v>
      </c>
      <c r="F361" s="12">
        <v>0.0</v>
      </c>
      <c r="G361" s="12">
        <v>0.0</v>
      </c>
      <c r="H361" s="12">
        <f t="shared" si="89"/>
        <v>4500</v>
      </c>
      <c r="I361" s="12">
        <v>320.0</v>
      </c>
      <c r="J361" s="12">
        <v>110.0</v>
      </c>
      <c r="K361" s="12"/>
      <c r="L361" s="12">
        <v>0.0</v>
      </c>
      <c r="M361" s="12">
        <v>0.0</v>
      </c>
      <c r="N361" s="12">
        <v>0.0</v>
      </c>
      <c r="O361" s="16">
        <f t="shared" si="97"/>
        <v>430</v>
      </c>
      <c r="P361" s="12">
        <v>663.0</v>
      </c>
      <c r="Q361" s="12">
        <v>200.0</v>
      </c>
      <c r="R361" s="12"/>
      <c r="S361" s="12">
        <v>0.0</v>
      </c>
      <c r="T361" s="12">
        <v>0.0</v>
      </c>
      <c r="U361" s="12">
        <v>0.0</v>
      </c>
      <c r="V361" s="16">
        <f t="shared" si="91"/>
        <v>863</v>
      </c>
      <c r="W361" s="12">
        <v>1200.0</v>
      </c>
      <c r="X361" s="12">
        <v>10.0</v>
      </c>
      <c r="Y361" s="12"/>
      <c r="Z361" s="12">
        <v>0.0</v>
      </c>
      <c r="AA361" s="12">
        <v>0.0</v>
      </c>
      <c r="AB361" s="12">
        <v>0.0</v>
      </c>
      <c r="AC361" s="16">
        <f t="shared" si="111"/>
        <v>1210</v>
      </c>
      <c r="AD361" s="12"/>
      <c r="AE361" s="12"/>
      <c r="AF361" s="12">
        <v>300.0</v>
      </c>
      <c r="AG361" s="12">
        <v>0.0</v>
      </c>
      <c r="AH361" s="12"/>
      <c r="AI361" s="12">
        <v>0.0</v>
      </c>
      <c r="AJ361" s="12">
        <v>0.0</v>
      </c>
      <c r="AK361" s="12">
        <v>0.0</v>
      </c>
      <c r="AL361" s="12">
        <f t="shared" si="109"/>
        <v>300</v>
      </c>
      <c r="AM361" s="12">
        <v>0.0</v>
      </c>
      <c r="AN361" s="12">
        <v>0.0</v>
      </c>
      <c r="AO361" s="12"/>
      <c r="AP361" s="12">
        <v>0.0</v>
      </c>
      <c r="AQ361" s="12">
        <v>0.0</v>
      </c>
      <c r="AR361" s="12">
        <v>0.0</v>
      </c>
      <c r="AS361" s="12">
        <f t="shared" si="110"/>
        <v>0</v>
      </c>
      <c r="AT361" s="16">
        <f t="shared" si="75"/>
        <v>2803</v>
      </c>
      <c r="AU361" s="18">
        <f t="shared" si="114"/>
        <v>10912.1</v>
      </c>
      <c r="AV361" s="18"/>
      <c r="AW361" s="18"/>
      <c r="AX361" s="12">
        <f t="shared" si="1"/>
        <v>2803</v>
      </c>
      <c r="AY361" s="12"/>
      <c r="AZ361" s="12">
        <v>120.0</v>
      </c>
      <c r="BA361" s="18">
        <f t="shared" si="115"/>
        <v>470</v>
      </c>
      <c r="BB361" s="10">
        <f t="shared" si="16"/>
        <v>112758.3667</v>
      </c>
      <c r="BC361" s="16">
        <f t="shared" si="88"/>
        <v>138738.7683</v>
      </c>
      <c r="BD361" s="16"/>
      <c r="BE361" s="16"/>
      <c r="BF361" s="6"/>
      <c r="BG361" s="6"/>
      <c r="BH361" s="6"/>
      <c r="BI361" s="29">
        <f t="shared" si="112"/>
        <v>18713.85032</v>
      </c>
      <c r="BJ361" s="6"/>
      <c r="BK361" s="15">
        <f t="shared" si="76"/>
        <v>0.1497821107</v>
      </c>
      <c r="BN361" s="16">
        <f t="shared" si="14"/>
        <v>-15910.85032</v>
      </c>
      <c r="BO361" s="16">
        <f t="shared" si="116"/>
        <v>-45229.45097</v>
      </c>
      <c r="BQ361" s="12">
        <v>211208.55</v>
      </c>
      <c r="BR361" s="12">
        <v>24780.71</v>
      </c>
      <c r="BS361" s="12">
        <v>3673.58</v>
      </c>
      <c r="BT361" s="12">
        <v>4942.64</v>
      </c>
      <c r="BU361" s="12">
        <v>0.0</v>
      </c>
      <c r="BV361" s="12">
        <v>0.0</v>
      </c>
      <c r="BW361" s="16">
        <f t="shared" si="113"/>
        <v>33396.93</v>
      </c>
      <c r="BY361" s="6">
        <f t="shared" si="2"/>
        <v>2024</v>
      </c>
      <c r="BZ361" s="6" t="str">
        <f t="shared" si="3"/>
        <v>octubre</v>
      </c>
      <c r="CA361" s="6" t="str">
        <f t="shared" si="4"/>
        <v>10</v>
      </c>
    </row>
    <row r="362">
      <c r="A362" s="8">
        <v>45569.0</v>
      </c>
      <c r="B362" s="12">
        <v>2500.0</v>
      </c>
      <c r="C362" s="12">
        <v>950.0</v>
      </c>
      <c r="D362" s="12"/>
      <c r="E362" s="12">
        <v>0.0</v>
      </c>
      <c r="F362" s="12">
        <v>0.0</v>
      </c>
      <c r="G362" s="12">
        <v>0.0</v>
      </c>
      <c r="H362" s="12">
        <f t="shared" si="89"/>
        <v>3450</v>
      </c>
      <c r="I362" s="12">
        <v>263.0</v>
      </c>
      <c r="J362" s="12">
        <v>100.0</v>
      </c>
      <c r="K362" s="12"/>
      <c r="L362" s="12">
        <v>0.0</v>
      </c>
      <c r="M362" s="12">
        <v>0.0</v>
      </c>
      <c r="N362" s="12">
        <v>0.0</v>
      </c>
      <c r="O362" s="16">
        <f t="shared" si="97"/>
        <v>363</v>
      </c>
      <c r="P362" s="12">
        <v>500.0</v>
      </c>
      <c r="Q362" s="12">
        <v>100.0</v>
      </c>
      <c r="R362" s="12"/>
      <c r="S362" s="12">
        <v>0.0</v>
      </c>
      <c r="T362" s="12">
        <v>0.0</v>
      </c>
      <c r="U362" s="12">
        <v>0.0</v>
      </c>
      <c r="V362" s="16">
        <f t="shared" si="91"/>
        <v>600</v>
      </c>
      <c r="W362" s="12">
        <v>2000.0</v>
      </c>
      <c r="X362" s="12">
        <v>16.0</v>
      </c>
      <c r="Y362" s="12"/>
      <c r="Z362" s="12">
        <v>0.0</v>
      </c>
      <c r="AA362" s="12">
        <v>0.0</v>
      </c>
      <c r="AB362" s="12">
        <v>0.0</v>
      </c>
      <c r="AC362" s="16">
        <f t="shared" si="111"/>
        <v>2016</v>
      </c>
      <c r="AD362" s="12"/>
      <c r="AE362" s="12"/>
      <c r="AF362" s="12">
        <v>0.0</v>
      </c>
      <c r="AG362" s="12">
        <v>0.0</v>
      </c>
      <c r="AH362" s="12"/>
      <c r="AI362" s="12">
        <v>0.0</v>
      </c>
      <c r="AJ362" s="12">
        <v>0.0</v>
      </c>
      <c r="AK362" s="12">
        <v>0.0</v>
      </c>
      <c r="AL362" s="12">
        <v>0.0</v>
      </c>
      <c r="AM362" s="12">
        <v>0.0</v>
      </c>
      <c r="AN362" s="12">
        <v>0.0</v>
      </c>
      <c r="AO362" s="12"/>
      <c r="AP362" s="12">
        <v>0.0</v>
      </c>
      <c r="AQ362" s="12">
        <v>0.0</v>
      </c>
      <c r="AR362" s="12">
        <v>0.0</v>
      </c>
      <c r="AS362" s="12">
        <v>0.0</v>
      </c>
      <c r="AT362" s="16">
        <f t="shared" si="75"/>
        <v>2979</v>
      </c>
      <c r="AU362" s="18">
        <f t="shared" si="114"/>
        <v>13891.1</v>
      </c>
      <c r="AV362" s="18"/>
      <c r="AW362" s="18"/>
      <c r="AX362" s="12">
        <f t="shared" si="1"/>
        <v>2979</v>
      </c>
      <c r="AY362" s="12"/>
      <c r="AZ362" s="12">
        <v>200.0</v>
      </c>
      <c r="BA362" s="18">
        <f t="shared" si="115"/>
        <v>670</v>
      </c>
      <c r="BB362" s="10">
        <f t="shared" si="16"/>
        <v>107656.025</v>
      </c>
      <c r="BC362" s="16">
        <f t="shared" si="88"/>
        <v>24585</v>
      </c>
      <c r="BD362" s="16"/>
      <c r="BE362" s="16"/>
      <c r="BF362" s="6"/>
      <c r="BG362" s="6"/>
      <c r="BH362" s="6"/>
      <c r="BI362" s="29">
        <f t="shared" si="112"/>
        <v>18713.85032</v>
      </c>
      <c r="BJ362" s="6"/>
      <c r="BK362" s="15">
        <f t="shared" si="76"/>
        <v>0.1591869096</v>
      </c>
      <c r="BN362" s="16">
        <f t="shared" si="14"/>
        <v>-15734.85032</v>
      </c>
      <c r="BO362" s="16">
        <f t="shared" si="116"/>
        <v>-60964.30129</v>
      </c>
      <c r="BQ362" s="12">
        <v>0.0</v>
      </c>
      <c r="BR362" s="12">
        <v>0.0</v>
      </c>
      <c r="BS362" s="12">
        <v>0.0</v>
      </c>
      <c r="BT362" s="12">
        <v>1881.73</v>
      </c>
      <c r="BU362" s="12">
        <v>0.0</v>
      </c>
      <c r="BV362" s="12">
        <v>1982.0</v>
      </c>
      <c r="BW362" s="16">
        <f t="shared" si="113"/>
        <v>3863.73</v>
      </c>
      <c r="BY362" s="6">
        <f t="shared" si="2"/>
        <v>2024</v>
      </c>
      <c r="BZ362" s="6" t="str">
        <f t="shared" si="3"/>
        <v>octubre</v>
      </c>
      <c r="CA362" s="6" t="str">
        <f t="shared" si="4"/>
        <v>10</v>
      </c>
    </row>
    <row r="363">
      <c r="A363" s="8">
        <v>45570.0</v>
      </c>
      <c r="B363" s="12">
        <v>0.0</v>
      </c>
      <c r="C363" s="12">
        <v>0.0</v>
      </c>
      <c r="D363" s="12"/>
      <c r="E363" s="12">
        <v>0.0</v>
      </c>
      <c r="F363" s="12">
        <v>0.0</v>
      </c>
      <c r="G363" s="12">
        <v>0.0</v>
      </c>
      <c r="H363" s="12">
        <f t="shared" si="89"/>
        <v>0</v>
      </c>
      <c r="I363" s="12">
        <v>0.0</v>
      </c>
      <c r="J363" s="12">
        <v>0.0</v>
      </c>
      <c r="K363" s="12"/>
      <c r="L363" s="12">
        <v>0.0</v>
      </c>
      <c r="M363" s="12">
        <v>0.0</v>
      </c>
      <c r="N363" s="12">
        <v>0.0</v>
      </c>
      <c r="O363" s="16">
        <f t="shared" si="97"/>
        <v>0</v>
      </c>
      <c r="P363" s="12">
        <v>0.0</v>
      </c>
      <c r="Q363" s="12">
        <v>0.0</v>
      </c>
      <c r="R363" s="12"/>
      <c r="S363" s="12">
        <v>0.0</v>
      </c>
      <c r="T363" s="12">
        <v>0.0</v>
      </c>
      <c r="U363" s="12">
        <v>0.0</v>
      </c>
      <c r="V363" s="12">
        <v>0.0</v>
      </c>
      <c r="W363" s="12">
        <v>0.0</v>
      </c>
      <c r="X363" s="12">
        <v>0.0</v>
      </c>
      <c r="Y363" s="12"/>
      <c r="Z363" s="12">
        <v>0.0</v>
      </c>
      <c r="AA363" s="12">
        <v>0.0</v>
      </c>
      <c r="AB363" s="12">
        <v>0.0</v>
      </c>
      <c r="AC363" s="12">
        <v>0.0</v>
      </c>
      <c r="AD363" s="12"/>
      <c r="AE363" s="12"/>
      <c r="AF363" s="12">
        <v>0.0</v>
      </c>
      <c r="AG363" s="12">
        <v>0.0</v>
      </c>
      <c r="AH363" s="12"/>
      <c r="AI363" s="12">
        <v>0.0</v>
      </c>
      <c r="AJ363" s="12">
        <v>0.0</v>
      </c>
      <c r="AK363" s="12">
        <v>0.0</v>
      </c>
      <c r="AL363" s="12">
        <v>0.0</v>
      </c>
      <c r="AM363" s="12">
        <v>0.0</v>
      </c>
      <c r="AN363" s="12">
        <v>0.0</v>
      </c>
      <c r="AO363" s="12"/>
      <c r="AP363" s="12">
        <v>0.0</v>
      </c>
      <c r="AQ363" s="12">
        <v>0.0</v>
      </c>
      <c r="AR363" s="12">
        <v>0.0</v>
      </c>
      <c r="AS363" s="12">
        <v>0.0</v>
      </c>
      <c r="AT363" s="16">
        <f t="shared" si="75"/>
        <v>0</v>
      </c>
      <c r="AU363" s="18">
        <f t="shared" si="114"/>
        <v>13891.1</v>
      </c>
      <c r="AV363" s="18"/>
      <c r="AW363" s="18"/>
      <c r="AX363" s="12">
        <f t="shared" si="1"/>
        <v>0</v>
      </c>
      <c r="AY363" s="12"/>
      <c r="AZ363" s="12">
        <v>0.0</v>
      </c>
      <c r="BA363" s="18">
        <f t="shared" si="115"/>
        <v>670</v>
      </c>
      <c r="BB363" s="10">
        <f t="shared" si="16"/>
        <v>86124.82</v>
      </c>
      <c r="BC363" s="16">
        <f t="shared" si="88"/>
        <v>20272.75</v>
      </c>
      <c r="BD363" s="16"/>
      <c r="BE363" s="16"/>
      <c r="BF363" s="6"/>
      <c r="BG363" s="6"/>
      <c r="BH363" s="6"/>
      <c r="BI363" s="29">
        <f t="shared" si="112"/>
        <v>18713.85032</v>
      </c>
      <c r="BJ363" s="6"/>
      <c r="BK363" s="15">
        <f t="shared" si="76"/>
        <v>0</v>
      </c>
      <c r="BN363" s="16">
        <f t="shared" si="14"/>
        <v>-18713.85032</v>
      </c>
      <c r="BO363" s="16">
        <f t="shared" si="116"/>
        <v>-79678.15161</v>
      </c>
      <c r="BQ363" s="16"/>
      <c r="BR363" s="16"/>
      <c r="BS363" s="16"/>
      <c r="BT363" s="16"/>
      <c r="BU363" s="16"/>
      <c r="BV363" s="16"/>
      <c r="BW363" s="16"/>
      <c r="BY363" s="6">
        <f t="shared" si="2"/>
        <v>2024</v>
      </c>
      <c r="BZ363" s="6" t="str">
        <f t="shared" si="3"/>
        <v>octubre</v>
      </c>
      <c r="CA363" s="6" t="str">
        <f t="shared" si="4"/>
        <v>10</v>
      </c>
    </row>
    <row r="364">
      <c r="A364" s="8">
        <v>45571.0</v>
      </c>
      <c r="B364" s="12">
        <v>0.0</v>
      </c>
      <c r="C364" s="12">
        <v>0.0</v>
      </c>
      <c r="D364" s="12"/>
      <c r="E364" s="12">
        <v>0.0</v>
      </c>
      <c r="F364" s="12">
        <v>0.0</v>
      </c>
      <c r="G364" s="12">
        <v>0.0</v>
      </c>
      <c r="H364" s="12">
        <v>0.0</v>
      </c>
      <c r="I364" s="12">
        <v>0.0</v>
      </c>
      <c r="J364" s="12">
        <v>0.0</v>
      </c>
      <c r="K364" s="12"/>
      <c r="L364" s="12">
        <v>0.0</v>
      </c>
      <c r="M364" s="12">
        <v>0.0</v>
      </c>
      <c r="N364" s="12">
        <v>0.0</v>
      </c>
      <c r="O364" s="16">
        <f t="shared" si="97"/>
        <v>0</v>
      </c>
      <c r="P364" s="12">
        <v>0.0</v>
      </c>
      <c r="Q364" s="12">
        <v>0.0</v>
      </c>
      <c r="R364" s="12"/>
      <c r="S364" s="12">
        <v>0.0</v>
      </c>
      <c r="T364" s="12">
        <v>0.0</v>
      </c>
      <c r="U364" s="12">
        <v>0.0</v>
      </c>
      <c r="V364" s="12">
        <v>0.0</v>
      </c>
      <c r="W364" s="12">
        <v>0.0</v>
      </c>
      <c r="X364" s="12">
        <v>0.0</v>
      </c>
      <c r="Y364" s="12"/>
      <c r="Z364" s="12">
        <v>0.0</v>
      </c>
      <c r="AA364" s="12">
        <v>0.0</v>
      </c>
      <c r="AB364" s="12">
        <v>0.0</v>
      </c>
      <c r="AC364" s="16">
        <f t="shared" ref="AC364:AC426" si="117">W364+X364+Z364+AA364+AB364</f>
        <v>0</v>
      </c>
      <c r="AD364" s="12"/>
      <c r="AE364" s="12"/>
      <c r="AF364" s="12">
        <v>0.0</v>
      </c>
      <c r="AG364" s="12">
        <v>0.0</v>
      </c>
      <c r="AH364" s="12"/>
      <c r="AI364" s="12">
        <v>0.0</v>
      </c>
      <c r="AJ364" s="12">
        <v>0.0</v>
      </c>
      <c r="AK364" s="12">
        <v>0.0</v>
      </c>
      <c r="AL364" s="12">
        <f t="shared" ref="AL364:AL383" si="118">AK364+AJ364+AI364+AG364+AF364</f>
        <v>0</v>
      </c>
      <c r="AM364" s="12">
        <v>0.0</v>
      </c>
      <c r="AN364" s="12">
        <v>0.0</v>
      </c>
      <c r="AO364" s="12"/>
      <c r="AP364" s="12">
        <v>0.0</v>
      </c>
      <c r="AQ364" s="12">
        <v>0.0</v>
      </c>
      <c r="AR364" s="12">
        <v>0.0</v>
      </c>
      <c r="AS364" s="12">
        <f t="shared" ref="AS364:AS376" si="119">AR364+AQ364+AP364+AN364+AM364</f>
        <v>0</v>
      </c>
      <c r="AT364" s="16">
        <f t="shared" si="75"/>
        <v>0</v>
      </c>
      <c r="AU364" s="18">
        <f t="shared" si="114"/>
        <v>13891.1</v>
      </c>
      <c r="AV364" s="18"/>
      <c r="AW364" s="18"/>
      <c r="AX364" s="12">
        <f t="shared" si="1"/>
        <v>0</v>
      </c>
      <c r="AY364" s="12"/>
      <c r="AZ364" s="12">
        <v>0.0</v>
      </c>
      <c r="BA364" s="18">
        <f t="shared" si="115"/>
        <v>670</v>
      </c>
      <c r="BB364" s="10">
        <f t="shared" si="16"/>
        <v>71770.68333</v>
      </c>
      <c r="BC364" s="16">
        <f t="shared" si="88"/>
        <v>18186.83333</v>
      </c>
      <c r="BD364" s="16"/>
      <c r="BE364" s="16"/>
      <c r="BF364" s="6"/>
      <c r="BG364" s="6"/>
      <c r="BH364" s="6"/>
      <c r="BI364" s="29">
        <f t="shared" si="112"/>
        <v>18713.85032</v>
      </c>
      <c r="BJ364" s="6"/>
      <c r="BK364" s="15">
        <f t="shared" si="76"/>
        <v>0</v>
      </c>
      <c r="BN364" s="16">
        <f t="shared" si="14"/>
        <v>-18713.85032</v>
      </c>
      <c r="BO364" s="16">
        <f t="shared" si="116"/>
        <v>-98392.00194</v>
      </c>
      <c r="BQ364" s="16"/>
      <c r="BR364" s="16"/>
      <c r="BS364" s="16"/>
      <c r="BT364" s="16"/>
      <c r="BU364" s="16"/>
      <c r="BV364" s="16"/>
      <c r="BW364" s="16"/>
      <c r="BY364" s="6">
        <f t="shared" si="2"/>
        <v>2024</v>
      </c>
      <c r="BZ364" s="6" t="str">
        <f t="shared" si="3"/>
        <v>octubre</v>
      </c>
      <c r="CA364" s="6" t="str">
        <f t="shared" si="4"/>
        <v>10</v>
      </c>
    </row>
    <row r="365">
      <c r="A365" s="8">
        <v>45572.0</v>
      </c>
      <c r="B365" s="12">
        <v>47702.94</v>
      </c>
      <c r="C365" s="12">
        <v>1957.96</v>
      </c>
      <c r="D365" s="12"/>
      <c r="E365" s="12">
        <v>0.0</v>
      </c>
      <c r="F365" s="12">
        <v>0.0</v>
      </c>
      <c r="G365" s="12">
        <v>0.0</v>
      </c>
      <c r="H365" s="12">
        <f t="shared" ref="H365:H405" si="120">B365+C365+E365+F365+G365</f>
        <v>49660.9</v>
      </c>
      <c r="I365" s="12">
        <v>45789.0</v>
      </c>
      <c r="J365" s="12">
        <v>13528.85</v>
      </c>
      <c r="K365" s="12"/>
      <c r="L365" s="12">
        <v>0.0</v>
      </c>
      <c r="M365" s="12">
        <v>0.0</v>
      </c>
      <c r="N365" s="12">
        <v>0.0</v>
      </c>
      <c r="O365" s="16">
        <f t="shared" si="97"/>
        <v>59317.85</v>
      </c>
      <c r="P365" s="12">
        <v>16209.19</v>
      </c>
      <c r="Q365" s="12">
        <v>377.04</v>
      </c>
      <c r="R365" s="12"/>
      <c r="S365" s="12">
        <v>0.0</v>
      </c>
      <c r="T365" s="12">
        <v>0.0</v>
      </c>
      <c r="U365" s="12">
        <v>0.0</v>
      </c>
      <c r="V365" s="16">
        <f t="shared" ref="V365:V376" si="121">P365+Q365+S365+T365+U365</f>
        <v>16586.23</v>
      </c>
      <c r="W365" s="12">
        <v>9240.77</v>
      </c>
      <c r="X365" s="12">
        <v>53.5</v>
      </c>
      <c r="Y365" s="12"/>
      <c r="Z365" s="12">
        <v>0.0</v>
      </c>
      <c r="AA365" s="12">
        <v>0.0</v>
      </c>
      <c r="AB365" s="12">
        <v>0.0</v>
      </c>
      <c r="AC365" s="16">
        <f t="shared" si="117"/>
        <v>9294.27</v>
      </c>
      <c r="AD365" s="12"/>
      <c r="AE365" s="12"/>
      <c r="AF365" s="12">
        <v>4945.95</v>
      </c>
      <c r="AG365" s="12">
        <v>105.42</v>
      </c>
      <c r="AH365" s="12"/>
      <c r="AI365" s="12">
        <v>0.0</v>
      </c>
      <c r="AJ365" s="12">
        <v>0.0</v>
      </c>
      <c r="AK365" s="12">
        <v>0.0</v>
      </c>
      <c r="AL365" s="12">
        <f t="shared" si="118"/>
        <v>5051.37</v>
      </c>
      <c r="AM365" s="12">
        <v>21355.0</v>
      </c>
      <c r="AN365" s="12">
        <v>0.0</v>
      </c>
      <c r="AO365" s="12"/>
      <c r="AP365" s="12">
        <v>0.0</v>
      </c>
      <c r="AQ365" s="12">
        <v>0.0</v>
      </c>
      <c r="AR365" s="12">
        <v>0.0</v>
      </c>
      <c r="AS365" s="12">
        <f t="shared" si="119"/>
        <v>21355</v>
      </c>
      <c r="AT365" s="16">
        <f t="shared" si="75"/>
        <v>111604.72</v>
      </c>
      <c r="AU365" s="18">
        <f t="shared" si="114"/>
        <v>125495.82</v>
      </c>
      <c r="AV365" s="18"/>
      <c r="AW365" s="18"/>
      <c r="AX365" s="12">
        <f t="shared" si="1"/>
        <v>111604.72</v>
      </c>
      <c r="AY365" s="12"/>
      <c r="AZ365" s="12">
        <v>5115.11</v>
      </c>
      <c r="BA365" s="18">
        <f t="shared" si="115"/>
        <v>5785.11</v>
      </c>
      <c r="BB365" s="10">
        <f t="shared" si="16"/>
        <v>555767.2029</v>
      </c>
      <c r="BC365" s="16">
        <f t="shared" si="88"/>
        <v>17363.875</v>
      </c>
      <c r="BD365" s="16"/>
      <c r="BE365" s="16"/>
      <c r="BF365" s="6"/>
      <c r="BG365" s="6"/>
      <c r="BH365" s="6"/>
      <c r="BI365" s="29">
        <f t="shared" si="112"/>
        <v>18713.85032</v>
      </c>
      <c r="BK365" s="15">
        <f t="shared" si="76"/>
        <v>5.96374974</v>
      </c>
      <c r="BN365" s="16">
        <f t="shared" si="14"/>
        <v>92890.86968</v>
      </c>
      <c r="BO365" s="16">
        <f t="shared" si="116"/>
        <v>-5501.132258</v>
      </c>
      <c r="BQ365" s="16"/>
      <c r="BR365" s="16"/>
      <c r="BS365" s="16"/>
      <c r="BT365" s="16"/>
      <c r="BU365" s="16"/>
      <c r="BV365" s="16"/>
      <c r="BW365" s="16"/>
      <c r="BY365" s="6">
        <f t="shared" si="2"/>
        <v>2024</v>
      </c>
      <c r="BZ365" s="6" t="str">
        <f t="shared" si="3"/>
        <v>octubre</v>
      </c>
      <c r="CA365" s="6" t="str">
        <f t="shared" si="4"/>
        <v>10</v>
      </c>
    </row>
    <row r="366">
      <c r="A366" s="8">
        <v>45573.0</v>
      </c>
      <c r="B366" s="12">
        <v>35981.43</v>
      </c>
      <c r="C366" s="12">
        <v>1721.77</v>
      </c>
      <c r="D366" s="12"/>
      <c r="E366" s="12">
        <v>1074.08</v>
      </c>
      <c r="F366" s="12">
        <v>0.0</v>
      </c>
      <c r="G366" s="12">
        <v>0.0</v>
      </c>
      <c r="H366" s="12">
        <f t="shared" si="120"/>
        <v>38777.28</v>
      </c>
      <c r="I366" s="12">
        <v>21755.33</v>
      </c>
      <c r="J366" s="12">
        <v>2116.7</v>
      </c>
      <c r="K366" s="12"/>
      <c r="L366" s="12">
        <v>1052.56</v>
      </c>
      <c r="M366" s="12">
        <v>0.0</v>
      </c>
      <c r="N366" s="12">
        <v>0.0</v>
      </c>
      <c r="O366" s="16">
        <f t="shared" si="97"/>
        <v>24924.59</v>
      </c>
      <c r="P366" s="12">
        <v>6703.12</v>
      </c>
      <c r="Q366" s="12">
        <v>1061.14</v>
      </c>
      <c r="R366" s="12"/>
      <c r="S366" s="12">
        <v>0.0</v>
      </c>
      <c r="T366" s="12">
        <v>0.0</v>
      </c>
      <c r="U366" s="12">
        <v>0.0</v>
      </c>
      <c r="V366" s="16">
        <f t="shared" si="121"/>
        <v>7764.26</v>
      </c>
      <c r="W366" s="12">
        <v>10.51</v>
      </c>
      <c r="X366" s="12">
        <v>0.0</v>
      </c>
      <c r="Y366" s="12"/>
      <c r="Z366" s="12">
        <v>0.0</v>
      </c>
      <c r="AA366" s="12">
        <v>0.0</v>
      </c>
      <c r="AB366" s="12">
        <v>0.0</v>
      </c>
      <c r="AC366" s="16">
        <f t="shared" si="117"/>
        <v>10.51</v>
      </c>
      <c r="AD366" s="12"/>
      <c r="AE366" s="12"/>
      <c r="AF366" s="12">
        <v>7193.75</v>
      </c>
      <c r="AG366" s="12">
        <v>0.0</v>
      </c>
      <c r="AH366" s="12"/>
      <c r="AI366" s="12">
        <v>0.0</v>
      </c>
      <c r="AJ366" s="12">
        <v>0.0</v>
      </c>
      <c r="AK366" s="12">
        <v>0.0</v>
      </c>
      <c r="AL366" s="12">
        <f t="shared" si="118"/>
        <v>7193.75</v>
      </c>
      <c r="AM366" s="12">
        <v>0.0</v>
      </c>
      <c r="AN366" s="12">
        <v>0.0</v>
      </c>
      <c r="AO366" s="12"/>
      <c r="AP366" s="12">
        <v>0.0</v>
      </c>
      <c r="AQ366" s="12">
        <v>0.0</v>
      </c>
      <c r="AR366" s="12">
        <v>0.0</v>
      </c>
      <c r="AS366" s="12">
        <f t="shared" si="119"/>
        <v>0</v>
      </c>
      <c r="AT366" s="16">
        <f t="shared" si="75"/>
        <v>39893.11</v>
      </c>
      <c r="AU366" s="18">
        <f t="shared" si="114"/>
        <v>165388.93</v>
      </c>
      <c r="AV366" s="18"/>
      <c r="AW366" s="18"/>
      <c r="AX366" s="12">
        <f t="shared" si="1"/>
        <v>39893.11</v>
      </c>
      <c r="AY366" s="12"/>
      <c r="AZ366" s="12">
        <v>4450.13</v>
      </c>
      <c r="BA366" s="18">
        <f t="shared" si="115"/>
        <v>10235.24</v>
      </c>
      <c r="BB366" s="10">
        <f t="shared" si="16"/>
        <v>640882.1038</v>
      </c>
      <c r="BC366" s="16">
        <f t="shared" si="88"/>
        <v>13891.1</v>
      </c>
      <c r="BD366" s="16"/>
      <c r="BE366" s="16"/>
      <c r="BF366" s="6"/>
      <c r="BG366" s="6"/>
      <c r="BH366" s="6"/>
      <c r="BI366" s="29">
        <f t="shared" si="112"/>
        <v>18713.85032</v>
      </c>
      <c r="BK366" s="15">
        <f t="shared" si="76"/>
        <v>2.131742496</v>
      </c>
      <c r="BN366" s="16">
        <f t="shared" si="14"/>
        <v>21179.25968</v>
      </c>
      <c r="BO366" s="16">
        <f t="shared" si="116"/>
        <v>15678.12742</v>
      </c>
      <c r="BY366" s="6">
        <f t="shared" si="2"/>
        <v>2024</v>
      </c>
      <c r="BZ366" s="6" t="str">
        <f t="shared" si="3"/>
        <v>octubre</v>
      </c>
      <c r="CA366" s="6" t="str">
        <f t="shared" si="4"/>
        <v>10</v>
      </c>
    </row>
    <row r="367">
      <c r="A367" s="8">
        <v>45574.0</v>
      </c>
      <c r="B367" s="12">
        <v>18902.45</v>
      </c>
      <c r="C367" s="12">
        <v>1944.54</v>
      </c>
      <c r="D367" s="12"/>
      <c r="E367" s="12">
        <v>0.0</v>
      </c>
      <c r="F367" s="12">
        <v>0.0</v>
      </c>
      <c r="G367" s="12">
        <v>0.0</v>
      </c>
      <c r="H367" s="12">
        <f t="shared" si="120"/>
        <v>20846.99</v>
      </c>
      <c r="I367" s="12">
        <v>7889.3</v>
      </c>
      <c r="J367" s="12">
        <v>2465.1</v>
      </c>
      <c r="K367" s="12"/>
      <c r="L367" s="12">
        <v>0.0</v>
      </c>
      <c r="M367" s="12">
        <v>0.0</v>
      </c>
      <c r="N367" s="12">
        <v>0.0</v>
      </c>
      <c r="O367" s="16">
        <f t="shared" si="97"/>
        <v>10354.4</v>
      </c>
      <c r="P367" s="12">
        <v>5503.06</v>
      </c>
      <c r="Q367" s="12">
        <v>1185.31</v>
      </c>
      <c r="R367" s="12"/>
      <c r="S367" s="12">
        <v>0.0</v>
      </c>
      <c r="T367" s="12">
        <v>0.0</v>
      </c>
      <c r="U367" s="12">
        <v>0.0</v>
      </c>
      <c r="V367" s="16">
        <f t="shared" si="121"/>
        <v>6688.37</v>
      </c>
      <c r="W367" s="12">
        <v>1878.4</v>
      </c>
      <c r="X367" s="12">
        <v>0.0</v>
      </c>
      <c r="Y367" s="12"/>
      <c r="Z367" s="12">
        <v>0.0</v>
      </c>
      <c r="AA367" s="12">
        <v>0.0</v>
      </c>
      <c r="AB367" s="12">
        <v>0.0</v>
      </c>
      <c r="AC367" s="16">
        <f t="shared" si="117"/>
        <v>1878.4</v>
      </c>
      <c r="AD367" s="12"/>
      <c r="AE367" s="12"/>
      <c r="AF367" s="12">
        <v>1681.86</v>
      </c>
      <c r="AG367" s="12">
        <v>0.0</v>
      </c>
      <c r="AH367" s="12"/>
      <c r="AI367" s="12">
        <v>0.0</v>
      </c>
      <c r="AJ367" s="12">
        <v>0.0</v>
      </c>
      <c r="AK367" s="12">
        <v>0.0</v>
      </c>
      <c r="AL367" s="12">
        <f t="shared" si="118"/>
        <v>1681.86</v>
      </c>
      <c r="AM367" s="12">
        <v>1791.0</v>
      </c>
      <c r="AN367" s="12">
        <v>0.0</v>
      </c>
      <c r="AO367" s="12"/>
      <c r="AP367" s="12">
        <v>0.0</v>
      </c>
      <c r="AQ367" s="12">
        <v>0.0</v>
      </c>
      <c r="AR367" s="12">
        <v>0.0</v>
      </c>
      <c r="AS367" s="12">
        <f t="shared" si="119"/>
        <v>1791</v>
      </c>
      <c r="AT367" s="16">
        <f t="shared" si="75"/>
        <v>22394.03</v>
      </c>
      <c r="AU367" s="18">
        <f t="shared" si="114"/>
        <v>187782.96</v>
      </c>
      <c r="AV367" s="18"/>
      <c r="AW367" s="18"/>
      <c r="AX367" s="12">
        <f t="shared" si="1"/>
        <v>22394.03</v>
      </c>
      <c r="AY367" s="12"/>
      <c r="AZ367" s="12">
        <v>5610.22</v>
      </c>
      <c r="BA367" s="18">
        <f t="shared" si="115"/>
        <v>15845.46</v>
      </c>
      <c r="BB367" s="10">
        <f t="shared" si="16"/>
        <v>646807.9733</v>
      </c>
      <c r="BC367" s="16">
        <f t="shared" si="88"/>
        <v>11575.91667</v>
      </c>
      <c r="BD367" s="16"/>
      <c r="BE367" s="16"/>
      <c r="BF367" s="6"/>
      <c r="BG367" s="6"/>
      <c r="BH367" s="6"/>
      <c r="BI367" s="29">
        <f t="shared" si="112"/>
        <v>18713.85032</v>
      </c>
      <c r="BK367" s="15">
        <f t="shared" si="76"/>
        <v>1.196655398</v>
      </c>
      <c r="BN367" s="16">
        <f t="shared" si="14"/>
        <v>3680.179677</v>
      </c>
      <c r="BO367" s="16">
        <f t="shared" si="116"/>
        <v>19358.3071</v>
      </c>
      <c r="BY367" s="6">
        <f t="shared" si="2"/>
        <v>2024</v>
      </c>
      <c r="BZ367" s="6" t="str">
        <f t="shared" si="3"/>
        <v>octubre</v>
      </c>
      <c r="CA367" s="6" t="str">
        <f t="shared" si="4"/>
        <v>10</v>
      </c>
    </row>
    <row r="368">
      <c r="A368" s="8">
        <v>45575.0</v>
      </c>
      <c r="B368" s="12">
        <v>70107.86</v>
      </c>
      <c r="C368" s="12">
        <v>0.0</v>
      </c>
      <c r="D368" s="12"/>
      <c r="E368" s="12">
        <v>0.0</v>
      </c>
      <c r="F368" s="12">
        <v>0.0</v>
      </c>
      <c r="G368" s="12">
        <v>0.0</v>
      </c>
      <c r="H368" s="12">
        <f t="shared" si="120"/>
        <v>70107.86</v>
      </c>
      <c r="I368" s="12">
        <v>5091.72</v>
      </c>
      <c r="J368" s="12">
        <v>0.0</v>
      </c>
      <c r="K368" s="12"/>
      <c r="L368" s="12">
        <v>2185.4</v>
      </c>
      <c r="M368" s="12">
        <v>0.0</v>
      </c>
      <c r="N368" s="12">
        <v>0.0</v>
      </c>
      <c r="O368" s="16">
        <f t="shared" si="97"/>
        <v>7277.12</v>
      </c>
      <c r="P368" s="12">
        <v>3691.82</v>
      </c>
      <c r="Q368" s="12">
        <v>0.0</v>
      </c>
      <c r="R368" s="12"/>
      <c r="S368" s="12">
        <v>0.0</v>
      </c>
      <c r="T368" s="12">
        <v>0.0</v>
      </c>
      <c r="U368" s="12">
        <v>0.0</v>
      </c>
      <c r="V368" s="16">
        <f t="shared" si="121"/>
        <v>3691.82</v>
      </c>
      <c r="W368" s="12">
        <v>2576.84</v>
      </c>
      <c r="X368" s="12">
        <v>0.0</v>
      </c>
      <c r="Y368" s="12"/>
      <c r="Z368" s="12">
        <v>0.0</v>
      </c>
      <c r="AA368" s="12">
        <v>0.0</v>
      </c>
      <c r="AB368" s="12">
        <v>0.0</v>
      </c>
      <c r="AC368" s="16">
        <f t="shared" si="117"/>
        <v>2576.84</v>
      </c>
      <c r="AD368" s="12"/>
      <c r="AE368" s="12"/>
      <c r="AF368" s="12">
        <v>2428.21</v>
      </c>
      <c r="AG368" s="12">
        <v>0.0</v>
      </c>
      <c r="AH368" s="12"/>
      <c r="AI368" s="12">
        <v>0.0</v>
      </c>
      <c r="AJ368" s="12">
        <v>0.0</v>
      </c>
      <c r="AK368" s="12">
        <v>0.0</v>
      </c>
      <c r="AL368" s="12">
        <f t="shared" si="118"/>
        <v>2428.21</v>
      </c>
      <c r="AM368" s="12">
        <v>1792.0</v>
      </c>
      <c r="AN368" s="12">
        <v>0.0</v>
      </c>
      <c r="AO368" s="12"/>
      <c r="AP368" s="12">
        <v>0.0</v>
      </c>
      <c r="AQ368" s="12">
        <v>0.0</v>
      </c>
      <c r="AR368" s="12">
        <v>0.0</v>
      </c>
      <c r="AS368" s="12">
        <f t="shared" si="119"/>
        <v>1792</v>
      </c>
      <c r="AT368" s="16">
        <f t="shared" si="75"/>
        <v>17765.99</v>
      </c>
      <c r="AU368" s="18">
        <f t="shared" si="114"/>
        <v>205548.95</v>
      </c>
      <c r="AV368" s="18"/>
      <c r="AW368" s="18"/>
      <c r="AX368" s="12">
        <f t="shared" si="1"/>
        <v>17765.99</v>
      </c>
      <c r="AY368" s="12"/>
      <c r="AZ368" s="12">
        <v>0.0</v>
      </c>
      <c r="BA368" s="18">
        <f t="shared" si="115"/>
        <v>15845.46</v>
      </c>
      <c r="BB368" s="10">
        <f t="shared" si="16"/>
        <v>637201.745</v>
      </c>
      <c r="BC368" s="16">
        <f t="shared" si="88"/>
        <v>89639.87143</v>
      </c>
      <c r="BD368" s="16"/>
      <c r="BE368" s="16"/>
      <c r="BF368" s="6"/>
      <c r="BG368" s="6"/>
      <c r="BH368" s="6"/>
      <c r="BI368" s="29">
        <f t="shared" si="112"/>
        <v>18713.85032</v>
      </c>
      <c r="BJ368" s="6"/>
      <c r="BK368" s="15">
        <f t="shared" si="76"/>
        <v>0.9493497967</v>
      </c>
      <c r="BN368" s="16">
        <f t="shared" si="14"/>
        <v>-947.8603226</v>
      </c>
      <c r="BO368" s="16">
        <f t="shared" si="116"/>
        <v>18410.44677</v>
      </c>
      <c r="BY368" s="6">
        <f t="shared" si="2"/>
        <v>2024</v>
      </c>
      <c r="BZ368" s="6" t="str">
        <f t="shared" si="3"/>
        <v>octubre</v>
      </c>
      <c r="CA368" s="6" t="str">
        <f t="shared" si="4"/>
        <v>10</v>
      </c>
    </row>
    <row r="369">
      <c r="A369" s="8">
        <v>45576.0</v>
      </c>
      <c r="B369" s="12">
        <v>4666.93</v>
      </c>
      <c r="C369" s="12">
        <v>146.6</v>
      </c>
      <c r="D369" s="12"/>
      <c r="E369" s="12">
        <v>3239.01</v>
      </c>
      <c r="F369" s="12">
        <v>0.0</v>
      </c>
      <c r="G369" s="12">
        <v>0.0</v>
      </c>
      <c r="H369" s="12">
        <f t="shared" si="120"/>
        <v>8052.54</v>
      </c>
      <c r="I369" s="12">
        <v>3556.9</v>
      </c>
      <c r="J369" s="12">
        <v>1538.48</v>
      </c>
      <c r="K369" s="12"/>
      <c r="L369" s="12">
        <v>0.0</v>
      </c>
      <c r="M369" s="12">
        <v>0.0</v>
      </c>
      <c r="N369" s="12">
        <v>0.0</v>
      </c>
      <c r="O369" s="16">
        <f t="shared" si="97"/>
        <v>5095.38</v>
      </c>
      <c r="P369" s="12">
        <v>1811.17</v>
      </c>
      <c r="Q369" s="12">
        <v>119.59</v>
      </c>
      <c r="R369" s="12"/>
      <c r="S369" s="12">
        <v>0.0</v>
      </c>
      <c r="T369" s="12">
        <v>0.0</v>
      </c>
      <c r="U369" s="12">
        <v>0.0</v>
      </c>
      <c r="V369" s="16">
        <f t="shared" si="121"/>
        <v>1930.76</v>
      </c>
      <c r="W369" s="12">
        <v>8063.44</v>
      </c>
      <c r="X369" s="12">
        <v>0.0</v>
      </c>
      <c r="Y369" s="12"/>
      <c r="Z369" s="12">
        <v>0.0</v>
      </c>
      <c r="AA369" s="12">
        <v>0.0</v>
      </c>
      <c r="AB369" s="12">
        <v>0.0</v>
      </c>
      <c r="AC369" s="16">
        <f t="shared" si="117"/>
        <v>8063.44</v>
      </c>
      <c r="AD369" s="12"/>
      <c r="AE369" s="12"/>
      <c r="AF369" s="12">
        <v>978.78</v>
      </c>
      <c r="AG369" s="12">
        <v>0.0</v>
      </c>
      <c r="AH369" s="12"/>
      <c r="AI369" s="12">
        <v>0.0</v>
      </c>
      <c r="AJ369" s="12">
        <v>0.0</v>
      </c>
      <c r="AK369" s="12">
        <v>0.0</v>
      </c>
      <c r="AL369" s="12">
        <f t="shared" si="118"/>
        <v>978.78</v>
      </c>
      <c r="AM369" s="12">
        <v>13447.0</v>
      </c>
      <c r="AN369" s="12">
        <v>0.0</v>
      </c>
      <c r="AO369" s="12"/>
      <c r="AP369" s="12">
        <v>0.0</v>
      </c>
      <c r="AQ369" s="12">
        <v>0.0</v>
      </c>
      <c r="AR369" s="12">
        <v>0.0</v>
      </c>
      <c r="AS369" s="12">
        <f t="shared" si="119"/>
        <v>13447</v>
      </c>
      <c r="AT369" s="16">
        <f t="shared" si="75"/>
        <v>29515.36</v>
      </c>
      <c r="AU369" s="18">
        <f t="shared" si="114"/>
        <v>235064.31</v>
      </c>
      <c r="AV369" s="18"/>
      <c r="AW369" s="18"/>
      <c r="AX369" s="12">
        <f t="shared" si="1"/>
        <v>29515.36</v>
      </c>
      <c r="AY369" s="12"/>
      <c r="AZ369" s="12">
        <v>937.88</v>
      </c>
      <c r="BA369" s="18">
        <f t="shared" si="115"/>
        <v>16783.34</v>
      </c>
      <c r="BB369" s="10">
        <f t="shared" si="16"/>
        <v>662453.9645</v>
      </c>
      <c r="BC369" s="16">
        <f t="shared" si="88"/>
        <v>103368.0813</v>
      </c>
      <c r="BD369" s="16"/>
      <c r="BE369" s="16"/>
      <c r="BF369" s="6"/>
      <c r="BG369" s="6"/>
      <c r="BH369" s="6"/>
      <c r="BI369" s="29">
        <f t="shared" si="112"/>
        <v>18713.85032</v>
      </c>
      <c r="BK369" s="15">
        <f t="shared" si="76"/>
        <v>1.577193335</v>
      </c>
      <c r="BN369" s="16">
        <f t="shared" si="14"/>
        <v>10801.50968</v>
      </c>
      <c r="BO369" s="16">
        <f t="shared" si="116"/>
        <v>29211.95645</v>
      </c>
      <c r="BY369" s="6">
        <f t="shared" si="2"/>
        <v>2024</v>
      </c>
      <c r="BZ369" s="6" t="str">
        <f t="shared" si="3"/>
        <v>octubre</v>
      </c>
      <c r="CA369" s="6" t="str">
        <f t="shared" si="4"/>
        <v>10</v>
      </c>
    </row>
    <row r="370">
      <c r="A370" s="8">
        <v>45577.0</v>
      </c>
      <c r="B370" s="12">
        <v>0.0</v>
      </c>
      <c r="C370" s="12">
        <v>0.0</v>
      </c>
      <c r="D370" s="12"/>
      <c r="E370" s="12">
        <v>0.0</v>
      </c>
      <c r="F370" s="12">
        <v>0.0</v>
      </c>
      <c r="G370" s="12">
        <v>0.0</v>
      </c>
      <c r="H370" s="12">
        <f t="shared" si="120"/>
        <v>0</v>
      </c>
      <c r="I370" s="12">
        <v>0.0</v>
      </c>
      <c r="J370" s="12">
        <v>0.0</v>
      </c>
      <c r="K370" s="12"/>
      <c r="L370" s="12">
        <v>0.0</v>
      </c>
      <c r="M370" s="12">
        <v>0.0</v>
      </c>
      <c r="N370" s="12">
        <v>0.0</v>
      </c>
      <c r="O370" s="16">
        <f t="shared" si="97"/>
        <v>0</v>
      </c>
      <c r="P370" s="12">
        <v>0.0</v>
      </c>
      <c r="Q370" s="12">
        <v>0.0</v>
      </c>
      <c r="R370" s="12"/>
      <c r="S370" s="12">
        <v>0.0</v>
      </c>
      <c r="T370" s="12">
        <v>0.0</v>
      </c>
      <c r="U370" s="12">
        <v>0.0</v>
      </c>
      <c r="V370" s="16">
        <f t="shared" si="121"/>
        <v>0</v>
      </c>
      <c r="W370" s="12">
        <v>0.0</v>
      </c>
      <c r="X370" s="12">
        <v>0.0</v>
      </c>
      <c r="Y370" s="12"/>
      <c r="Z370" s="12">
        <v>0.0</v>
      </c>
      <c r="AA370" s="12">
        <v>0.0</v>
      </c>
      <c r="AB370" s="12">
        <v>0.0</v>
      </c>
      <c r="AC370" s="16">
        <f t="shared" si="117"/>
        <v>0</v>
      </c>
      <c r="AD370" s="12"/>
      <c r="AE370" s="12"/>
      <c r="AF370" s="12">
        <v>0.0</v>
      </c>
      <c r="AG370" s="12">
        <v>0.0</v>
      </c>
      <c r="AH370" s="12"/>
      <c r="AI370" s="12">
        <v>0.0</v>
      </c>
      <c r="AJ370" s="12">
        <v>0.0</v>
      </c>
      <c r="AK370" s="12">
        <v>0.0</v>
      </c>
      <c r="AL370" s="12">
        <f t="shared" si="118"/>
        <v>0</v>
      </c>
      <c r="AM370" s="12">
        <v>0.0</v>
      </c>
      <c r="AN370" s="12">
        <v>0.0</v>
      </c>
      <c r="AO370" s="12"/>
      <c r="AP370" s="12">
        <v>0.0</v>
      </c>
      <c r="AQ370" s="12">
        <v>0.0</v>
      </c>
      <c r="AR370" s="12">
        <v>0.0</v>
      </c>
      <c r="AS370" s="12">
        <f t="shared" si="119"/>
        <v>0</v>
      </c>
      <c r="AT370" s="16">
        <f t="shared" si="75"/>
        <v>0</v>
      </c>
      <c r="AU370" s="18">
        <f t="shared" si="114"/>
        <v>235064.31</v>
      </c>
      <c r="AV370" s="18"/>
      <c r="AW370" s="18"/>
      <c r="AX370" s="12">
        <f t="shared" si="1"/>
        <v>0</v>
      </c>
      <c r="AY370" s="12"/>
      <c r="AZ370" s="12">
        <v>0.0</v>
      </c>
      <c r="BA370" s="18">
        <f t="shared" si="115"/>
        <v>16783.34</v>
      </c>
      <c r="BB370" s="10">
        <f t="shared" si="16"/>
        <v>607249.4675</v>
      </c>
      <c r="BC370" s="16">
        <f t="shared" si="88"/>
        <v>104323.8667</v>
      </c>
      <c r="BD370" s="16"/>
      <c r="BE370" s="16"/>
      <c r="BF370" s="6"/>
      <c r="BG370" s="6"/>
      <c r="BH370" s="6"/>
      <c r="BI370" s="29">
        <f t="shared" si="112"/>
        <v>18713.85032</v>
      </c>
      <c r="BJ370" s="6"/>
      <c r="BK370" s="15">
        <f t="shared" si="76"/>
        <v>0</v>
      </c>
      <c r="BN370" s="16">
        <f t="shared" si="14"/>
        <v>-18713.85032</v>
      </c>
      <c r="BO370" s="16">
        <f t="shared" si="116"/>
        <v>10498.10613</v>
      </c>
      <c r="BY370" s="6">
        <f t="shared" si="2"/>
        <v>2024</v>
      </c>
      <c r="BZ370" s="6" t="str">
        <f t="shared" si="3"/>
        <v>octubre</v>
      </c>
      <c r="CA370" s="6" t="str">
        <f t="shared" si="4"/>
        <v>10</v>
      </c>
    </row>
    <row r="371">
      <c r="A371" s="8">
        <v>45578.0</v>
      </c>
      <c r="B371" s="12">
        <v>0.0</v>
      </c>
      <c r="C371" s="12">
        <v>0.0</v>
      </c>
      <c r="D371" s="12"/>
      <c r="E371" s="12">
        <v>0.0</v>
      </c>
      <c r="F371" s="12">
        <v>0.0</v>
      </c>
      <c r="G371" s="12">
        <v>0.0</v>
      </c>
      <c r="H371" s="12">
        <f t="shared" si="120"/>
        <v>0</v>
      </c>
      <c r="I371" s="12">
        <v>0.0</v>
      </c>
      <c r="J371" s="12">
        <v>0.0</v>
      </c>
      <c r="K371" s="12"/>
      <c r="L371" s="12">
        <v>0.0</v>
      </c>
      <c r="M371" s="12">
        <v>0.0</v>
      </c>
      <c r="N371" s="12">
        <v>0.0</v>
      </c>
      <c r="O371" s="16">
        <f t="shared" si="97"/>
        <v>0</v>
      </c>
      <c r="P371" s="12">
        <v>0.0</v>
      </c>
      <c r="Q371" s="12">
        <v>0.0</v>
      </c>
      <c r="R371" s="12"/>
      <c r="S371" s="12">
        <v>0.0</v>
      </c>
      <c r="T371" s="12">
        <v>0.0</v>
      </c>
      <c r="U371" s="12">
        <v>0.0</v>
      </c>
      <c r="V371" s="16">
        <f t="shared" si="121"/>
        <v>0</v>
      </c>
      <c r="W371" s="12">
        <v>0.0</v>
      </c>
      <c r="X371" s="12">
        <v>0.0</v>
      </c>
      <c r="Y371" s="12"/>
      <c r="Z371" s="12">
        <v>0.0</v>
      </c>
      <c r="AA371" s="12">
        <v>0.0</v>
      </c>
      <c r="AB371" s="12">
        <v>0.0</v>
      </c>
      <c r="AC371" s="16">
        <f t="shared" si="117"/>
        <v>0</v>
      </c>
      <c r="AD371" s="12"/>
      <c r="AE371" s="12"/>
      <c r="AF371" s="12">
        <v>0.0</v>
      </c>
      <c r="AG371" s="12">
        <v>0.0</v>
      </c>
      <c r="AH371" s="12"/>
      <c r="AI371" s="12">
        <v>0.0</v>
      </c>
      <c r="AJ371" s="12">
        <v>0.0</v>
      </c>
      <c r="AK371" s="12">
        <v>0.0</v>
      </c>
      <c r="AL371" s="12">
        <f t="shared" si="118"/>
        <v>0</v>
      </c>
      <c r="AM371" s="12">
        <v>0.0</v>
      </c>
      <c r="AN371" s="12">
        <v>0.0</v>
      </c>
      <c r="AO371" s="12"/>
      <c r="AP371" s="12">
        <v>0.0</v>
      </c>
      <c r="AQ371" s="12">
        <v>0.0</v>
      </c>
      <c r="AR371" s="12">
        <v>0.0</v>
      </c>
      <c r="AS371" s="12">
        <f t="shared" si="119"/>
        <v>0</v>
      </c>
      <c r="AT371" s="16">
        <f t="shared" si="75"/>
        <v>0</v>
      </c>
      <c r="AU371" s="18">
        <f t="shared" si="114"/>
        <v>235064.31</v>
      </c>
      <c r="AV371" s="18"/>
      <c r="AW371" s="18"/>
      <c r="AX371" s="12">
        <f t="shared" si="1"/>
        <v>0</v>
      </c>
      <c r="AY371" s="12"/>
      <c r="AZ371" s="12">
        <v>0.0</v>
      </c>
      <c r="BA371" s="18">
        <f t="shared" si="115"/>
        <v>16783.34</v>
      </c>
      <c r="BB371" s="10">
        <f t="shared" si="16"/>
        <v>560537.97</v>
      </c>
      <c r="BC371" s="16">
        <f t="shared" si="88"/>
        <v>102774.475</v>
      </c>
      <c r="BD371" s="16"/>
      <c r="BE371" s="16"/>
      <c r="BF371" s="6"/>
      <c r="BG371" s="6"/>
      <c r="BH371" s="6"/>
      <c r="BI371" s="29">
        <f t="shared" si="112"/>
        <v>18713.85032</v>
      </c>
      <c r="BJ371" s="6"/>
      <c r="BK371" s="15">
        <f t="shared" si="76"/>
        <v>0</v>
      </c>
      <c r="BN371" s="16">
        <f t="shared" si="14"/>
        <v>-18713.85032</v>
      </c>
      <c r="BO371" s="16">
        <f t="shared" si="116"/>
        <v>-8215.744194</v>
      </c>
      <c r="BY371" s="6">
        <f t="shared" si="2"/>
        <v>2024</v>
      </c>
      <c r="BZ371" s="6" t="str">
        <f t="shared" si="3"/>
        <v>octubre</v>
      </c>
      <c r="CA371" s="6" t="str">
        <f t="shared" si="4"/>
        <v>10</v>
      </c>
    </row>
    <row r="372">
      <c r="A372" s="8">
        <v>45579.0</v>
      </c>
      <c r="B372" s="12">
        <v>20775.25</v>
      </c>
      <c r="C372" s="12">
        <v>477.78</v>
      </c>
      <c r="D372" s="12"/>
      <c r="E372" s="12">
        <v>2157.94</v>
      </c>
      <c r="F372" s="12">
        <v>0.0</v>
      </c>
      <c r="G372" s="12">
        <v>0.0</v>
      </c>
      <c r="H372" s="12">
        <f t="shared" si="120"/>
        <v>23410.97</v>
      </c>
      <c r="I372" s="12">
        <v>9563.2</v>
      </c>
      <c r="J372" s="12">
        <v>1462.55</v>
      </c>
      <c r="K372" s="12"/>
      <c r="L372" s="12">
        <v>16373.82</v>
      </c>
      <c r="M372" s="12">
        <v>0.0</v>
      </c>
      <c r="N372" s="12">
        <v>0.0</v>
      </c>
      <c r="O372" s="16">
        <f t="shared" si="97"/>
        <v>27399.57</v>
      </c>
      <c r="P372" s="12">
        <v>2844.05</v>
      </c>
      <c r="Q372" s="12">
        <v>235.08</v>
      </c>
      <c r="R372" s="12"/>
      <c r="S372" s="12">
        <v>0.0</v>
      </c>
      <c r="T372" s="12">
        <v>0.0</v>
      </c>
      <c r="U372" s="12">
        <v>0.0</v>
      </c>
      <c r="V372" s="16">
        <f t="shared" si="121"/>
        <v>3079.13</v>
      </c>
      <c r="W372" s="12">
        <v>2171.03</v>
      </c>
      <c r="X372" s="12">
        <v>0.0</v>
      </c>
      <c r="Y372" s="12"/>
      <c r="Z372" s="12">
        <v>0.0</v>
      </c>
      <c r="AA372" s="12">
        <v>0.0</v>
      </c>
      <c r="AB372" s="12">
        <v>0.0</v>
      </c>
      <c r="AC372" s="16">
        <f t="shared" si="117"/>
        <v>2171.03</v>
      </c>
      <c r="AD372" s="12"/>
      <c r="AE372" s="12"/>
      <c r="AF372" s="12">
        <v>1280.22</v>
      </c>
      <c r="AG372" s="12">
        <v>0.0</v>
      </c>
      <c r="AH372" s="12"/>
      <c r="AI372" s="12">
        <v>0.0</v>
      </c>
      <c r="AJ372" s="12">
        <v>0.0</v>
      </c>
      <c r="AK372" s="12">
        <v>0.0</v>
      </c>
      <c r="AL372" s="12">
        <f t="shared" si="118"/>
        <v>1280.22</v>
      </c>
      <c r="AM372" s="12">
        <v>2496.0</v>
      </c>
      <c r="AN372" s="12">
        <v>0.0</v>
      </c>
      <c r="AO372" s="12"/>
      <c r="AP372" s="12">
        <v>0.0</v>
      </c>
      <c r="AQ372" s="12">
        <v>0.0</v>
      </c>
      <c r="AR372" s="12">
        <v>0.0</v>
      </c>
      <c r="AS372" s="12">
        <f t="shared" si="119"/>
        <v>2496</v>
      </c>
      <c r="AT372" s="16">
        <f t="shared" si="75"/>
        <v>36425.95</v>
      </c>
      <c r="AU372" s="18">
        <f t="shared" si="114"/>
        <v>271490.26</v>
      </c>
      <c r="AV372" s="18"/>
      <c r="AW372" s="18"/>
      <c r="AX372" s="12">
        <f t="shared" si="1"/>
        <v>36425.95</v>
      </c>
      <c r="AY372" s="12"/>
      <c r="AZ372" s="12">
        <v>4498.1</v>
      </c>
      <c r="BA372" s="18">
        <f t="shared" si="115"/>
        <v>21281.44</v>
      </c>
      <c r="BB372" s="10">
        <f t="shared" si="16"/>
        <v>601157.0043</v>
      </c>
      <c r="BC372" s="16">
        <f t="shared" si="88"/>
        <v>106847.4136</v>
      </c>
      <c r="BD372" s="16"/>
      <c r="BE372" s="16"/>
      <c r="BF372" s="6"/>
      <c r="BG372" s="6"/>
      <c r="BH372" s="6"/>
      <c r="BI372" s="29">
        <f t="shared" si="112"/>
        <v>18713.85032</v>
      </c>
      <c r="BK372" s="15">
        <f t="shared" si="76"/>
        <v>1.946470094</v>
      </c>
      <c r="BN372" s="16">
        <f t="shared" si="14"/>
        <v>17712.09968</v>
      </c>
      <c r="BO372" s="16">
        <f t="shared" si="116"/>
        <v>9496.355484</v>
      </c>
      <c r="BY372" s="6">
        <f t="shared" si="2"/>
        <v>2024</v>
      </c>
      <c r="BZ372" s="6" t="str">
        <f t="shared" si="3"/>
        <v>octubre</v>
      </c>
      <c r="CA372" s="6" t="str">
        <f t="shared" si="4"/>
        <v>10</v>
      </c>
    </row>
    <row r="373">
      <c r="A373" s="8">
        <v>45580.0</v>
      </c>
      <c r="B373" s="12">
        <v>19834.15</v>
      </c>
      <c r="C373" s="12">
        <v>898.81</v>
      </c>
      <c r="D373" s="12"/>
      <c r="E373" s="12">
        <v>0.0</v>
      </c>
      <c r="F373" s="12">
        <v>0.0</v>
      </c>
      <c r="G373" s="12">
        <v>0.0</v>
      </c>
      <c r="H373" s="12">
        <f t="shared" si="120"/>
        <v>20732.96</v>
      </c>
      <c r="I373" s="12">
        <v>8630.2</v>
      </c>
      <c r="J373" s="12">
        <v>1482.29</v>
      </c>
      <c r="K373" s="12"/>
      <c r="L373" s="12">
        <v>0.0</v>
      </c>
      <c r="M373" s="12">
        <v>0.0</v>
      </c>
      <c r="N373" s="12">
        <v>0.0</v>
      </c>
      <c r="O373" s="16">
        <f t="shared" si="97"/>
        <v>10112.49</v>
      </c>
      <c r="P373" s="12">
        <v>5726.39</v>
      </c>
      <c r="Q373" s="12">
        <v>75.44</v>
      </c>
      <c r="R373" s="12"/>
      <c r="S373" s="12">
        <v>0.0</v>
      </c>
      <c r="T373" s="12">
        <v>0.0</v>
      </c>
      <c r="U373" s="12">
        <v>0.0</v>
      </c>
      <c r="V373" s="16">
        <f t="shared" si="121"/>
        <v>5801.83</v>
      </c>
      <c r="W373" s="12">
        <v>1691.1</v>
      </c>
      <c r="X373" s="12">
        <v>3.88</v>
      </c>
      <c r="Y373" s="12"/>
      <c r="Z373" s="12">
        <v>0.0</v>
      </c>
      <c r="AA373" s="12">
        <v>0.0</v>
      </c>
      <c r="AB373" s="12">
        <v>0.0</v>
      </c>
      <c r="AC373" s="16">
        <f t="shared" si="117"/>
        <v>1694.98</v>
      </c>
      <c r="AD373" s="12"/>
      <c r="AE373" s="12"/>
      <c r="AF373" s="12">
        <v>4627.89</v>
      </c>
      <c r="AG373" s="12">
        <v>258.8</v>
      </c>
      <c r="AH373" s="12"/>
      <c r="AI373" s="12">
        <v>0.0</v>
      </c>
      <c r="AJ373" s="12">
        <v>0.0</v>
      </c>
      <c r="AK373" s="12">
        <v>0.0</v>
      </c>
      <c r="AL373" s="12">
        <f t="shared" si="118"/>
        <v>4886.69</v>
      </c>
      <c r="AM373" s="12">
        <v>1550.0</v>
      </c>
      <c r="AN373" s="12">
        <v>0.0</v>
      </c>
      <c r="AO373" s="12"/>
      <c r="AP373" s="12">
        <v>0.0</v>
      </c>
      <c r="AQ373" s="12">
        <v>0.0</v>
      </c>
      <c r="AR373" s="12">
        <v>0.0</v>
      </c>
      <c r="AS373" s="12">
        <f t="shared" si="119"/>
        <v>1550</v>
      </c>
      <c r="AT373" s="16">
        <f t="shared" si="75"/>
        <v>24045.99</v>
      </c>
      <c r="AU373" s="18">
        <f t="shared" si="114"/>
        <v>295536.25</v>
      </c>
      <c r="AV373" s="18"/>
      <c r="AW373" s="18"/>
      <c r="AX373" s="12">
        <f t="shared" si="1"/>
        <v>24045.99</v>
      </c>
      <c r="AY373" s="12"/>
      <c r="AZ373" s="12">
        <v>3934.23</v>
      </c>
      <c r="BA373" s="18">
        <f t="shared" si="115"/>
        <v>25215.67</v>
      </c>
      <c r="BB373" s="10">
        <f t="shared" si="16"/>
        <v>610774.9167</v>
      </c>
      <c r="BC373" s="16">
        <f t="shared" si="88"/>
        <v>97943.4625</v>
      </c>
      <c r="BD373" s="16"/>
      <c r="BE373" s="16"/>
      <c r="BF373" s="6"/>
      <c r="BG373" s="6"/>
      <c r="BH373" s="6"/>
      <c r="BI373" s="29">
        <f t="shared" si="112"/>
        <v>18713.85032</v>
      </c>
      <c r="BK373" s="15">
        <f t="shared" si="76"/>
        <v>1.284930123</v>
      </c>
      <c r="BN373" s="16">
        <f t="shared" si="14"/>
        <v>5332.139677</v>
      </c>
      <c r="BO373" s="16">
        <f t="shared" si="116"/>
        <v>14828.49516</v>
      </c>
      <c r="BY373" s="6">
        <f t="shared" si="2"/>
        <v>2024</v>
      </c>
      <c r="BZ373" s="6" t="str">
        <f t="shared" si="3"/>
        <v>octubre</v>
      </c>
      <c r="CA373" s="6" t="str">
        <f t="shared" si="4"/>
        <v>10</v>
      </c>
    </row>
    <row r="374">
      <c r="A374" s="8">
        <v>45581.0</v>
      </c>
      <c r="B374" s="12">
        <v>18953.06</v>
      </c>
      <c r="C374" s="12">
        <v>1717.44</v>
      </c>
      <c r="D374" s="12"/>
      <c r="E374" s="12">
        <v>96.89</v>
      </c>
      <c r="F374" s="12">
        <v>0.0</v>
      </c>
      <c r="G374" s="12">
        <v>0.0</v>
      </c>
      <c r="H374" s="12">
        <f t="shared" si="120"/>
        <v>20767.39</v>
      </c>
      <c r="I374" s="12">
        <v>14520.3</v>
      </c>
      <c r="J374" s="12">
        <v>1824.22</v>
      </c>
      <c r="K374" s="12"/>
      <c r="L374" s="12">
        <v>0.0</v>
      </c>
      <c r="M374" s="12">
        <v>0.0</v>
      </c>
      <c r="N374" s="12">
        <v>0.0</v>
      </c>
      <c r="O374" s="16">
        <f t="shared" si="97"/>
        <v>16344.52</v>
      </c>
      <c r="P374" s="12">
        <v>5799.31</v>
      </c>
      <c r="Q374" s="12">
        <v>345.91</v>
      </c>
      <c r="R374" s="12"/>
      <c r="S374" s="12">
        <v>0.0</v>
      </c>
      <c r="T374" s="12">
        <v>0.0</v>
      </c>
      <c r="U374" s="12">
        <v>0.0</v>
      </c>
      <c r="V374" s="16">
        <f t="shared" si="121"/>
        <v>6145.22</v>
      </c>
      <c r="W374" s="12">
        <v>5339.69</v>
      </c>
      <c r="X374" s="12">
        <v>0.06</v>
      </c>
      <c r="Y374" s="12"/>
      <c r="Z374" s="12">
        <v>0.0</v>
      </c>
      <c r="AA374" s="12">
        <v>0.0</v>
      </c>
      <c r="AB374" s="12">
        <v>0.0</v>
      </c>
      <c r="AC374" s="16">
        <f t="shared" si="117"/>
        <v>5339.75</v>
      </c>
      <c r="AD374" s="12"/>
      <c r="AE374" s="12"/>
      <c r="AF374" s="12">
        <v>2461.92</v>
      </c>
      <c r="AG374" s="12">
        <v>855.59</v>
      </c>
      <c r="AH374" s="12"/>
      <c r="AI374" s="12">
        <v>0.0</v>
      </c>
      <c r="AJ374" s="12">
        <v>0.0</v>
      </c>
      <c r="AK374" s="12">
        <v>0.0</v>
      </c>
      <c r="AL374" s="12">
        <f t="shared" si="118"/>
        <v>3317.51</v>
      </c>
      <c r="AM374" s="12">
        <v>6425.0</v>
      </c>
      <c r="AN374" s="12">
        <v>0.0</v>
      </c>
      <c r="AO374" s="12"/>
      <c r="AP374" s="12">
        <v>0.0</v>
      </c>
      <c r="AQ374" s="12">
        <v>0.0</v>
      </c>
      <c r="AR374" s="12">
        <v>0.0</v>
      </c>
      <c r="AS374" s="12">
        <f t="shared" si="119"/>
        <v>6425</v>
      </c>
      <c r="AT374" s="16">
        <f t="shared" si="75"/>
        <v>37572</v>
      </c>
      <c r="AU374" s="18">
        <f t="shared" si="114"/>
        <v>333108.25</v>
      </c>
      <c r="AV374" s="18"/>
      <c r="AW374" s="18"/>
      <c r="AX374" s="12">
        <f t="shared" si="1"/>
        <v>37572</v>
      </c>
      <c r="AY374" s="12"/>
      <c r="AZ374" s="12">
        <v>9711.15</v>
      </c>
      <c r="BA374" s="18">
        <f t="shared" si="115"/>
        <v>34926.82</v>
      </c>
      <c r="BB374" s="10">
        <f t="shared" si="16"/>
        <v>645397.2344</v>
      </c>
      <c r="BC374" s="16">
        <f t="shared" si="88"/>
        <v>90409.35</v>
      </c>
      <c r="BD374" s="16"/>
      <c r="BE374" s="16"/>
      <c r="BF374" s="6"/>
      <c r="BG374" s="6"/>
      <c r="BH374" s="6"/>
      <c r="BI374" s="29">
        <f t="shared" si="112"/>
        <v>18713.85032</v>
      </c>
      <c r="BK374" s="15">
        <f t="shared" si="76"/>
        <v>2.007710832</v>
      </c>
      <c r="BN374" s="16">
        <f t="shared" si="14"/>
        <v>18858.14968</v>
      </c>
      <c r="BO374" s="16">
        <f t="shared" si="116"/>
        <v>33686.64484</v>
      </c>
      <c r="BY374" s="6">
        <f t="shared" si="2"/>
        <v>2024</v>
      </c>
      <c r="BZ374" s="6" t="str">
        <f t="shared" si="3"/>
        <v>octubre</v>
      </c>
      <c r="CA374" s="6" t="str">
        <f t="shared" si="4"/>
        <v>10</v>
      </c>
    </row>
    <row r="375">
      <c r="A375" s="8">
        <v>45582.0</v>
      </c>
      <c r="B375" s="12">
        <v>16153.18</v>
      </c>
      <c r="C375" s="12">
        <v>0.0</v>
      </c>
      <c r="D375" s="12"/>
      <c r="E375" s="12">
        <v>0.0</v>
      </c>
      <c r="F375" s="12">
        <v>0.0</v>
      </c>
      <c r="G375" s="12">
        <v>0.0</v>
      </c>
      <c r="H375" s="12">
        <f t="shared" si="120"/>
        <v>16153.18</v>
      </c>
      <c r="I375" s="12">
        <v>20556.0</v>
      </c>
      <c r="J375" s="12">
        <v>0.0</v>
      </c>
      <c r="K375" s="12"/>
      <c r="L375" s="12">
        <v>35985.28</v>
      </c>
      <c r="M375" s="12">
        <v>0.0</v>
      </c>
      <c r="N375" s="12">
        <v>0.0</v>
      </c>
      <c r="O375" s="16">
        <f t="shared" si="97"/>
        <v>56541.28</v>
      </c>
      <c r="P375" s="12">
        <v>4167.69</v>
      </c>
      <c r="Q375" s="12">
        <v>0.0</v>
      </c>
      <c r="R375" s="12"/>
      <c r="S375" s="12">
        <v>0.0</v>
      </c>
      <c r="T375" s="12">
        <v>0.0</v>
      </c>
      <c r="U375" s="12">
        <v>0.0</v>
      </c>
      <c r="V375" s="16">
        <f t="shared" si="121"/>
        <v>4167.69</v>
      </c>
      <c r="W375" s="12">
        <v>7043.18</v>
      </c>
      <c r="X375" s="12">
        <v>1896.13</v>
      </c>
      <c r="Y375" s="12"/>
      <c r="Z375" s="12">
        <v>0.0</v>
      </c>
      <c r="AA375" s="12">
        <v>0.0</v>
      </c>
      <c r="AB375" s="12">
        <v>0.0</v>
      </c>
      <c r="AC375" s="16">
        <f t="shared" si="117"/>
        <v>8939.31</v>
      </c>
      <c r="AD375" s="12"/>
      <c r="AE375" s="12"/>
      <c r="AF375" s="12">
        <v>1670.2</v>
      </c>
      <c r="AG375" s="12">
        <v>0.0</v>
      </c>
      <c r="AH375" s="12"/>
      <c r="AI375" s="12">
        <v>33922.37</v>
      </c>
      <c r="AJ375" s="12">
        <v>0.0</v>
      </c>
      <c r="AK375" s="12">
        <v>0.0</v>
      </c>
      <c r="AL375" s="12">
        <f t="shared" si="118"/>
        <v>35592.57</v>
      </c>
      <c r="AM375" s="12">
        <v>11051.0</v>
      </c>
      <c r="AN375" s="12">
        <v>1040.0</v>
      </c>
      <c r="AO375" s="12"/>
      <c r="AP375" s="12">
        <v>0.0</v>
      </c>
      <c r="AQ375" s="12">
        <v>0.0</v>
      </c>
      <c r="AR375" s="12">
        <v>0.0</v>
      </c>
      <c r="AS375" s="12">
        <f t="shared" si="119"/>
        <v>12091</v>
      </c>
      <c r="AT375" s="16">
        <f t="shared" si="75"/>
        <v>117331.85</v>
      </c>
      <c r="AU375" s="18">
        <f t="shared" si="114"/>
        <v>450440.1</v>
      </c>
      <c r="AV375" s="18"/>
      <c r="AW375" s="18"/>
      <c r="AX375" s="12">
        <f t="shared" si="1"/>
        <v>117331.85</v>
      </c>
      <c r="AY375" s="12"/>
      <c r="AZ375" s="12">
        <v>42257.84</v>
      </c>
      <c r="BA375" s="18">
        <f t="shared" si="115"/>
        <v>77184.66</v>
      </c>
      <c r="BB375" s="10">
        <f t="shared" si="16"/>
        <v>821390.7706</v>
      </c>
      <c r="BC375" s="16">
        <f t="shared" si="88"/>
        <v>96960.80714</v>
      </c>
      <c r="BD375" s="16"/>
      <c r="BE375" s="16"/>
      <c r="BF375" s="6"/>
      <c r="BG375" s="6"/>
      <c r="BH375" s="6"/>
      <c r="BI375" s="29">
        <f t="shared" si="112"/>
        <v>18713.85032</v>
      </c>
      <c r="BK375" s="15">
        <f t="shared" si="76"/>
        <v>6.269786708</v>
      </c>
      <c r="BN375" s="16">
        <f t="shared" si="14"/>
        <v>98617.99968</v>
      </c>
      <c r="BO375" s="16">
        <f t="shared" si="116"/>
        <v>132304.6445</v>
      </c>
      <c r="BY375" s="6">
        <f t="shared" si="2"/>
        <v>2024</v>
      </c>
      <c r="BZ375" s="6" t="str">
        <f t="shared" si="3"/>
        <v>octubre</v>
      </c>
      <c r="CA375" s="6" t="str">
        <f t="shared" si="4"/>
        <v>10</v>
      </c>
    </row>
    <row r="376">
      <c r="A376" s="8">
        <v>45583.0</v>
      </c>
      <c r="B376" s="12">
        <v>9615.23</v>
      </c>
      <c r="C376" s="12">
        <v>0.0</v>
      </c>
      <c r="D376" s="12"/>
      <c r="E376" s="12">
        <v>0.0</v>
      </c>
      <c r="F376" s="12">
        <v>0.0</v>
      </c>
      <c r="G376" s="12">
        <v>0.0</v>
      </c>
      <c r="H376" s="12">
        <f t="shared" si="120"/>
        <v>9615.23</v>
      </c>
      <c r="I376" s="12">
        <v>4913.45</v>
      </c>
      <c r="J376" s="12">
        <v>0.0</v>
      </c>
      <c r="K376" s="12"/>
      <c r="L376" s="12">
        <v>0.0</v>
      </c>
      <c r="M376" s="12">
        <v>0.0</v>
      </c>
      <c r="N376" s="12">
        <v>0.0</v>
      </c>
      <c r="O376" s="16">
        <f t="shared" si="97"/>
        <v>4913.45</v>
      </c>
      <c r="P376" s="12">
        <v>2567.94</v>
      </c>
      <c r="Q376" s="12">
        <v>0.0</v>
      </c>
      <c r="R376" s="12"/>
      <c r="S376" s="12">
        <v>0.0</v>
      </c>
      <c r="T376" s="12">
        <v>0.0</v>
      </c>
      <c r="U376" s="12">
        <v>0.0</v>
      </c>
      <c r="V376" s="16">
        <f t="shared" si="121"/>
        <v>2567.94</v>
      </c>
      <c r="W376" s="12">
        <v>4420.98</v>
      </c>
      <c r="X376" s="12">
        <v>0.0</v>
      </c>
      <c r="Y376" s="12"/>
      <c r="Z376" s="12">
        <v>0.0</v>
      </c>
      <c r="AA376" s="12">
        <v>0.0</v>
      </c>
      <c r="AB376" s="12">
        <v>0.0</v>
      </c>
      <c r="AC376" s="16">
        <f t="shared" si="117"/>
        <v>4420.98</v>
      </c>
      <c r="AD376" s="12"/>
      <c r="AE376" s="12"/>
      <c r="AF376" s="12">
        <v>949.7</v>
      </c>
      <c r="AG376" s="12">
        <v>0.0</v>
      </c>
      <c r="AH376" s="12"/>
      <c r="AI376" s="12">
        <v>0.0</v>
      </c>
      <c r="AJ376" s="12">
        <v>0.0</v>
      </c>
      <c r="AK376" s="12">
        <v>0.0</v>
      </c>
      <c r="AL376" s="12">
        <f t="shared" si="118"/>
        <v>949.7</v>
      </c>
      <c r="AM376" s="12">
        <v>5035.0</v>
      </c>
      <c r="AN376" s="12">
        <v>0.0</v>
      </c>
      <c r="AO376" s="12"/>
      <c r="AP376" s="12">
        <v>0.0</v>
      </c>
      <c r="AQ376" s="12">
        <v>0.0</v>
      </c>
      <c r="AR376" s="12">
        <v>0.0</v>
      </c>
      <c r="AS376" s="12">
        <f t="shared" si="119"/>
        <v>5035</v>
      </c>
      <c r="AT376" s="16">
        <f t="shared" si="75"/>
        <v>17887.07</v>
      </c>
      <c r="AU376" s="18">
        <f t="shared" si="114"/>
        <v>468327.17</v>
      </c>
      <c r="AV376" s="18"/>
      <c r="AW376" s="18"/>
      <c r="AX376" s="12">
        <f t="shared" si="1"/>
        <v>17887.07</v>
      </c>
      <c r="AY376" s="12"/>
      <c r="AZ376" s="12">
        <v>410.5</v>
      </c>
      <c r="BA376" s="18">
        <f t="shared" si="115"/>
        <v>77595.16</v>
      </c>
      <c r="BB376" s="10">
        <f t="shared" si="16"/>
        <v>806563.4594</v>
      </c>
      <c r="BC376" s="16">
        <f t="shared" si="88"/>
        <v>98512.08333</v>
      </c>
      <c r="BD376" s="16"/>
      <c r="BE376" s="16"/>
      <c r="BF376" s="6"/>
      <c r="BG376" s="6"/>
      <c r="BH376" s="6"/>
      <c r="BI376" s="29">
        <f t="shared" si="112"/>
        <v>18713.85032</v>
      </c>
      <c r="BJ376" s="6"/>
      <c r="BK376" s="15">
        <f t="shared" si="76"/>
        <v>0.9558198709</v>
      </c>
      <c r="BN376" s="16">
        <f t="shared" si="14"/>
        <v>-826.7803226</v>
      </c>
      <c r="BO376" s="16">
        <f t="shared" si="116"/>
        <v>131477.8642</v>
      </c>
      <c r="BY376" s="6">
        <f t="shared" si="2"/>
        <v>2024</v>
      </c>
      <c r="BZ376" s="6" t="str">
        <f t="shared" si="3"/>
        <v>octubre</v>
      </c>
      <c r="CA376" s="6" t="str">
        <f t="shared" si="4"/>
        <v>10</v>
      </c>
    </row>
    <row r="377">
      <c r="A377" s="8">
        <v>45584.0</v>
      </c>
      <c r="B377" s="12">
        <v>0.0</v>
      </c>
      <c r="C377" s="12">
        <v>0.0</v>
      </c>
      <c r="D377" s="12"/>
      <c r="E377" s="12">
        <v>0.0</v>
      </c>
      <c r="F377" s="12">
        <v>0.0</v>
      </c>
      <c r="G377" s="12">
        <v>0.0</v>
      </c>
      <c r="H377" s="12">
        <f t="shared" si="120"/>
        <v>0</v>
      </c>
      <c r="I377" s="12">
        <v>0.0</v>
      </c>
      <c r="J377" s="12">
        <v>0.0</v>
      </c>
      <c r="K377" s="12"/>
      <c r="L377" s="12">
        <v>0.0</v>
      </c>
      <c r="M377" s="12">
        <v>0.0</v>
      </c>
      <c r="N377" s="12">
        <v>0.0</v>
      </c>
      <c r="O377" s="16">
        <f t="shared" si="97"/>
        <v>0</v>
      </c>
      <c r="P377" s="12">
        <v>0.0</v>
      </c>
      <c r="Q377" s="12">
        <v>0.0</v>
      </c>
      <c r="R377" s="12"/>
      <c r="S377" s="12">
        <v>0.0</v>
      </c>
      <c r="T377" s="12">
        <v>0.0</v>
      </c>
      <c r="U377" s="12">
        <v>0.0</v>
      </c>
      <c r="V377" s="12">
        <v>0.0</v>
      </c>
      <c r="W377" s="12">
        <v>0.0</v>
      </c>
      <c r="X377" s="12">
        <v>0.0</v>
      </c>
      <c r="Y377" s="12"/>
      <c r="Z377" s="12">
        <v>0.0</v>
      </c>
      <c r="AA377" s="12">
        <v>0.0</v>
      </c>
      <c r="AB377" s="12">
        <v>0.0</v>
      </c>
      <c r="AC377" s="16">
        <f t="shared" si="117"/>
        <v>0</v>
      </c>
      <c r="AD377" s="12"/>
      <c r="AE377" s="12"/>
      <c r="AF377" s="12">
        <v>0.0</v>
      </c>
      <c r="AG377" s="12">
        <v>0.0</v>
      </c>
      <c r="AH377" s="12"/>
      <c r="AI377" s="12">
        <v>0.0</v>
      </c>
      <c r="AJ377" s="12">
        <v>0.0</v>
      </c>
      <c r="AK377" s="12">
        <v>0.0</v>
      </c>
      <c r="AL377" s="12">
        <f t="shared" si="118"/>
        <v>0</v>
      </c>
      <c r="AM377" s="12">
        <v>0.0</v>
      </c>
      <c r="AN377" s="12">
        <v>0.0</v>
      </c>
      <c r="AO377" s="12"/>
      <c r="AP377" s="12">
        <v>0.0</v>
      </c>
      <c r="AQ377" s="12">
        <v>0.0</v>
      </c>
      <c r="AR377" s="12">
        <v>0.0</v>
      </c>
      <c r="AS377" s="12">
        <v>0.0</v>
      </c>
      <c r="AT377" s="16">
        <f t="shared" si="75"/>
        <v>0</v>
      </c>
      <c r="AU377" s="18">
        <f t="shared" si="114"/>
        <v>468327.17</v>
      </c>
      <c r="AV377" s="18"/>
      <c r="AW377" s="18"/>
      <c r="AX377" s="12">
        <f t="shared" si="1"/>
        <v>0</v>
      </c>
      <c r="AY377" s="12"/>
      <c r="AZ377" s="12">
        <v>0.0</v>
      </c>
      <c r="BA377" s="18">
        <f t="shared" si="115"/>
        <v>77595.16</v>
      </c>
      <c r="BB377" s="10">
        <f t="shared" si="16"/>
        <v>764112.7511</v>
      </c>
      <c r="BC377" s="16">
        <f t="shared" si="88"/>
        <v>104096.3281</v>
      </c>
      <c r="BD377" s="16"/>
      <c r="BE377" s="16"/>
      <c r="BF377" s="6"/>
      <c r="BG377" s="6"/>
      <c r="BH377" s="6"/>
      <c r="BI377" s="29">
        <f t="shared" si="112"/>
        <v>18713.85032</v>
      </c>
      <c r="BJ377" s="6"/>
      <c r="BK377" s="15">
        <f t="shared" si="76"/>
        <v>0</v>
      </c>
      <c r="BN377" s="16">
        <f t="shared" si="14"/>
        <v>-18713.85032</v>
      </c>
      <c r="BO377" s="16">
        <f t="shared" si="116"/>
        <v>112764.0139</v>
      </c>
      <c r="BY377" s="6">
        <f t="shared" si="2"/>
        <v>2024</v>
      </c>
      <c r="BZ377" s="6" t="str">
        <f t="shared" si="3"/>
        <v>octubre</v>
      </c>
      <c r="CA377" s="6" t="str">
        <f t="shared" si="4"/>
        <v>10</v>
      </c>
    </row>
    <row r="378">
      <c r="A378" s="8">
        <v>45585.0</v>
      </c>
      <c r="B378" s="12">
        <v>0.0</v>
      </c>
      <c r="C378" s="12">
        <v>0.0</v>
      </c>
      <c r="D378" s="12"/>
      <c r="E378" s="12">
        <v>0.0</v>
      </c>
      <c r="F378" s="12">
        <v>0.0</v>
      </c>
      <c r="G378" s="12">
        <v>0.0</v>
      </c>
      <c r="H378" s="12">
        <f t="shared" si="120"/>
        <v>0</v>
      </c>
      <c r="I378" s="12">
        <v>0.0</v>
      </c>
      <c r="J378" s="12">
        <v>0.0</v>
      </c>
      <c r="K378" s="12"/>
      <c r="L378" s="12">
        <v>0.0</v>
      </c>
      <c r="M378" s="12">
        <v>0.0</v>
      </c>
      <c r="N378" s="12">
        <v>0.0</v>
      </c>
      <c r="O378" s="16">
        <f t="shared" si="97"/>
        <v>0</v>
      </c>
      <c r="P378" s="12">
        <v>0.0</v>
      </c>
      <c r="Q378" s="12">
        <v>0.0</v>
      </c>
      <c r="R378" s="12"/>
      <c r="S378" s="12">
        <v>0.0</v>
      </c>
      <c r="T378" s="12">
        <v>0.0</v>
      </c>
      <c r="U378" s="12">
        <v>0.0</v>
      </c>
      <c r="V378" s="16">
        <f t="shared" ref="V378:V419" si="122">P378+Q378+S378+T378+U378</f>
        <v>0</v>
      </c>
      <c r="W378" s="12">
        <v>0.0</v>
      </c>
      <c r="X378" s="12">
        <v>0.0</v>
      </c>
      <c r="Y378" s="12"/>
      <c r="Z378" s="12">
        <v>0.0</v>
      </c>
      <c r="AA378" s="12">
        <v>0.0</v>
      </c>
      <c r="AB378" s="12">
        <v>0.0</v>
      </c>
      <c r="AC378" s="16">
        <f t="shared" si="117"/>
        <v>0</v>
      </c>
      <c r="AD378" s="12"/>
      <c r="AE378" s="12"/>
      <c r="AF378" s="12">
        <v>0.0</v>
      </c>
      <c r="AG378" s="12">
        <v>0.0</v>
      </c>
      <c r="AH378" s="12"/>
      <c r="AI378" s="12">
        <v>0.0</v>
      </c>
      <c r="AJ378" s="12">
        <v>0.0</v>
      </c>
      <c r="AK378" s="12">
        <v>0.0</v>
      </c>
      <c r="AL378" s="12">
        <f t="shared" si="118"/>
        <v>0</v>
      </c>
      <c r="AM378" s="12">
        <v>0.0</v>
      </c>
      <c r="AN378" s="12">
        <v>0.0</v>
      </c>
      <c r="AO378" s="12"/>
      <c r="AP378" s="12">
        <v>0.0</v>
      </c>
      <c r="AQ378" s="12">
        <v>0.0</v>
      </c>
      <c r="AR378" s="12">
        <v>0.0</v>
      </c>
      <c r="AS378" s="12">
        <f t="shared" ref="AS378:AS395" si="123">AR378+AQ378+AP378+AN378+AM378</f>
        <v>0</v>
      </c>
      <c r="AT378" s="16">
        <f t="shared" si="75"/>
        <v>0</v>
      </c>
      <c r="AU378" s="18">
        <f t="shared" si="114"/>
        <v>468327.17</v>
      </c>
      <c r="AV378" s="18"/>
      <c r="AW378" s="18"/>
      <c r="AX378" s="12">
        <f t="shared" si="1"/>
        <v>0</v>
      </c>
      <c r="AY378" s="12"/>
      <c r="AZ378" s="12">
        <v>0.0</v>
      </c>
      <c r="BA378" s="18">
        <f t="shared" si="115"/>
        <v>77595.16</v>
      </c>
      <c r="BB378" s="10">
        <f t="shared" si="16"/>
        <v>725907.1135</v>
      </c>
      <c r="BC378" s="16">
        <f t="shared" si="88"/>
        <v>132482.3824</v>
      </c>
      <c r="BD378" s="16"/>
      <c r="BE378" s="16"/>
      <c r="BF378" s="6"/>
      <c r="BG378" s="6"/>
      <c r="BH378" s="6"/>
      <c r="BI378" s="29">
        <f t="shared" si="112"/>
        <v>18713.85032</v>
      </c>
      <c r="BJ378" s="6"/>
      <c r="BK378" s="15">
        <f t="shared" si="76"/>
        <v>0</v>
      </c>
      <c r="BN378" s="16">
        <f t="shared" si="14"/>
        <v>-18713.85032</v>
      </c>
      <c r="BO378" s="16">
        <f t="shared" si="116"/>
        <v>94050.16355</v>
      </c>
      <c r="BY378" s="6">
        <f t="shared" si="2"/>
        <v>2024</v>
      </c>
      <c r="BZ378" s="6" t="str">
        <f t="shared" si="3"/>
        <v>octubre</v>
      </c>
      <c r="CA378" s="6" t="str">
        <f t="shared" si="4"/>
        <v>10</v>
      </c>
    </row>
    <row r="379">
      <c r="A379" s="8">
        <v>45586.0</v>
      </c>
      <c r="B379" s="12">
        <v>29463.09</v>
      </c>
      <c r="C379" s="12">
        <v>1125.15</v>
      </c>
      <c r="D379" s="12"/>
      <c r="E379" s="12">
        <v>3271.02</v>
      </c>
      <c r="F379" s="12">
        <v>0.0</v>
      </c>
      <c r="G379" s="12">
        <v>0.0</v>
      </c>
      <c r="H379" s="12">
        <f t="shared" si="120"/>
        <v>33859.26</v>
      </c>
      <c r="I379" s="12">
        <v>16556.3</v>
      </c>
      <c r="J379" s="12">
        <v>3102.35</v>
      </c>
      <c r="K379" s="12"/>
      <c r="L379" s="12">
        <v>2018.09</v>
      </c>
      <c r="M379" s="12">
        <v>0.0</v>
      </c>
      <c r="N379" s="12">
        <v>0.0</v>
      </c>
      <c r="O379" s="16">
        <f t="shared" si="97"/>
        <v>21676.74</v>
      </c>
      <c r="P379" s="12">
        <v>4552.47</v>
      </c>
      <c r="Q379" s="12">
        <v>738.52</v>
      </c>
      <c r="R379" s="12"/>
      <c r="S379" s="12">
        <v>0.0</v>
      </c>
      <c r="T379" s="12">
        <v>0.0</v>
      </c>
      <c r="U379" s="12">
        <v>0.0</v>
      </c>
      <c r="V379" s="16">
        <f t="shared" si="122"/>
        <v>5290.99</v>
      </c>
      <c r="W379" s="12">
        <v>25.51</v>
      </c>
      <c r="X379" s="12">
        <v>89.6</v>
      </c>
      <c r="Y379" s="12"/>
      <c r="Z379" s="12">
        <v>0.0</v>
      </c>
      <c r="AA379" s="12">
        <v>0.0</v>
      </c>
      <c r="AB379" s="12">
        <v>0.0</v>
      </c>
      <c r="AC379" s="16">
        <f t="shared" si="117"/>
        <v>115.11</v>
      </c>
      <c r="AD379" s="12"/>
      <c r="AE379" s="12"/>
      <c r="AF379" s="12">
        <v>1735.61</v>
      </c>
      <c r="AG379" s="12">
        <v>0.0</v>
      </c>
      <c r="AH379" s="12"/>
      <c r="AI379" s="12">
        <v>0.0</v>
      </c>
      <c r="AJ379" s="12">
        <v>0.0</v>
      </c>
      <c r="AK379" s="12">
        <v>0.0</v>
      </c>
      <c r="AL379" s="12">
        <f t="shared" si="118"/>
        <v>1735.61</v>
      </c>
      <c r="AM379" s="12">
        <v>0.0</v>
      </c>
      <c r="AN379" s="12">
        <v>0.0</v>
      </c>
      <c r="AO379" s="12"/>
      <c r="AP379" s="12">
        <v>0.0</v>
      </c>
      <c r="AQ379" s="12">
        <v>0.0</v>
      </c>
      <c r="AR379" s="12">
        <v>0.0</v>
      </c>
      <c r="AS379" s="12">
        <f t="shared" si="123"/>
        <v>0</v>
      </c>
      <c r="AT379" s="16">
        <f t="shared" si="75"/>
        <v>28818.45</v>
      </c>
      <c r="AU379" s="18">
        <f t="shared" si="114"/>
        <v>497145.62</v>
      </c>
      <c r="AV379" s="18"/>
      <c r="AW379" s="18"/>
      <c r="AX379" s="12">
        <f t="shared" si="1"/>
        <v>28818.45</v>
      </c>
      <c r="AY379" s="12"/>
      <c r="AZ379" s="12">
        <v>4298.28</v>
      </c>
      <c r="BA379" s="18">
        <f t="shared" si="115"/>
        <v>81893.44</v>
      </c>
      <c r="BB379" s="10">
        <f t="shared" si="16"/>
        <v>733881.6295</v>
      </c>
      <c r="BC379" s="16">
        <f t="shared" si="88"/>
        <v>130090.8806</v>
      </c>
      <c r="BD379" s="16"/>
      <c r="BE379" s="16"/>
      <c r="BF379" s="6"/>
      <c r="BG379" s="6"/>
      <c r="BH379" s="6"/>
      <c r="BI379" s="29">
        <f t="shared" si="112"/>
        <v>18713.85032</v>
      </c>
      <c r="BK379" s="15">
        <f t="shared" si="76"/>
        <v>1.539953003</v>
      </c>
      <c r="BN379" s="16">
        <f t="shared" si="14"/>
        <v>10104.59968</v>
      </c>
      <c r="BO379" s="16">
        <f t="shared" si="116"/>
        <v>104154.7632</v>
      </c>
      <c r="BY379" s="6">
        <f t="shared" si="2"/>
        <v>2024</v>
      </c>
      <c r="BZ379" s="6" t="str">
        <f t="shared" si="3"/>
        <v>octubre</v>
      </c>
      <c r="CA379" s="6" t="str">
        <f t="shared" si="4"/>
        <v>10</v>
      </c>
    </row>
    <row r="380">
      <c r="A380" s="8">
        <v>45587.0</v>
      </c>
      <c r="B380" s="12">
        <v>59113.34</v>
      </c>
      <c r="C380" s="12">
        <v>503.93</v>
      </c>
      <c r="D380" s="12"/>
      <c r="E380" s="12">
        <v>0.0</v>
      </c>
      <c r="F380" s="12">
        <v>0.0</v>
      </c>
      <c r="G380" s="12">
        <v>0.0</v>
      </c>
      <c r="H380" s="12">
        <f t="shared" si="120"/>
        <v>59617.27</v>
      </c>
      <c r="I380" s="12">
        <v>13556.0</v>
      </c>
      <c r="J380" s="12">
        <v>1904.02</v>
      </c>
      <c r="K380" s="12"/>
      <c r="L380" s="12">
        <v>1555.64</v>
      </c>
      <c r="M380" s="12">
        <v>0.0</v>
      </c>
      <c r="N380" s="12">
        <v>0.0</v>
      </c>
      <c r="O380" s="16">
        <f t="shared" si="97"/>
        <v>17015.66</v>
      </c>
      <c r="P380" s="12">
        <v>4674.95</v>
      </c>
      <c r="Q380" s="12">
        <v>612.27</v>
      </c>
      <c r="R380" s="12"/>
      <c r="S380" s="12">
        <v>0.0</v>
      </c>
      <c r="T380" s="12">
        <v>0.0</v>
      </c>
      <c r="U380" s="12">
        <v>0.0</v>
      </c>
      <c r="V380" s="16">
        <f t="shared" si="122"/>
        <v>5287.22</v>
      </c>
      <c r="W380" s="12">
        <v>8334.98</v>
      </c>
      <c r="X380" s="12">
        <v>44.4</v>
      </c>
      <c r="Y380" s="12"/>
      <c r="Z380" s="12">
        <v>0.0</v>
      </c>
      <c r="AA380" s="12">
        <v>0.0</v>
      </c>
      <c r="AB380" s="12">
        <v>0.0</v>
      </c>
      <c r="AC380" s="16">
        <f t="shared" si="117"/>
        <v>8379.38</v>
      </c>
      <c r="AD380" s="12"/>
      <c r="AE380" s="12"/>
      <c r="AF380" s="12">
        <v>7320.31</v>
      </c>
      <c r="AG380" s="12">
        <v>0.0</v>
      </c>
      <c r="AH380" s="12"/>
      <c r="AI380" s="12">
        <v>0.0</v>
      </c>
      <c r="AJ380" s="12">
        <v>0.0</v>
      </c>
      <c r="AK380" s="12">
        <v>0.0</v>
      </c>
      <c r="AL380" s="12">
        <f t="shared" si="118"/>
        <v>7320.31</v>
      </c>
      <c r="AM380" s="12">
        <v>8369.0</v>
      </c>
      <c r="AN380" s="12">
        <v>0.0</v>
      </c>
      <c r="AO380" s="12"/>
      <c r="AP380" s="12">
        <v>0.0</v>
      </c>
      <c r="AQ380" s="12">
        <v>0.0</v>
      </c>
      <c r="AR380" s="12">
        <v>0.0</v>
      </c>
      <c r="AS380" s="12">
        <f t="shared" si="123"/>
        <v>8369</v>
      </c>
      <c r="AT380" s="16">
        <f t="shared" si="75"/>
        <v>46371.57</v>
      </c>
      <c r="AU380" s="18">
        <f t="shared" si="114"/>
        <v>543517.19</v>
      </c>
      <c r="AV380" s="18"/>
      <c r="AW380" s="18"/>
      <c r="AX380" s="12">
        <f t="shared" si="1"/>
        <v>46371.57</v>
      </c>
      <c r="AY380" s="12"/>
      <c r="AZ380" s="12">
        <v>3375.86</v>
      </c>
      <c r="BA380" s="18">
        <f t="shared" si="115"/>
        <v>85269.3</v>
      </c>
      <c r="BB380" s="10">
        <f t="shared" si="16"/>
        <v>765865.1314</v>
      </c>
      <c r="BC380" s="16">
        <f t="shared" si="88"/>
        <v>123243.9921</v>
      </c>
      <c r="BD380" s="16"/>
      <c r="BE380" s="16"/>
      <c r="BF380" s="6"/>
      <c r="BG380" s="6"/>
      <c r="BH380" s="6"/>
      <c r="BI380" s="29">
        <f t="shared" si="112"/>
        <v>18713.85032</v>
      </c>
      <c r="BK380" s="15">
        <f t="shared" si="76"/>
        <v>2.477927802</v>
      </c>
      <c r="BN380" s="16">
        <f t="shared" si="14"/>
        <v>27657.71968</v>
      </c>
      <c r="BO380" s="16">
        <f t="shared" si="116"/>
        <v>131812.4829</v>
      </c>
      <c r="BY380" s="6">
        <f t="shared" si="2"/>
        <v>2024</v>
      </c>
      <c r="BZ380" s="6" t="str">
        <f t="shared" si="3"/>
        <v>octubre</v>
      </c>
      <c r="CA380" s="6" t="str">
        <f t="shared" si="4"/>
        <v>10</v>
      </c>
    </row>
    <row r="381">
      <c r="A381" s="8">
        <v>45588.0</v>
      </c>
      <c r="B381" s="12">
        <v>11626.31</v>
      </c>
      <c r="C381" s="12">
        <v>790.21</v>
      </c>
      <c r="D381" s="12"/>
      <c r="E381" s="12">
        <v>0.0</v>
      </c>
      <c r="F381" s="12">
        <v>0.0</v>
      </c>
      <c r="G381" s="12">
        <v>0.0</v>
      </c>
      <c r="H381" s="12">
        <f t="shared" si="120"/>
        <v>12416.52</v>
      </c>
      <c r="I381" s="12">
        <v>3998.3</v>
      </c>
      <c r="J381" s="12">
        <v>1808.17</v>
      </c>
      <c r="K381" s="12"/>
      <c r="L381" s="12">
        <v>0.0</v>
      </c>
      <c r="M381" s="12">
        <v>0.0</v>
      </c>
      <c r="N381" s="12">
        <v>0.0</v>
      </c>
      <c r="O381" s="16">
        <f t="shared" si="97"/>
        <v>5806.47</v>
      </c>
      <c r="P381" s="12">
        <v>2415.53</v>
      </c>
      <c r="Q381" s="12">
        <v>360.73</v>
      </c>
      <c r="R381" s="12"/>
      <c r="S381" s="12">
        <v>0.0</v>
      </c>
      <c r="T381" s="12">
        <v>0.0</v>
      </c>
      <c r="U381" s="12">
        <v>0.0</v>
      </c>
      <c r="V381" s="16">
        <f t="shared" si="122"/>
        <v>2776.26</v>
      </c>
      <c r="W381" s="12">
        <v>12017.06</v>
      </c>
      <c r="X381" s="12">
        <v>3.27</v>
      </c>
      <c r="Y381" s="12"/>
      <c r="Z381" s="12">
        <v>0.0</v>
      </c>
      <c r="AA381" s="12">
        <v>0.0</v>
      </c>
      <c r="AB381" s="12">
        <v>0.0</v>
      </c>
      <c r="AC381" s="16">
        <f t="shared" si="117"/>
        <v>12020.33</v>
      </c>
      <c r="AD381" s="12"/>
      <c r="AE381" s="12"/>
      <c r="AF381" s="12">
        <v>2709.06</v>
      </c>
      <c r="AG381" s="12">
        <v>0.0</v>
      </c>
      <c r="AH381" s="12"/>
      <c r="AI381" s="12">
        <v>0.0</v>
      </c>
      <c r="AJ381" s="12">
        <v>0.0</v>
      </c>
      <c r="AK381" s="12">
        <v>0.0</v>
      </c>
      <c r="AL381" s="12">
        <f t="shared" si="118"/>
        <v>2709.06</v>
      </c>
      <c r="AM381" s="12">
        <v>19454.0</v>
      </c>
      <c r="AN381" s="12">
        <v>0.0</v>
      </c>
      <c r="AO381" s="12"/>
      <c r="AP381" s="12">
        <v>0.0</v>
      </c>
      <c r="AQ381" s="12">
        <v>0.0</v>
      </c>
      <c r="AR381" s="12">
        <v>0.0</v>
      </c>
      <c r="AS381" s="12">
        <f t="shared" si="123"/>
        <v>19454</v>
      </c>
      <c r="AT381" s="16">
        <f t="shared" si="75"/>
        <v>42766.12</v>
      </c>
      <c r="AU381" s="18">
        <f t="shared" si="114"/>
        <v>586283.31</v>
      </c>
      <c r="AV381" s="18"/>
      <c r="AW381" s="18"/>
      <c r="AX381" s="12">
        <f t="shared" si="1"/>
        <v>42766.12</v>
      </c>
      <c r="AY381" s="12"/>
      <c r="AZ381" s="12">
        <v>1345.35</v>
      </c>
      <c r="BA381" s="18">
        <f t="shared" si="115"/>
        <v>86614.65</v>
      </c>
      <c r="BB381" s="10">
        <f t="shared" si="16"/>
        <v>790207.9396</v>
      </c>
      <c r="BC381" s="16">
        <f t="shared" si="88"/>
        <v>117081.7925</v>
      </c>
      <c r="BD381" s="16"/>
      <c r="BE381" s="16"/>
      <c r="BF381" s="6"/>
      <c r="BG381" s="6"/>
      <c r="BH381" s="6"/>
      <c r="BI381" s="29">
        <f t="shared" si="112"/>
        <v>18713.85032</v>
      </c>
      <c r="BK381" s="15">
        <f t="shared" si="76"/>
        <v>2.285265686</v>
      </c>
      <c r="BN381" s="16">
        <f t="shared" si="14"/>
        <v>24052.26968</v>
      </c>
      <c r="BO381" s="16">
        <f t="shared" si="116"/>
        <v>155864.7526</v>
      </c>
      <c r="BY381" s="6">
        <f t="shared" si="2"/>
        <v>2024</v>
      </c>
      <c r="BZ381" s="6" t="str">
        <f t="shared" si="3"/>
        <v>octubre</v>
      </c>
      <c r="CA381" s="6" t="str">
        <f t="shared" si="4"/>
        <v>10</v>
      </c>
    </row>
    <row r="382">
      <c r="A382" s="8">
        <v>45589.0</v>
      </c>
      <c r="B382" s="12">
        <v>23526.55</v>
      </c>
      <c r="C382" s="12">
        <v>1885.31</v>
      </c>
      <c r="D382" s="12"/>
      <c r="E382" s="12">
        <v>0.0</v>
      </c>
      <c r="F382" s="12">
        <v>0.0</v>
      </c>
      <c r="G382" s="12">
        <v>0.0</v>
      </c>
      <c r="H382" s="12">
        <f t="shared" si="120"/>
        <v>25411.86</v>
      </c>
      <c r="I382" s="12">
        <v>3200.0</v>
      </c>
      <c r="J382" s="12">
        <v>2099.28</v>
      </c>
      <c r="K382" s="12"/>
      <c r="L382" s="12">
        <v>0.0</v>
      </c>
      <c r="M382" s="12">
        <v>0.0</v>
      </c>
      <c r="N382" s="12">
        <v>0.0</v>
      </c>
      <c r="O382" s="16">
        <f t="shared" si="97"/>
        <v>5299.28</v>
      </c>
      <c r="P382" s="12">
        <v>3672.31</v>
      </c>
      <c r="Q382" s="12">
        <v>407.84</v>
      </c>
      <c r="R382" s="12"/>
      <c r="S382" s="12">
        <v>0.0</v>
      </c>
      <c r="T382" s="12">
        <v>0.0</v>
      </c>
      <c r="U382" s="12">
        <v>0.0</v>
      </c>
      <c r="V382" s="16">
        <f t="shared" si="122"/>
        <v>4080.15</v>
      </c>
      <c r="W382" s="12">
        <v>152.48</v>
      </c>
      <c r="X382" s="12">
        <v>0.0</v>
      </c>
      <c r="Y382" s="12"/>
      <c r="Z382" s="12">
        <v>0.0</v>
      </c>
      <c r="AA382" s="12">
        <v>0.0</v>
      </c>
      <c r="AB382" s="12">
        <v>0.0</v>
      </c>
      <c r="AC382" s="16">
        <f t="shared" si="117"/>
        <v>152.48</v>
      </c>
      <c r="AD382" s="12"/>
      <c r="AE382" s="12"/>
      <c r="AF382" s="12">
        <v>6488.05</v>
      </c>
      <c r="AG382" s="12">
        <v>819.43</v>
      </c>
      <c r="AH382" s="12"/>
      <c r="AI382" s="12">
        <v>0.0</v>
      </c>
      <c r="AJ382" s="12">
        <v>0.0</v>
      </c>
      <c r="AK382" s="12">
        <v>0.0</v>
      </c>
      <c r="AL382" s="12">
        <f t="shared" si="118"/>
        <v>7307.48</v>
      </c>
      <c r="AM382" s="12">
        <v>0.0</v>
      </c>
      <c r="AN382" s="12">
        <v>0.0</v>
      </c>
      <c r="AO382" s="12"/>
      <c r="AP382" s="12">
        <v>0.0</v>
      </c>
      <c r="AQ382" s="12">
        <v>0.0</v>
      </c>
      <c r="AR382" s="12">
        <v>0.0</v>
      </c>
      <c r="AS382" s="12">
        <f t="shared" si="123"/>
        <v>0</v>
      </c>
      <c r="AT382" s="16">
        <f t="shared" si="75"/>
        <v>16839.39</v>
      </c>
      <c r="AU382" s="18">
        <f t="shared" si="114"/>
        <v>603122.7</v>
      </c>
      <c r="AV382" s="18"/>
      <c r="AW382" s="18"/>
      <c r="AX382" s="12">
        <f t="shared" si="1"/>
        <v>16839.39</v>
      </c>
      <c r="AY382" s="12"/>
      <c r="AZ382" s="12">
        <v>1117.93</v>
      </c>
      <c r="BA382" s="18">
        <f t="shared" si="115"/>
        <v>87732.58</v>
      </c>
      <c r="BB382" s="10">
        <f t="shared" si="16"/>
        <v>779033.4875</v>
      </c>
      <c r="BC382" s="16">
        <f t="shared" si="88"/>
        <v>118368.0048</v>
      </c>
      <c r="BD382" s="16"/>
      <c r="BE382" s="16"/>
      <c r="BF382" s="6"/>
      <c r="BG382" s="6"/>
      <c r="BH382" s="6"/>
      <c r="BI382" s="29">
        <f t="shared" si="112"/>
        <v>18713.85032</v>
      </c>
      <c r="BJ382" s="6"/>
      <c r="BK382" s="15">
        <f t="shared" si="76"/>
        <v>0.8998356677</v>
      </c>
      <c r="BN382" s="16">
        <f t="shared" si="14"/>
        <v>-1874.460323</v>
      </c>
      <c r="BO382" s="16">
        <f t="shared" si="116"/>
        <v>153990.2923</v>
      </c>
      <c r="BY382" s="6">
        <f t="shared" si="2"/>
        <v>2024</v>
      </c>
      <c r="BZ382" s="6" t="str">
        <f t="shared" si="3"/>
        <v>octubre</v>
      </c>
      <c r="CA382" s="6" t="str">
        <f t="shared" si="4"/>
        <v>10</v>
      </c>
    </row>
    <row r="383">
      <c r="A383" s="8">
        <v>45590.0</v>
      </c>
      <c r="B383" s="12">
        <v>17091.41</v>
      </c>
      <c r="C383" s="12">
        <v>0.0</v>
      </c>
      <c r="D383" s="12"/>
      <c r="E383" s="12">
        <v>0.0</v>
      </c>
      <c r="F383" s="12">
        <v>0.0</v>
      </c>
      <c r="G383" s="12">
        <v>0.0</v>
      </c>
      <c r="H383" s="12">
        <f t="shared" si="120"/>
        <v>17091.41</v>
      </c>
      <c r="I383" s="12">
        <v>9075.69</v>
      </c>
      <c r="J383" s="12">
        <v>0.0</v>
      </c>
      <c r="K383" s="12"/>
      <c r="L383" s="12">
        <v>0.0</v>
      </c>
      <c r="M383" s="12">
        <v>0.0</v>
      </c>
      <c r="N383" s="12">
        <v>0.0</v>
      </c>
      <c r="O383" s="16">
        <f t="shared" si="97"/>
        <v>9075.69</v>
      </c>
      <c r="P383" s="12">
        <v>3619.78</v>
      </c>
      <c r="Q383" s="12">
        <v>0.0</v>
      </c>
      <c r="R383" s="12"/>
      <c r="S383" s="12">
        <v>0.0</v>
      </c>
      <c r="T383" s="12">
        <v>0.0</v>
      </c>
      <c r="U383" s="12">
        <v>0.0</v>
      </c>
      <c r="V383" s="16">
        <f t="shared" si="122"/>
        <v>3619.78</v>
      </c>
      <c r="W383" s="12">
        <v>8743.0</v>
      </c>
      <c r="X383" s="12">
        <v>0.0</v>
      </c>
      <c r="Y383" s="12"/>
      <c r="Z383" s="12">
        <v>0.0</v>
      </c>
      <c r="AA383" s="12">
        <v>0.0</v>
      </c>
      <c r="AB383" s="12">
        <v>0.0</v>
      </c>
      <c r="AC383" s="16">
        <f t="shared" si="117"/>
        <v>8743</v>
      </c>
      <c r="AD383" s="12"/>
      <c r="AE383" s="12"/>
      <c r="AF383" s="12">
        <v>4206.3</v>
      </c>
      <c r="AG383" s="12">
        <v>0.0</v>
      </c>
      <c r="AH383" s="12"/>
      <c r="AI383" s="12">
        <v>0.0</v>
      </c>
      <c r="AJ383" s="12">
        <v>0.0</v>
      </c>
      <c r="AK383" s="12">
        <v>0.0</v>
      </c>
      <c r="AL383" s="12">
        <f t="shared" si="118"/>
        <v>4206.3</v>
      </c>
      <c r="AM383" s="12">
        <v>10785.0</v>
      </c>
      <c r="AN383" s="12">
        <v>0.0</v>
      </c>
      <c r="AO383" s="12"/>
      <c r="AP383" s="12">
        <v>0.0</v>
      </c>
      <c r="AQ383" s="12">
        <v>0.0</v>
      </c>
      <c r="AR383" s="12">
        <v>0.0</v>
      </c>
      <c r="AS383" s="12">
        <f t="shared" si="123"/>
        <v>10785</v>
      </c>
      <c r="AT383" s="16">
        <f t="shared" si="75"/>
        <v>36429.77</v>
      </c>
      <c r="AU383" s="18">
        <f t="shared" si="114"/>
        <v>639552.47</v>
      </c>
      <c r="AV383" s="18"/>
      <c r="AW383" s="18"/>
      <c r="AX383" s="12">
        <f t="shared" si="1"/>
        <v>36429.77</v>
      </c>
      <c r="AY383" s="12"/>
      <c r="AZ383" s="12">
        <v>4591.82</v>
      </c>
      <c r="BA383" s="18">
        <f t="shared" si="115"/>
        <v>92324.4</v>
      </c>
      <c r="BB383" s="10">
        <f t="shared" si="16"/>
        <v>793045.0628</v>
      </c>
      <c r="BC383" s="16">
        <f t="shared" si="88"/>
        <v>123526.6341</v>
      </c>
      <c r="BD383" s="16"/>
      <c r="BE383" s="16"/>
      <c r="BF383" s="6"/>
      <c r="BG383" s="6"/>
      <c r="BH383" s="6"/>
      <c r="BI383" s="29">
        <f t="shared" si="112"/>
        <v>18713.85032</v>
      </c>
      <c r="BK383" s="15">
        <f t="shared" si="76"/>
        <v>1.946674221</v>
      </c>
      <c r="BN383" s="16">
        <f t="shared" si="14"/>
        <v>17715.91968</v>
      </c>
      <c r="BO383" s="16">
        <f t="shared" si="116"/>
        <v>171706.2119</v>
      </c>
      <c r="BY383" s="6">
        <f t="shared" si="2"/>
        <v>2024</v>
      </c>
      <c r="BZ383" s="6" t="str">
        <f t="shared" si="3"/>
        <v>octubre</v>
      </c>
      <c r="CA383" s="6" t="str">
        <f t="shared" si="4"/>
        <v>10</v>
      </c>
    </row>
    <row r="384">
      <c r="A384" s="8">
        <v>45591.0</v>
      </c>
      <c r="B384" s="12">
        <v>0.0</v>
      </c>
      <c r="C384" s="12">
        <v>0.0</v>
      </c>
      <c r="D384" s="12"/>
      <c r="E384" s="12">
        <v>0.0</v>
      </c>
      <c r="F384" s="12">
        <v>0.0</v>
      </c>
      <c r="G384" s="12">
        <v>0.0</v>
      </c>
      <c r="H384" s="12">
        <f t="shared" si="120"/>
        <v>0</v>
      </c>
      <c r="I384" s="12">
        <v>0.0</v>
      </c>
      <c r="J384" s="12">
        <v>0.0</v>
      </c>
      <c r="K384" s="12"/>
      <c r="L384" s="12">
        <v>0.0</v>
      </c>
      <c r="M384" s="12">
        <v>0.0</v>
      </c>
      <c r="N384" s="12">
        <v>0.0</v>
      </c>
      <c r="O384" s="16">
        <f t="shared" si="97"/>
        <v>0</v>
      </c>
      <c r="P384" s="12">
        <v>0.0</v>
      </c>
      <c r="Q384" s="12">
        <v>0.0</v>
      </c>
      <c r="R384" s="12"/>
      <c r="S384" s="12">
        <v>0.0</v>
      </c>
      <c r="T384" s="12">
        <v>0.0</v>
      </c>
      <c r="U384" s="12">
        <v>0.0</v>
      </c>
      <c r="V384" s="16">
        <f t="shared" si="122"/>
        <v>0</v>
      </c>
      <c r="W384" s="12">
        <v>0.0</v>
      </c>
      <c r="X384" s="12">
        <v>0.0</v>
      </c>
      <c r="Y384" s="12"/>
      <c r="Z384" s="12">
        <v>0.0</v>
      </c>
      <c r="AA384" s="12">
        <v>0.0</v>
      </c>
      <c r="AB384" s="12">
        <v>0.0</v>
      </c>
      <c r="AC384" s="16">
        <f t="shared" si="117"/>
        <v>0</v>
      </c>
      <c r="AD384" s="12"/>
      <c r="AE384" s="12"/>
      <c r="AF384" s="12">
        <v>0.0</v>
      </c>
      <c r="AG384" s="12">
        <v>0.0</v>
      </c>
      <c r="AH384" s="12"/>
      <c r="AI384" s="12">
        <v>0.0</v>
      </c>
      <c r="AJ384" s="12">
        <v>0.0</v>
      </c>
      <c r="AK384" s="12">
        <v>0.0</v>
      </c>
      <c r="AL384" s="12">
        <v>0.0</v>
      </c>
      <c r="AM384" s="12">
        <v>0.0</v>
      </c>
      <c r="AN384" s="12">
        <v>0.0</v>
      </c>
      <c r="AO384" s="12"/>
      <c r="AP384" s="12">
        <v>0.0</v>
      </c>
      <c r="AQ384" s="12">
        <v>0.0</v>
      </c>
      <c r="AR384" s="12">
        <v>0.0</v>
      </c>
      <c r="AS384" s="12">
        <f t="shared" si="123"/>
        <v>0</v>
      </c>
      <c r="AT384" s="16">
        <f t="shared" si="75"/>
        <v>0</v>
      </c>
      <c r="AU384" s="18">
        <f t="shared" si="114"/>
        <v>639552.47</v>
      </c>
      <c r="AV384" s="18"/>
      <c r="AW384" s="18"/>
      <c r="AX384" s="12">
        <f t="shared" si="1"/>
        <v>0</v>
      </c>
      <c r="AY384" s="12"/>
      <c r="AZ384" s="12">
        <v>0.0</v>
      </c>
      <c r="BA384" s="18">
        <f t="shared" si="115"/>
        <v>92324.4</v>
      </c>
      <c r="BB384" s="10">
        <f t="shared" si="16"/>
        <v>762543.3296</v>
      </c>
      <c r="BC384" s="16">
        <f t="shared" si="88"/>
        <v>127452.8935</v>
      </c>
      <c r="BD384" s="16"/>
      <c r="BE384" s="16"/>
      <c r="BF384" s="6"/>
      <c r="BG384" s="6"/>
      <c r="BH384" s="6"/>
      <c r="BI384" s="29">
        <f t="shared" si="112"/>
        <v>18713.85032</v>
      </c>
      <c r="BJ384" s="6"/>
      <c r="BK384" s="15">
        <f t="shared" si="76"/>
        <v>0</v>
      </c>
      <c r="BN384" s="16">
        <f t="shared" si="14"/>
        <v>-18713.85032</v>
      </c>
      <c r="BO384" s="16">
        <f t="shared" si="116"/>
        <v>152992.3616</v>
      </c>
      <c r="BY384" s="6">
        <f t="shared" si="2"/>
        <v>2024</v>
      </c>
      <c r="BZ384" s="6" t="str">
        <f t="shared" si="3"/>
        <v>octubre</v>
      </c>
      <c r="CA384" s="6" t="str">
        <f t="shared" si="4"/>
        <v>10</v>
      </c>
    </row>
    <row r="385">
      <c r="A385" s="8">
        <v>45592.0</v>
      </c>
      <c r="B385" s="12">
        <v>0.0</v>
      </c>
      <c r="C385" s="12">
        <v>0.0</v>
      </c>
      <c r="D385" s="12"/>
      <c r="E385" s="12">
        <v>0.0</v>
      </c>
      <c r="F385" s="12">
        <v>0.0</v>
      </c>
      <c r="G385" s="12">
        <v>0.0</v>
      </c>
      <c r="H385" s="12">
        <f t="shared" si="120"/>
        <v>0</v>
      </c>
      <c r="I385" s="12">
        <v>0.0</v>
      </c>
      <c r="J385" s="12">
        <v>0.0</v>
      </c>
      <c r="K385" s="12"/>
      <c r="L385" s="12">
        <v>0.0</v>
      </c>
      <c r="M385" s="12">
        <v>0.0</v>
      </c>
      <c r="N385" s="12">
        <v>0.0</v>
      </c>
      <c r="O385" s="16">
        <f t="shared" si="97"/>
        <v>0</v>
      </c>
      <c r="P385" s="12">
        <v>0.0</v>
      </c>
      <c r="Q385" s="12">
        <v>0.0</v>
      </c>
      <c r="R385" s="12"/>
      <c r="S385" s="12">
        <v>0.0</v>
      </c>
      <c r="T385" s="12">
        <v>0.0</v>
      </c>
      <c r="U385" s="12">
        <v>0.0</v>
      </c>
      <c r="V385" s="16">
        <f t="shared" si="122"/>
        <v>0</v>
      </c>
      <c r="W385" s="12">
        <v>0.0</v>
      </c>
      <c r="X385" s="12">
        <v>0.0</v>
      </c>
      <c r="Y385" s="12"/>
      <c r="Z385" s="12">
        <v>0.0</v>
      </c>
      <c r="AA385" s="12">
        <v>0.0</v>
      </c>
      <c r="AB385" s="12">
        <v>0.0</v>
      </c>
      <c r="AC385" s="16">
        <f t="shared" si="117"/>
        <v>0</v>
      </c>
      <c r="AD385" s="12"/>
      <c r="AE385" s="12"/>
      <c r="AF385" s="12">
        <v>0.0</v>
      </c>
      <c r="AG385" s="12">
        <v>0.0</v>
      </c>
      <c r="AH385" s="12"/>
      <c r="AI385" s="12">
        <v>0.0</v>
      </c>
      <c r="AJ385" s="12">
        <v>0.0</v>
      </c>
      <c r="AK385" s="12">
        <v>0.0</v>
      </c>
      <c r="AL385" s="12">
        <v>0.0</v>
      </c>
      <c r="AM385" s="12">
        <v>0.0</v>
      </c>
      <c r="AN385" s="12">
        <v>0.0</v>
      </c>
      <c r="AO385" s="12"/>
      <c r="AP385" s="12">
        <v>0.0</v>
      </c>
      <c r="AQ385" s="12">
        <v>0.0</v>
      </c>
      <c r="AR385" s="12">
        <v>0.0</v>
      </c>
      <c r="AS385" s="12">
        <f t="shared" si="123"/>
        <v>0</v>
      </c>
      <c r="AT385" s="16">
        <f t="shared" si="75"/>
        <v>0</v>
      </c>
      <c r="AU385" s="18">
        <f t="shared" si="114"/>
        <v>639552.47</v>
      </c>
      <c r="AV385" s="18"/>
      <c r="AW385" s="18"/>
      <c r="AX385" s="12">
        <f t="shared" si="1"/>
        <v>0</v>
      </c>
      <c r="AY385" s="12"/>
      <c r="AZ385" s="12">
        <v>0.0</v>
      </c>
      <c r="BA385" s="18">
        <f t="shared" si="115"/>
        <v>92324.4</v>
      </c>
      <c r="BB385" s="10">
        <f t="shared" si="16"/>
        <v>734300.9841</v>
      </c>
      <c r="BC385" s="16">
        <f t="shared" si="88"/>
        <v>125650.5625</v>
      </c>
      <c r="BD385" s="16"/>
      <c r="BE385" s="16"/>
      <c r="BF385" s="6"/>
      <c r="BG385" s="6"/>
      <c r="BH385" s="6"/>
      <c r="BI385" s="29">
        <f t="shared" si="112"/>
        <v>18713.85032</v>
      </c>
      <c r="BJ385" s="6"/>
      <c r="BK385" s="15">
        <f t="shared" si="76"/>
        <v>0</v>
      </c>
      <c r="BN385" s="16">
        <f t="shared" si="14"/>
        <v>-18713.85032</v>
      </c>
      <c r="BO385" s="16">
        <f t="shared" si="116"/>
        <v>134278.5113</v>
      </c>
      <c r="BY385" s="6">
        <f t="shared" si="2"/>
        <v>2024</v>
      </c>
      <c r="BZ385" s="6" t="str">
        <f t="shared" si="3"/>
        <v>octubre</v>
      </c>
      <c r="CA385" s="6" t="str">
        <f t="shared" si="4"/>
        <v>10</v>
      </c>
    </row>
    <row r="386">
      <c r="A386" s="8">
        <v>45593.0</v>
      </c>
      <c r="B386" s="12">
        <v>32580.48</v>
      </c>
      <c r="C386" s="12">
        <v>0.0</v>
      </c>
      <c r="D386" s="12"/>
      <c r="E386" s="12">
        <v>0.0</v>
      </c>
      <c r="F386" s="12">
        <v>0.0</v>
      </c>
      <c r="G386" s="12">
        <v>0.0</v>
      </c>
      <c r="H386" s="12">
        <f t="shared" si="120"/>
        <v>32580.48</v>
      </c>
      <c r="I386" s="12">
        <v>17614.62</v>
      </c>
      <c r="J386" s="12">
        <v>0.0</v>
      </c>
      <c r="K386" s="12"/>
      <c r="L386" s="12">
        <v>0.0</v>
      </c>
      <c r="M386" s="12">
        <v>0.0</v>
      </c>
      <c r="N386" s="12">
        <v>0.0</v>
      </c>
      <c r="O386" s="16">
        <f t="shared" si="97"/>
        <v>17614.62</v>
      </c>
      <c r="P386" s="12">
        <v>6947.51</v>
      </c>
      <c r="Q386" s="12">
        <v>0.0</v>
      </c>
      <c r="R386" s="12"/>
      <c r="S386" s="12">
        <v>0.0</v>
      </c>
      <c r="T386" s="12">
        <v>0.0</v>
      </c>
      <c r="U386" s="12">
        <v>0.0</v>
      </c>
      <c r="V386" s="16">
        <f t="shared" si="122"/>
        <v>6947.51</v>
      </c>
      <c r="W386" s="12">
        <v>14.46</v>
      </c>
      <c r="X386" s="12">
        <v>0.0</v>
      </c>
      <c r="Y386" s="12"/>
      <c r="Z386" s="12">
        <v>0.0</v>
      </c>
      <c r="AA386" s="12">
        <v>0.0</v>
      </c>
      <c r="AB386" s="12">
        <v>0.0</v>
      </c>
      <c r="AC386" s="16">
        <f t="shared" si="117"/>
        <v>14.46</v>
      </c>
      <c r="AD386" s="12"/>
      <c r="AE386" s="12"/>
      <c r="AF386" s="12">
        <v>1321.15</v>
      </c>
      <c r="AG386" s="12">
        <v>0.0</v>
      </c>
      <c r="AH386" s="12"/>
      <c r="AI386" s="12">
        <v>0.0</v>
      </c>
      <c r="AJ386" s="12">
        <v>0.0</v>
      </c>
      <c r="AK386" s="12">
        <v>0.0</v>
      </c>
      <c r="AL386" s="12">
        <f t="shared" ref="AL386:AL411" si="124">AK386+AJ386+AI386+AG386+AF386</f>
        <v>1321.15</v>
      </c>
      <c r="AM386" s="12">
        <v>0.0</v>
      </c>
      <c r="AN386" s="12">
        <v>0.0</v>
      </c>
      <c r="AO386" s="12"/>
      <c r="AP386" s="12">
        <v>0.0</v>
      </c>
      <c r="AQ386" s="12">
        <v>0.0</v>
      </c>
      <c r="AR386" s="12">
        <v>0.0</v>
      </c>
      <c r="AS386" s="12">
        <f t="shared" si="123"/>
        <v>0</v>
      </c>
      <c r="AT386" s="16">
        <f t="shared" si="75"/>
        <v>25897.74</v>
      </c>
      <c r="AU386" s="18">
        <f t="shared" si="114"/>
        <v>665450.21</v>
      </c>
      <c r="AV386" s="18"/>
      <c r="AW386" s="18"/>
      <c r="AX386" s="12">
        <f t="shared" si="1"/>
        <v>25897.74</v>
      </c>
      <c r="AY386" s="12"/>
      <c r="AZ386" s="12">
        <v>0.0</v>
      </c>
      <c r="BA386" s="18">
        <f t="shared" si="115"/>
        <v>92324.4</v>
      </c>
      <c r="BB386" s="10">
        <f t="shared" si="16"/>
        <v>736748.4468</v>
      </c>
      <c r="BC386" s="16">
        <f t="shared" si="88"/>
        <v>127910.494</v>
      </c>
      <c r="BD386" s="16"/>
      <c r="BE386" s="16"/>
      <c r="BF386" s="6"/>
      <c r="BG386" s="6"/>
      <c r="BH386" s="6"/>
      <c r="BI386" s="29">
        <f t="shared" si="112"/>
        <v>18713.85032</v>
      </c>
      <c r="BK386" s="15">
        <f t="shared" si="76"/>
        <v>1.383880899</v>
      </c>
      <c r="BN386" s="16">
        <f t="shared" si="14"/>
        <v>7183.889677</v>
      </c>
      <c r="BO386" s="16">
        <f t="shared" si="116"/>
        <v>141462.401</v>
      </c>
      <c r="BY386" s="6">
        <f t="shared" si="2"/>
        <v>2024</v>
      </c>
      <c r="BZ386" s="6" t="str">
        <f t="shared" si="3"/>
        <v>octubre</v>
      </c>
      <c r="CA386" s="6" t="str">
        <f t="shared" si="4"/>
        <v>10</v>
      </c>
    </row>
    <row r="387">
      <c r="A387" s="8">
        <v>45594.0</v>
      </c>
      <c r="B387" s="12">
        <v>34047.92</v>
      </c>
      <c r="C387" s="12">
        <v>1771.29</v>
      </c>
      <c r="D387" s="12"/>
      <c r="E387" s="12">
        <v>0.0</v>
      </c>
      <c r="F387" s="12">
        <v>0.0</v>
      </c>
      <c r="G387" s="12">
        <v>0.0</v>
      </c>
      <c r="H387" s="12">
        <f t="shared" si="120"/>
        <v>35819.21</v>
      </c>
      <c r="I387" s="12">
        <v>24556.0</v>
      </c>
      <c r="J387" s="12">
        <v>4084.2</v>
      </c>
      <c r="K387" s="12"/>
      <c r="L387" s="12">
        <v>0.0</v>
      </c>
      <c r="M387" s="12">
        <v>0.0</v>
      </c>
      <c r="N387" s="12">
        <v>0.0</v>
      </c>
      <c r="O387" s="16">
        <f t="shared" si="97"/>
        <v>28640.2</v>
      </c>
      <c r="P387" s="12">
        <v>8873.67</v>
      </c>
      <c r="Q387" s="12">
        <v>690.12</v>
      </c>
      <c r="R387" s="12"/>
      <c r="S387" s="12">
        <v>0.0</v>
      </c>
      <c r="T387" s="12">
        <v>0.0</v>
      </c>
      <c r="U387" s="12">
        <v>0.0</v>
      </c>
      <c r="V387" s="16">
        <f t="shared" si="122"/>
        <v>9563.79</v>
      </c>
      <c r="W387" s="12">
        <v>23.56</v>
      </c>
      <c r="X387" s="12">
        <v>0.16</v>
      </c>
      <c r="Y387" s="12"/>
      <c r="Z387" s="12">
        <v>0.0</v>
      </c>
      <c r="AA387" s="12">
        <v>0.0</v>
      </c>
      <c r="AB387" s="12">
        <v>0.0</v>
      </c>
      <c r="AC387" s="16">
        <f t="shared" si="117"/>
        <v>23.72</v>
      </c>
      <c r="AD387" s="12"/>
      <c r="AE387" s="12"/>
      <c r="AF387" s="12">
        <v>4356.31</v>
      </c>
      <c r="AG387" s="12">
        <v>279.41</v>
      </c>
      <c r="AH387" s="12"/>
      <c r="AI387" s="12">
        <v>0.0</v>
      </c>
      <c r="AJ387" s="12">
        <v>0.0</v>
      </c>
      <c r="AK387" s="12">
        <v>0.0</v>
      </c>
      <c r="AL387" s="12">
        <f t="shared" si="124"/>
        <v>4635.72</v>
      </c>
      <c r="AM387" s="12">
        <v>0.0</v>
      </c>
      <c r="AN387" s="12">
        <v>0.0</v>
      </c>
      <c r="AO387" s="12"/>
      <c r="AP387" s="12">
        <v>0.0</v>
      </c>
      <c r="AQ387" s="12">
        <v>0.0</v>
      </c>
      <c r="AR387" s="12">
        <v>0.0</v>
      </c>
      <c r="AS387" s="12">
        <f t="shared" si="123"/>
        <v>0</v>
      </c>
      <c r="AT387" s="16">
        <f t="shared" si="75"/>
        <v>42863.43</v>
      </c>
      <c r="AU387" s="18">
        <f t="shared" si="114"/>
        <v>708313.64</v>
      </c>
      <c r="AV387" s="18"/>
      <c r="AW387" s="18"/>
      <c r="AX387" s="12">
        <f t="shared" si="1"/>
        <v>42863.43</v>
      </c>
      <c r="AY387" s="12"/>
      <c r="AZ387" s="12">
        <v>273.84</v>
      </c>
      <c r="BA387" s="18">
        <f t="shared" si="115"/>
        <v>92598.24</v>
      </c>
      <c r="BB387" s="10">
        <f t="shared" si="16"/>
        <v>757162.8566</v>
      </c>
      <c r="BC387" s="16">
        <f t="shared" si="88"/>
        <v>122990.8596</v>
      </c>
      <c r="BD387" s="16"/>
      <c r="BE387" s="16"/>
      <c r="BF387" s="6"/>
      <c r="BG387" s="6"/>
      <c r="BH387" s="6"/>
      <c r="BI387" s="29">
        <f t="shared" si="112"/>
        <v>18713.85032</v>
      </c>
      <c r="BK387" s="15">
        <f t="shared" si="76"/>
        <v>2.290465578</v>
      </c>
      <c r="BN387" s="16">
        <f t="shared" si="14"/>
        <v>24149.57968</v>
      </c>
      <c r="BO387" s="16">
        <f t="shared" si="116"/>
        <v>165611.9806</v>
      </c>
      <c r="BY387" s="6">
        <f t="shared" si="2"/>
        <v>2024</v>
      </c>
      <c r="BZ387" s="6" t="str">
        <f t="shared" si="3"/>
        <v>octubre</v>
      </c>
      <c r="CA387" s="6" t="str">
        <f t="shared" si="4"/>
        <v>10</v>
      </c>
    </row>
    <row r="388">
      <c r="A388" s="8">
        <v>45595.0</v>
      </c>
      <c r="B388" s="12">
        <v>42435.04</v>
      </c>
      <c r="C388" s="12">
        <v>3045.18</v>
      </c>
      <c r="D388" s="12"/>
      <c r="E388" s="12">
        <v>0.0</v>
      </c>
      <c r="F388" s="12">
        <v>0.0</v>
      </c>
      <c r="G388" s="12">
        <v>0.0</v>
      </c>
      <c r="H388" s="12">
        <f t="shared" si="120"/>
        <v>45480.22</v>
      </c>
      <c r="I388" s="12">
        <v>38996.0</v>
      </c>
      <c r="J388" s="12">
        <v>2907.99</v>
      </c>
      <c r="K388" s="12"/>
      <c r="L388" s="12">
        <v>0.0</v>
      </c>
      <c r="M388" s="12">
        <v>0.0</v>
      </c>
      <c r="N388" s="12">
        <v>0.0</v>
      </c>
      <c r="O388" s="16">
        <f t="shared" si="97"/>
        <v>41903.99</v>
      </c>
      <c r="P388" s="12">
        <v>15545.21</v>
      </c>
      <c r="Q388" s="12">
        <v>891.07</v>
      </c>
      <c r="R388" s="12"/>
      <c r="S388" s="12">
        <v>0.0</v>
      </c>
      <c r="T388" s="12">
        <v>0.0</v>
      </c>
      <c r="U388" s="12">
        <v>0.0</v>
      </c>
      <c r="V388" s="16">
        <f t="shared" si="122"/>
        <v>16436.28</v>
      </c>
      <c r="W388" s="12">
        <v>16285.89</v>
      </c>
      <c r="X388" s="12">
        <v>0.03</v>
      </c>
      <c r="Y388" s="12"/>
      <c r="Z388" s="12">
        <v>0.0</v>
      </c>
      <c r="AA388" s="12">
        <v>0.0</v>
      </c>
      <c r="AB388" s="12">
        <v>0.0</v>
      </c>
      <c r="AC388" s="16">
        <f t="shared" si="117"/>
        <v>16285.92</v>
      </c>
      <c r="AD388" s="12"/>
      <c r="AE388" s="12"/>
      <c r="AF388" s="12">
        <v>3750.04</v>
      </c>
      <c r="AG388" s="12">
        <v>0.0</v>
      </c>
      <c r="AH388" s="12"/>
      <c r="AI388" s="12">
        <v>0.0</v>
      </c>
      <c r="AJ388" s="12">
        <v>0.0</v>
      </c>
      <c r="AK388" s="12">
        <v>0.0</v>
      </c>
      <c r="AL388" s="12">
        <f t="shared" si="124"/>
        <v>3750.04</v>
      </c>
      <c r="AM388" s="12">
        <v>11525.0</v>
      </c>
      <c r="AN388" s="12">
        <v>0.0</v>
      </c>
      <c r="AO388" s="12"/>
      <c r="AP388" s="12">
        <v>0.0</v>
      </c>
      <c r="AQ388" s="12">
        <v>0.0</v>
      </c>
      <c r="AR388" s="12">
        <v>0.0</v>
      </c>
      <c r="AS388" s="12">
        <f t="shared" si="123"/>
        <v>11525</v>
      </c>
      <c r="AT388" s="16">
        <f t="shared" si="75"/>
        <v>89901.23</v>
      </c>
      <c r="AU388" s="18">
        <f t="shared" si="114"/>
        <v>798214.87</v>
      </c>
      <c r="AV388" s="18"/>
      <c r="AW388" s="18"/>
      <c r="AX388" s="12">
        <f t="shared" si="1"/>
        <v>89901.23</v>
      </c>
      <c r="AY388" s="12"/>
      <c r="AZ388" s="12">
        <v>927.29</v>
      </c>
      <c r="BA388" s="18">
        <f t="shared" si="115"/>
        <v>93525.53</v>
      </c>
      <c r="BB388" s="10">
        <f t="shared" si="16"/>
        <v>824822.0323</v>
      </c>
      <c r="BC388" s="16">
        <f t="shared" si="88"/>
        <v>118435.6426</v>
      </c>
      <c r="BD388" s="16"/>
      <c r="BE388" s="16"/>
      <c r="BF388" s="6"/>
      <c r="BG388" s="6"/>
      <c r="BH388" s="6"/>
      <c r="BI388" s="29">
        <f t="shared" si="112"/>
        <v>18713.85032</v>
      </c>
      <c r="BK388" s="15">
        <f t="shared" si="76"/>
        <v>4.803994285</v>
      </c>
      <c r="BN388" s="16">
        <f t="shared" si="14"/>
        <v>71187.37968</v>
      </c>
      <c r="BO388" s="16">
        <f t="shared" si="116"/>
        <v>236799.3603</v>
      </c>
      <c r="BY388" s="6">
        <f t="shared" si="2"/>
        <v>2024</v>
      </c>
      <c r="BZ388" s="6" t="str">
        <f t="shared" si="3"/>
        <v>octubre</v>
      </c>
      <c r="CA388" s="6" t="str">
        <f t="shared" si="4"/>
        <v>10</v>
      </c>
    </row>
    <row r="389">
      <c r="A389" s="8">
        <v>45596.0</v>
      </c>
      <c r="B389" s="12">
        <f>56849.19+18312.1+2716.62</f>
        <v>77877.91</v>
      </c>
      <c r="C389" s="12">
        <f>524.85+170.29</f>
        <v>695.14</v>
      </c>
      <c r="D389" s="12"/>
      <c r="E389" s="12">
        <v>0.0</v>
      </c>
      <c r="F389" s="12">
        <v>0.0</v>
      </c>
      <c r="G389" s="12">
        <v>0.0</v>
      </c>
      <c r="H389" s="12">
        <f t="shared" si="120"/>
        <v>78573.05</v>
      </c>
      <c r="I389" s="12">
        <f>45800+1890+884.03+6720</f>
        <v>55294.03</v>
      </c>
      <c r="J389" s="12">
        <f>1961.62+1740.73</f>
        <v>3702.35</v>
      </c>
      <c r="K389" s="12"/>
      <c r="L389" s="12">
        <v>0.0</v>
      </c>
      <c r="M389" s="12">
        <v>0.0</v>
      </c>
      <c r="N389" s="12">
        <v>0.0</v>
      </c>
      <c r="O389" s="16">
        <f t="shared" si="97"/>
        <v>58996.38</v>
      </c>
      <c r="P389" s="12">
        <f>18920.73+6738.84+788.16</f>
        <v>26447.73</v>
      </c>
      <c r="Q389" s="12">
        <f>583.91+85.76</f>
        <v>669.67</v>
      </c>
      <c r="R389" s="12"/>
      <c r="S389" s="12">
        <v>0.0</v>
      </c>
      <c r="T389" s="12">
        <v>0.0</v>
      </c>
      <c r="U389" s="12">
        <v>0.0</v>
      </c>
      <c r="V389" s="16">
        <f t="shared" si="122"/>
        <v>27117.4</v>
      </c>
      <c r="W389" s="12">
        <f>9140.09+11393.3+1753.59</f>
        <v>22286.98</v>
      </c>
      <c r="X389" s="12">
        <v>0.0</v>
      </c>
      <c r="Y389" s="12"/>
      <c r="Z389" s="12">
        <v>0.0</v>
      </c>
      <c r="AA389" s="12">
        <v>0.0</v>
      </c>
      <c r="AB389" s="12">
        <v>0.0</v>
      </c>
      <c r="AC389" s="16">
        <f t="shared" si="117"/>
        <v>22286.98</v>
      </c>
      <c r="AD389" s="12"/>
      <c r="AE389" s="12"/>
      <c r="AF389" s="12">
        <f>5152.19+2073.1+86.46</f>
        <v>7311.75</v>
      </c>
      <c r="AG389" s="12">
        <v>124.68</v>
      </c>
      <c r="AH389" s="12"/>
      <c r="AI389" s="12">
        <v>0.0</v>
      </c>
      <c r="AJ389" s="12">
        <v>0.0</v>
      </c>
      <c r="AK389" s="12">
        <v>0.0</v>
      </c>
      <c r="AL389" s="12">
        <f t="shared" si="124"/>
        <v>7436.43</v>
      </c>
      <c r="AM389" s="12">
        <f>10960+13794+1788</f>
        <v>26542</v>
      </c>
      <c r="AN389" s="12">
        <v>0.0</v>
      </c>
      <c r="AO389" s="12"/>
      <c r="AP389" s="12">
        <v>0.0</v>
      </c>
      <c r="AQ389" s="12">
        <v>0.0</v>
      </c>
      <c r="AR389" s="12">
        <v>0.0</v>
      </c>
      <c r="AS389" s="12">
        <f t="shared" si="123"/>
        <v>26542</v>
      </c>
      <c r="AT389" s="16">
        <f t="shared" si="75"/>
        <v>142379.19</v>
      </c>
      <c r="AU389" s="18">
        <f t="shared" si="114"/>
        <v>940594.06</v>
      </c>
      <c r="AV389" s="18"/>
      <c r="AW389" s="18"/>
      <c r="AX389" s="12">
        <f t="shared" si="1"/>
        <v>142379.19</v>
      </c>
      <c r="AY389" s="12"/>
      <c r="AZ389" s="12">
        <f>1948.73+747.46</f>
        <v>2696.19</v>
      </c>
      <c r="BA389" s="18">
        <f t="shared" si="115"/>
        <v>96221.72</v>
      </c>
      <c r="BB389" s="10">
        <f t="shared" si="16"/>
        <v>940594.06</v>
      </c>
      <c r="BC389" s="16">
        <f t="shared" si="88"/>
        <v>118830.3946</v>
      </c>
      <c r="BD389" s="16"/>
      <c r="BE389" s="16"/>
      <c r="BF389" s="6"/>
      <c r="BG389" s="6"/>
      <c r="BH389" s="6"/>
      <c r="BI389" s="29">
        <f t="shared" si="112"/>
        <v>18713.85032</v>
      </c>
      <c r="BK389" s="15">
        <f t="shared" si="76"/>
        <v>7.608225328</v>
      </c>
      <c r="BN389" s="16">
        <f t="shared" si="14"/>
        <v>123665.3397</v>
      </c>
      <c r="BO389" s="16">
        <f t="shared" si="116"/>
        <v>360464.7</v>
      </c>
      <c r="BY389" s="6">
        <f t="shared" si="2"/>
        <v>2024</v>
      </c>
      <c r="BZ389" s="6" t="str">
        <f t="shared" si="3"/>
        <v>octubre</v>
      </c>
      <c r="CA389" s="6" t="str">
        <f t="shared" si="4"/>
        <v>10</v>
      </c>
    </row>
    <row r="390">
      <c r="A390" s="8">
        <v>45597.0</v>
      </c>
      <c r="B390" s="12">
        <v>0.0</v>
      </c>
      <c r="C390" s="12">
        <v>0.0</v>
      </c>
      <c r="D390" s="12"/>
      <c r="E390" s="12">
        <v>0.0</v>
      </c>
      <c r="F390" s="12">
        <v>0.0</v>
      </c>
      <c r="G390" s="12">
        <v>0.0</v>
      </c>
      <c r="H390" s="12">
        <f t="shared" si="120"/>
        <v>0</v>
      </c>
      <c r="I390" s="12">
        <v>0.0</v>
      </c>
      <c r="J390" s="12">
        <v>0.0</v>
      </c>
      <c r="K390" s="12"/>
      <c r="L390" s="12">
        <v>0.0</v>
      </c>
      <c r="M390" s="12">
        <v>0.0</v>
      </c>
      <c r="N390" s="12">
        <v>0.0</v>
      </c>
      <c r="O390" s="16">
        <f t="shared" si="97"/>
        <v>0</v>
      </c>
      <c r="P390" s="12">
        <v>0.0</v>
      </c>
      <c r="Q390" s="12">
        <v>0.0</v>
      </c>
      <c r="R390" s="12"/>
      <c r="S390" s="12">
        <v>0.0</v>
      </c>
      <c r="T390" s="12">
        <v>0.0</v>
      </c>
      <c r="U390" s="12">
        <v>0.0</v>
      </c>
      <c r="V390" s="16">
        <f t="shared" si="122"/>
        <v>0</v>
      </c>
      <c r="W390" s="12">
        <v>0.0</v>
      </c>
      <c r="X390" s="12">
        <v>0.0</v>
      </c>
      <c r="Y390" s="12"/>
      <c r="Z390" s="12">
        <v>0.0</v>
      </c>
      <c r="AA390" s="12">
        <v>0.0</v>
      </c>
      <c r="AB390" s="12">
        <v>0.0</v>
      </c>
      <c r="AC390" s="16">
        <f t="shared" si="117"/>
        <v>0</v>
      </c>
      <c r="AD390" s="12"/>
      <c r="AE390" s="12"/>
      <c r="AF390" s="12">
        <v>0.0</v>
      </c>
      <c r="AG390" s="12">
        <v>0.0</v>
      </c>
      <c r="AH390" s="12"/>
      <c r="AI390" s="12">
        <v>0.0</v>
      </c>
      <c r="AJ390" s="12">
        <v>0.0</v>
      </c>
      <c r="AK390" s="12">
        <v>0.0</v>
      </c>
      <c r="AL390" s="12">
        <f t="shared" si="124"/>
        <v>0</v>
      </c>
      <c r="AM390" s="12">
        <v>0.0</v>
      </c>
      <c r="AN390" s="12">
        <v>0.0</v>
      </c>
      <c r="AO390" s="12"/>
      <c r="AP390" s="12">
        <v>0.0</v>
      </c>
      <c r="AQ390" s="12">
        <v>0.0</v>
      </c>
      <c r="AR390" s="12">
        <v>0.0</v>
      </c>
      <c r="AS390" s="12">
        <f t="shared" si="123"/>
        <v>0</v>
      </c>
      <c r="AT390" s="5">
        <v>0.0</v>
      </c>
      <c r="AU390" s="18">
        <f>IF(AT390="","",AT390)</f>
        <v>0</v>
      </c>
      <c r="AV390" s="18"/>
      <c r="AW390" s="18"/>
      <c r="AX390" s="12">
        <f t="shared" si="1"/>
        <v>0</v>
      </c>
      <c r="AY390" s="12"/>
      <c r="AZ390" s="12">
        <v>0.0</v>
      </c>
      <c r="BA390" s="18">
        <f>IF(AZ390="","",AZ390)</f>
        <v>0</v>
      </c>
      <c r="BB390" s="10">
        <f t="shared" si="16"/>
        <v>0</v>
      </c>
      <c r="BC390" s="16">
        <f t="shared" si="88"/>
        <v>122123.0414</v>
      </c>
      <c r="BD390" s="16"/>
      <c r="BE390" s="16"/>
      <c r="BF390" s="6"/>
      <c r="BG390" s="40">
        <v>820000.0</v>
      </c>
      <c r="BH390" s="6"/>
      <c r="BI390" s="29">
        <f t="shared" ref="BI390:BI419" si="125">IF(AT390="","",$BG$390/DAY(EOMONTH(A390,0)))</f>
        <v>27333.33333</v>
      </c>
      <c r="BJ390" s="6"/>
      <c r="BK390" s="15">
        <f t="shared" si="76"/>
        <v>0</v>
      </c>
      <c r="BN390" s="41">
        <f t="shared" si="14"/>
        <v>-27333.33333</v>
      </c>
      <c r="BO390" s="41">
        <f>IF(AT390="","",BN390)</f>
        <v>-27333.33333</v>
      </c>
      <c r="BQ390" s="12">
        <v>0.0</v>
      </c>
      <c r="BR390" s="12">
        <v>0.0</v>
      </c>
      <c r="BS390" s="12">
        <v>0.0</v>
      </c>
      <c r="BT390" s="12">
        <v>0.0</v>
      </c>
      <c r="BU390" s="12">
        <v>0.0</v>
      </c>
      <c r="BV390" s="12">
        <v>0.0</v>
      </c>
      <c r="BW390" s="12">
        <v>0.0</v>
      </c>
      <c r="BY390" s="6">
        <f t="shared" si="2"/>
        <v>2024</v>
      </c>
      <c r="BZ390" s="6" t="str">
        <f t="shared" si="3"/>
        <v>noviembre</v>
      </c>
      <c r="CA390" s="6" t="str">
        <f t="shared" si="4"/>
        <v>11</v>
      </c>
    </row>
    <row r="391">
      <c r="A391" s="8">
        <v>45598.0</v>
      </c>
      <c r="B391" s="12">
        <v>0.0</v>
      </c>
      <c r="C391" s="12">
        <v>0.0</v>
      </c>
      <c r="D391" s="12"/>
      <c r="E391" s="12">
        <v>0.0</v>
      </c>
      <c r="F391" s="12">
        <v>0.0</v>
      </c>
      <c r="G391" s="12">
        <v>0.0</v>
      </c>
      <c r="H391" s="12">
        <f t="shared" si="120"/>
        <v>0</v>
      </c>
      <c r="I391" s="12">
        <v>0.0</v>
      </c>
      <c r="J391" s="12">
        <v>0.0</v>
      </c>
      <c r="K391" s="12"/>
      <c r="L391" s="12">
        <v>0.0</v>
      </c>
      <c r="M391" s="12">
        <v>0.0</v>
      </c>
      <c r="N391" s="12">
        <v>0.0</v>
      </c>
      <c r="O391" s="16">
        <f t="shared" si="97"/>
        <v>0</v>
      </c>
      <c r="P391" s="12">
        <v>0.0</v>
      </c>
      <c r="Q391" s="12">
        <v>0.0</v>
      </c>
      <c r="R391" s="12"/>
      <c r="S391" s="12">
        <v>0.0</v>
      </c>
      <c r="T391" s="12">
        <v>0.0</v>
      </c>
      <c r="U391" s="12">
        <v>0.0</v>
      </c>
      <c r="V391" s="16">
        <f t="shared" si="122"/>
        <v>0</v>
      </c>
      <c r="W391" s="12">
        <v>0.0</v>
      </c>
      <c r="X391" s="12">
        <v>0.0</v>
      </c>
      <c r="Y391" s="12"/>
      <c r="Z391" s="12">
        <v>0.0</v>
      </c>
      <c r="AA391" s="12">
        <v>0.0</v>
      </c>
      <c r="AB391" s="12">
        <v>0.0</v>
      </c>
      <c r="AC391" s="16">
        <f t="shared" si="117"/>
        <v>0</v>
      </c>
      <c r="AD391" s="12"/>
      <c r="AE391" s="12"/>
      <c r="AF391" s="12">
        <v>0.0</v>
      </c>
      <c r="AG391" s="12">
        <v>0.0</v>
      </c>
      <c r="AH391" s="12"/>
      <c r="AI391" s="12">
        <v>0.0</v>
      </c>
      <c r="AJ391" s="12">
        <v>0.0</v>
      </c>
      <c r="AK391" s="12">
        <v>0.0</v>
      </c>
      <c r="AL391" s="12">
        <f t="shared" si="124"/>
        <v>0</v>
      </c>
      <c r="AM391" s="12">
        <v>0.0</v>
      </c>
      <c r="AN391" s="12">
        <v>0.0</v>
      </c>
      <c r="AO391" s="12"/>
      <c r="AP391" s="12">
        <v>0.0</v>
      </c>
      <c r="AQ391" s="12">
        <v>0.0</v>
      </c>
      <c r="AR391" s="12">
        <v>0.0</v>
      </c>
      <c r="AS391" s="12">
        <f t="shared" si="123"/>
        <v>0</v>
      </c>
      <c r="AT391" s="16">
        <f t="shared" ref="AT391:AT480" si="126">IF(AS391+AL391+AC391+V391+O391="","",AS391+AL391+AC391+V391+O391)</f>
        <v>0</v>
      </c>
      <c r="AU391" s="18">
        <f t="shared" ref="AU391:AU419" si="127">IF(AT391="","",AT391+AU390)</f>
        <v>0</v>
      </c>
      <c r="AV391" s="18"/>
      <c r="AW391" s="18"/>
      <c r="AX391" s="12">
        <f t="shared" si="1"/>
        <v>0</v>
      </c>
      <c r="AY391" s="12"/>
      <c r="AZ391" s="12">
        <v>0.0</v>
      </c>
      <c r="BA391" s="18">
        <f t="shared" ref="BA391:BA419" si="128">IF(AZ391="","",AZ391+BA390)</f>
        <v>0</v>
      </c>
      <c r="BB391" s="10">
        <f t="shared" si="16"/>
        <v>0</v>
      </c>
      <c r="BC391" s="16">
        <f t="shared" si="88"/>
        <v>133035.8117</v>
      </c>
      <c r="BD391" s="16"/>
      <c r="BE391" s="16"/>
      <c r="BF391" s="6"/>
      <c r="BG391" s="6"/>
      <c r="BH391" s="6"/>
      <c r="BI391" s="29">
        <f t="shared" si="125"/>
        <v>27333.33333</v>
      </c>
      <c r="BJ391" s="6"/>
      <c r="BK391" s="15">
        <f t="shared" si="76"/>
        <v>0</v>
      </c>
      <c r="BN391" s="16">
        <f t="shared" si="14"/>
        <v>-27333.33333</v>
      </c>
      <c r="BO391" s="16">
        <f t="shared" ref="BO391:BO419" si="129">IF(AT391="","",BN391+BO390)</f>
        <v>-54666.66667</v>
      </c>
      <c r="BQ391" s="12">
        <v>0.0</v>
      </c>
      <c r="BR391" s="12">
        <v>0.0</v>
      </c>
      <c r="BS391" s="12">
        <v>0.0</v>
      </c>
      <c r="BT391" s="12">
        <v>0.0</v>
      </c>
      <c r="BU391" s="12">
        <v>0.0</v>
      </c>
      <c r="BV391" s="12">
        <v>0.0</v>
      </c>
      <c r="BW391" s="12">
        <v>0.0</v>
      </c>
      <c r="BY391" s="6">
        <f t="shared" si="2"/>
        <v>2024</v>
      </c>
      <c r="BZ391" s="6" t="str">
        <f t="shared" si="3"/>
        <v>noviembre</v>
      </c>
      <c r="CA391" s="6" t="str">
        <f t="shared" si="4"/>
        <v>11</v>
      </c>
    </row>
    <row r="392">
      <c r="A392" s="8">
        <v>45599.0</v>
      </c>
      <c r="B392" s="12">
        <v>0.0</v>
      </c>
      <c r="C392" s="12">
        <v>0.0</v>
      </c>
      <c r="D392" s="12"/>
      <c r="E392" s="12">
        <v>0.0</v>
      </c>
      <c r="F392" s="12">
        <v>0.0</v>
      </c>
      <c r="G392" s="12">
        <v>0.0</v>
      </c>
      <c r="H392" s="12">
        <f t="shared" si="120"/>
        <v>0</v>
      </c>
      <c r="I392" s="12">
        <v>0.0</v>
      </c>
      <c r="J392" s="12">
        <v>0.0</v>
      </c>
      <c r="K392" s="12"/>
      <c r="L392" s="12">
        <v>0.0</v>
      </c>
      <c r="M392" s="12">
        <v>0.0</v>
      </c>
      <c r="N392" s="12">
        <v>0.0</v>
      </c>
      <c r="O392" s="16">
        <f t="shared" si="97"/>
        <v>0</v>
      </c>
      <c r="P392" s="12">
        <v>0.0</v>
      </c>
      <c r="Q392" s="12">
        <v>0.0</v>
      </c>
      <c r="R392" s="12"/>
      <c r="S392" s="12">
        <v>0.0</v>
      </c>
      <c r="T392" s="12">
        <v>0.0</v>
      </c>
      <c r="U392" s="12">
        <v>0.0</v>
      </c>
      <c r="V392" s="16">
        <f t="shared" si="122"/>
        <v>0</v>
      </c>
      <c r="W392" s="12">
        <v>0.0</v>
      </c>
      <c r="X392" s="12">
        <v>0.0</v>
      </c>
      <c r="Y392" s="12"/>
      <c r="Z392" s="12">
        <v>0.0</v>
      </c>
      <c r="AA392" s="12">
        <v>0.0</v>
      </c>
      <c r="AB392" s="12">
        <v>0.0</v>
      </c>
      <c r="AC392" s="16">
        <f t="shared" si="117"/>
        <v>0</v>
      </c>
      <c r="AD392" s="12"/>
      <c r="AE392" s="12"/>
      <c r="AF392" s="12">
        <v>0.0</v>
      </c>
      <c r="AG392" s="12">
        <v>0.0</v>
      </c>
      <c r="AH392" s="12"/>
      <c r="AI392" s="12">
        <v>0.0</v>
      </c>
      <c r="AJ392" s="12">
        <v>0.0</v>
      </c>
      <c r="AK392" s="12">
        <v>0.0</v>
      </c>
      <c r="AL392" s="12">
        <f t="shared" si="124"/>
        <v>0</v>
      </c>
      <c r="AM392" s="12">
        <v>0.0</v>
      </c>
      <c r="AN392" s="12">
        <v>0.0</v>
      </c>
      <c r="AO392" s="12"/>
      <c r="AP392" s="12">
        <v>0.0</v>
      </c>
      <c r="AQ392" s="12">
        <v>0.0</v>
      </c>
      <c r="AR392" s="12">
        <v>0.0</v>
      </c>
      <c r="AS392" s="12">
        <f t="shared" si="123"/>
        <v>0</v>
      </c>
      <c r="AT392" s="16">
        <f t="shared" si="126"/>
        <v>0</v>
      </c>
      <c r="AU392" s="18">
        <f t="shared" si="127"/>
        <v>0</v>
      </c>
      <c r="AV392" s="18"/>
      <c r="AW392" s="18"/>
      <c r="AX392" s="12">
        <f t="shared" si="1"/>
        <v>0</v>
      </c>
      <c r="AY392" s="12"/>
      <c r="AZ392" s="12">
        <v>0.0</v>
      </c>
      <c r="BA392" s="18">
        <f t="shared" si="128"/>
        <v>0</v>
      </c>
      <c r="BB392" s="10">
        <f t="shared" si="16"/>
        <v>0</v>
      </c>
      <c r="BC392" s="16">
        <f t="shared" si="88"/>
        <v>151708.7194</v>
      </c>
      <c r="BD392" s="16"/>
      <c r="BE392" s="16"/>
      <c r="BF392" s="6"/>
      <c r="BG392" s="6"/>
      <c r="BH392" s="6"/>
      <c r="BI392" s="29">
        <f t="shared" si="125"/>
        <v>27333.33333</v>
      </c>
      <c r="BJ392" s="6"/>
      <c r="BK392" s="15">
        <f t="shared" si="76"/>
        <v>0</v>
      </c>
      <c r="BN392" s="16">
        <f t="shared" si="14"/>
        <v>-27333.33333</v>
      </c>
      <c r="BO392" s="16">
        <f t="shared" si="129"/>
        <v>-82000</v>
      </c>
      <c r="BQ392" s="12">
        <v>0.0</v>
      </c>
      <c r="BR392" s="12">
        <v>0.0</v>
      </c>
      <c r="BS392" s="12">
        <v>0.0</v>
      </c>
      <c r="BT392" s="12">
        <v>0.0</v>
      </c>
      <c r="BU392" s="12">
        <v>0.0</v>
      </c>
      <c r="BV392" s="12">
        <v>0.0</v>
      </c>
      <c r="BW392" s="12">
        <v>0.0</v>
      </c>
      <c r="BY392" s="6">
        <f t="shared" si="2"/>
        <v>2024</v>
      </c>
      <c r="BZ392" s="6" t="str">
        <f t="shared" si="3"/>
        <v>noviembre</v>
      </c>
      <c r="CA392" s="6" t="str">
        <f t="shared" si="4"/>
        <v>11</v>
      </c>
    </row>
    <row r="393">
      <c r="A393" s="8">
        <v>45600.0</v>
      </c>
      <c r="B393" s="12">
        <v>2500.0</v>
      </c>
      <c r="C393" s="12">
        <v>1200.0</v>
      </c>
      <c r="D393" s="12"/>
      <c r="E393" s="12">
        <v>0.0</v>
      </c>
      <c r="F393" s="12">
        <v>0.0</v>
      </c>
      <c r="G393" s="12">
        <v>0.0</v>
      </c>
      <c r="H393" s="12">
        <f t="shared" si="120"/>
        <v>3700</v>
      </c>
      <c r="I393" s="12">
        <v>13000.0</v>
      </c>
      <c r="J393" s="12">
        <v>2530.0</v>
      </c>
      <c r="K393" s="12"/>
      <c r="L393" s="12">
        <v>0.0</v>
      </c>
      <c r="M393" s="12">
        <v>0.0</v>
      </c>
      <c r="N393" s="12">
        <v>0.0</v>
      </c>
      <c r="O393" s="16">
        <f t="shared" si="97"/>
        <v>15530</v>
      </c>
      <c r="P393" s="12">
        <v>200.0</v>
      </c>
      <c r="Q393" s="12">
        <v>150.0</v>
      </c>
      <c r="R393" s="12"/>
      <c r="S393" s="12">
        <v>0.0</v>
      </c>
      <c r="T393" s="12">
        <v>0.0</v>
      </c>
      <c r="U393" s="12">
        <v>0.0</v>
      </c>
      <c r="V393" s="16">
        <f t="shared" si="122"/>
        <v>350</v>
      </c>
      <c r="W393" s="12">
        <v>250.0</v>
      </c>
      <c r="X393" s="12">
        <v>0.0</v>
      </c>
      <c r="Y393" s="12"/>
      <c r="Z393" s="12">
        <v>0.0</v>
      </c>
      <c r="AA393" s="12">
        <v>0.0</v>
      </c>
      <c r="AB393" s="12">
        <v>0.0</v>
      </c>
      <c r="AC393" s="16">
        <f t="shared" si="117"/>
        <v>250</v>
      </c>
      <c r="AD393" s="12"/>
      <c r="AE393" s="12"/>
      <c r="AF393" s="12">
        <v>260.0</v>
      </c>
      <c r="AG393" s="12">
        <v>200.0</v>
      </c>
      <c r="AH393" s="12"/>
      <c r="AI393" s="12">
        <v>0.0</v>
      </c>
      <c r="AJ393" s="12">
        <v>0.0</v>
      </c>
      <c r="AK393" s="12">
        <v>0.0</v>
      </c>
      <c r="AL393" s="12">
        <f t="shared" si="124"/>
        <v>460</v>
      </c>
      <c r="AM393" s="12">
        <v>0.0</v>
      </c>
      <c r="AN393" s="12">
        <v>0.0</v>
      </c>
      <c r="AO393" s="12"/>
      <c r="AP393" s="12">
        <v>0.0</v>
      </c>
      <c r="AQ393" s="12">
        <v>0.0</v>
      </c>
      <c r="AR393" s="12">
        <v>0.0</v>
      </c>
      <c r="AS393" s="12">
        <f t="shared" si="123"/>
        <v>0</v>
      </c>
      <c r="AT393" s="16">
        <f t="shared" si="126"/>
        <v>16590</v>
      </c>
      <c r="AU393" s="18">
        <f t="shared" si="127"/>
        <v>16590</v>
      </c>
      <c r="AV393" s="18"/>
      <c r="AW393" s="18"/>
      <c r="AX393" s="12">
        <f t="shared" si="1"/>
        <v>16590</v>
      </c>
      <c r="AY393" s="12"/>
      <c r="AZ393" s="12">
        <v>320.0</v>
      </c>
      <c r="BA393" s="18">
        <f t="shared" si="128"/>
        <v>320</v>
      </c>
      <c r="BB393" s="10">
        <f t="shared" si="16"/>
        <v>124425</v>
      </c>
      <c r="BC393" s="16">
        <f t="shared" si="88"/>
        <v>0</v>
      </c>
      <c r="BD393" s="16"/>
      <c r="BE393" s="16"/>
      <c r="BF393" s="6"/>
      <c r="BG393" s="6"/>
      <c r="BH393" s="6"/>
      <c r="BI393" s="29">
        <f t="shared" si="125"/>
        <v>27333.33333</v>
      </c>
      <c r="BJ393" s="6"/>
      <c r="BK393" s="15">
        <f t="shared" si="76"/>
        <v>0.6069512195</v>
      </c>
      <c r="BN393" s="16">
        <f t="shared" si="14"/>
        <v>-10743.33333</v>
      </c>
      <c r="BO393" s="16">
        <f t="shared" si="129"/>
        <v>-92743.33333</v>
      </c>
      <c r="BQ393" s="12">
        <v>18482.39</v>
      </c>
      <c r="BR393" s="12">
        <v>15086.67</v>
      </c>
      <c r="BS393" s="12">
        <v>6824.6</v>
      </c>
      <c r="BT393" s="12">
        <v>2.92</v>
      </c>
      <c r="BU393" s="12">
        <v>2073.1</v>
      </c>
      <c r="BV393" s="12">
        <v>13794.0</v>
      </c>
      <c r="BW393" s="16">
        <f t="shared" ref="BW393:BW395" si="130">BV393+BU393+BT393+BS393+BR393</f>
        <v>37781.29</v>
      </c>
      <c r="BY393" s="6">
        <f t="shared" si="2"/>
        <v>2024</v>
      </c>
      <c r="BZ393" s="6" t="str">
        <f t="shared" si="3"/>
        <v>noviembre</v>
      </c>
      <c r="CA393" s="6" t="str">
        <f t="shared" si="4"/>
        <v>11</v>
      </c>
    </row>
    <row r="394">
      <c r="A394" s="8">
        <v>45601.0</v>
      </c>
      <c r="B394" s="12">
        <v>1200.0</v>
      </c>
      <c r="C394" s="12">
        <v>500.0</v>
      </c>
      <c r="D394" s="12"/>
      <c r="E394" s="12">
        <v>0.0</v>
      </c>
      <c r="F394" s="12">
        <v>0.0</v>
      </c>
      <c r="G394" s="12">
        <v>0.0</v>
      </c>
      <c r="H394" s="12">
        <f t="shared" si="120"/>
        <v>1700</v>
      </c>
      <c r="I394" s="12">
        <v>8000.0</v>
      </c>
      <c r="J394" s="12">
        <v>3000.0</v>
      </c>
      <c r="K394" s="12"/>
      <c r="L394" s="12">
        <v>0.0</v>
      </c>
      <c r="M394" s="12">
        <v>0.0</v>
      </c>
      <c r="N394" s="12">
        <v>0.0</v>
      </c>
      <c r="O394" s="16">
        <f t="shared" si="97"/>
        <v>11000</v>
      </c>
      <c r="P394" s="12">
        <v>120.0</v>
      </c>
      <c r="Q394" s="12">
        <v>100.0</v>
      </c>
      <c r="R394" s="12"/>
      <c r="S394" s="12">
        <v>0.0</v>
      </c>
      <c r="T394" s="12">
        <v>0.0</v>
      </c>
      <c r="U394" s="12">
        <v>0.0</v>
      </c>
      <c r="V394" s="16">
        <f t="shared" si="122"/>
        <v>220</v>
      </c>
      <c r="W394" s="12">
        <v>5.0</v>
      </c>
      <c r="X394" s="12">
        <v>0.0</v>
      </c>
      <c r="Y394" s="12"/>
      <c r="Z394" s="12">
        <v>0.0</v>
      </c>
      <c r="AA394" s="12">
        <v>0.0</v>
      </c>
      <c r="AB394" s="12">
        <v>0.0</v>
      </c>
      <c r="AC394" s="16">
        <f t="shared" si="117"/>
        <v>5</v>
      </c>
      <c r="AD394" s="12"/>
      <c r="AE394" s="12"/>
      <c r="AF394" s="12">
        <v>50.9</v>
      </c>
      <c r="AG394" s="12">
        <v>0.0</v>
      </c>
      <c r="AH394" s="12"/>
      <c r="AI394" s="12">
        <v>0.0</v>
      </c>
      <c r="AJ394" s="12">
        <v>0.0</v>
      </c>
      <c r="AK394" s="12">
        <v>0.0</v>
      </c>
      <c r="AL394" s="12">
        <f t="shared" si="124"/>
        <v>50.9</v>
      </c>
      <c r="AM394" s="12">
        <v>0.0</v>
      </c>
      <c r="AN394" s="12">
        <v>0.0</v>
      </c>
      <c r="AO394" s="12"/>
      <c r="AP394" s="12">
        <v>0.0</v>
      </c>
      <c r="AQ394" s="12">
        <v>0.0</v>
      </c>
      <c r="AR394" s="12">
        <v>0.0</v>
      </c>
      <c r="AS394" s="12">
        <f t="shared" si="123"/>
        <v>0</v>
      </c>
      <c r="AT394" s="16">
        <f t="shared" si="126"/>
        <v>11275.9</v>
      </c>
      <c r="AU394" s="18">
        <f t="shared" si="127"/>
        <v>27865.9</v>
      </c>
      <c r="AV394" s="18"/>
      <c r="AW394" s="18"/>
      <c r="AX394" s="12">
        <f t="shared" si="1"/>
        <v>11275.9</v>
      </c>
      <c r="AY394" s="12"/>
      <c r="AZ394" s="12">
        <v>260.0</v>
      </c>
      <c r="BA394" s="18">
        <f t="shared" si="128"/>
        <v>580</v>
      </c>
      <c r="BB394" s="10">
        <f t="shared" si="16"/>
        <v>167195.4</v>
      </c>
      <c r="BC394" s="16">
        <f t="shared" si="88"/>
        <v>0</v>
      </c>
      <c r="BD394" s="16"/>
      <c r="BE394" s="16"/>
      <c r="BF394" s="6"/>
      <c r="BG394" s="6"/>
      <c r="BH394" s="6"/>
      <c r="BI394" s="29">
        <f t="shared" si="125"/>
        <v>27333.33333</v>
      </c>
      <c r="BJ394" s="6"/>
      <c r="BK394" s="15">
        <f t="shared" si="76"/>
        <v>0.4125329268</v>
      </c>
      <c r="BN394" s="16">
        <f t="shared" si="14"/>
        <v>-16057.43333</v>
      </c>
      <c r="BO394" s="16">
        <f t="shared" si="129"/>
        <v>-108800.7667</v>
      </c>
      <c r="BQ394" s="12">
        <v>2716.62</v>
      </c>
      <c r="BR394" s="12">
        <v>884.03</v>
      </c>
      <c r="BS394" s="12">
        <f>788.16+6720</f>
        <v>7508.16</v>
      </c>
      <c r="BT394" s="12">
        <v>1753.59</v>
      </c>
      <c r="BU394" s="12">
        <v>86.46</v>
      </c>
      <c r="BV394" s="12">
        <v>1788.0</v>
      </c>
      <c r="BW394" s="16">
        <f t="shared" si="130"/>
        <v>12020.24</v>
      </c>
      <c r="BY394" s="6">
        <f t="shared" si="2"/>
        <v>2024</v>
      </c>
      <c r="BZ394" s="6" t="str">
        <f t="shared" si="3"/>
        <v>noviembre</v>
      </c>
      <c r="CA394" s="6" t="str">
        <f t="shared" si="4"/>
        <v>11</v>
      </c>
    </row>
    <row r="395">
      <c r="A395" s="8">
        <v>45602.0</v>
      </c>
      <c r="B395" s="12">
        <v>41779.28</v>
      </c>
      <c r="C395" s="12">
        <v>22074.58</v>
      </c>
      <c r="D395" s="12"/>
      <c r="E395" s="12">
        <v>0.0</v>
      </c>
      <c r="F395" s="12">
        <v>0.0</v>
      </c>
      <c r="G395" s="12">
        <v>0.0</v>
      </c>
      <c r="H395" s="12">
        <f t="shared" si="120"/>
        <v>63853.86</v>
      </c>
      <c r="I395" s="12">
        <v>8520.0</v>
      </c>
      <c r="J395" s="12">
        <v>1601.63</v>
      </c>
      <c r="K395" s="12"/>
      <c r="L395" s="12">
        <v>0.0</v>
      </c>
      <c r="M395" s="12">
        <v>0.0</v>
      </c>
      <c r="N395" s="12">
        <v>0.0</v>
      </c>
      <c r="O395" s="16">
        <f t="shared" si="97"/>
        <v>10121.63</v>
      </c>
      <c r="P395" s="12">
        <v>15291.17</v>
      </c>
      <c r="Q395" s="12">
        <v>1061.69</v>
      </c>
      <c r="R395" s="12"/>
      <c r="S395" s="12">
        <v>0.0</v>
      </c>
      <c r="T395" s="12">
        <v>0.0</v>
      </c>
      <c r="U395" s="12">
        <v>0.0</v>
      </c>
      <c r="V395" s="16">
        <f t="shared" si="122"/>
        <v>16352.86</v>
      </c>
      <c r="W395" s="12">
        <v>2860.57</v>
      </c>
      <c r="X395" s="12">
        <v>13368.12</v>
      </c>
      <c r="Y395" s="12"/>
      <c r="Z395" s="12">
        <v>0.0</v>
      </c>
      <c r="AA395" s="12">
        <v>0.0</v>
      </c>
      <c r="AB395" s="12">
        <v>0.0</v>
      </c>
      <c r="AC395" s="16">
        <f t="shared" si="117"/>
        <v>16228.69</v>
      </c>
      <c r="AD395" s="12"/>
      <c r="AE395" s="12"/>
      <c r="AF395" s="12">
        <v>46.46</v>
      </c>
      <c r="AG395" s="12">
        <v>1727.26</v>
      </c>
      <c r="AH395" s="12"/>
      <c r="AI395" s="12">
        <v>0.0</v>
      </c>
      <c r="AJ395" s="12">
        <v>0.0</v>
      </c>
      <c r="AK395" s="12">
        <v>0.0</v>
      </c>
      <c r="AL395" s="12">
        <f t="shared" si="124"/>
        <v>1773.72</v>
      </c>
      <c r="AM395" s="12">
        <v>4052.0</v>
      </c>
      <c r="AN395" s="12">
        <v>0.0</v>
      </c>
      <c r="AO395" s="12"/>
      <c r="AP395" s="12">
        <v>0.0</v>
      </c>
      <c r="AQ395" s="12">
        <v>0.0</v>
      </c>
      <c r="AR395" s="12">
        <v>0.0</v>
      </c>
      <c r="AS395" s="12">
        <f t="shared" si="123"/>
        <v>4052</v>
      </c>
      <c r="AT395" s="16">
        <f t="shared" si="126"/>
        <v>48528.9</v>
      </c>
      <c r="AU395" s="18">
        <f t="shared" si="127"/>
        <v>76394.8</v>
      </c>
      <c r="AV395" s="18"/>
      <c r="AW395" s="18"/>
      <c r="AX395" s="12">
        <f t="shared" si="1"/>
        <v>48528.9</v>
      </c>
      <c r="AY395" s="12"/>
      <c r="AZ395" s="12">
        <v>1049.35</v>
      </c>
      <c r="BA395" s="18">
        <f t="shared" si="128"/>
        <v>1629.35</v>
      </c>
      <c r="BB395" s="10">
        <f t="shared" si="16"/>
        <v>381974</v>
      </c>
      <c r="BC395" s="16">
        <f t="shared" si="88"/>
        <v>0</v>
      </c>
      <c r="BD395" s="16"/>
      <c r="BE395" s="16"/>
      <c r="BF395" s="6"/>
      <c r="BG395" s="6"/>
      <c r="BH395" s="6"/>
      <c r="BI395" s="29">
        <f t="shared" si="125"/>
        <v>27333.33333</v>
      </c>
      <c r="BK395" s="15">
        <f t="shared" si="76"/>
        <v>1.775447561</v>
      </c>
      <c r="BN395" s="16">
        <f t="shared" si="14"/>
        <v>21195.56667</v>
      </c>
      <c r="BO395" s="16">
        <f t="shared" si="129"/>
        <v>-87605.2</v>
      </c>
      <c r="BQ395" s="16"/>
      <c r="BR395" s="16"/>
      <c r="BS395" s="16"/>
      <c r="BT395" s="16"/>
      <c r="BU395" s="16"/>
      <c r="BV395" s="16"/>
      <c r="BW395" s="16">
        <f t="shared" si="130"/>
        <v>0</v>
      </c>
      <c r="BY395" s="6">
        <f t="shared" si="2"/>
        <v>2024</v>
      </c>
      <c r="BZ395" s="6" t="str">
        <f t="shared" si="3"/>
        <v>noviembre</v>
      </c>
      <c r="CA395" s="6" t="str">
        <f t="shared" si="4"/>
        <v>11</v>
      </c>
    </row>
    <row r="396">
      <c r="A396" s="8">
        <v>45603.0</v>
      </c>
      <c r="B396" s="12">
        <v>31080.45</v>
      </c>
      <c r="C396" s="12">
        <v>971.26</v>
      </c>
      <c r="D396" s="12"/>
      <c r="E396" s="12">
        <v>0.0</v>
      </c>
      <c r="F396" s="12">
        <v>0.0</v>
      </c>
      <c r="G396" s="12">
        <v>0.0</v>
      </c>
      <c r="H396" s="12">
        <f t="shared" si="120"/>
        <v>32051.71</v>
      </c>
      <c r="I396" s="12">
        <v>17996.0</v>
      </c>
      <c r="J396" s="12">
        <v>1473.72</v>
      </c>
      <c r="K396" s="12"/>
      <c r="L396" s="12">
        <v>0.0</v>
      </c>
      <c r="M396" s="12">
        <v>0.0</v>
      </c>
      <c r="N396" s="12">
        <v>0.0</v>
      </c>
      <c r="O396" s="16">
        <f t="shared" si="97"/>
        <v>19469.72</v>
      </c>
      <c r="P396" s="12">
        <v>6621.91</v>
      </c>
      <c r="Q396" s="12">
        <v>542.82</v>
      </c>
      <c r="R396" s="12"/>
      <c r="S396" s="12">
        <v>0.0</v>
      </c>
      <c r="T396" s="12">
        <v>0.0</v>
      </c>
      <c r="U396" s="12">
        <v>0.0</v>
      </c>
      <c r="V396" s="16">
        <f t="shared" si="122"/>
        <v>7164.73</v>
      </c>
      <c r="W396" s="12">
        <v>366.85</v>
      </c>
      <c r="X396" s="12">
        <v>0.0</v>
      </c>
      <c r="Y396" s="12"/>
      <c r="Z396" s="12">
        <v>0.0</v>
      </c>
      <c r="AA396" s="12">
        <v>0.0</v>
      </c>
      <c r="AB396" s="12">
        <v>0.0</v>
      </c>
      <c r="AC396" s="16">
        <f t="shared" si="117"/>
        <v>366.85</v>
      </c>
      <c r="AD396" s="12"/>
      <c r="AE396" s="12"/>
      <c r="AF396" s="12">
        <v>1019.87</v>
      </c>
      <c r="AG396" s="12">
        <v>974.26</v>
      </c>
      <c r="AH396" s="12"/>
      <c r="AI396" s="12">
        <v>0.0</v>
      </c>
      <c r="AJ396" s="12">
        <v>0.0</v>
      </c>
      <c r="AK396" s="12">
        <v>0.0</v>
      </c>
      <c r="AL396" s="12">
        <f t="shared" si="124"/>
        <v>1994.13</v>
      </c>
      <c r="AM396" s="12">
        <v>0.0</v>
      </c>
      <c r="AN396" s="12">
        <v>0.0</v>
      </c>
      <c r="AO396" s="12"/>
      <c r="AP396" s="12">
        <v>0.0</v>
      </c>
      <c r="AQ396" s="12">
        <v>0.0</v>
      </c>
      <c r="AR396" s="12">
        <v>0.0</v>
      </c>
      <c r="AS396" s="12">
        <v>0.0</v>
      </c>
      <c r="AT396" s="16">
        <f t="shared" si="126"/>
        <v>28995.43</v>
      </c>
      <c r="AU396" s="18">
        <f t="shared" si="127"/>
        <v>105390.23</v>
      </c>
      <c r="AV396" s="18"/>
      <c r="AW396" s="18"/>
      <c r="AX396" s="12">
        <f t="shared" si="1"/>
        <v>28995.43</v>
      </c>
      <c r="AY396" s="12"/>
      <c r="AZ396" s="12">
        <v>4010.97</v>
      </c>
      <c r="BA396" s="18">
        <f t="shared" si="128"/>
        <v>5640.32</v>
      </c>
      <c r="BB396" s="10">
        <f t="shared" si="16"/>
        <v>451672.4143</v>
      </c>
      <c r="BC396" s="16">
        <f t="shared" si="88"/>
        <v>20737.5</v>
      </c>
      <c r="BD396" s="16"/>
      <c r="BE396" s="16"/>
      <c r="BF396" s="6"/>
      <c r="BG396" s="6"/>
      <c r="BH396" s="6"/>
      <c r="BI396" s="29">
        <f t="shared" si="125"/>
        <v>27333.33333</v>
      </c>
      <c r="BK396" s="15">
        <f t="shared" si="76"/>
        <v>1.060808415</v>
      </c>
      <c r="BN396" s="16">
        <f t="shared" si="14"/>
        <v>1662.096667</v>
      </c>
      <c r="BO396" s="16">
        <f t="shared" si="129"/>
        <v>-85943.10333</v>
      </c>
      <c r="BY396" s="6">
        <f t="shared" si="2"/>
        <v>2024</v>
      </c>
      <c r="BZ396" s="6" t="str">
        <f t="shared" si="3"/>
        <v>noviembre</v>
      </c>
      <c r="CA396" s="6" t="str">
        <f t="shared" si="4"/>
        <v>11</v>
      </c>
    </row>
    <row r="397">
      <c r="A397" s="8">
        <v>45604.0</v>
      </c>
      <c r="B397" s="12">
        <v>101918.37</v>
      </c>
      <c r="C397" s="12">
        <v>27764.2</v>
      </c>
      <c r="D397" s="12"/>
      <c r="E397" s="12">
        <v>0.0</v>
      </c>
      <c r="F397" s="12">
        <v>0.0</v>
      </c>
      <c r="G397" s="12">
        <v>0.0</v>
      </c>
      <c r="H397" s="12">
        <f t="shared" si="120"/>
        <v>129682.57</v>
      </c>
      <c r="I397" s="12">
        <v>9650.0</v>
      </c>
      <c r="J397" s="12">
        <v>1448.57</v>
      </c>
      <c r="K397" s="12"/>
      <c r="L397" s="12">
        <v>0.0</v>
      </c>
      <c r="M397" s="12">
        <v>0.0</v>
      </c>
      <c r="N397" s="12">
        <v>0.0</v>
      </c>
      <c r="O397" s="16">
        <f t="shared" si="97"/>
        <v>11098.57</v>
      </c>
      <c r="P397" s="12">
        <v>3747.62</v>
      </c>
      <c r="Q397" s="12">
        <v>705.17</v>
      </c>
      <c r="R397" s="12"/>
      <c r="S397" s="12">
        <v>0.0</v>
      </c>
      <c r="T397" s="12">
        <v>0.0</v>
      </c>
      <c r="U397" s="12">
        <v>0.0</v>
      </c>
      <c r="V397" s="16">
        <f t="shared" si="122"/>
        <v>4452.79</v>
      </c>
      <c r="W397" s="12">
        <v>19137.12</v>
      </c>
      <c r="X397" s="12">
        <v>5530.12</v>
      </c>
      <c r="Y397" s="12"/>
      <c r="Z397" s="12">
        <v>0.0</v>
      </c>
      <c r="AA397" s="12">
        <v>0.0</v>
      </c>
      <c r="AB397" s="12">
        <v>0.0</v>
      </c>
      <c r="AC397" s="16">
        <f t="shared" si="117"/>
        <v>24667.24</v>
      </c>
      <c r="AD397" s="12"/>
      <c r="AE397" s="12"/>
      <c r="AF397" s="12">
        <v>1797.8</v>
      </c>
      <c r="AG397" s="12">
        <v>579.19</v>
      </c>
      <c r="AH397" s="12"/>
      <c r="AI397" s="12">
        <v>0.0</v>
      </c>
      <c r="AJ397" s="12">
        <v>0.0</v>
      </c>
      <c r="AK397" s="12">
        <v>0.0</v>
      </c>
      <c r="AL397" s="12">
        <f t="shared" si="124"/>
        <v>2376.99</v>
      </c>
      <c r="AM397" s="12">
        <v>33163.0</v>
      </c>
      <c r="AN397" s="12">
        <v>4376.0</v>
      </c>
      <c r="AO397" s="12"/>
      <c r="AP397" s="12">
        <v>0.0</v>
      </c>
      <c r="AQ397" s="12">
        <v>0.0</v>
      </c>
      <c r="AR397" s="12">
        <v>0.0</v>
      </c>
      <c r="AS397" s="12">
        <v>31068.0</v>
      </c>
      <c r="AT397" s="16">
        <f t="shared" si="126"/>
        <v>73663.59</v>
      </c>
      <c r="AU397" s="18">
        <f t="shared" si="127"/>
        <v>179053.82</v>
      </c>
      <c r="AV397" s="18"/>
      <c r="AW397" s="18"/>
      <c r="AX397" s="12">
        <f t="shared" si="1"/>
        <v>73663.59</v>
      </c>
      <c r="AY397" s="12"/>
      <c r="AZ397" s="12">
        <v>3446.03</v>
      </c>
      <c r="BA397" s="18">
        <f t="shared" si="128"/>
        <v>9086.35</v>
      </c>
      <c r="BB397" s="10">
        <f t="shared" si="16"/>
        <v>671451.825</v>
      </c>
      <c r="BC397" s="16">
        <f t="shared" si="88"/>
        <v>27865.9</v>
      </c>
      <c r="BD397" s="16"/>
      <c r="BE397" s="16"/>
      <c r="BF397" s="6"/>
      <c r="BG397" s="6"/>
      <c r="BH397" s="6"/>
      <c r="BI397" s="29">
        <f t="shared" si="125"/>
        <v>27333.33333</v>
      </c>
      <c r="BK397" s="15">
        <f t="shared" si="76"/>
        <v>2.69500939</v>
      </c>
      <c r="BN397" s="16">
        <f t="shared" si="14"/>
        <v>46330.25667</v>
      </c>
      <c r="BO397" s="16">
        <f t="shared" si="129"/>
        <v>-39612.84667</v>
      </c>
      <c r="BY397" s="6">
        <f t="shared" si="2"/>
        <v>2024</v>
      </c>
      <c r="BZ397" s="6" t="str">
        <f t="shared" si="3"/>
        <v>noviembre</v>
      </c>
      <c r="CA397" s="6" t="str">
        <f t="shared" si="4"/>
        <v>11</v>
      </c>
    </row>
    <row r="398">
      <c r="A398" s="8">
        <v>45605.0</v>
      </c>
      <c r="B398" s="12">
        <v>7924.51</v>
      </c>
      <c r="C398" s="12">
        <v>0.0</v>
      </c>
      <c r="D398" s="12"/>
      <c r="E398" s="12">
        <v>1722.39</v>
      </c>
      <c r="F398" s="12">
        <v>0.0</v>
      </c>
      <c r="G398" s="12">
        <v>0.0</v>
      </c>
      <c r="H398" s="12">
        <f t="shared" si="120"/>
        <v>9646.9</v>
      </c>
      <c r="I398" s="12">
        <v>4480.63</v>
      </c>
      <c r="J398" s="12">
        <v>0.0</v>
      </c>
      <c r="K398" s="12"/>
      <c r="L398" s="12">
        <v>1722.39</v>
      </c>
      <c r="M398" s="12">
        <v>0.0</v>
      </c>
      <c r="N398" s="12">
        <v>0.0</v>
      </c>
      <c r="O398" s="16">
        <f t="shared" si="97"/>
        <v>6203.02</v>
      </c>
      <c r="P398" s="12">
        <v>2465.15</v>
      </c>
      <c r="Q398" s="12">
        <v>0.0</v>
      </c>
      <c r="R398" s="12"/>
      <c r="S398" s="12">
        <v>0.0</v>
      </c>
      <c r="T398" s="12">
        <v>0.0</v>
      </c>
      <c r="U398" s="12">
        <v>0.0</v>
      </c>
      <c r="V398" s="16">
        <f t="shared" si="122"/>
        <v>2465.15</v>
      </c>
      <c r="W398" s="12">
        <v>2.94</v>
      </c>
      <c r="X398" s="12">
        <v>0.0</v>
      </c>
      <c r="Y398" s="12"/>
      <c r="Z398" s="12">
        <v>43.69</v>
      </c>
      <c r="AA398" s="12">
        <v>0.0</v>
      </c>
      <c r="AB398" s="12">
        <v>0.0</v>
      </c>
      <c r="AC398" s="16">
        <f t="shared" si="117"/>
        <v>46.63</v>
      </c>
      <c r="AD398" s="12"/>
      <c r="AE398" s="12"/>
      <c r="AF398" s="12">
        <v>5541.79</v>
      </c>
      <c r="AG398" s="12">
        <v>0.0</v>
      </c>
      <c r="AH398" s="12"/>
      <c r="AI398" s="12">
        <v>0.0</v>
      </c>
      <c r="AJ398" s="12">
        <v>0.0</v>
      </c>
      <c r="AK398" s="12">
        <v>0.0</v>
      </c>
      <c r="AL398" s="12">
        <f t="shared" si="124"/>
        <v>5541.79</v>
      </c>
      <c r="AM398" s="12">
        <v>0.0</v>
      </c>
      <c r="AN398" s="12">
        <v>0.0</v>
      </c>
      <c r="AO398" s="12"/>
      <c r="AP398" s="12">
        <v>0.0</v>
      </c>
      <c r="AQ398" s="12">
        <v>0.0</v>
      </c>
      <c r="AR398" s="12">
        <v>0.0</v>
      </c>
      <c r="AS398" s="12">
        <f t="shared" ref="AS398:AS404" si="131">AR398+AQ398+AP398+AN398+AM398</f>
        <v>0</v>
      </c>
      <c r="AT398" s="16">
        <f t="shared" si="126"/>
        <v>14256.59</v>
      </c>
      <c r="AU398" s="18">
        <f t="shared" si="127"/>
        <v>193310.41</v>
      </c>
      <c r="AV398" s="18"/>
      <c r="AW398" s="18"/>
      <c r="AX398" s="12">
        <f t="shared" si="1"/>
        <v>14256.59</v>
      </c>
      <c r="AY398" s="12"/>
      <c r="AZ398" s="12">
        <v>1003.41</v>
      </c>
      <c r="BA398" s="18">
        <f t="shared" si="128"/>
        <v>10089.76</v>
      </c>
      <c r="BB398" s="10">
        <f t="shared" si="16"/>
        <v>644368.0333</v>
      </c>
      <c r="BC398" s="16">
        <f t="shared" si="88"/>
        <v>63662.33333</v>
      </c>
      <c r="BD398" s="16"/>
      <c r="BE398" s="16"/>
      <c r="BF398" s="6"/>
      <c r="BG398" s="6"/>
      <c r="BH398" s="6"/>
      <c r="BI398" s="29">
        <f t="shared" si="125"/>
        <v>27333.33333</v>
      </c>
      <c r="BJ398" s="6"/>
      <c r="BK398" s="15">
        <f t="shared" si="76"/>
        <v>0.521582561</v>
      </c>
      <c r="BN398" s="16">
        <f t="shared" si="14"/>
        <v>-13076.74333</v>
      </c>
      <c r="BO398" s="16">
        <f t="shared" si="129"/>
        <v>-52689.59</v>
      </c>
      <c r="BY398" s="6">
        <f t="shared" si="2"/>
        <v>2024</v>
      </c>
      <c r="BZ398" s="6" t="str">
        <f t="shared" si="3"/>
        <v>noviembre</v>
      </c>
      <c r="CA398" s="6" t="str">
        <f t="shared" si="4"/>
        <v>11</v>
      </c>
    </row>
    <row r="399">
      <c r="A399" s="8">
        <v>45606.0</v>
      </c>
      <c r="B399" s="12">
        <v>0.0</v>
      </c>
      <c r="C399" s="12">
        <v>0.0</v>
      </c>
      <c r="D399" s="12"/>
      <c r="E399" s="12">
        <v>0.0</v>
      </c>
      <c r="F399" s="12">
        <v>0.0</v>
      </c>
      <c r="G399" s="12">
        <v>0.0</v>
      </c>
      <c r="H399" s="12">
        <f t="shared" si="120"/>
        <v>0</v>
      </c>
      <c r="I399" s="12">
        <v>0.0</v>
      </c>
      <c r="J399" s="12">
        <v>0.0</v>
      </c>
      <c r="K399" s="12"/>
      <c r="L399" s="12">
        <v>0.0</v>
      </c>
      <c r="M399" s="12">
        <v>0.0</v>
      </c>
      <c r="N399" s="12">
        <v>0.0</v>
      </c>
      <c r="O399" s="16">
        <f t="shared" si="97"/>
        <v>0</v>
      </c>
      <c r="P399" s="12">
        <v>0.0</v>
      </c>
      <c r="Q399" s="12">
        <v>0.0</v>
      </c>
      <c r="R399" s="12"/>
      <c r="S399" s="12">
        <v>0.0</v>
      </c>
      <c r="T399" s="12">
        <v>0.0</v>
      </c>
      <c r="U399" s="12">
        <v>0.0</v>
      </c>
      <c r="V399" s="16">
        <f t="shared" si="122"/>
        <v>0</v>
      </c>
      <c r="W399" s="12">
        <v>0.0</v>
      </c>
      <c r="X399" s="12">
        <v>0.0</v>
      </c>
      <c r="Y399" s="12"/>
      <c r="Z399" s="12">
        <v>0.0</v>
      </c>
      <c r="AA399" s="12">
        <v>0.0</v>
      </c>
      <c r="AB399" s="12">
        <v>0.0</v>
      </c>
      <c r="AC399" s="16">
        <f t="shared" si="117"/>
        <v>0</v>
      </c>
      <c r="AD399" s="12"/>
      <c r="AE399" s="12"/>
      <c r="AF399" s="12">
        <v>0.0</v>
      </c>
      <c r="AG399" s="12">
        <v>0.0</v>
      </c>
      <c r="AH399" s="12"/>
      <c r="AI399" s="12">
        <v>0.0</v>
      </c>
      <c r="AJ399" s="12">
        <v>0.0</v>
      </c>
      <c r="AK399" s="12">
        <v>0.0</v>
      </c>
      <c r="AL399" s="12">
        <f t="shared" si="124"/>
        <v>0</v>
      </c>
      <c r="AM399" s="12">
        <v>0.0</v>
      </c>
      <c r="AN399" s="12">
        <v>0.0</v>
      </c>
      <c r="AO399" s="12"/>
      <c r="AP399" s="12">
        <v>0.0</v>
      </c>
      <c r="AQ399" s="12">
        <v>0.0</v>
      </c>
      <c r="AR399" s="12">
        <v>0.0</v>
      </c>
      <c r="AS399" s="12">
        <f t="shared" si="131"/>
        <v>0</v>
      </c>
      <c r="AT399" s="16">
        <f t="shared" si="126"/>
        <v>0</v>
      </c>
      <c r="AU399" s="18">
        <f t="shared" si="127"/>
        <v>193310.41</v>
      </c>
      <c r="AV399" s="18"/>
      <c r="AW399" s="18"/>
      <c r="AX399" s="12">
        <f t="shared" si="1"/>
        <v>0</v>
      </c>
      <c r="AY399" s="12"/>
      <c r="AZ399" s="12">
        <v>0.0</v>
      </c>
      <c r="BA399" s="18">
        <f t="shared" si="128"/>
        <v>10089.76</v>
      </c>
      <c r="BB399" s="10">
        <f t="shared" si="16"/>
        <v>579931.23</v>
      </c>
      <c r="BC399" s="16">
        <f t="shared" si="88"/>
        <v>75278.73571</v>
      </c>
      <c r="BD399" s="16"/>
      <c r="BE399" s="16"/>
      <c r="BF399" s="6"/>
      <c r="BG399" s="6"/>
      <c r="BH399" s="6"/>
      <c r="BI399" s="29">
        <f t="shared" si="125"/>
        <v>27333.33333</v>
      </c>
      <c r="BJ399" s="6"/>
      <c r="BK399" s="15">
        <f t="shared" si="76"/>
        <v>0</v>
      </c>
      <c r="BN399" s="16">
        <f t="shared" si="14"/>
        <v>-27333.33333</v>
      </c>
      <c r="BO399" s="16">
        <f t="shared" si="129"/>
        <v>-80022.92333</v>
      </c>
      <c r="BY399" s="6">
        <f t="shared" si="2"/>
        <v>2024</v>
      </c>
      <c r="BZ399" s="6" t="str">
        <f t="shared" si="3"/>
        <v>noviembre</v>
      </c>
      <c r="CA399" s="6" t="str">
        <f t="shared" si="4"/>
        <v>11</v>
      </c>
    </row>
    <row r="400">
      <c r="A400" s="8">
        <v>45607.0</v>
      </c>
      <c r="B400" s="12">
        <v>20371.79</v>
      </c>
      <c r="C400" s="12">
        <v>1956.07</v>
      </c>
      <c r="D400" s="12"/>
      <c r="E400" s="12">
        <v>0.0</v>
      </c>
      <c r="F400" s="12">
        <v>0.0</v>
      </c>
      <c r="G400" s="12">
        <v>0.0</v>
      </c>
      <c r="H400" s="12">
        <f t="shared" si="120"/>
        <v>22327.86</v>
      </c>
      <c r="I400" s="12">
        <v>12599.0</v>
      </c>
      <c r="J400" s="12">
        <v>2341.84</v>
      </c>
      <c r="K400" s="12"/>
      <c r="L400" s="12">
        <v>2185.4</v>
      </c>
      <c r="M400" s="12">
        <v>0.0</v>
      </c>
      <c r="N400" s="12">
        <v>0.0</v>
      </c>
      <c r="O400" s="16">
        <f t="shared" si="97"/>
        <v>17126.24</v>
      </c>
      <c r="P400" s="12">
        <v>4371.76</v>
      </c>
      <c r="Q400" s="12">
        <v>1050.2</v>
      </c>
      <c r="R400" s="12"/>
      <c r="S400" s="12">
        <v>0.0</v>
      </c>
      <c r="T400" s="12">
        <v>0.0</v>
      </c>
      <c r="U400" s="12">
        <v>0.0</v>
      </c>
      <c r="V400" s="16">
        <f t="shared" si="122"/>
        <v>5421.96</v>
      </c>
      <c r="W400" s="12">
        <v>7079.87</v>
      </c>
      <c r="X400" s="12">
        <v>2605.69</v>
      </c>
      <c r="Y400" s="12"/>
      <c r="Z400" s="12">
        <v>0.0</v>
      </c>
      <c r="AA400" s="12">
        <v>0.0</v>
      </c>
      <c r="AB400" s="12">
        <v>0.0</v>
      </c>
      <c r="AC400" s="16">
        <f t="shared" si="117"/>
        <v>9685.56</v>
      </c>
      <c r="AD400" s="12"/>
      <c r="AE400" s="12"/>
      <c r="AF400" s="12">
        <v>2470.22</v>
      </c>
      <c r="AG400" s="12">
        <v>0.0</v>
      </c>
      <c r="AH400" s="12"/>
      <c r="AI400" s="12">
        <v>0.0</v>
      </c>
      <c r="AJ400" s="12">
        <v>0.0</v>
      </c>
      <c r="AK400" s="12">
        <v>0.0</v>
      </c>
      <c r="AL400" s="12">
        <f t="shared" si="124"/>
        <v>2470.22</v>
      </c>
      <c r="AM400" s="12">
        <v>11078.0</v>
      </c>
      <c r="AN400" s="12">
        <v>1840.0</v>
      </c>
      <c r="AO400" s="12"/>
      <c r="AP400" s="12">
        <v>0.0</v>
      </c>
      <c r="AQ400" s="12">
        <v>0.0</v>
      </c>
      <c r="AR400" s="12">
        <v>0.0</v>
      </c>
      <c r="AS400" s="12">
        <f t="shared" si="131"/>
        <v>12918</v>
      </c>
      <c r="AT400" s="16">
        <f t="shared" si="126"/>
        <v>47621.98</v>
      </c>
      <c r="AU400" s="18">
        <f t="shared" si="127"/>
        <v>240932.39</v>
      </c>
      <c r="AV400" s="18"/>
      <c r="AW400" s="18"/>
      <c r="AX400" s="12">
        <f t="shared" si="1"/>
        <v>47621.98</v>
      </c>
      <c r="AY400" s="12"/>
      <c r="AZ400" s="12">
        <v>0.0</v>
      </c>
      <c r="BA400" s="18">
        <f t="shared" si="128"/>
        <v>10089.76</v>
      </c>
      <c r="BB400" s="10">
        <f t="shared" si="16"/>
        <v>657088.3364</v>
      </c>
      <c r="BC400" s="16">
        <f t="shared" si="88"/>
        <v>111908.6375</v>
      </c>
      <c r="BD400" s="16"/>
      <c r="BE400" s="16"/>
      <c r="BF400" s="6"/>
      <c r="BG400" s="6"/>
      <c r="BH400" s="6"/>
      <c r="BI400" s="29">
        <f t="shared" si="125"/>
        <v>27333.33333</v>
      </c>
      <c r="BK400" s="15">
        <f t="shared" si="76"/>
        <v>1.742267561</v>
      </c>
      <c r="BN400" s="16">
        <f t="shared" si="14"/>
        <v>20288.64667</v>
      </c>
      <c r="BO400" s="16">
        <f t="shared" si="129"/>
        <v>-59734.27667</v>
      </c>
      <c r="BY400" s="6">
        <f t="shared" si="2"/>
        <v>2024</v>
      </c>
      <c r="BZ400" s="6" t="str">
        <f t="shared" si="3"/>
        <v>noviembre</v>
      </c>
      <c r="CA400" s="6" t="str">
        <f t="shared" si="4"/>
        <v>11</v>
      </c>
    </row>
    <row r="401">
      <c r="A401" s="8">
        <v>45608.0</v>
      </c>
      <c r="B401" s="12">
        <v>154476.99</v>
      </c>
      <c r="C401" s="12">
        <v>592.07</v>
      </c>
      <c r="D401" s="12"/>
      <c r="E401" s="12">
        <v>2194.2</v>
      </c>
      <c r="F401" s="12">
        <v>0.0</v>
      </c>
      <c r="G401" s="12">
        <v>0.0</v>
      </c>
      <c r="H401" s="12">
        <f t="shared" si="120"/>
        <v>157263.26</v>
      </c>
      <c r="I401" s="12">
        <v>9885.3</v>
      </c>
      <c r="J401" s="12">
        <v>1960.82</v>
      </c>
      <c r="K401" s="12"/>
      <c r="L401" s="12">
        <v>16337.56</v>
      </c>
      <c r="M401" s="12">
        <v>0.0</v>
      </c>
      <c r="N401" s="12">
        <v>0.0</v>
      </c>
      <c r="O401" s="16">
        <f t="shared" si="97"/>
        <v>28183.68</v>
      </c>
      <c r="P401" s="12">
        <v>4505.43</v>
      </c>
      <c r="Q401" s="12">
        <v>477.3</v>
      </c>
      <c r="R401" s="12"/>
      <c r="S401" s="12">
        <v>0.0</v>
      </c>
      <c r="T401" s="12">
        <v>0.0</v>
      </c>
      <c r="U401" s="12">
        <v>0.0</v>
      </c>
      <c r="V401" s="16">
        <f t="shared" si="122"/>
        <v>4982.73</v>
      </c>
      <c r="W401" s="12">
        <v>4615.85</v>
      </c>
      <c r="X401" s="12">
        <v>0.0</v>
      </c>
      <c r="Y401" s="12"/>
      <c r="Z401" s="12">
        <v>0.0</v>
      </c>
      <c r="AA401" s="12">
        <v>0.0</v>
      </c>
      <c r="AB401" s="12">
        <v>0.0</v>
      </c>
      <c r="AC401" s="16">
        <f t="shared" si="117"/>
        <v>4615.85</v>
      </c>
      <c r="AD401" s="12"/>
      <c r="AE401" s="12"/>
      <c r="AF401" s="12">
        <v>718.41</v>
      </c>
      <c r="AG401" s="12">
        <v>0.0</v>
      </c>
      <c r="AH401" s="12"/>
      <c r="AI401" s="12">
        <v>0.0</v>
      </c>
      <c r="AJ401" s="12">
        <v>0.0</v>
      </c>
      <c r="AK401" s="12">
        <v>0.0</v>
      </c>
      <c r="AL401" s="12">
        <f t="shared" si="124"/>
        <v>718.41</v>
      </c>
      <c r="AM401" s="12">
        <v>3718.0</v>
      </c>
      <c r="AN401" s="12">
        <v>0.0</v>
      </c>
      <c r="AO401" s="12"/>
      <c r="AP401" s="12">
        <v>0.0</v>
      </c>
      <c r="AQ401" s="12">
        <v>0.0</v>
      </c>
      <c r="AR401" s="12">
        <v>0.0</v>
      </c>
      <c r="AS401" s="12">
        <f t="shared" si="131"/>
        <v>3718</v>
      </c>
      <c r="AT401" s="16">
        <f t="shared" si="126"/>
        <v>42218.67</v>
      </c>
      <c r="AU401" s="18">
        <f t="shared" si="127"/>
        <v>283151.06</v>
      </c>
      <c r="AV401" s="18"/>
      <c r="AW401" s="18"/>
      <c r="AX401" s="12">
        <f t="shared" si="1"/>
        <v>42218.67</v>
      </c>
      <c r="AY401" s="12"/>
      <c r="AZ401" s="12">
        <v>6531.9</v>
      </c>
      <c r="BA401" s="18">
        <f t="shared" si="128"/>
        <v>16621.66</v>
      </c>
      <c r="BB401" s="10">
        <f t="shared" si="16"/>
        <v>707877.65</v>
      </c>
      <c r="BC401" s="16">
        <f t="shared" si="88"/>
        <v>107394.6722</v>
      </c>
      <c r="BD401" s="16"/>
      <c r="BE401" s="16"/>
      <c r="BF401" s="6"/>
      <c r="BG401" s="6"/>
      <c r="BH401" s="6"/>
      <c r="BI401" s="29">
        <f t="shared" si="125"/>
        <v>27333.33333</v>
      </c>
      <c r="BK401" s="15">
        <f t="shared" si="76"/>
        <v>1.544585488</v>
      </c>
      <c r="BN401" s="16">
        <f t="shared" si="14"/>
        <v>14885.33667</v>
      </c>
      <c r="BO401" s="16">
        <f t="shared" si="129"/>
        <v>-44848.94</v>
      </c>
      <c r="BY401" s="6">
        <f t="shared" si="2"/>
        <v>2024</v>
      </c>
      <c r="BZ401" s="6" t="str">
        <f t="shared" si="3"/>
        <v>noviembre</v>
      </c>
      <c r="CA401" s="6" t="str">
        <f t="shared" si="4"/>
        <v>11</v>
      </c>
    </row>
    <row r="402">
      <c r="A402" s="8">
        <v>45609.0</v>
      </c>
      <c r="B402" s="12">
        <v>49533.71</v>
      </c>
      <c r="C402" s="12">
        <v>507.37</v>
      </c>
      <c r="D402" s="12"/>
      <c r="E402" s="12">
        <v>3322.44</v>
      </c>
      <c r="F402" s="12">
        <v>0.0</v>
      </c>
      <c r="G402" s="12">
        <v>0.0</v>
      </c>
      <c r="H402" s="12">
        <f t="shared" si="120"/>
        <v>53363.52</v>
      </c>
      <c r="I402" s="12">
        <v>3655.0</v>
      </c>
      <c r="J402" s="12">
        <v>1883.98</v>
      </c>
      <c r="K402" s="12"/>
      <c r="L402" s="12">
        <v>3322.44</v>
      </c>
      <c r="M402" s="12">
        <v>0.0</v>
      </c>
      <c r="N402" s="12">
        <v>0.0</v>
      </c>
      <c r="O402" s="16">
        <f t="shared" si="97"/>
        <v>8861.42</v>
      </c>
      <c r="P402" s="12">
        <v>2284.98</v>
      </c>
      <c r="Q402" s="12">
        <v>447.02</v>
      </c>
      <c r="R402" s="12"/>
      <c r="S402" s="12">
        <v>0.0</v>
      </c>
      <c r="T402" s="12">
        <v>0.0</v>
      </c>
      <c r="U402" s="12">
        <v>0.0</v>
      </c>
      <c r="V402" s="16">
        <f t="shared" si="122"/>
        <v>2732</v>
      </c>
      <c r="W402" s="12">
        <v>1972.23</v>
      </c>
      <c r="X402" s="12">
        <v>0.0</v>
      </c>
      <c r="Y402" s="12"/>
      <c r="Z402" s="12">
        <v>0.0</v>
      </c>
      <c r="AA402" s="12">
        <v>0.0</v>
      </c>
      <c r="AB402" s="12">
        <v>0.0</v>
      </c>
      <c r="AC402" s="16">
        <f t="shared" si="117"/>
        <v>1972.23</v>
      </c>
      <c r="AD402" s="12"/>
      <c r="AE402" s="12"/>
      <c r="AF402" s="12">
        <v>0.0</v>
      </c>
      <c r="AG402" s="12">
        <v>279.27</v>
      </c>
      <c r="AH402" s="12"/>
      <c r="AI402" s="12">
        <v>0.0</v>
      </c>
      <c r="AJ402" s="12">
        <v>0.0</v>
      </c>
      <c r="AK402" s="12">
        <v>0.0</v>
      </c>
      <c r="AL402" s="12">
        <f t="shared" si="124"/>
        <v>279.27</v>
      </c>
      <c r="AM402" s="12">
        <v>2153.0</v>
      </c>
      <c r="AN402" s="12">
        <v>0.0</v>
      </c>
      <c r="AO402" s="12"/>
      <c r="AP402" s="12">
        <v>0.0</v>
      </c>
      <c r="AQ402" s="12">
        <v>0.0</v>
      </c>
      <c r="AR402" s="12">
        <v>0.0</v>
      </c>
      <c r="AS402" s="12">
        <f t="shared" si="131"/>
        <v>2153</v>
      </c>
      <c r="AT402" s="16">
        <f t="shared" si="126"/>
        <v>15997.92</v>
      </c>
      <c r="AU402" s="18">
        <f t="shared" si="127"/>
        <v>299148.98</v>
      </c>
      <c r="AV402" s="18"/>
      <c r="AW402" s="18"/>
      <c r="AX402" s="12">
        <f t="shared" si="1"/>
        <v>15997.92</v>
      </c>
      <c r="AY402" s="12"/>
      <c r="AZ402" s="12">
        <v>810.33</v>
      </c>
      <c r="BA402" s="18">
        <f t="shared" si="128"/>
        <v>17431.99</v>
      </c>
      <c r="BB402" s="10">
        <f t="shared" si="16"/>
        <v>690343.8</v>
      </c>
      <c r="BC402" s="16">
        <f t="shared" si="88"/>
        <v>96655.205</v>
      </c>
      <c r="BD402" s="16"/>
      <c r="BE402" s="16"/>
      <c r="BF402" s="6"/>
      <c r="BG402" s="6"/>
      <c r="BH402" s="6"/>
      <c r="BI402" s="29">
        <f t="shared" si="125"/>
        <v>27333.33333</v>
      </c>
      <c r="BJ402" s="6"/>
      <c r="BK402" s="15">
        <f t="shared" si="76"/>
        <v>0.5852897561</v>
      </c>
      <c r="BN402" s="16">
        <f t="shared" si="14"/>
        <v>-11335.41333</v>
      </c>
      <c r="BO402" s="16">
        <f t="shared" si="129"/>
        <v>-56184.35333</v>
      </c>
      <c r="BY402" s="6">
        <f t="shared" si="2"/>
        <v>2024</v>
      </c>
      <c r="BZ402" s="6" t="str">
        <f t="shared" si="3"/>
        <v>noviembre</v>
      </c>
      <c r="CA402" s="6" t="str">
        <f t="shared" si="4"/>
        <v>11</v>
      </c>
    </row>
    <row r="403">
      <c r="A403" s="8">
        <v>45610.0</v>
      </c>
      <c r="B403" s="12">
        <v>15184.6</v>
      </c>
      <c r="C403" s="12">
        <v>1480.1</v>
      </c>
      <c r="D403" s="12"/>
      <c r="E403" s="12">
        <v>0.0</v>
      </c>
      <c r="F403" s="12">
        <v>0.0</v>
      </c>
      <c r="G403" s="12">
        <v>0.0</v>
      </c>
      <c r="H403" s="12">
        <f t="shared" si="120"/>
        <v>16664.7</v>
      </c>
      <c r="I403" s="12">
        <v>6100.0</v>
      </c>
      <c r="J403" s="12">
        <v>1344.18</v>
      </c>
      <c r="K403" s="12"/>
      <c r="L403" s="12">
        <v>0.0</v>
      </c>
      <c r="M403" s="12">
        <v>0.0</v>
      </c>
      <c r="N403" s="12">
        <v>0.0</v>
      </c>
      <c r="O403" s="16">
        <f t="shared" si="97"/>
        <v>7444.18</v>
      </c>
      <c r="P403" s="12">
        <v>3484.35</v>
      </c>
      <c r="Q403" s="12">
        <v>840.42</v>
      </c>
      <c r="R403" s="12"/>
      <c r="S403" s="12">
        <v>0.0</v>
      </c>
      <c r="T403" s="12">
        <v>0.0</v>
      </c>
      <c r="U403" s="12">
        <v>0.0</v>
      </c>
      <c r="V403" s="16">
        <f t="shared" si="122"/>
        <v>4324.77</v>
      </c>
      <c r="W403" s="12">
        <v>5118.62</v>
      </c>
      <c r="X403" s="12">
        <v>0.63</v>
      </c>
      <c r="Y403" s="12"/>
      <c r="Z403" s="12">
        <v>0.0</v>
      </c>
      <c r="AA403" s="12">
        <v>0.0</v>
      </c>
      <c r="AB403" s="12">
        <v>0.0</v>
      </c>
      <c r="AC403" s="16">
        <f t="shared" si="117"/>
        <v>5119.25</v>
      </c>
      <c r="AD403" s="12"/>
      <c r="AE403" s="12"/>
      <c r="AF403" s="12">
        <v>2181.4</v>
      </c>
      <c r="AG403" s="12">
        <v>901.79</v>
      </c>
      <c r="AH403" s="12"/>
      <c r="AI403" s="12">
        <v>0.0</v>
      </c>
      <c r="AJ403" s="12">
        <v>0.0</v>
      </c>
      <c r="AK403" s="12">
        <v>0.0</v>
      </c>
      <c r="AL403" s="12">
        <f t="shared" si="124"/>
        <v>3083.19</v>
      </c>
      <c r="AM403" s="12">
        <v>6872.0</v>
      </c>
      <c r="AN403" s="12">
        <v>0.0</v>
      </c>
      <c r="AO403" s="12"/>
      <c r="AP403" s="12">
        <v>0.0</v>
      </c>
      <c r="AQ403" s="12">
        <v>0.0</v>
      </c>
      <c r="AR403" s="12">
        <v>0.0</v>
      </c>
      <c r="AS403" s="12">
        <f t="shared" si="131"/>
        <v>6872</v>
      </c>
      <c r="AT403" s="16">
        <f t="shared" si="126"/>
        <v>26843.39</v>
      </c>
      <c r="AU403" s="18">
        <f t="shared" si="127"/>
        <v>325992.37</v>
      </c>
      <c r="AV403" s="18"/>
      <c r="AW403" s="18"/>
      <c r="AX403" s="12">
        <f t="shared" si="1"/>
        <v>26843.39</v>
      </c>
      <c r="AY403" s="12"/>
      <c r="AZ403" s="12">
        <v>438.39</v>
      </c>
      <c r="BA403" s="18">
        <f t="shared" si="128"/>
        <v>17870.38</v>
      </c>
      <c r="BB403" s="10">
        <f t="shared" si="16"/>
        <v>698555.0786</v>
      </c>
      <c r="BC403" s="16">
        <f t="shared" si="88"/>
        <v>109514.7227</v>
      </c>
      <c r="BD403" s="16"/>
      <c r="BE403" s="16"/>
      <c r="BF403" s="6"/>
      <c r="BG403" s="6"/>
      <c r="BH403" s="6"/>
      <c r="BI403" s="29">
        <f t="shared" si="125"/>
        <v>27333.33333</v>
      </c>
      <c r="BJ403" s="6"/>
      <c r="BK403" s="15">
        <f t="shared" si="76"/>
        <v>0.9820752439</v>
      </c>
      <c r="BN403" s="16">
        <f t="shared" si="14"/>
        <v>-489.9433333</v>
      </c>
      <c r="BO403" s="16">
        <f t="shared" si="129"/>
        <v>-56674.29667</v>
      </c>
      <c r="BY403" s="6">
        <f t="shared" si="2"/>
        <v>2024</v>
      </c>
      <c r="BZ403" s="6" t="str">
        <f t="shared" si="3"/>
        <v>noviembre</v>
      </c>
      <c r="CA403" s="6" t="str">
        <f t="shared" si="4"/>
        <v>11</v>
      </c>
    </row>
    <row r="404">
      <c r="A404" s="8">
        <v>45611.0</v>
      </c>
      <c r="B404" s="12">
        <v>24655.27</v>
      </c>
      <c r="C404" s="12">
        <v>1940.59</v>
      </c>
      <c r="D404" s="12"/>
      <c r="E404" s="12">
        <v>0.0</v>
      </c>
      <c r="F404" s="12">
        <v>0.0</v>
      </c>
      <c r="G404" s="12">
        <v>0.0</v>
      </c>
      <c r="H404" s="12">
        <f t="shared" si="120"/>
        <v>26595.86</v>
      </c>
      <c r="I404" s="12">
        <v>14889.0</v>
      </c>
      <c r="J404" s="12">
        <v>1834.68</v>
      </c>
      <c r="K404" s="12"/>
      <c r="L404" s="12">
        <v>0.0</v>
      </c>
      <c r="M404" s="12">
        <v>0.0</v>
      </c>
      <c r="N404" s="12">
        <v>0.0</v>
      </c>
      <c r="O404" s="16">
        <f t="shared" si="97"/>
        <v>16723.68</v>
      </c>
      <c r="P404" s="12">
        <v>9116.04</v>
      </c>
      <c r="Q404" s="12">
        <v>909.12</v>
      </c>
      <c r="R404" s="12"/>
      <c r="S404" s="12">
        <v>0.0</v>
      </c>
      <c r="T404" s="12">
        <v>0.0</v>
      </c>
      <c r="U404" s="12">
        <v>0.0</v>
      </c>
      <c r="V404" s="16">
        <f t="shared" si="122"/>
        <v>10025.16</v>
      </c>
      <c r="W404" s="12">
        <v>1925.13</v>
      </c>
      <c r="X404" s="12">
        <v>0.59</v>
      </c>
      <c r="Y404" s="12"/>
      <c r="Z404" s="12">
        <v>0.0</v>
      </c>
      <c r="AA404" s="12">
        <v>0.0</v>
      </c>
      <c r="AB404" s="12">
        <v>0.0</v>
      </c>
      <c r="AC404" s="16">
        <f t="shared" si="117"/>
        <v>1925.72</v>
      </c>
      <c r="AD404" s="12"/>
      <c r="AE404" s="12"/>
      <c r="AF404" s="12">
        <v>3558.76</v>
      </c>
      <c r="AG404" s="12">
        <v>1575.0</v>
      </c>
      <c r="AH404" s="12"/>
      <c r="AI404" s="12">
        <v>0.0</v>
      </c>
      <c r="AJ404" s="12">
        <v>0.0</v>
      </c>
      <c r="AK404" s="12">
        <v>0.0</v>
      </c>
      <c r="AL404" s="12">
        <f t="shared" si="124"/>
        <v>5133.76</v>
      </c>
      <c r="AM404" s="12">
        <v>1922.0</v>
      </c>
      <c r="AN404" s="12">
        <v>0.0</v>
      </c>
      <c r="AO404" s="12"/>
      <c r="AP404" s="12">
        <v>0.0</v>
      </c>
      <c r="AQ404" s="12">
        <v>0.0</v>
      </c>
      <c r="AR404" s="12">
        <v>0.0</v>
      </c>
      <c r="AS404" s="12">
        <f t="shared" si="131"/>
        <v>1922</v>
      </c>
      <c r="AT404" s="16">
        <f t="shared" si="126"/>
        <v>35730.32</v>
      </c>
      <c r="AU404" s="18">
        <f t="shared" si="127"/>
        <v>361722.69</v>
      </c>
      <c r="AV404" s="18"/>
      <c r="AW404" s="18"/>
      <c r="AX404" s="12">
        <f t="shared" si="1"/>
        <v>35730.32</v>
      </c>
      <c r="AY404" s="12"/>
      <c r="AZ404" s="12">
        <v>6795.26</v>
      </c>
      <c r="BA404" s="18">
        <f t="shared" si="128"/>
        <v>24665.64</v>
      </c>
      <c r="BB404" s="10">
        <f t="shared" si="16"/>
        <v>723445.38</v>
      </c>
      <c r="BC404" s="16">
        <f t="shared" si="88"/>
        <v>117979.6083</v>
      </c>
      <c r="BD404" s="16"/>
      <c r="BE404" s="16"/>
      <c r="BF404" s="6"/>
      <c r="BG404" s="6"/>
      <c r="BH404" s="6"/>
      <c r="BI404" s="29">
        <f t="shared" si="125"/>
        <v>27333.33333</v>
      </c>
      <c r="BK404" s="15">
        <f t="shared" si="76"/>
        <v>1.307206829</v>
      </c>
      <c r="BN404" s="16">
        <f t="shared" si="14"/>
        <v>8396.986667</v>
      </c>
      <c r="BO404" s="16">
        <f t="shared" si="129"/>
        <v>-48277.31</v>
      </c>
      <c r="BY404" s="6">
        <f t="shared" si="2"/>
        <v>2024</v>
      </c>
      <c r="BZ404" s="6" t="str">
        <f t="shared" si="3"/>
        <v>noviembre</v>
      </c>
      <c r="CA404" s="6" t="str">
        <f t="shared" si="4"/>
        <v>11</v>
      </c>
    </row>
    <row r="405">
      <c r="A405" s="8">
        <v>45612.0</v>
      </c>
      <c r="B405" s="12">
        <v>0.0</v>
      </c>
      <c r="C405" s="12">
        <v>0.0</v>
      </c>
      <c r="D405" s="12"/>
      <c r="E405" s="12">
        <v>0.0</v>
      </c>
      <c r="F405" s="12">
        <v>0.0</v>
      </c>
      <c r="G405" s="12">
        <v>0.0</v>
      </c>
      <c r="H405" s="12">
        <f t="shared" si="120"/>
        <v>0</v>
      </c>
      <c r="I405" s="12">
        <v>0.0</v>
      </c>
      <c r="J405" s="12">
        <v>0.0</v>
      </c>
      <c r="K405" s="12"/>
      <c r="L405" s="12">
        <v>0.0</v>
      </c>
      <c r="M405" s="12">
        <v>0.0</v>
      </c>
      <c r="N405" s="12">
        <v>0.0</v>
      </c>
      <c r="O405" s="16">
        <f t="shared" si="97"/>
        <v>0</v>
      </c>
      <c r="P405" s="12">
        <v>0.0</v>
      </c>
      <c r="Q405" s="12">
        <v>0.0</v>
      </c>
      <c r="R405" s="12"/>
      <c r="S405" s="12">
        <v>0.0</v>
      </c>
      <c r="T405" s="12">
        <v>0.0</v>
      </c>
      <c r="U405" s="12">
        <v>0.0</v>
      </c>
      <c r="V405" s="16">
        <f t="shared" si="122"/>
        <v>0</v>
      </c>
      <c r="W405" s="12">
        <v>0.0</v>
      </c>
      <c r="X405" s="12">
        <v>0.0</v>
      </c>
      <c r="Y405" s="12"/>
      <c r="Z405" s="12">
        <v>0.0</v>
      </c>
      <c r="AA405" s="12">
        <v>0.0</v>
      </c>
      <c r="AB405" s="12">
        <v>0.0</v>
      </c>
      <c r="AC405" s="16">
        <f t="shared" si="117"/>
        <v>0</v>
      </c>
      <c r="AD405" s="12"/>
      <c r="AE405" s="12"/>
      <c r="AF405" s="12">
        <v>0.0</v>
      </c>
      <c r="AG405" s="12">
        <v>0.0</v>
      </c>
      <c r="AH405" s="12"/>
      <c r="AI405" s="12">
        <v>0.0</v>
      </c>
      <c r="AJ405" s="12">
        <v>0.0</v>
      </c>
      <c r="AK405" s="12">
        <v>0.0</v>
      </c>
      <c r="AL405" s="12">
        <f t="shared" si="124"/>
        <v>0</v>
      </c>
      <c r="AM405" s="12">
        <v>0.0</v>
      </c>
      <c r="AN405" s="12">
        <v>0.0</v>
      </c>
      <c r="AO405" s="12"/>
      <c r="AP405" s="12">
        <v>0.0</v>
      </c>
      <c r="AQ405" s="12">
        <v>0.0</v>
      </c>
      <c r="AR405" s="12">
        <v>0.0</v>
      </c>
      <c r="AS405" s="12">
        <v>0.0</v>
      </c>
      <c r="AT405" s="16">
        <f t="shared" si="126"/>
        <v>0</v>
      </c>
      <c r="AU405" s="18">
        <f t="shared" si="127"/>
        <v>361722.69</v>
      </c>
      <c r="AV405" s="18"/>
      <c r="AW405" s="18"/>
      <c r="AX405" s="12">
        <f t="shared" si="1"/>
        <v>0</v>
      </c>
      <c r="AY405" s="12"/>
      <c r="AZ405" s="12">
        <v>0.0</v>
      </c>
      <c r="BA405" s="18">
        <f t="shared" si="128"/>
        <v>24665.64</v>
      </c>
      <c r="BB405" s="10">
        <f t="shared" si="16"/>
        <v>678230.0438</v>
      </c>
      <c r="BC405" s="16">
        <f t="shared" si="88"/>
        <v>115057.3</v>
      </c>
      <c r="BD405" s="16"/>
      <c r="BE405" s="16"/>
      <c r="BF405" s="6"/>
      <c r="BG405" s="6"/>
      <c r="BH405" s="6"/>
      <c r="BI405" s="29">
        <f t="shared" si="125"/>
        <v>27333.33333</v>
      </c>
      <c r="BJ405" s="6"/>
      <c r="BK405" s="15">
        <f t="shared" si="76"/>
        <v>0</v>
      </c>
      <c r="BN405" s="16">
        <f t="shared" si="14"/>
        <v>-27333.33333</v>
      </c>
      <c r="BO405" s="16">
        <f t="shared" si="129"/>
        <v>-75610.64333</v>
      </c>
      <c r="BY405" s="6">
        <f t="shared" si="2"/>
        <v>2024</v>
      </c>
      <c r="BZ405" s="6" t="str">
        <f t="shared" si="3"/>
        <v>noviembre</v>
      </c>
      <c r="CA405" s="6" t="str">
        <f t="shared" si="4"/>
        <v>11</v>
      </c>
    </row>
    <row r="406">
      <c r="A406" s="8">
        <v>45613.0</v>
      </c>
      <c r="B406" s="12">
        <v>0.0</v>
      </c>
      <c r="C406" s="12">
        <v>0.0</v>
      </c>
      <c r="D406" s="12"/>
      <c r="E406" s="12">
        <v>0.0</v>
      </c>
      <c r="F406" s="12">
        <v>0.0</v>
      </c>
      <c r="G406" s="12">
        <v>0.0</v>
      </c>
      <c r="H406" s="12">
        <v>0.0</v>
      </c>
      <c r="I406" s="12">
        <v>0.0</v>
      </c>
      <c r="J406" s="12">
        <v>0.0</v>
      </c>
      <c r="K406" s="12"/>
      <c r="L406" s="12">
        <v>0.0</v>
      </c>
      <c r="M406" s="12">
        <v>0.0</v>
      </c>
      <c r="N406" s="12">
        <v>0.0</v>
      </c>
      <c r="O406" s="16">
        <f t="shared" si="97"/>
        <v>0</v>
      </c>
      <c r="P406" s="12">
        <v>0.0</v>
      </c>
      <c r="Q406" s="12">
        <v>0.0</v>
      </c>
      <c r="R406" s="12"/>
      <c r="S406" s="12">
        <v>0.0</v>
      </c>
      <c r="T406" s="12">
        <v>0.0</v>
      </c>
      <c r="U406" s="12">
        <v>0.0</v>
      </c>
      <c r="V406" s="16">
        <f t="shared" si="122"/>
        <v>0</v>
      </c>
      <c r="W406" s="12">
        <v>0.0</v>
      </c>
      <c r="X406" s="12">
        <v>0.0</v>
      </c>
      <c r="Y406" s="12"/>
      <c r="Z406" s="12">
        <v>0.0</v>
      </c>
      <c r="AA406" s="12">
        <v>0.0</v>
      </c>
      <c r="AB406" s="12">
        <v>0.0</v>
      </c>
      <c r="AC406" s="16">
        <f t="shared" si="117"/>
        <v>0</v>
      </c>
      <c r="AD406" s="12"/>
      <c r="AE406" s="12"/>
      <c r="AF406" s="12">
        <v>0.0</v>
      </c>
      <c r="AG406" s="12">
        <v>0.0</v>
      </c>
      <c r="AH406" s="12"/>
      <c r="AI406" s="12">
        <v>0.0</v>
      </c>
      <c r="AJ406" s="12">
        <v>0.0</v>
      </c>
      <c r="AK406" s="12">
        <v>0.0</v>
      </c>
      <c r="AL406" s="12">
        <f t="shared" si="124"/>
        <v>0</v>
      </c>
      <c r="AM406" s="12">
        <v>0.0</v>
      </c>
      <c r="AN406" s="12">
        <v>0.0</v>
      </c>
      <c r="AO406" s="12"/>
      <c r="AP406" s="12">
        <v>0.0</v>
      </c>
      <c r="AQ406" s="12">
        <v>0.0</v>
      </c>
      <c r="AR406" s="12">
        <v>0.0</v>
      </c>
      <c r="AS406" s="12">
        <v>0.0</v>
      </c>
      <c r="AT406" s="16">
        <f t="shared" si="126"/>
        <v>0</v>
      </c>
      <c r="AU406" s="18">
        <f t="shared" si="127"/>
        <v>361722.69</v>
      </c>
      <c r="AV406" s="18"/>
      <c r="AW406" s="18"/>
      <c r="AX406" s="12">
        <f t="shared" si="1"/>
        <v>0</v>
      </c>
      <c r="AY406" s="12"/>
      <c r="AZ406" s="12">
        <v>0.0</v>
      </c>
      <c r="BA406" s="18">
        <f t="shared" si="128"/>
        <v>24665.64</v>
      </c>
      <c r="BB406" s="10">
        <f t="shared" si="16"/>
        <v>638334.1588</v>
      </c>
      <c r="BC406" s="16">
        <f t="shared" si="88"/>
        <v>116425.8464</v>
      </c>
      <c r="BD406" s="16"/>
      <c r="BE406" s="16"/>
      <c r="BF406" s="6"/>
      <c r="BG406" s="6"/>
      <c r="BH406" s="6"/>
      <c r="BI406" s="29">
        <f t="shared" si="125"/>
        <v>27333.33333</v>
      </c>
      <c r="BJ406" s="6"/>
      <c r="BK406" s="15">
        <f t="shared" si="76"/>
        <v>0</v>
      </c>
      <c r="BN406" s="16">
        <f t="shared" si="14"/>
        <v>-27333.33333</v>
      </c>
      <c r="BO406" s="16">
        <f t="shared" si="129"/>
        <v>-102943.9767</v>
      </c>
      <c r="BY406" s="6">
        <f t="shared" si="2"/>
        <v>2024</v>
      </c>
      <c r="BZ406" s="6" t="str">
        <f t="shared" si="3"/>
        <v>noviembre</v>
      </c>
      <c r="CA406" s="6" t="str">
        <f t="shared" si="4"/>
        <v>11</v>
      </c>
    </row>
    <row r="407">
      <c r="A407" s="8">
        <v>45614.0</v>
      </c>
      <c r="B407" s="12">
        <v>39529.94</v>
      </c>
      <c r="C407" s="12">
        <v>250.64</v>
      </c>
      <c r="D407" s="12"/>
      <c r="E407" s="12">
        <v>1190.65</v>
      </c>
      <c r="F407" s="12">
        <v>0.0</v>
      </c>
      <c r="G407" s="12">
        <v>0.0</v>
      </c>
      <c r="H407" s="12">
        <f t="shared" ref="H407:H419" si="132">B407+C407+E407+F407+G407</f>
        <v>40971.23</v>
      </c>
      <c r="I407" s="12">
        <v>14556.0</v>
      </c>
      <c r="J407" s="12">
        <v>2264.76</v>
      </c>
      <c r="K407" s="12"/>
      <c r="L407" s="12">
        <v>11930.21</v>
      </c>
      <c r="M407" s="12">
        <v>0.0</v>
      </c>
      <c r="N407" s="12">
        <v>0.0</v>
      </c>
      <c r="O407" s="16">
        <f t="shared" si="97"/>
        <v>28750.97</v>
      </c>
      <c r="P407" s="12">
        <v>11433.42</v>
      </c>
      <c r="Q407" s="12">
        <v>337.17</v>
      </c>
      <c r="R407" s="12"/>
      <c r="S407" s="12">
        <v>0.0</v>
      </c>
      <c r="T407" s="12">
        <v>0.0</v>
      </c>
      <c r="U407" s="12">
        <v>0.0</v>
      </c>
      <c r="V407" s="16">
        <f t="shared" si="122"/>
        <v>11770.59</v>
      </c>
      <c r="W407" s="12">
        <v>3920.69</v>
      </c>
      <c r="X407" s="12">
        <v>0.06</v>
      </c>
      <c r="Y407" s="12"/>
      <c r="Z407" s="12">
        <v>0.0</v>
      </c>
      <c r="AA407" s="12">
        <v>0.0</v>
      </c>
      <c r="AB407" s="12">
        <v>0.0</v>
      </c>
      <c r="AC407" s="16">
        <f t="shared" si="117"/>
        <v>3920.75</v>
      </c>
      <c r="AD407" s="12"/>
      <c r="AE407" s="12"/>
      <c r="AF407" s="12">
        <v>5800.47</v>
      </c>
      <c r="AG407" s="12">
        <v>473.57</v>
      </c>
      <c r="AH407" s="12"/>
      <c r="AI407" s="12">
        <v>0.0</v>
      </c>
      <c r="AJ407" s="12">
        <v>0.0</v>
      </c>
      <c r="AK407" s="12">
        <v>0.0</v>
      </c>
      <c r="AL407" s="12">
        <f t="shared" si="124"/>
        <v>6274.04</v>
      </c>
      <c r="AM407" s="12">
        <v>6276.0</v>
      </c>
      <c r="AN407" s="12">
        <v>0.0</v>
      </c>
      <c r="AO407" s="12"/>
      <c r="AP407" s="12">
        <v>0.0</v>
      </c>
      <c r="AQ407" s="12">
        <v>0.0</v>
      </c>
      <c r="AR407" s="12">
        <v>0.0</v>
      </c>
      <c r="AS407" s="12">
        <f t="shared" ref="AS407:AS423" si="133">AR407+AQ407+AP407+AN407+AM407</f>
        <v>6276</v>
      </c>
      <c r="AT407" s="16">
        <f t="shared" si="126"/>
        <v>56992.35</v>
      </c>
      <c r="AU407" s="18">
        <f t="shared" si="127"/>
        <v>418715.04</v>
      </c>
      <c r="AV407" s="18"/>
      <c r="AW407" s="18"/>
      <c r="AX407" s="12">
        <f t="shared" si="1"/>
        <v>56992.35</v>
      </c>
      <c r="AY407" s="12"/>
      <c r="AZ407" s="12">
        <v>18033.11</v>
      </c>
      <c r="BA407" s="18">
        <f t="shared" si="128"/>
        <v>42698.75</v>
      </c>
      <c r="BB407" s="10">
        <f t="shared" si="16"/>
        <v>697858.4</v>
      </c>
      <c r="BC407" s="16">
        <f t="shared" si="88"/>
        <v>120574.23</v>
      </c>
      <c r="BD407" s="16"/>
      <c r="BE407" s="16"/>
      <c r="BF407" s="6"/>
      <c r="BG407" s="6"/>
      <c r="BH407" s="6"/>
      <c r="BI407" s="29">
        <f t="shared" si="125"/>
        <v>27333.33333</v>
      </c>
      <c r="BK407" s="15">
        <f t="shared" si="76"/>
        <v>2.085085976</v>
      </c>
      <c r="BN407" s="16">
        <f t="shared" si="14"/>
        <v>29659.01667</v>
      </c>
      <c r="BO407" s="16">
        <f t="shared" si="129"/>
        <v>-73284.96</v>
      </c>
      <c r="BY407" s="6">
        <f t="shared" si="2"/>
        <v>2024</v>
      </c>
      <c r="BZ407" s="6" t="str">
        <f t="shared" si="3"/>
        <v>noviembre</v>
      </c>
      <c r="CA407" s="6" t="str">
        <f t="shared" si="4"/>
        <v>11</v>
      </c>
    </row>
    <row r="408">
      <c r="A408" s="8">
        <v>45615.0</v>
      </c>
      <c r="B408" s="12">
        <v>11621.74</v>
      </c>
      <c r="C408" s="12">
        <v>795.77</v>
      </c>
      <c r="D408" s="12"/>
      <c r="E408" s="12">
        <v>3325.97</v>
      </c>
      <c r="F408" s="12">
        <v>0.0</v>
      </c>
      <c r="G408" s="12">
        <v>0.0</v>
      </c>
      <c r="H408" s="12">
        <f t="shared" si="132"/>
        <v>15743.48</v>
      </c>
      <c r="I408" s="12">
        <v>18999.0</v>
      </c>
      <c r="J408" s="12">
        <v>1390.65</v>
      </c>
      <c r="K408" s="12"/>
      <c r="L408" s="12">
        <v>3325.97</v>
      </c>
      <c r="M408" s="12">
        <v>0.0</v>
      </c>
      <c r="N408" s="12">
        <v>0.0</v>
      </c>
      <c r="O408" s="16">
        <f t="shared" si="97"/>
        <v>23715.62</v>
      </c>
      <c r="P408" s="12">
        <v>2857.23</v>
      </c>
      <c r="Q408" s="12">
        <v>0.0</v>
      </c>
      <c r="R408" s="12"/>
      <c r="S408" s="12">
        <v>0.0</v>
      </c>
      <c r="T408" s="12">
        <v>0.0</v>
      </c>
      <c r="U408" s="12">
        <v>0.0</v>
      </c>
      <c r="V408" s="16">
        <f t="shared" si="122"/>
        <v>2857.23</v>
      </c>
      <c r="W408" s="12">
        <v>16.28</v>
      </c>
      <c r="X408" s="12">
        <v>3.25</v>
      </c>
      <c r="Y408" s="12"/>
      <c r="Z408" s="12">
        <v>0.0</v>
      </c>
      <c r="AA408" s="12">
        <v>0.0</v>
      </c>
      <c r="AB408" s="12">
        <v>0.0</v>
      </c>
      <c r="AC408" s="16">
        <f t="shared" si="117"/>
        <v>19.53</v>
      </c>
      <c r="AD408" s="12"/>
      <c r="AE408" s="12"/>
      <c r="AF408" s="12">
        <v>3967.27</v>
      </c>
      <c r="AG408" s="12">
        <v>0.0</v>
      </c>
      <c r="AH408" s="12"/>
      <c r="AI408" s="12">
        <v>0.0</v>
      </c>
      <c r="AJ408" s="12">
        <v>0.0</v>
      </c>
      <c r="AK408" s="12">
        <v>0.0</v>
      </c>
      <c r="AL408" s="12">
        <f t="shared" si="124"/>
        <v>3967.27</v>
      </c>
      <c r="AM408" s="12">
        <v>0.0</v>
      </c>
      <c r="AN408" s="12">
        <v>0.0</v>
      </c>
      <c r="AO408" s="12"/>
      <c r="AP408" s="12">
        <v>0.0</v>
      </c>
      <c r="AQ408" s="12">
        <v>0.0</v>
      </c>
      <c r="AR408" s="12">
        <v>0.0</v>
      </c>
      <c r="AS408" s="12">
        <f t="shared" si="133"/>
        <v>0</v>
      </c>
      <c r="AT408" s="16">
        <f t="shared" si="126"/>
        <v>30559.65</v>
      </c>
      <c r="AU408" s="18">
        <f t="shared" si="127"/>
        <v>449274.69</v>
      </c>
      <c r="AV408" s="18"/>
      <c r="AW408" s="18"/>
      <c r="AX408" s="12">
        <f t="shared" si="1"/>
        <v>30559.65</v>
      </c>
      <c r="AY408" s="12"/>
      <c r="AZ408" s="12">
        <v>2721.89</v>
      </c>
      <c r="BA408" s="18">
        <f t="shared" si="128"/>
        <v>45420.64</v>
      </c>
      <c r="BB408" s="10">
        <f t="shared" si="16"/>
        <v>709381.0895</v>
      </c>
      <c r="BC408" s="16">
        <f t="shared" si="88"/>
        <v>113038.3406</v>
      </c>
      <c r="BD408" s="16"/>
      <c r="BE408" s="16"/>
      <c r="BF408" s="6"/>
      <c r="BG408" s="6"/>
      <c r="BH408" s="6"/>
      <c r="BI408" s="29">
        <f t="shared" si="125"/>
        <v>27333.33333</v>
      </c>
      <c r="BK408" s="15">
        <f t="shared" si="76"/>
        <v>1.118035976</v>
      </c>
      <c r="BN408" s="16">
        <f t="shared" si="14"/>
        <v>3226.316667</v>
      </c>
      <c r="BO408" s="16">
        <f t="shared" si="129"/>
        <v>-70058.64333</v>
      </c>
      <c r="BY408" s="6">
        <f t="shared" si="2"/>
        <v>2024</v>
      </c>
      <c r="BZ408" s="6" t="str">
        <f t="shared" si="3"/>
        <v>noviembre</v>
      </c>
      <c r="CA408" s="6" t="str">
        <f t="shared" si="4"/>
        <v>11</v>
      </c>
    </row>
    <row r="409">
      <c r="A409" s="8">
        <v>45616.0</v>
      </c>
      <c r="B409" s="12">
        <v>15225.29</v>
      </c>
      <c r="C409" s="12">
        <v>1524.99</v>
      </c>
      <c r="D409" s="12"/>
      <c r="E409" s="12">
        <v>0.0</v>
      </c>
      <c r="F409" s="12">
        <v>0.0</v>
      </c>
      <c r="G409" s="12">
        <v>0.0</v>
      </c>
      <c r="H409" s="12">
        <f t="shared" si="132"/>
        <v>16750.28</v>
      </c>
      <c r="I409" s="12">
        <v>23556.0</v>
      </c>
      <c r="J409" s="12">
        <v>1802.08</v>
      </c>
      <c r="K409" s="12"/>
      <c r="L409" s="12">
        <v>4998.0</v>
      </c>
      <c r="M409" s="12">
        <v>0.0</v>
      </c>
      <c r="N409" s="12">
        <v>0.0</v>
      </c>
      <c r="O409" s="16">
        <f t="shared" si="97"/>
        <v>30356.08</v>
      </c>
      <c r="P409" s="12">
        <v>4010.77</v>
      </c>
      <c r="Q409" s="12">
        <v>166.36</v>
      </c>
      <c r="R409" s="12"/>
      <c r="S409" s="12">
        <v>0.0</v>
      </c>
      <c r="T409" s="12">
        <v>0.0</v>
      </c>
      <c r="U409" s="12">
        <v>0.0</v>
      </c>
      <c r="V409" s="16">
        <f t="shared" si="122"/>
        <v>4177.13</v>
      </c>
      <c r="W409" s="12">
        <v>4223.62</v>
      </c>
      <c r="X409" s="12">
        <v>1.16</v>
      </c>
      <c r="Y409" s="12"/>
      <c r="Z409" s="12">
        <v>0.0</v>
      </c>
      <c r="AA409" s="12">
        <v>0.0</v>
      </c>
      <c r="AB409" s="12">
        <v>0.0</v>
      </c>
      <c r="AC409" s="16">
        <f t="shared" si="117"/>
        <v>4224.78</v>
      </c>
      <c r="AD409" s="12"/>
      <c r="AE409" s="12"/>
      <c r="AF409" s="12">
        <v>2402.64</v>
      </c>
      <c r="AG409" s="12">
        <v>0.0</v>
      </c>
      <c r="AH409" s="12"/>
      <c r="AI409" s="12">
        <v>0.0</v>
      </c>
      <c r="AJ409" s="12">
        <v>0.0</v>
      </c>
      <c r="AK409" s="12">
        <v>0.0</v>
      </c>
      <c r="AL409" s="12">
        <f t="shared" si="124"/>
        <v>2402.64</v>
      </c>
      <c r="AM409" s="12">
        <v>4610.0</v>
      </c>
      <c r="AN409" s="12">
        <v>0.0</v>
      </c>
      <c r="AO409" s="12"/>
      <c r="AP409" s="12">
        <v>0.0</v>
      </c>
      <c r="AQ409" s="12">
        <v>0.0</v>
      </c>
      <c r="AR409" s="12">
        <v>0.0</v>
      </c>
      <c r="AS409" s="12">
        <f t="shared" si="133"/>
        <v>4610</v>
      </c>
      <c r="AT409" s="16">
        <f t="shared" si="126"/>
        <v>45770.63</v>
      </c>
      <c r="AU409" s="18">
        <f t="shared" si="127"/>
        <v>495045.32</v>
      </c>
      <c r="AV409" s="18"/>
      <c r="AW409" s="18"/>
      <c r="AX409" s="12">
        <f t="shared" si="1"/>
        <v>45770.63</v>
      </c>
      <c r="AY409" s="12"/>
      <c r="AZ409" s="12">
        <v>4090.23</v>
      </c>
      <c r="BA409" s="18">
        <f t="shared" si="128"/>
        <v>49510.87</v>
      </c>
      <c r="BB409" s="10">
        <f t="shared" si="16"/>
        <v>742567.98</v>
      </c>
      <c r="BC409" s="16">
        <f t="shared" si="88"/>
        <v>106389.0265</v>
      </c>
      <c r="BD409" s="16"/>
      <c r="BE409" s="16"/>
      <c r="BF409" s="6"/>
      <c r="BG409" s="6"/>
      <c r="BH409" s="6"/>
      <c r="BI409" s="29">
        <f t="shared" si="125"/>
        <v>27333.33333</v>
      </c>
      <c r="BK409" s="15">
        <f t="shared" si="76"/>
        <v>1.674535244</v>
      </c>
      <c r="BN409" s="16">
        <f t="shared" si="14"/>
        <v>18437.29667</v>
      </c>
      <c r="BO409" s="16">
        <f t="shared" si="129"/>
        <v>-51621.34667</v>
      </c>
      <c r="BY409" s="6">
        <f t="shared" si="2"/>
        <v>2024</v>
      </c>
      <c r="BZ409" s="6" t="str">
        <f t="shared" si="3"/>
        <v>noviembre</v>
      </c>
      <c r="CA409" s="6" t="str">
        <f t="shared" si="4"/>
        <v>11</v>
      </c>
    </row>
    <row r="410">
      <c r="A410" s="8">
        <v>45617.0</v>
      </c>
      <c r="B410" s="12">
        <v>5658.87</v>
      </c>
      <c r="C410" s="12">
        <v>0.0</v>
      </c>
      <c r="D410" s="12"/>
      <c r="E410" s="12">
        <v>0.0</v>
      </c>
      <c r="F410" s="12">
        <v>0.0</v>
      </c>
      <c r="G410" s="12">
        <v>0.0</v>
      </c>
      <c r="H410" s="12">
        <f t="shared" si="132"/>
        <v>5658.87</v>
      </c>
      <c r="I410" s="12">
        <v>6698.62</v>
      </c>
      <c r="J410" s="12">
        <v>0.0</v>
      </c>
      <c r="K410" s="12"/>
      <c r="L410" s="12">
        <v>0.0</v>
      </c>
      <c r="M410" s="12">
        <v>0.0</v>
      </c>
      <c r="N410" s="12">
        <v>0.0</v>
      </c>
      <c r="O410" s="16">
        <f t="shared" si="97"/>
        <v>6698.62</v>
      </c>
      <c r="P410" s="12">
        <v>1100.72</v>
      </c>
      <c r="Q410" s="12">
        <v>0.0</v>
      </c>
      <c r="R410" s="12"/>
      <c r="S410" s="12">
        <v>0.0</v>
      </c>
      <c r="T410" s="12">
        <v>0.0</v>
      </c>
      <c r="U410" s="12">
        <v>0.0</v>
      </c>
      <c r="V410" s="16">
        <f t="shared" si="122"/>
        <v>1100.72</v>
      </c>
      <c r="W410" s="12">
        <v>12797.94</v>
      </c>
      <c r="X410" s="12">
        <v>0.0</v>
      </c>
      <c r="Y410" s="12"/>
      <c r="Z410" s="12">
        <v>0.0</v>
      </c>
      <c r="AA410" s="12">
        <v>0.0</v>
      </c>
      <c r="AB410" s="12">
        <v>0.0</v>
      </c>
      <c r="AC410" s="16">
        <f t="shared" si="117"/>
        <v>12797.94</v>
      </c>
      <c r="AD410" s="12"/>
      <c r="AE410" s="12"/>
      <c r="AF410" s="12">
        <v>264.35</v>
      </c>
      <c r="AG410" s="12">
        <v>0.0</v>
      </c>
      <c r="AH410" s="12"/>
      <c r="AI410" s="12">
        <v>0.0</v>
      </c>
      <c r="AJ410" s="12">
        <v>0.0</v>
      </c>
      <c r="AK410" s="12">
        <v>0.0</v>
      </c>
      <c r="AL410" s="12">
        <f t="shared" si="124"/>
        <v>264.35</v>
      </c>
      <c r="AM410" s="12">
        <v>15572.0</v>
      </c>
      <c r="AN410" s="12">
        <v>0.0</v>
      </c>
      <c r="AO410" s="12"/>
      <c r="AP410" s="12">
        <v>0.0</v>
      </c>
      <c r="AQ410" s="12">
        <v>0.0</v>
      </c>
      <c r="AR410" s="12">
        <v>0.0</v>
      </c>
      <c r="AS410" s="12">
        <f t="shared" si="133"/>
        <v>15572</v>
      </c>
      <c r="AT410" s="16">
        <f t="shared" si="126"/>
        <v>36433.63</v>
      </c>
      <c r="AU410" s="18">
        <f t="shared" si="127"/>
        <v>531478.95</v>
      </c>
      <c r="AV410" s="18"/>
      <c r="AW410" s="18"/>
      <c r="AX410" s="12">
        <f t="shared" si="1"/>
        <v>36433.63</v>
      </c>
      <c r="AY410" s="12"/>
      <c r="AZ410" s="12">
        <v>1420.78</v>
      </c>
      <c r="BA410" s="18">
        <f t="shared" si="128"/>
        <v>50931.65</v>
      </c>
      <c r="BB410" s="10">
        <f t="shared" si="16"/>
        <v>759255.6429</v>
      </c>
      <c r="BC410" s="16">
        <f t="shared" si="88"/>
        <v>116309.7333</v>
      </c>
      <c r="BD410" s="16"/>
      <c r="BE410" s="16"/>
      <c r="BF410" s="6"/>
      <c r="BG410" s="6"/>
      <c r="BH410" s="6"/>
      <c r="BI410" s="29">
        <f t="shared" si="125"/>
        <v>27333.33333</v>
      </c>
      <c r="BK410" s="15">
        <f t="shared" si="76"/>
        <v>1.332937683</v>
      </c>
      <c r="BN410" s="16">
        <f t="shared" si="14"/>
        <v>9100.296667</v>
      </c>
      <c r="BO410" s="16">
        <f t="shared" si="129"/>
        <v>-42521.05</v>
      </c>
      <c r="BY410" s="6">
        <f t="shared" si="2"/>
        <v>2024</v>
      </c>
      <c r="BZ410" s="6" t="str">
        <f t="shared" si="3"/>
        <v>noviembre</v>
      </c>
      <c r="CA410" s="6" t="str">
        <f t="shared" si="4"/>
        <v>11</v>
      </c>
    </row>
    <row r="411">
      <c r="A411" s="8">
        <v>45618.0</v>
      </c>
      <c r="B411" s="12">
        <v>11409.05</v>
      </c>
      <c r="C411" s="12">
        <v>498.31</v>
      </c>
      <c r="D411" s="12"/>
      <c r="E411" s="12">
        <v>0.0</v>
      </c>
      <c r="F411" s="12">
        <v>0.0</v>
      </c>
      <c r="G411" s="12">
        <v>0.0</v>
      </c>
      <c r="H411" s="12">
        <f t="shared" si="132"/>
        <v>11907.36</v>
      </c>
      <c r="I411" s="12">
        <v>3800.0</v>
      </c>
      <c r="J411" s="12">
        <v>540.14</v>
      </c>
      <c r="K411" s="12"/>
      <c r="L411" s="12">
        <v>0.0</v>
      </c>
      <c r="M411" s="12">
        <v>0.0</v>
      </c>
      <c r="N411" s="12">
        <v>0.0</v>
      </c>
      <c r="O411" s="16">
        <f t="shared" si="97"/>
        <v>4340.14</v>
      </c>
      <c r="P411" s="12">
        <v>1861.63</v>
      </c>
      <c r="Q411" s="12">
        <v>419.52</v>
      </c>
      <c r="R411" s="12"/>
      <c r="S411" s="12">
        <v>0.0</v>
      </c>
      <c r="T411" s="12">
        <v>0.0</v>
      </c>
      <c r="U411" s="12">
        <v>0.0</v>
      </c>
      <c r="V411" s="16">
        <f t="shared" si="122"/>
        <v>2281.15</v>
      </c>
      <c r="W411" s="12">
        <v>11211.59</v>
      </c>
      <c r="X411" s="12">
        <v>88.44</v>
      </c>
      <c r="Y411" s="12"/>
      <c r="Z411" s="12">
        <v>0.0</v>
      </c>
      <c r="AA411" s="12">
        <v>0.0</v>
      </c>
      <c r="AB411" s="12">
        <v>0.0</v>
      </c>
      <c r="AC411" s="16">
        <f t="shared" si="117"/>
        <v>11300.03</v>
      </c>
      <c r="AD411" s="12"/>
      <c r="AE411" s="12"/>
      <c r="AF411" s="12">
        <v>0.0</v>
      </c>
      <c r="AG411" s="12">
        <v>0.0</v>
      </c>
      <c r="AH411" s="12"/>
      <c r="AI411" s="12">
        <v>0.0</v>
      </c>
      <c r="AJ411" s="12">
        <v>0.0</v>
      </c>
      <c r="AK411" s="12">
        <v>0.0</v>
      </c>
      <c r="AL411" s="12">
        <f t="shared" si="124"/>
        <v>0</v>
      </c>
      <c r="AM411" s="12">
        <v>18037.0</v>
      </c>
      <c r="AN411" s="12">
        <v>0.0</v>
      </c>
      <c r="AO411" s="12"/>
      <c r="AP411" s="12">
        <v>0.0</v>
      </c>
      <c r="AQ411" s="12">
        <v>0.0</v>
      </c>
      <c r="AR411" s="12">
        <v>0.0</v>
      </c>
      <c r="AS411" s="12">
        <f t="shared" si="133"/>
        <v>18037</v>
      </c>
      <c r="AT411" s="16">
        <f t="shared" si="126"/>
        <v>35958.32</v>
      </c>
      <c r="AU411" s="18">
        <f t="shared" si="127"/>
        <v>567437.27</v>
      </c>
      <c r="AV411" s="18"/>
      <c r="AW411" s="18"/>
      <c r="AX411" s="12">
        <f t="shared" si="1"/>
        <v>35958.32</v>
      </c>
      <c r="AY411" s="12"/>
      <c r="AZ411" s="12">
        <v>1694.95</v>
      </c>
      <c r="BA411" s="18">
        <f t="shared" si="128"/>
        <v>52626.6</v>
      </c>
      <c r="BB411" s="10">
        <f t="shared" si="16"/>
        <v>773778.0955</v>
      </c>
      <c r="BC411" s="16">
        <f t="shared" si="88"/>
        <v>118230.1816</v>
      </c>
      <c r="BD411" s="16"/>
      <c r="BE411" s="16"/>
      <c r="BF411" s="6"/>
      <c r="BG411" s="6"/>
      <c r="BH411" s="6"/>
      <c r="BI411" s="29">
        <f t="shared" si="125"/>
        <v>27333.33333</v>
      </c>
      <c r="BK411" s="15">
        <f t="shared" si="76"/>
        <v>1.315548293</v>
      </c>
      <c r="BN411" s="16">
        <f t="shared" si="14"/>
        <v>8624.986667</v>
      </c>
      <c r="BO411" s="16">
        <f t="shared" si="129"/>
        <v>-33896.06333</v>
      </c>
      <c r="BY411" s="6">
        <f t="shared" si="2"/>
        <v>2024</v>
      </c>
      <c r="BZ411" s="6" t="str">
        <f t="shared" si="3"/>
        <v>noviembre</v>
      </c>
      <c r="CA411" s="6" t="str">
        <f t="shared" si="4"/>
        <v>11</v>
      </c>
    </row>
    <row r="412">
      <c r="A412" s="8">
        <v>45619.0</v>
      </c>
      <c r="B412" s="12">
        <v>0.0</v>
      </c>
      <c r="C412" s="12">
        <v>0.0</v>
      </c>
      <c r="D412" s="12"/>
      <c r="E412" s="12">
        <v>0.0</v>
      </c>
      <c r="F412" s="12">
        <v>0.0</v>
      </c>
      <c r="G412" s="12">
        <v>0.0</v>
      </c>
      <c r="H412" s="12">
        <f t="shared" si="132"/>
        <v>0</v>
      </c>
      <c r="I412" s="12">
        <v>0.0</v>
      </c>
      <c r="J412" s="12">
        <v>0.0</v>
      </c>
      <c r="K412" s="12"/>
      <c r="L412" s="12">
        <v>0.0</v>
      </c>
      <c r="M412" s="12">
        <v>0.0</v>
      </c>
      <c r="N412" s="12">
        <v>0.0</v>
      </c>
      <c r="O412" s="16">
        <f t="shared" si="97"/>
        <v>0</v>
      </c>
      <c r="P412" s="12">
        <v>0.0</v>
      </c>
      <c r="Q412" s="12">
        <v>0.0</v>
      </c>
      <c r="R412" s="12"/>
      <c r="S412" s="12">
        <v>0.0</v>
      </c>
      <c r="T412" s="12">
        <v>0.0</v>
      </c>
      <c r="U412" s="12">
        <v>0.0</v>
      </c>
      <c r="V412" s="16">
        <f t="shared" si="122"/>
        <v>0</v>
      </c>
      <c r="W412" s="12">
        <v>0.0</v>
      </c>
      <c r="X412" s="12">
        <v>0.0</v>
      </c>
      <c r="Y412" s="12"/>
      <c r="Z412" s="12">
        <v>0.0</v>
      </c>
      <c r="AA412" s="12">
        <v>0.0</v>
      </c>
      <c r="AB412" s="12">
        <v>0.0</v>
      </c>
      <c r="AC412" s="16">
        <f t="shared" si="117"/>
        <v>0</v>
      </c>
      <c r="AD412" s="12"/>
      <c r="AE412" s="12"/>
      <c r="AF412" s="12">
        <v>0.0</v>
      </c>
      <c r="AG412" s="12">
        <v>0.0</v>
      </c>
      <c r="AH412" s="12"/>
      <c r="AI412" s="12">
        <v>0.0</v>
      </c>
      <c r="AJ412" s="12">
        <v>0.0</v>
      </c>
      <c r="AK412" s="12">
        <v>0.0</v>
      </c>
      <c r="AL412" s="12">
        <v>0.0</v>
      </c>
      <c r="AM412" s="12">
        <v>0.0</v>
      </c>
      <c r="AN412" s="12">
        <v>0.0</v>
      </c>
      <c r="AO412" s="12"/>
      <c r="AP412" s="12">
        <v>0.0</v>
      </c>
      <c r="AQ412" s="12">
        <v>0.0</v>
      </c>
      <c r="AR412" s="12">
        <v>0.0</v>
      </c>
      <c r="AS412" s="12">
        <f t="shared" si="133"/>
        <v>0</v>
      </c>
      <c r="AT412" s="16">
        <f t="shared" si="126"/>
        <v>0</v>
      </c>
      <c r="AU412" s="18">
        <f t="shared" si="127"/>
        <v>567437.27</v>
      </c>
      <c r="AV412" s="18"/>
      <c r="AW412" s="18"/>
      <c r="AX412" s="12">
        <f t="shared" si="1"/>
        <v>0</v>
      </c>
      <c r="AY412" s="12"/>
      <c r="AZ412" s="12">
        <v>0.0</v>
      </c>
      <c r="BA412" s="18">
        <f t="shared" si="128"/>
        <v>52626.6</v>
      </c>
      <c r="BB412" s="10">
        <f t="shared" si="16"/>
        <v>740135.5696</v>
      </c>
      <c r="BC412" s="16">
        <f t="shared" si="88"/>
        <v>123761.33</v>
      </c>
      <c r="BD412" s="16"/>
      <c r="BE412" s="16"/>
      <c r="BF412" s="6"/>
      <c r="BG412" s="6"/>
      <c r="BH412" s="6"/>
      <c r="BI412" s="29">
        <f t="shared" si="125"/>
        <v>27333.33333</v>
      </c>
      <c r="BJ412" s="6"/>
      <c r="BK412" s="15">
        <f t="shared" si="76"/>
        <v>0</v>
      </c>
      <c r="BN412" s="16">
        <f t="shared" si="14"/>
        <v>-27333.33333</v>
      </c>
      <c r="BO412" s="16">
        <f t="shared" si="129"/>
        <v>-61229.39667</v>
      </c>
      <c r="BY412" s="6">
        <f t="shared" si="2"/>
        <v>2024</v>
      </c>
      <c r="BZ412" s="6" t="str">
        <f t="shared" si="3"/>
        <v>noviembre</v>
      </c>
      <c r="CA412" s="6" t="str">
        <f t="shared" si="4"/>
        <v>11</v>
      </c>
    </row>
    <row r="413">
      <c r="A413" s="8">
        <v>45620.0</v>
      </c>
      <c r="B413" s="12">
        <v>0.0</v>
      </c>
      <c r="C413" s="12">
        <v>0.0</v>
      </c>
      <c r="D413" s="12"/>
      <c r="E413" s="12">
        <v>0.0</v>
      </c>
      <c r="F413" s="12">
        <v>0.0</v>
      </c>
      <c r="G413" s="12">
        <v>0.0</v>
      </c>
      <c r="H413" s="12">
        <f t="shared" si="132"/>
        <v>0</v>
      </c>
      <c r="I413" s="12">
        <v>0.0</v>
      </c>
      <c r="J413" s="12">
        <v>0.0</v>
      </c>
      <c r="K413" s="12"/>
      <c r="L413" s="12">
        <v>0.0</v>
      </c>
      <c r="M413" s="12">
        <v>0.0</v>
      </c>
      <c r="N413" s="12">
        <v>0.0</v>
      </c>
      <c r="O413" s="16">
        <f t="shared" si="97"/>
        <v>0</v>
      </c>
      <c r="P413" s="12">
        <v>0.0</v>
      </c>
      <c r="Q413" s="12">
        <v>0.0</v>
      </c>
      <c r="R413" s="12"/>
      <c r="S413" s="12">
        <v>0.0</v>
      </c>
      <c r="T413" s="12">
        <v>0.0</v>
      </c>
      <c r="U413" s="12">
        <v>0.0</v>
      </c>
      <c r="V413" s="16">
        <f t="shared" si="122"/>
        <v>0</v>
      </c>
      <c r="W413" s="12">
        <v>0.0</v>
      </c>
      <c r="X413" s="12">
        <v>0.0</v>
      </c>
      <c r="Y413" s="12"/>
      <c r="Z413" s="12">
        <v>0.0</v>
      </c>
      <c r="AA413" s="12">
        <v>0.0</v>
      </c>
      <c r="AB413" s="12">
        <v>0.0</v>
      </c>
      <c r="AC413" s="16">
        <f t="shared" si="117"/>
        <v>0</v>
      </c>
      <c r="AD413" s="12"/>
      <c r="AE413" s="12"/>
      <c r="AF413" s="12">
        <v>0.0</v>
      </c>
      <c r="AG413" s="12">
        <v>0.0</v>
      </c>
      <c r="AH413" s="12"/>
      <c r="AI413" s="12">
        <v>0.0</v>
      </c>
      <c r="AJ413" s="12">
        <v>0.0</v>
      </c>
      <c r="AK413" s="12">
        <v>0.0</v>
      </c>
      <c r="AL413" s="12">
        <f t="shared" ref="AL413:AL425" si="134">AK413+AJ413+AI413+AG413+AF413</f>
        <v>0</v>
      </c>
      <c r="AM413" s="12">
        <v>0.0</v>
      </c>
      <c r="AN413" s="12">
        <v>0.0</v>
      </c>
      <c r="AO413" s="12"/>
      <c r="AP413" s="12">
        <v>0.0</v>
      </c>
      <c r="AQ413" s="12">
        <v>0.0</v>
      </c>
      <c r="AR413" s="12">
        <v>0.0</v>
      </c>
      <c r="AS413" s="12">
        <f t="shared" si="133"/>
        <v>0</v>
      </c>
      <c r="AT413" s="16">
        <f t="shared" si="126"/>
        <v>0</v>
      </c>
      <c r="AU413" s="18">
        <f t="shared" si="127"/>
        <v>567437.27</v>
      </c>
      <c r="AV413" s="18"/>
      <c r="AW413" s="18"/>
      <c r="AX413" s="12">
        <f t="shared" si="1"/>
        <v>0</v>
      </c>
      <c r="AY413" s="12"/>
      <c r="AZ413" s="12">
        <v>0.0</v>
      </c>
      <c r="BA413" s="18">
        <f t="shared" si="128"/>
        <v>52626.6</v>
      </c>
      <c r="BB413" s="10">
        <f t="shared" si="16"/>
        <v>709296.5875</v>
      </c>
      <c r="BC413" s="16">
        <f t="shared" si="88"/>
        <v>126542.6071</v>
      </c>
      <c r="BD413" s="16"/>
      <c r="BE413" s="16"/>
      <c r="BF413" s="6"/>
      <c r="BG413" s="6"/>
      <c r="BH413" s="6"/>
      <c r="BI413" s="29">
        <f t="shared" si="125"/>
        <v>27333.33333</v>
      </c>
      <c r="BJ413" s="6"/>
      <c r="BK413" s="15">
        <f t="shared" si="76"/>
        <v>0</v>
      </c>
      <c r="BN413" s="16">
        <f t="shared" si="14"/>
        <v>-27333.33333</v>
      </c>
      <c r="BO413" s="16">
        <f t="shared" si="129"/>
        <v>-88562.73</v>
      </c>
      <c r="BY413" s="6">
        <f t="shared" si="2"/>
        <v>2024</v>
      </c>
      <c r="BZ413" s="6" t="str">
        <f t="shared" si="3"/>
        <v>noviembre</v>
      </c>
      <c r="CA413" s="6" t="str">
        <f t="shared" si="4"/>
        <v>11</v>
      </c>
    </row>
    <row r="414">
      <c r="A414" s="8">
        <v>45621.0</v>
      </c>
      <c r="B414" s="12">
        <v>187496.31</v>
      </c>
      <c r="C414" s="12">
        <v>1935.98</v>
      </c>
      <c r="D414" s="12"/>
      <c r="E414" s="12">
        <v>0.0</v>
      </c>
      <c r="F414" s="12">
        <v>0.0</v>
      </c>
      <c r="G414" s="12">
        <v>0.0</v>
      </c>
      <c r="H414" s="12">
        <f t="shared" si="132"/>
        <v>189432.29</v>
      </c>
      <c r="I414" s="12">
        <v>12556.0</v>
      </c>
      <c r="J414" s="12">
        <v>1532.53</v>
      </c>
      <c r="K414" s="12"/>
      <c r="L414" s="12">
        <v>0.0</v>
      </c>
      <c r="M414" s="12">
        <v>0.0</v>
      </c>
      <c r="N414" s="12">
        <v>0.0</v>
      </c>
      <c r="O414" s="16">
        <f t="shared" si="97"/>
        <v>14088.53</v>
      </c>
      <c r="P414" s="12">
        <v>6652.87</v>
      </c>
      <c r="Q414" s="12">
        <v>573.41</v>
      </c>
      <c r="R414" s="12"/>
      <c r="S414" s="12">
        <v>0.0</v>
      </c>
      <c r="T414" s="12">
        <v>0.0</v>
      </c>
      <c r="U414" s="12">
        <v>0.0</v>
      </c>
      <c r="V414" s="16">
        <f t="shared" si="122"/>
        <v>7226.28</v>
      </c>
      <c r="W414" s="12">
        <v>14591.61</v>
      </c>
      <c r="X414" s="12">
        <v>0.01</v>
      </c>
      <c r="Y414" s="12"/>
      <c r="Z414" s="12">
        <v>0.0</v>
      </c>
      <c r="AA414" s="12">
        <v>0.0</v>
      </c>
      <c r="AB414" s="12">
        <v>0.0</v>
      </c>
      <c r="AC414" s="16">
        <f t="shared" si="117"/>
        <v>14591.62</v>
      </c>
      <c r="AD414" s="12"/>
      <c r="AE414" s="12"/>
      <c r="AF414" s="12">
        <v>573.5</v>
      </c>
      <c r="AG414" s="12">
        <v>0.0</v>
      </c>
      <c r="AH414" s="12"/>
      <c r="AI414" s="12">
        <v>0.0</v>
      </c>
      <c r="AJ414" s="12">
        <v>0.0</v>
      </c>
      <c r="AK414" s="12">
        <v>0.0</v>
      </c>
      <c r="AL414" s="12">
        <f t="shared" si="134"/>
        <v>573.5</v>
      </c>
      <c r="AM414" s="12">
        <v>11217.0</v>
      </c>
      <c r="AN414" s="12">
        <v>0.0</v>
      </c>
      <c r="AO414" s="12"/>
      <c r="AP414" s="12">
        <v>0.0</v>
      </c>
      <c r="AQ414" s="12">
        <v>0.0</v>
      </c>
      <c r="AR414" s="12">
        <v>0.0</v>
      </c>
      <c r="AS414" s="12">
        <f t="shared" si="133"/>
        <v>11217</v>
      </c>
      <c r="AT414" s="16">
        <f t="shared" si="126"/>
        <v>47696.93</v>
      </c>
      <c r="AU414" s="18">
        <f t="shared" si="127"/>
        <v>615134.2</v>
      </c>
      <c r="AV414" s="18"/>
      <c r="AW414" s="18"/>
      <c r="AX414" s="12">
        <f t="shared" si="1"/>
        <v>47696.93</v>
      </c>
      <c r="AY414" s="12"/>
      <c r="AZ414" s="12">
        <v>4445.63</v>
      </c>
      <c r="BA414" s="18">
        <f t="shared" si="128"/>
        <v>57072.23</v>
      </c>
      <c r="BB414" s="10">
        <f t="shared" si="16"/>
        <v>738161.04</v>
      </c>
      <c r="BC414" s="16">
        <f t="shared" si="88"/>
        <v>128963.0159</v>
      </c>
      <c r="BD414" s="16"/>
      <c r="BE414" s="16"/>
      <c r="BF414" s="6"/>
      <c r="BG414" s="6"/>
      <c r="BH414" s="6"/>
      <c r="BI414" s="29">
        <f t="shared" si="125"/>
        <v>27333.33333</v>
      </c>
      <c r="BK414" s="15">
        <f t="shared" si="76"/>
        <v>1.745009634</v>
      </c>
      <c r="BN414" s="16">
        <f t="shared" si="14"/>
        <v>20363.59667</v>
      </c>
      <c r="BO414" s="16">
        <f t="shared" si="129"/>
        <v>-68199.13333</v>
      </c>
      <c r="BY414" s="6">
        <f t="shared" si="2"/>
        <v>2024</v>
      </c>
      <c r="BZ414" s="6" t="str">
        <f t="shared" si="3"/>
        <v>noviembre</v>
      </c>
      <c r="CA414" s="6" t="str">
        <f t="shared" si="4"/>
        <v>11</v>
      </c>
    </row>
    <row r="415">
      <c r="A415" s="8">
        <v>45622.0</v>
      </c>
      <c r="B415" s="12">
        <v>5813.32</v>
      </c>
      <c r="C415" s="12">
        <v>1370.97</v>
      </c>
      <c r="D415" s="12"/>
      <c r="E415" s="12">
        <v>0.0</v>
      </c>
      <c r="F415" s="12">
        <v>0.0</v>
      </c>
      <c r="G415" s="12">
        <v>0.0</v>
      </c>
      <c r="H415" s="12">
        <f t="shared" si="132"/>
        <v>7184.29</v>
      </c>
      <c r="I415" s="12">
        <v>5223.0</v>
      </c>
      <c r="J415" s="12">
        <v>1804.43</v>
      </c>
      <c r="K415" s="12"/>
      <c r="L415" s="12">
        <v>0.0</v>
      </c>
      <c r="M415" s="12">
        <v>0.0</v>
      </c>
      <c r="N415" s="12">
        <v>0.0</v>
      </c>
      <c r="O415" s="16">
        <f t="shared" si="97"/>
        <v>7027.43</v>
      </c>
      <c r="P415" s="12">
        <v>2633.77</v>
      </c>
      <c r="Q415" s="12">
        <v>820.7</v>
      </c>
      <c r="R415" s="12"/>
      <c r="S415" s="12">
        <v>0.0</v>
      </c>
      <c r="T415" s="12">
        <v>0.0</v>
      </c>
      <c r="U415" s="12">
        <v>0.0</v>
      </c>
      <c r="V415" s="16">
        <f t="shared" si="122"/>
        <v>3454.47</v>
      </c>
      <c r="W415" s="12">
        <v>3383.18</v>
      </c>
      <c r="X415" s="12">
        <v>300.7</v>
      </c>
      <c r="Y415" s="12"/>
      <c r="Z415" s="12">
        <v>0.0</v>
      </c>
      <c r="AA415" s="12">
        <v>0.0</v>
      </c>
      <c r="AB415" s="12">
        <v>0.0</v>
      </c>
      <c r="AC415" s="16">
        <f t="shared" si="117"/>
        <v>3683.88</v>
      </c>
      <c r="AD415" s="12"/>
      <c r="AE415" s="12"/>
      <c r="AF415" s="12">
        <v>800.0</v>
      </c>
      <c r="AG415" s="12">
        <v>2666.52</v>
      </c>
      <c r="AH415" s="12"/>
      <c r="AI415" s="12">
        <v>0.0</v>
      </c>
      <c r="AJ415" s="12">
        <v>0.0</v>
      </c>
      <c r="AK415" s="12">
        <v>0.0</v>
      </c>
      <c r="AL415" s="12">
        <f t="shared" si="134"/>
        <v>3466.52</v>
      </c>
      <c r="AM415" s="12">
        <v>3299.0</v>
      </c>
      <c r="AN415" s="12">
        <v>0.0</v>
      </c>
      <c r="AO415" s="12"/>
      <c r="AP415" s="12">
        <v>0.0</v>
      </c>
      <c r="AQ415" s="12">
        <v>0.0</v>
      </c>
      <c r="AR415" s="12">
        <v>0.0</v>
      </c>
      <c r="AS415" s="12">
        <f t="shared" si="133"/>
        <v>3299</v>
      </c>
      <c r="AT415" s="16">
        <f t="shared" si="126"/>
        <v>20931.3</v>
      </c>
      <c r="AU415" s="18">
        <f t="shared" si="127"/>
        <v>636065.5</v>
      </c>
      <c r="AV415" s="18"/>
      <c r="AW415" s="18"/>
      <c r="AX415" s="12">
        <f t="shared" si="1"/>
        <v>20931.3</v>
      </c>
      <c r="AY415" s="12"/>
      <c r="AZ415" s="12">
        <v>1237.86</v>
      </c>
      <c r="BA415" s="18">
        <f t="shared" si="128"/>
        <v>58310.09</v>
      </c>
      <c r="BB415" s="10">
        <f t="shared" si="16"/>
        <v>733921.7308</v>
      </c>
      <c r="BC415" s="16">
        <f t="shared" si="88"/>
        <v>123355.9283</v>
      </c>
      <c r="BD415" s="16"/>
      <c r="BE415" s="16"/>
      <c r="BF415" s="6"/>
      <c r="BG415" s="6"/>
      <c r="BH415" s="6"/>
      <c r="BI415" s="29">
        <f t="shared" si="125"/>
        <v>27333.33333</v>
      </c>
      <c r="BJ415" s="6"/>
      <c r="BK415" s="15">
        <f t="shared" si="76"/>
        <v>0.7657792683</v>
      </c>
      <c r="BN415" s="16">
        <f t="shared" si="14"/>
        <v>-6402.033333</v>
      </c>
      <c r="BO415" s="16">
        <f t="shared" si="129"/>
        <v>-74601.16667</v>
      </c>
      <c r="BY415" s="6">
        <f t="shared" si="2"/>
        <v>2024</v>
      </c>
      <c r="BZ415" s="6" t="str">
        <f t="shared" si="3"/>
        <v>noviembre</v>
      </c>
      <c r="CA415" s="6" t="str">
        <f t="shared" si="4"/>
        <v>11</v>
      </c>
    </row>
    <row r="416">
      <c r="A416" s="8">
        <v>45623.0</v>
      </c>
      <c r="B416" s="12">
        <v>23410.1</v>
      </c>
      <c r="C416" s="12">
        <v>2244.26</v>
      </c>
      <c r="D416" s="12"/>
      <c r="E416" s="12">
        <v>0.0</v>
      </c>
      <c r="F416" s="12">
        <v>0.0</v>
      </c>
      <c r="G416" s="12">
        <v>0.0</v>
      </c>
      <c r="H416" s="12">
        <f t="shared" si="132"/>
        <v>25654.36</v>
      </c>
      <c r="I416" s="12">
        <v>18556.0</v>
      </c>
      <c r="J416" s="12">
        <v>2018.58</v>
      </c>
      <c r="K416" s="12"/>
      <c r="L416" s="12">
        <v>0.0</v>
      </c>
      <c r="M416" s="12">
        <v>0.0</v>
      </c>
      <c r="N416" s="12">
        <v>0.0</v>
      </c>
      <c r="O416" s="16">
        <f t="shared" si="97"/>
        <v>20574.58</v>
      </c>
      <c r="P416" s="12">
        <v>6604.39</v>
      </c>
      <c r="Q416" s="12">
        <v>547.89</v>
      </c>
      <c r="R416" s="12"/>
      <c r="S416" s="12">
        <v>0.0</v>
      </c>
      <c r="T416" s="12">
        <v>0.0</v>
      </c>
      <c r="U416" s="12">
        <v>0.0</v>
      </c>
      <c r="V416" s="16">
        <f t="shared" si="122"/>
        <v>7152.28</v>
      </c>
      <c r="W416" s="12">
        <v>7584.47</v>
      </c>
      <c r="X416" s="12">
        <v>0.0</v>
      </c>
      <c r="Y416" s="12"/>
      <c r="Z416" s="12">
        <v>0.0</v>
      </c>
      <c r="AA416" s="12">
        <v>0.0</v>
      </c>
      <c r="AB416" s="12">
        <v>0.0</v>
      </c>
      <c r="AC416" s="16">
        <f t="shared" si="117"/>
        <v>7584.47</v>
      </c>
      <c r="AD416" s="12"/>
      <c r="AE416" s="12"/>
      <c r="AF416" s="12">
        <v>3871.53</v>
      </c>
      <c r="AG416" s="12">
        <v>236.22</v>
      </c>
      <c r="AH416" s="12"/>
      <c r="AI416" s="12">
        <v>0.0</v>
      </c>
      <c r="AJ416" s="12">
        <v>0.0</v>
      </c>
      <c r="AK416" s="12">
        <v>0.0</v>
      </c>
      <c r="AL416" s="12">
        <f t="shared" si="134"/>
        <v>4107.75</v>
      </c>
      <c r="AM416" s="12">
        <v>9471.0</v>
      </c>
      <c r="AN416" s="12">
        <v>0.0</v>
      </c>
      <c r="AO416" s="12"/>
      <c r="AP416" s="12">
        <v>0.0</v>
      </c>
      <c r="AQ416" s="12">
        <v>0.0</v>
      </c>
      <c r="AR416" s="12">
        <v>0.0</v>
      </c>
      <c r="AS416" s="12">
        <f t="shared" si="133"/>
        <v>9471</v>
      </c>
      <c r="AT416" s="16">
        <f t="shared" si="126"/>
        <v>48890.08</v>
      </c>
      <c r="AU416" s="18">
        <f t="shared" si="127"/>
        <v>684955.58</v>
      </c>
      <c r="AV416" s="18"/>
      <c r="AW416" s="18"/>
      <c r="AX416" s="12">
        <f t="shared" si="1"/>
        <v>48890.08</v>
      </c>
      <c r="AY416" s="12"/>
      <c r="AZ416" s="12">
        <v>1675.2</v>
      </c>
      <c r="BA416" s="18">
        <f t="shared" si="128"/>
        <v>59985.29</v>
      </c>
      <c r="BB416" s="10">
        <f t="shared" si="16"/>
        <v>761061.7556</v>
      </c>
      <c r="BC416" s="16">
        <f t="shared" si="88"/>
        <v>118216.0979</v>
      </c>
      <c r="BD416" s="16"/>
      <c r="BE416" s="16"/>
      <c r="BF416" s="6"/>
      <c r="BG416" s="6"/>
      <c r="BH416" s="6"/>
      <c r="BI416" s="29">
        <f t="shared" si="125"/>
        <v>27333.33333</v>
      </c>
      <c r="BK416" s="15">
        <f t="shared" si="76"/>
        <v>1.788661463</v>
      </c>
      <c r="BN416" s="16">
        <f t="shared" si="14"/>
        <v>21556.74667</v>
      </c>
      <c r="BO416" s="16">
        <f t="shared" si="129"/>
        <v>-53044.42</v>
      </c>
      <c r="BY416" s="6">
        <f t="shared" si="2"/>
        <v>2024</v>
      </c>
      <c r="BZ416" s="6" t="str">
        <f t="shared" si="3"/>
        <v>noviembre</v>
      </c>
      <c r="CA416" s="6" t="str">
        <f t="shared" si="4"/>
        <v>11</v>
      </c>
    </row>
    <row r="417">
      <c r="A417" s="8">
        <v>45624.0</v>
      </c>
      <c r="B417" s="12">
        <v>15536.34</v>
      </c>
      <c r="C417" s="12">
        <v>61.22</v>
      </c>
      <c r="D417" s="12"/>
      <c r="E417" s="12">
        <v>0.0</v>
      </c>
      <c r="F417" s="12">
        <v>0.0</v>
      </c>
      <c r="G417" s="12">
        <v>0.0</v>
      </c>
      <c r="H417" s="12">
        <f t="shared" si="132"/>
        <v>15597.56</v>
      </c>
      <c r="I417" s="12">
        <v>9800.0</v>
      </c>
      <c r="J417" s="12">
        <v>1846.54</v>
      </c>
      <c r="K417" s="12"/>
      <c r="L417" s="12">
        <v>0.0</v>
      </c>
      <c r="M417" s="12">
        <v>0.0</v>
      </c>
      <c r="N417" s="12">
        <v>0.0</v>
      </c>
      <c r="O417" s="16">
        <f t="shared" si="97"/>
        <v>11646.54</v>
      </c>
      <c r="P417" s="12">
        <v>5245.92</v>
      </c>
      <c r="Q417" s="12">
        <v>175.44</v>
      </c>
      <c r="R417" s="12"/>
      <c r="S417" s="12">
        <v>0.0</v>
      </c>
      <c r="T417" s="12">
        <v>0.0</v>
      </c>
      <c r="U417" s="12">
        <v>0.0</v>
      </c>
      <c r="V417" s="16">
        <f t="shared" si="122"/>
        <v>5421.36</v>
      </c>
      <c r="W417" s="12">
        <v>16953.56</v>
      </c>
      <c r="X417" s="12">
        <v>0.0</v>
      </c>
      <c r="Y417" s="12"/>
      <c r="Z417" s="12">
        <v>0.0</v>
      </c>
      <c r="AA417" s="12">
        <v>0.0</v>
      </c>
      <c r="AB417" s="12">
        <v>0.0</v>
      </c>
      <c r="AC417" s="16">
        <f t="shared" si="117"/>
        <v>16953.56</v>
      </c>
      <c r="AD417" s="12"/>
      <c r="AE417" s="12"/>
      <c r="AF417" s="12">
        <v>1393.4</v>
      </c>
      <c r="AG417" s="12">
        <v>319.42</v>
      </c>
      <c r="AH417" s="12"/>
      <c r="AI417" s="12">
        <v>0.0</v>
      </c>
      <c r="AJ417" s="12">
        <v>0.0</v>
      </c>
      <c r="AK417" s="12">
        <v>0.0</v>
      </c>
      <c r="AL417" s="12">
        <f t="shared" si="134"/>
        <v>1712.82</v>
      </c>
      <c r="AM417" s="12">
        <v>14619.0</v>
      </c>
      <c r="AN417" s="12">
        <v>0.0</v>
      </c>
      <c r="AO417" s="12"/>
      <c r="AP417" s="12">
        <v>0.0</v>
      </c>
      <c r="AQ417" s="12">
        <v>0.0</v>
      </c>
      <c r="AR417" s="12">
        <v>0.0</v>
      </c>
      <c r="AS417" s="12">
        <f t="shared" si="133"/>
        <v>14619</v>
      </c>
      <c r="AT417" s="16">
        <f t="shared" si="126"/>
        <v>50353.28</v>
      </c>
      <c r="AU417" s="18">
        <f t="shared" si="127"/>
        <v>735308.86</v>
      </c>
      <c r="AV417" s="18"/>
      <c r="AW417" s="18"/>
      <c r="AX417" s="12">
        <f t="shared" si="1"/>
        <v>50353.28</v>
      </c>
      <c r="AY417" s="12"/>
      <c r="AZ417" s="12">
        <v>827.86</v>
      </c>
      <c r="BA417" s="18">
        <f t="shared" si="128"/>
        <v>60813.15</v>
      </c>
      <c r="BB417" s="10">
        <f t="shared" si="16"/>
        <v>787830.9214</v>
      </c>
      <c r="BC417" s="16">
        <f t="shared" si="88"/>
        <v>123026.84</v>
      </c>
      <c r="BD417" s="16"/>
      <c r="BE417" s="16"/>
      <c r="BF417" s="6"/>
      <c r="BG417" s="6"/>
      <c r="BH417" s="6"/>
      <c r="BI417" s="29">
        <f t="shared" si="125"/>
        <v>27333.33333</v>
      </c>
      <c r="BK417" s="15">
        <f t="shared" si="76"/>
        <v>1.842193171</v>
      </c>
      <c r="BN417" s="16">
        <f t="shared" si="14"/>
        <v>23019.94667</v>
      </c>
      <c r="BO417" s="16">
        <f t="shared" si="129"/>
        <v>-30024.47333</v>
      </c>
      <c r="BY417" s="6">
        <f t="shared" si="2"/>
        <v>2024</v>
      </c>
      <c r="BZ417" s="6" t="str">
        <f t="shared" si="3"/>
        <v>noviembre</v>
      </c>
      <c r="CA417" s="6" t="str">
        <f t="shared" si="4"/>
        <v>11</v>
      </c>
    </row>
    <row r="418">
      <c r="A418" s="8">
        <v>45625.0</v>
      </c>
      <c r="B418" s="12">
        <v>27241.96</v>
      </c>
      <c r="C418" s="12">
        <v>0.0</v>
      </c>
      <c r="D418" s="12"/>
      <c r="E418" s="12">
        <v>2688.61</v>
      </c>
      <c r="F418" s="12">
        <v>0.0</v>
      </c>
      <c r="G418" s="12">
        <v>0.0</v>
      </c>
      <c r="H418" s="12">
        <f t="shared" si="132"/>
        <v>29930.57</v>
      </c>
      <c r="I418" s="12">
        <v>35387.58</v>
      </c>
      <c r="J418" s="12">
        <v>0.0</v>
      </c>
      <c r="K418" s="12"/>
      <c r="L418" s="12">
        <v>831.4</v>
      </c>
      <c r="M418" s="12">
        <v>0.0</v>
      </c>
      <c r="N418" s="12">
        <v>0.0</v>
      </c>
      <c r="O418" s="16">
        <f t="shared" si="97"/>
        <v>36218.98</v>
      </c>
      <c r="P418" s="12">
        <v>8840.7</v>
      </c>
      <c r="Q418" s="12">
        <v>0.0</v>
      </c>
      <c r="R418" s="12"/>
      <c r="S418" s="12">
        <v>0.0</v>
      </c>
      <c r="T418" s="12">
        <v>0.0</v>
      </c>
      <c r="U418" s="12">
        <v>0.0</v>
      </c>
      <c r="V418" s="16">
        <f t="shared" si="122"/>
        <v>8840.7</v>
      </c>
      <c r="W418" s="12">
        <v>1874.75</v>
      </c>
      <c r="X418" s="12">
        <v>0.0</v>
      </c>
      <c r="Y418" s="12"/>
      <c r="Z418" s="12">
        <v>0.0</v>
      </c>
      <c r="AA418" s="12">
        <v>0.0</v>
      </c>
      <c r="AB418" s="12">
        <v>0.0</v>
      </c>
      <c r="AC418" s="16">
        <f t="shared" si="117"/>
        <v>1874.75</v>
      </c>
      <c r="AD418" s="12"/>
      <c r="AE418" s="12"/>
      <c r="AF418" s="12">
        <v>3593.82</v>
      </c>
      <c r="AG418" s="12">
        <v>0.0</v>
      </c>
      <c r="AH418" s="12"/>
      <c r="AI418" s="12">
        <v>0.0</v>
      </c>
      <c r="AJ418" s="12">
        <v>0.0</v>
      </c>
      <c r="AK418" s="12">
        <v>0.0</v>
      </c>
      <c r="AL418" s="12">
        <f t="shared" si="134"/>
        <v>3593.82</v>
      </c>
      <c r="AM418" s="12">
        <v>1207.0</v>
      </c>
      <c r="AN418" s="12">
        <v>0.0</v>
      </c>
      <c r="AO418" s="12"/>
      <c r="AP418" s="12">
        <v>0.0</v>
      </c>
      <c r="AQ418" s="12">
        <v>0.0</v>
      </c>
      <c r="AR418" s="12">
        <v>0.0</v>
      </c>
      <c r="AS418" s="12">
        <f t="shared" si="133"/>
        <v>1207</v>
      </c>
      <c r="AT418" s="16">
        <f t="shared" si="126"/>
        <v>51735.25</v>
      </c>
      <c r="AU418" s="18">
        <f t="shared" si="127"/>
        <v>787044.11</v>
      </c>
      <c r="AV418" s="18"/>
      <c r="AW418" s="18"/>
      <c r="AX418" s="12">
        <f t="shared" si="1"/>
        <v>51735.25</v>
      </c>
      <c r="AY418" s="12"/>
      <c r="AZ418" s="12">
        <v>956.0</v>
      </c>
      <c r="BA418" s="18">
        <f t="shared" si="128"/>
        <v>61769.15</v>
      </c>
      <c r="BB418" s="10">
        <f t="shared" si="16"/>
        <v>814183.5621</v>
      </c>
      <c r="BC418" s="16">
        <f t="shared" si="88"/>
        <v>122320.2885</v>
      </c>
      <c r="BD418" s="16"/>
      <c r="BE418" s="16"/>
      <c r="BF418" s="6"/>
      <c r="BG418" s="6"/>
      <c r="BH418" s="6"/>
      <c r="BI418" s="29">
        <f t="shared" si="125"/>
        <v>27333.33333</v>
      </c>
      <c r="BK418" s="15">
        <f t="shared" si="76"/>
        <v>1.892753049</v>
      </c>
      <c r="BN418" s="16">
        <f t="shared" si="14"/>
        <v>24401.91667</v>
      </c>
      <c r="BO418" s="16">
        <f t="shared" si="129"/>
        <v>-5622.556667</v>
      </c>
      <c r="BY418" s="6">
        <f t="shared" si="2"/>
        <v>2024</v>
      </c>
      <c r="BZ418" s="6" t="str">
        <f t="shared" si="3"/>
        <v>noviembre</v>
      </c>
      <c r="CA418" s="6" t="str">
        <f t="shared" si="4"/>
        <v>11</v>
      </c>
    </row>
    <row r="419">
      <c r="A419" s="8">
        <v>45626.0</v>
      </c>
      <c r="B419" s="12">
        <f>46908.68+8520+25850+968</f>
        <v>82246.68</v>
      </c>
      <c r="C419" s="12">
        <f>2388.99+5249.16+4995.5+470.71</f>
        <v>13104.36</v>
      </c>
      <c r="D419" s="12"/>
      <c r="E419" s="12">
        <v>0.0</v>
      </c>
      <c r="F419" s="12">
        <v>0.0</v>
      </c>
      <c r="G419" s="12">
        <v>0.0</v>
      </c>
      <c r="H419" s="12">
        <f t="shared" si="132"/>
        <v>95351.04</v>
      </c>
      <c r="I419" s="12">
        <f>41000+3578+20556+3196+2097.36</f>
        <v>70427.36</v>
      </c>
      <c r="J419" s="12">
        <f>2070.4+1957.45+2004.34</f>
        <v>6032.19</v>
      </c>
      <c r="K419" s="12"/>
      <c r="L419" s="12">
        <v>0.0</v>
      </c>
      <c r="M419" s="12">
        <v>0.0</v>
      </c>
      <c r="N419" s="12">
        <v>0.0</v>
      </c>
      <c r="O419" s="16">
        <f t="shared" si="97"/>
        <v>76459.55</v>
      </c>
      <c r="P419" s="12">
        <f>15976.89+3000+7960+544.63</f>
        <v>27481.52</v>
      </c>
      <c r="Q419" s="12">
        <f>540.32+210+2528.39+4879</f>
        <v>8157.71</v>
      </c>
      <c r="R419" s="12"/>
      <c r="S419" s="12">
        <v>0.0</v>
      </c>
      <c r="T419" s="12">
        <v>0.0</v>
      </c>
      <c r="U419" s="12">
        <v>0.0</v>
      </c>
      <c r="V419" s="16">
        <f t="shared" si="122"/>
        <v>35639.23</v>
      </c>
      <c r="W419" s="12">
        <f>7371.04+19.78+333.64+0.07</f>
        <v>7724.53</v>
      </c>
      <c r="X419" s="12">
        <v>0.03</v>
      </c>
      <c r="Y419" s="12"/>
      <c r="Z419" s="12">
        <v>0.0</v>
      </c>
      <c r="AA419" s="12">
        <v>0.0</v>
      </c>
      <c r="AB419" s="12">
        <v>0.0</v>
      </c>
      <c r="AC419" s="16">
        <f t="shared" si="117"/>
        <v>7724.56</v>
      </c>
      <c r="AD419" s="12"/>
      <c r="AE419" s="12"/>
      <c r="AF419" s="12">
        <f>4085.54+1230.71+365.66</f>
        <v>5681.91</v>
      </c>
      <c r="AG419" s="12">
        <v>847.0</v>
      </c>
      <c r="AH419" s="12"/>
      <c r="AI419" s="12">
        <v>0.0</v>
      </c>
      <c r="AJ419" s="12">
        <v>0.0</v>
      </c>
      <c r="AK419" s="12">
        <v>0.0</v>
      </c>
      <c r="AL419" s="12">
        <f t="shared" si="134"/>
        <v>6528.91</v>
      </c>
      <c r="AM419" s="12">
        <v>9861.0</v>
      </c>
      <c r="AN419" s="12">
        <v>0.0</v>
      </c>
      <c r="AO419" s="12"/>
      <c r="AP419" s="12">
        <v>0.0</v>
      </c>
      <c r="AQ419" s="12">
        <v>0.0</v>
      </c>
      <c r="AR419" s="12">
        <v>0.0</v>
      </c>
      <c r="AS419" s="12">
        <f t="shared" si="133"/>
        <v>9861</v>
      </c>
      <c r="AT419" s="16">
        <f t="shared" si="126"/>
        <v>136213.25</v>
      </c>
      <c r="AU419" s="18">
        <f t="shared" si="127"/>
        <v>923257.36</v>
      </c>
      <c r="AV419" s="18"/>
      <c r="AW419" s="18"/>
      <c r="AX419" s="12">
        <f t="shared" si="1"/>
        <v>136213.25</v>
      </c>
      <c r="AY419" s="12"/>
      <c r="AZ419" s="12">
        <v>1016.31</v>
      </c>
      <c r="BA419" s="18">
        <f t="shared" si="128"/>
        <v>62785.46</v>
      </c>
      <c r="BB419" s="10">
        <f t="shared" si="16"/>
        <v>923257.36</v>
      </c>
      <c r="BC419" s="16">
        <f t="shared" si="88"/>
        <v>126843.6259</v>
      </c>
      <c r="BD419" s="16"/>
      <c r="BE419" s="16"/>
      <c r="BF419" s="6"/>
      <c r="BG419" s="6"/>
      <c r="BH419" s="6"/>
      <c r="BI419" s="29">
        <f t="shared" si="125"/>
        <v>27333.33333</v>
      </c>
      <c r="BK419" s="15">
        <f t="shared" si="76"/>
        <v>4.983411585</v>
      </c>
      <c r="BN419" s="16">
        <f t="shared" si="14"/>
        <v>108879.9167</v>
      </c>
      <c r="BO419" s="16">
        <f t="shared" si="129"/>
        <v>103257.36</v>
      </c>
      <c r="BY419" s="6">
        <f t="shared" si="2"/>
        <v>2024</v>
      </c>
      <c r="BZ419" s="6" t="str">
        <f t="shared" si="3"/>
        <v>noviembre</v>
      </c>
      <c r="CA419" s="6" t="str">
        <f t="shared" si="4"/>
        <v>11</v>
      </c>
    </row>
    <row r="420">
      <c r="A420" s="8">
        <v>45627.0</v>
      </c>
      <c r="B420" s="12">
        <v>0.0</v>
      </c>
      <c r="C420" s="12">
        <v>0.0</v>
      </c>
      <c r="D420" s="12"/>
      <c r="E420" s="12">
        <v>0.0</v>
      </c>
      <c r="F420" s="12">
        <v>0.0</v>
      </c>
      <c r="G420" s="12">
        <v>0.0</v>
      </c>
      <c r="H420" s="12">
        <v>0.0</v>
      </c>
      <c r="I420" s="12">
        <v>0.0</v>
      </c>
      <c r="J420" s="12">
        <v>0.0</v>
      </c>
      <c r="K420" s="12"/>
      <c r="L420" s="12">
        <v>0.0</v>
      </c>
      <c r="M420" s="12">
        <v>0.0</v>
      </c>
      <c r="N420" s="12">
        <v>0.0</v>
      </c>
      <c r="O420" s="16">
        <f t="shared" si="97"/>
        <v>0</v>
      </c>
      <c r="P420" s="12">
        <v>0.0</v>
      </c>
      <c r="Q420" s="12">
        <v>0.0</v>
      </c>
      <c r="R420" s="12"/>
      <c r="S420" s="12">
        <v>0.0</v>
      </c>
      <c r="T420" s="12">
        <v>0.0</v>
      </c>
      <c r="U420" s="12">
        <v>0.0</v>
      </c>
      <c r="V420" s="12">
        <v>0.0</v>
      </c>
      <c r="W420" s="12">
        <v>0.0</v>
      </c>
      <c r="X420" s="12">
        <v>0.0</v>
      </c>
      <c r="Y420" s="12"/>
      <c r="Z420" s="12">
        <v>0.0</v>
      </c>
      <c r="AA420" s="12">
        <v>0.0</v>
      </c>
      <c r="AB420" s="12">
        <v>0.0</v>
      </c>
      <c r="AC420" s="16">
        <f t="shared" si="117"/>
        <v>0</v>
      </c>
      <c r="AD420" s="12"/>
      <c r="AE420" s="12"/>
      <c r="AF420" s="12">
        <v>0.0</v>
      </c>
      <c r="AG420" s="12">
        <v>0.0</v>
      </c>
      <c r="AH420" s="12"/>
      <c r="AI420" s="12">
        <v>0.0</v>
      </c>
      <c r="AJ420" s="12">
        <v>0.0</v>
      </c>
      <c r="AK420" s="12">
        <v>0.0</v>
      </c>
      <c r="AL420" s="12">
        <f t="shared" si="134"/>
        <v>0</v>
      </c>
      <c r="AM420" s="12">
        <v>0.0</v>
      </c>
      <c r="AN420" s="12">
        <v>0.0</v>
      </c>
      <c r="AO420" s="12"/>
      <c r="AP420" s="12">
        <v>0.0</v>
      </c>
      <c r="AQ420" s="12">
        <v>0.0</v>
      </c>
      <c r="AR420" s="12">
        <v>0.0</v>
      </c>
      <c r="AS420" s="12">
        <f t="shared" si="133"/>
        <v>0</v>
      </c>
      <c r="AT420" s="16">
        <f t="shared" si="126"/>
        <v>0</v>
      </c>
      <c r="AU420" s="18">
        <f t="shared" ref="AU420:AU421" si="135">IF(AT420="","",AT420)</f>
        <v>0</v>
      </c>
      <c r="AV420" s="18"/>
      <c r="AW420" s="18"/>
      <c r="AX420" s="12">
        <f t="shared" si="1"/>
        <v>0</v>
      </c>
      <c r="AY420" s="12"/>
      <c r="AZ420" s="12">
        <v>0.0</v>
      </c>
      <c r="BA420" s="18">
        <f t="shared" ref="BA420:BA421" si="136">IF(AZ420="","",AZ420)</f>
        <v>0</v>
      </c>
      <c r="BB420" s="10">
        <f t="shared" si="16"/>
        <v>0</v>
      </c>
      <c r="BC420" s="16">
        <f t="shared" si="88"/>
        <v>131305.1536</v>
      </c>
      <c r="BD420" s="16"/>
      <c r="BE420" s="16"/>
      <c r="BF420" s="6"/>
      <c r="BG420" s="5">
        <v>820000.0</v>
      </c>
      <c r="BH420" s="6"/>
      <c r="BI420" s="29">
        <f>IF(AT420="","",$BG$420/DAY(EOMONTH(A420,0)))</f>
        <v>26451.6129</v>
      </c>
      <c r="BJ420" s="6"/>
      <c r="BK420" s="15">
        <f t="shared" si="76"/>
        <v>0</v>
      </c>
      <c r="BN420" s="16">
        <f t="shared" si="14"/>
        <v>-26451.6129</v>
      </c>
      <c r="BO420" s="16">
        <f>IF(AT420="","",BN420)</f>
        <v>-26451.6129</v>
      </c>
      <c r="BY420" s="6">
        <f t="shared" si="2"/>
        <v>2024</v>
      </c>
      <c r="BZ420" s="6" t="str">
        <f t="shared" si="3"/>
        <v>diciembre</v>
      </c>
      <c r="CA420" s="6" t="str">
        <f t="shared" si="4"/>
        <v>12</v>
      </c>
    </row>
    <row r="421">
      <c r="A421" s="8">
        <v>45628.0</v>
      </c>
      <c r="B421" s="12">
        <v>1256.0</v>
      </c>
      <c r="C421" s="12">
        <v>500.0</v>
      </c>
      <c r="D421" s="12"/>
      <c r="E421" s="12">
        <v>0.0</v>
      </c>
      <c r="F421" s="12">
        <v>0.0</v>
      </c>
      <c r="G421" s="12">
        <v>0.0</v>
      </c>
      <c r="H421" s="12">
        <f t="shared" ref="H421:H450" si="137">B421+C421+E421+F421+G421</f>
        <v>1756</v>
      </c>
      <c r="I421" s="12">
        <v>3263.0</v>
      </c>
      <c r="J421" s="12">
        <v>1544.0</v>
      </c>
      <c r="K421" s="12"/>
      <c r="L421" s="12">
        <v>0.0</v>
      </c>
      <c r="M421" s="12">
        <v>0.0</v>
      </c>
      <c r="N421" s="12">
        <v>0.0</v>
      </c>
      <c r="O421" s="16">
        <f t="shared" si="97"/>
        <v>4807</v>
      </c>
      <c r="P421" s="12">
        <v>2212.0</v>
      </c>
      <c r="Q421" s="12">
        <v>1000.0</v>
      </c>
      <c r="R421" s="12"/>
      <c r="S421" s="12">
        <v>0.0</v>
      </c>
      <c r="T421" s="12">
        <v>0.0</v>
      </c>
      <c r="U421" s="12">
        <v>0.0</v>
      </c>
      <c r="V421" s="16">
        <f t="shared" ref="V421:V450" si="138">P421+Q421+S421+T421+U421</f>
        <v>3212</v>
      </c>
      <c r="W421" s="12">
        <v>0.0</v>
      </c>
      <c r="X421" s="12">
        <v>0.0</v>
      </c>
      <c r="Y421" s="12"/>
      <c r="Z421" s="12">
        <v>0.0</v>
      </c>
      <c r="AA421" s="12">
        <v>0.0</v>
      </c>
      <c r="AB421" s="12">
        <v>0.0</v>
      </c>
      <c r="AC421" s="16">
        <f t="shared" si="117"/>
        <v>0</v>
      </c>
      <c r="AD421" s="12"/>
      <c r="AE421" s="12"/>
      <c r="AF421" s="12">
        <v>0.0</v>
      </c>
      <c r="AG421" s="12">
        <v>0.0</v>
      </c>
      <c r="AH421" s="12"/>
      <c r="AI421" s="12">
        <v>0.0</v>
      </c>
      <c r="AJ421" s="12">
        <v>0.0</v>
      </c>
      <c r="AK421" s="12">
        <v>0.0</v>
      </c>
      <c r="AL421" s="12">
        <f t="shared" si="134"/>
        <v>0</v>
      </c>
      <c r="AM421" s="12">
        <v>0.0</v>
      </c>
      <c r="AN421" s="12">
        <v>0.0</v>
      </c>
      <c r="AO421" s="12"/>
      <c r="AP421" s="12">
        <v>0.0</v>
      </c>
      <c r="AQ421" s="12">
        <v>0.0</v>
      </c>
      <c r="AR421" s="12">
        <v>0.0</v>
      </c>
      <c r="AS421" s="12">
        <f t="shared" si="133"/>
        <v>0</v>
      </c>
      <c r="AT421" s="16">
        <f t="shared" si="126"/>
        <v>8019</v>
      </c>
      <c r="AU421" s="18">
        <f t="shared" si="135"/>
        <v>8019</v>
      </c>
      <c r="AV421" s="18"/>
      <c r="AW421" s="18"/>
      <c r="AX421" s="12">
        <f t="shared" si="1"/>
        <v>8019</v>
      </c>
      <c r="AY421" s="12"/>
      <c r="AZ421" s="12">
        <v>360.0</v>
      </c>
      <c r="BA421" s="18">
        <f t="shared" si="136"/>
        <v>360</v>
      </c>
      <c r="BB421" s="10">
        <f t="shared" si="16"/>
        <v>124294.5</v>
      </c>
      <c r="BC421" s="16">
        <f t="shared" si="88"/>
        <v>135697.2603</v>
      </c>
      <c r="BD421" s="16"/>
      <c r="BE421" s="16"/>
      <c r="BF421" s="6"/>
      <c r="BG421" s="6"/>
      <c r="BH421" s="6"/>
      <c r="BI421" s="29">
        <f t="shared" ref="BI421:BI450" si="139">IF(AT421="","",$BG$390/DAY(EOMONTH(A421,0)))</f>
        <v>26451.6129</v>
      </c>
      <c r="BJ421" s="6"/>
      <c r="BK421" s="15">
        <f t="shared" si="76"/>
        <v>0.3031573171</v>
      </c>
      <c r="BN421" s="16">
        <f t="shared" si="14"/>
        <v>-18432.6129</v>
      </c>
      <c r="BO421" s="16">
        <f t="shared" ref="BO421:BO450" si="140">IF(AT421="","",BN421+BO420)</f>
        <v>-44884.22581</v>
      </c>
      <c r="BQ421" s="12">
        <v>13769.16</v>
      </c>
      <c r="BR421" s="12">
        <v>5535.45</v>
      </c>
      <c r="BS421" s="12">
        <v>3210.0</v>
      </c>
      <c r="BT421" s="12">
        <v>524.0</v>
      </c>
      <c r="BU421" s="12">
        <v>847.0</v>
      </c>
      <c r="BV421" s="12">
        <v>0.0</v>
      </c>
      <c r="BW421" s="12">
        <f>10116.45</f>
        <v>10116.45</v>
      </c>
      <c r="BY421" s="6">
        <f t="shared" si="2"/>
        <v>2024</v>
      </c>
      <c r="BZ421" s="6" t="str">
        <f t="shared" si="3"/>
        <v>diciembre</v>
      </c>
      <c r="CA421" s="6" t="str">
        <f t="shared" si="4"/>
        <v>12</v>
      </c>
    </row>
    <row r="422">
      <c r="A422" s="8">
        <v>45629.0</v>
      </c>
      <c r="B422" s="12">
        <v>1105.0</v>
      </c>
      <c r="C422" s="12">
        <v>260.0</v>
      </c>
      <c r="D422" s="12"/>
      <c r="E422" s="12">
        <v>0.0</v>
      </c>
      <c r="F422" s="12">
        <v>0.0</v>
      </c>
      <c r="G422" s="12">
        <v>0.0</v>
      </c>
      <c r="H422" s="12">
        <f t="shared" si="137"/>
        <v>1365</v>
      </c>
      <c r="I422" s="12">
        <v>2563.0</v>
      </c>
      <c r="J422" s="12">
        <v>1489.0</v>
      </c>
      <c r="K422" s="12"/>
      <c r="L422" s="12">
        <v>0.0</v>
      </c>
      <c r="M422" s="12">
        <v>0.0</v>
      </c>
      <c r="N422" s="12">
        <v>0.0</v>
      </c>
      <c r="O422" s="16">
        <f t="shared" si="97"/>
        <v>4052</v>
      </c>
      <c r="P422" s="12">
        <v>1632.0</v>
      </c>
      <c r="Q422" s="12">
        <v>963.0</v>
      </c>
      <c r="R422" s="12"/>
      <c r="S422" s="12">
        <v>0.0</v>
      </c>
      <c r="T422" s="12">
        <v>0.0</v>
      </c>
      <c r="U422" s="12">
        <v>0.0</v>
      </c>
      <c r="V422" s="16">
        <f t="shared" si="138"/>
        <v>2595</v>
      </c>
      <c r="W422" s="12">
        <v>0.0</v>
      </c>
      <c r="X422" s="12">
        <v>0.0</v>
      </c>
      <c r="Y422" s="12"/>
      <c r="Z422" s="12">
        <v>0.0</v>
      </c>
      <c r="AA422" s="12">
        <v>0.0</v>
      </c>
      <c r="AB422" s="12">
        <v>0.0</v>
      </c>
      <c r="AC422" s="16">
        <f t="shared" si="117"/>
        <v>0</v>
      </c>
      <c r="AD422" s="12"/>
      <c r="AE422" s="12"/>
      <c r="AF422" s="12">
        <v>0.0</v>
      </c>
      <c r="AG422" s="12">
        <v>0.0</v>
      </c>
      <c r="AH422" s="12"/>
      <c r="AI422" s="12">
        <v>0.0</v>
      </c>
      <c r="AJ422" s="12">
        <v>0.0</v>
      </c>
      <c r="AK422" s="12">
        <v>0.0</v>
      </c>
      <c r="AL422" s="12">
        <f t="shared" si="134"/>
        <v>0</v>
      </c>
      <c r="AM422" s="12">
        <v>0.0</v>
      </c>
      <c r="AN422" s="12">
        <v>0.0</v>
      </c>
      <c r="AO422" s="12"/>
      <c r="AP422" s="12">
        <v>0.0</v>
      </c>
      <c r="AQ422" s="12">
        <v>0.0</v>
      </c>
      <c r="AR422" s="12">
        <v>0.0</v>
      </c>
      <c r="AS422" s="12">
        <f t="shared" si="133"/>
        <v>0</v>
      </c>
      <c r="AT422" s="16">
        <f t="shared" si="126"/>
        <v>6647</v>
      </c>
      <c r="AU422" s="18">
        <f t="shared" ref="AU422:AU450" si="141">IF(AT422="","",AT422+AU421)</f>
        <v>14666</v>
      </c>
      <c r="AV422" s="18"/>
      <c r="AW422" s="18"/>
      <c r="AX422" s="12">
        <f t="shared" si="1"/>
        <v>6647</v>
      </c>
      <c r="AY422" s="12"/>
      <c r="AZ422" s="12">
        <v>259.0</v>
      </c>
      <c r="BA422" s="18">
        <f t="shared" ref="BA422:BA425" si="142">IF(AZ422="","",AZ422+BA421)</f>
        <v>619</v>
      </c>
      <c r="BB422" s="10">
        <f t="shared" si="16"/>
        <v>151548.6667</v>
      </c>
      <c r="BC422" s="16">
        <f t="shared" si="88"/>
        <v>153876.2267</v>
      </c>
      <c r="BD422" s="16"/>
      <c r="BE422" s="16"/>
      <c r="BF422" s="6"/>
      <c r="BG422" s="6"/>
      <c r="BH422" s="6"/>
      <c r="BI422" s="29">
        <f t="shared" si="139"/>
        <v>26451.6129</v>
      </c>
      <c r="BJ422" s="6"/>
      <c r="BK422" s="15">
        <f t="shared" si="76"/>
        <v>0.2512890244</v>
      </c>
      <c r="BN422" s="16">
        <f t="shared" si="14"/>
        <v>-19804.6129</v>
      </c>
      <c r="BO422" s="16">
        <f t="shared" si="140"/>
        <v>-64688.83871</v>
      </c>
      <c r="BQ422" s="12">
        <v>30845.5</v>
      </c>
      <c r="BR422" s="12">
        <v>23792.75</v>
      </c>
      <c r="BS422" s="12">
        <v>10488.39</v>
      </c>
      <c r="BT422" s="12">
        <v>19.78</v>
      </c>
      <c r="BU422" s="12">
        <v>1230.71</v>
      </c>
      <c r="BV422" s="12">
        <v>0.0</v>
      </c>
      <c r="BW422" s="16">
        <f>BV422+BU422+BT422+BS422+BR422</f>
        <v>35531.63</v>
      </c>
      <c r="BY422" s="6">
        <f t="shared" si="2"/>
        <v>2024</v>
      </c>
      <c r="BZ422" s="6" t="str">
        <f t="shared" si="3"/>
        <v>diciembre</v>
      </c>
      <c r="CA422" s="6" t="str">
        <f t="shared" si="4"/>
        <v>12</v>
      </c>
    </row>
    <row r="423">
      <c r="A423" s="8">
        <v>45630.0</v>
      </c>
      <c r="B423" s="12">
        <v>1523.0</v>
      </c>
      <c r="C423" s="12">
        <v>176.0</v>
      </c>
      <c r="D423" s="12"/>
      <c r="E423" s="12">
        <v>0.0</v>
      </c>
      <c r="F423" s="12">
        <v>0.0</v>
      </c>
      <c r="G423" s="12">
        <v>0.0</v>
      </c>
      <c r="H423" s="12">
        <f t="shared" si="137"/>
        <v>1699</v>
      </c>
      <c r="I423" s="12">
        <v>1236.0</v>
      </c>
      <c r="J423" s="12">
        <v>965.0</v>
      </c>
      <c r="K423" s="12"/>
      <c r="L423" s="12">
        <v>0.0</v>
      </c>
      <c r="M423" s="12">
        <v>0.0</v>
      </c>
      <c r="N423" s="12">
        <v>0.0</v>
      </c>
      <c r="O423" s="16">
        <f t="shared" si="97"/>
        <v>2201</v>
      </c>
      <c r="P423" s="12">
        <v>965.0</v>
      </c>
      <c r="Q423" s="12">
        <v>786.0</v>
      </c>
      <c r="R423" s="12"/>
      <c r="S423" s="12">
        <v>0.0</v>
      </c>
      <c r="T423" s="12">
        <v>0.0</v>
      </c>
      <c r="U423" s="12">
        <v>0.0</v>
      </c>
      <c r="V423" s="16">
        <f t="shared" si="138"/>
        <v>1751</v>
      </c>
      <c r="W423" s="12">
        <v>0.0</v>
      </c>
      <c r="X423" s="12">
        <v>0.0</v>
      </c>
      <c r="Y423" s="12"/>
      <c r="Z423" s="12">
        <v>0.0</v>
      </c>
      <c r="AA423" s="12">
        <v>0.0</v>
      </c>
      <c r="AB423" s="12">
        <v>0.0</v>
      </c>
      <c r="AC423" s="16">
        <f t="shared" si="117"/>
        <v>0</v>
      </c>
      <c r="AD423" s="12"/>
      <c r="AE423" s="12"/>
      <c r="AF423" s="12">
        <v>0.0</v>
      </c>
      <c r="AG423" s="12">
        <v>0.0</v>
      </c>
      <c r="AH423" s="12"/>
      <c r="AI423" s="12">
        <v>0.0</v>
      </c>
      <c r="AJ423" s="12">
        <v>0.0</v>
      </c>
      <c r="AK423" s="12">
        <v>0.0</v>
      </c>
      <c r="AL423" s="12">
        <f t="shared" si="134"/>
        <v>0</v>
      </c>
      <c r="AM423" s="12">
        <v>0.0</v>
      </c>
      <c r="AN423" s="12">
        <v>0.0</v>
      </c>
      <c r="AO423" s="12"/>
      <c r="AP423" s="12">
        <v>0.0</v>
      </c>
      <c r="AQ423" s="12">
        <v>0.0</v>
      </c>
      <c r="AR423" s="12">
        <v>0.0</v>
      </c>
      <c r="AS423" s="12">
        <f t="shared" si="133"/>
        <v>0</v>
      </c>
      <c r="AT423" s="16">
        <f t="shared" si="126"/>
        <v>3952</v>
      </c>
      <c r="AU423" s="18">
        <f t="shared" si="141"/>
        <v>18618</v>
      </c>
      <c r="AV423" s="18"/>
      <c r="AW423" s="18"/>
      <c r="AX423" s="12">
        <f t="shared" si="1"/>
        <v>3952</v>
      </c>
      <c r="AY423" s="12"/>
      <c r="AZ423" s="12">
        <v>156.0</v>
      </c>
      <c r="BA423" s="18">
        <f t="shared" si="142"/>
        <v>775</v>
      </c>
      <c r="BB423" s="10">
        <f t="shared" si="16"/>
        <v>144289.5</v>
      </c>
      <c r="BC423" s="16">
        <f t="shared" si="88"/>
        <v>0</v>
      </c>
      <c r="BD423" s="16"/>
      <c r="BE423" s="16"/>
      <c r="BF423" s="6"/>
      <c r="BG423" s="6"/>
      <c r="BH423" s="6"/>
      <c r="BI423" s="29">
        <f t="shared" si="139"/>
        <v>26451.6129</v>
      </c>
      <c r="BJ423" s="6"/>
      <c r="BK423" s="15">
        <f t="shared" si="76"/>
        <v>0.149404878</v>
      </c>
      <c r="BN423" s="16">
        <f t="shared" si="14"/>
        <v>-22499.6129</v>
      </c>
      <c r="BO423" s="16">
        <f t="shared" si="140"/>
        <v>-87188.45161</v>
      </c>
      <c r="BQ423" s="12">
        <v>0.0</v>
      </c>
      <c r="BR423" s="12">
        <v>0.0</v>
      </c>
      <c r="BS423" s="12">
        <v>0.0</v>
      </c>
      <c r="BT423" s="12">
        <v>0.0</v>
      </c>
      <c r="BU423" s="12">
        <v>0.0</v>
      </c>
      <c r="BV423" s="12">
        <v>0.0</v>
      </c>
      <c r="BW423" s="16">
        <f>BV423+BU423+BT423+BS423+BR423+BQ423</f>
        <v>0</v>
      </c>
      <c r="BY423" s="6">
        <f t="shared" si="2"/>
        <v>2024</v>
      </c>
      <c r="BZ423" s="6" t="str">
        <f t="shared" si="3"/>
        <v>diciembre</v>
      </c>
      <c r="CA423" s="6" t="str">
        <f t="shared" si="4"/>
        <v>12</v>
      </c>
    </row>
    <row r="424">
      <c r="A424" s="8">
        <v>45631.0</v>
      </c>
      <c r="B424" s="12">
        <v>1254.0</v>
      </c>
      <c r="C424" s="12">
        <v>505.0</v>
      </c>
      <c r="D424" s="12"/>
      <c r="E424" s="12">
        <v>0.0</v>
      </c>
      <c r="F424" s="12">
        <v>0.0</v>
      </c>
      <c r="G424" s="12">
        <v>0.0</v>
      </c>
      <c r="H424" s="12">
        <f t="shared" si="137"/>
        <v>1759</v>
      </c>
      <c r="I424" s="12">
        <v>2963.0</v>
      </c>
      <c r="J424" s="12">
        <v>1236.0</v>
      </c>
      <c r="K424" s="12"/>
      <c r="L424" s="12">
        <v>0.0</v>
      </c>
      <c r="M424" s="12">
        <v>0.0</v>
      </c>
      <c r="N424" s="12">
        <v>0.0</v>
      </c>
      <c r="O424" s="16">
        <f t="shared" si="97"/>
        <v>4199</v>
      </c>
      <c r="P424" s="12">
        <v>1234.0</v>
      </c>
      <c r="Q424" s="12">
        <v>563.0</v>
      </c>
      <c r="R424" s="12"/>
      <c r="S424" s="12">
        <v>0.0</v>
      </c>
      <c r="T424" s="12">
        <v>0.0</v>
      </c>
      <c r="U424" s="12">
        <v>0.0</v>
      </c>
      <c r="V424" s="16">
        <f t="shared" si="138"/>
        <v>1797</v>
      </c>
      <c r="W424" s="12">
        <v>0.0</v>
      </c>
      <c r="X424" s="12">
        <v>0.0</v>
      </c>
      <c r="Y424" s="12"/>
      <c r="Z424" s="12">
        <v>0.0</v>
      </c>
      <c r="AA424" s="12">
        <v>0.0</v>
      </c>
      <c r="AB424" s="12">
        <v>0.0</v>
      </c>
      <c r="AC424" s="16">
        <f t="shared" si="117"/>
        <v>0</v>
      </c>
      <c r="AD424" s="12"/>
      <c r="AE424" s="12"/>
      <c r="AF424" s="12">
        <v>0.0</v>
      </c>
      <c r="AG424" s="12">
        <v>0.0</v>
      </c>
      <c r="AH424" s="12"/>
      <c r="AI424" s="12">
        <v>0.0</v>
      </c>
      <c r="AJ424" s="12">
        <v>0.0</v>
      </c>
      <c r="AK424" s="12">
        <v>0.0</v>
      </c>
      <c r="AL424" s="12">
        <f t="shared" si="134"/>
        <v>0</v>
      </c>
      <c r="AM424" s="12">
        <v>0.0</v>
      </c>
      <c r="AN424" s="12">
        <v>0.0</v>
      </c>
      <c r="AO424" s="12"/>
      <c r="AP424" s="12">
        <v>0.0</v>
      </c>
      <c r="AQ424" s="12">
        <v>0.0</v>
      </c>
      <c r="AR424" s="12">
        <v>0.0</v>
      </c>
      <c r="AS424" s="12">
        <v>0.0</v>
      </c>
      <c r="AT424" s="16">
        <f t="shared" si="126"/>
        <v>5996</v>
      </c>
      <c r="AU424" s="18">
        <f t="shared" si="141"/>
        <v>24614</v>
      </c>
      <c r="AV424" s="18"/>
      <c r="AW424" s="18"/>
      <c r="AX424" s="12">
        <f t="shared" si="1"/>
        <v>5996</v>
      </c>
      <c r="AY424" s="12"/>
      <c r="AZ424" s="12">
        <v>300.0</v>
      </c>
      <c r="BA424" s="18">
        <f t="shared" si="142"/>
        <v>1075</v>
      </c>
      <c r="BB424" s="10">
        <f t="shared" si="16"/>
        <v>152606.8</v>
      </c>
      <c r="BC424" s="16">
        <f t="shared" si="88"/>
        <v>20047.5</v>
      </c>
      <c r="BD424" s="16"/>
      <c r="BE424" s="16"/>
      <c r="BF424" s="6"/>
      <c r="BG424" s="6"/>
      <c r="BH424" s="6"/>
      <c r="BI424" s="29">
        <f t="shared" si="139"/>
        <v>26451.6129</v>
      </c>
      <c r="BJ424" s="6"/>
      <c r="BK424" s="15">
        <f t="shared" si="76"/>
        <v>0.2266780488</v>
      </c>
      <c r="BN424" s="16">
        <f t="shared" si="14"/>
        <v>-20455.6129</v>
      </c>
      <c r="BO424" s="16">
        <f t="shared" si="140"/>
        <v>-107644.0645</v>
      </c>
      <c r="BQ424" s="12">
        <v>1438.71</v>
      </c>
      <c r="BR424" s="12">
        <v>2097.36</v>
      </c>
      <c r="BS424" s="12">
        <v>544.63</v>
      </c>
      <c r="BT424" s="12">
        <v>0.07</v>
      </c>
      <c r="BU424" s="12">
        <v>365.66</v>
      </c>
      <c r="BV424" s="12">
        <v>0.0</v>
      </c>
      <c r="BW424" s="16">
        <f>BV424+BU424+BT424+BS424+BR424</f>
        <v>3007.72</v>
      </c>
      <c r="BY424" s="6">
        <f t="shared" si="2"/>
        <v>2024</v>
      </c>
      <c r="BZ424" s="6" t="str">
        <f t="shared" si="3"/>
        <v>diciembre</v>
      </c>
      <c r="CA424" s="6" t="str">
        <f t="shared" si="4"/>
        <v>12</v>
      </c>
    </row>
    <row r="425">
      <c r="A425" s="8">
        <v>45632.0</v>
      </c>
      <c r="B425" s="12">
        <v>42548.47</v>
      </c>
      <c r="C425" s="12">
        <v>631.2</v>
      </c>
      <c r="D425" s="12"/>
      <c r="E425" s="12">
        <v>0.0</v>
      </c>
      <c r="F425" s="12">
        <v>0.0</v>
      </c>
      <c r="G425" s="12">
        <v>0.0</v>
      </c>
      <c r="H425" s="12">
        <f t="shared" si="137"/>
        <v>43179.67</v>
      </c>
      <c r="I425" s="12">
        <v>8068.43</v>
      </c>
      <c r="J425" s="12">
        <v>1480.86</v>
      </c>
      <c r="K425" s="12"/>
      <c r="L425" s="12">
        <v>0.0</v>
      </c>
      <c r="M425" s="12">
        <v>0.0</v>
      </c>
      <c r="N425" s="12">
        <v>0.0</v>
      </c>
      <c r="O425" s="16">
        <f t="shared" si="97"/>
        <v>9549.29</v>
      </c>
      <c r="P425" s="12">
        <v>9864.87</v>
      </c>
      <c r="Q425" s="12">
        <v>2546.15</v>
      </c>
      <c r="R425" s="12"/>
      <c r="S425" s="12">
        <v>0.0</v>
      </c>
      <c r="T425" s="12">
        <v>0.0</v>
      </c>
      <c r="U425" s="12">
        <v>0.0</v>
      </c>
      <c r="V425" s="16">
        <f t="shared" si="138"/>
        <v>12411.02</v>
      </c>
      <c r="W425" s="12">
        <v>9430.32</v>
      </c>
      <c r="X425" s="12">
        <v>0.0</v>
      </c>
      <c r="Y425" s="12"/>
      <c r="Z425" s="12">
        <v>0.0</v>
      </c>
      <c r="AA425" s="12">
        <v>0.0</v>
      </c>
      <c r="AB425" s="12">
        <v>0.0</v>
      </c>
      <c r="AC425" s="16">
        <f t="shared" si="117"/>
        <v>9430.32</v>
      </c>
      <c r="AD425" s="12"/>
      <c r="AE425" s="12"/>
      <c r="AF425" s="12">
        <v>2786.36</v>
      </c>
      <c r="AG425" s="12">
        <v>892.67</v>
      </c>
      <c r="AH425" s="12"/>
      <c r="AI425" s="12">
        <v>0.0</v>
      </c>
      <c r="AJ425" s="12">
        <v>0.0</v>
      </c>
      <c r="AK425" s="12">
        <v>0.0</v>
      </c>
      <c r="AL425" s="12">
        <f t="shared" si="134"/>
        <v>3679.03</v>
      </c>
      <c r="AM425" s="12">
        <v>9976.0</v>
      </c>
      <c r="AN425" s="12">
        <v>0.0</v>
      </c>
      <c r="AO425" s="12"/>
      <c r="AP425" s="12">
        <v>0.0</v>
      </c>
      <c r="AQ425" s="12">
        <v>0.0</v>
      </c>
      <c r="AR425" s="12">
        <v>0.0</v>
      </c>
      <c r="AS425" s="12">
        <f t="shared" ref="AS425:AS450" si="143">AR425+AQ425+AP425+AN425+AM425</f>
        <v>9976</v>
      </c>
      <c r="AT425" s="16">
        <f t="shared" si="126"/>
        <v>45045.66</v>
      </c>
      <c r="AU425" s="18">
        <f t="shared" si="141"/>
        <v>69659.66</v>
      </c>
      <c r="AV425" s="18"/>
      <c r="AW425" s="18"/>
      <c r="AX425" s="12">
        <f t="shared" si="1"/>
        <v>45045.66</v>
      </c>
      <c r="AY425" s="12"/>
      <c r="AZ425" s="12">
        <v>867.97</v>
      </c>
      <c r="BA425" s="18">
        <f t="shared" si="142"/>
        <v>1942.97</v>
      </c>
      <c r="BB425" s="10">
        <f t="shared" si="16"/>
        <v>359908.2433</v>
      </c>
      <c r="BC425" s="16">
        <f t="shared" si="88"/>
        <v>24443.33333</v>
      </c>
      <c r="BD425" s="16"/>
      <c r="BE425" s="16"/>
      <c r="BF425" s="6"/>
      <c r="BG425" s="6"/>
      <c r="BH425" s="6"/>
      <c r="BI425" s="29">
        <f t="shared" si="139"/>
        <v>26451.6129</v>
      </c>
      <c r="BK425" s="15">
        <f t="shared" si="76"/>
        <v>1.702945683</v>
      </c>
      <c r="BN425" s="16">
        <f t="shared" si="14"/>
        <v>18594.0471</v>
      </c>
      <c r="BO425" s="16">
        <f t="shared" si="140"/>
        <v>-89050.01742</v>
      </c>
      <c r="BY425" s="6">
        <f t="shared" si="2"/>
        <v>2024</v>
      </c>
      <c r="BZ425" s="6" t="str">
        <f t="shared" si="3"/>
        <v>diciembre</v>
      </c>
      <c r="CA425" s="6" t="str">
        <f t="shared" si="4"/>
        <v>12</v>
      </c>
    </row>
    <row r="426">
      <c r="A426" s="8">
        <v>45633.0</v>
      </c>
      <c r="B426" s="12">
        <v>0.0</v>
      </c>
      <c r="C426" s="12">
        <v>0.0</v>
      </c>
      <c r="D426" s="12"/>
      <c r="E426" s="12">
        <v>0.0</v>
      </c>
      <c r="F426" s="12">
        <v>0.0</v>
      </c>
      <c r="G426" s="12">
        <v>0.0</v>
      </c>
      <c r="H426" s="12">
        <f t="shared" si="137"/>
        <v>0</v>
      </c>
      <c r="I426" s="12">
        <v>0.0</v>
      </c>
      <c r="J426" s="12">
        <v>0.0</v>
      </c>
      <c r="K426" s="12"/>
      <c r="L426" s="12">
        <v>0.0</v>
      </c>
      <c r="M426" s="12">
        <v>0.0</v>
      </c>
      <c r="N426" s="12">
        <v>0.0</v>
      </c>
      <c r="O426" s="16">
        <f t="shared" si="97"/>
        <v>0</v>
      </c>
      <c r="P426" s="12">
        <v>0.0</v>
      </c>
      <c r="Q426" s="12">
        <v>0.0</v>
      </c>
      <c r="R426" s="12"/>
      <c r="S426" s="12">
        <v>0.0</v>
      </c>
      <c r="T426" s="12">
        <v>0.0</v>
      </c>
      <c r="U426" s="12">
        <v>0.0</v>
      </c>
      <c r="V426" s="16">
        <f t="shared" si="138"/>
        <v>0</v>
      </c>
      <c r="W426" s="12">
        <v>0.0</v>
      </c>
      <c r="X426" s="12">
        <v>0.0</v>
      </c>
      <c r="Y426" s="12"/>
      <c r="Z426" s="12">
        <v>0.0</v>
      </c>
      <c r="AA426" s="12">
        <v>0.0</v>
      </c>
      <c r="AB426" s="12">
        <v>0.0</v>
      </c>
      <c r="AC426" s="16">
        <f t="shared" si="117"/>
        <v>0</v>
      </c>
      <c r="AD426" s="12"/>
      <c r="AE426" s="12"/>
      <c r="AF426" s="12">
        <v>0.0</v>
      </c>
      <c r="AG426" s="12">
        <v>0.0</v>
      </c>
      <c r="AH426" s="12"/>
      <c r="AI426" s="12">
        <v>0.0</v>
      </c>
      <c r="AJ426" s="12">
        <v>0.0</v>
      </c>
      <c r="AK426" s="12">
        <v>0.0</v>
      </c>
      <c r="AL426" s="12">
        <v>0.0</v>
      </c>
      <c r="AM426" s="12">
        <v>0.0</v>
      </c>
      <c r="AN426" s="12">
        <v>0.0</v>
      </c>
      <c r="AO426" s="12"/>
      <c r="AP426" s="12">
        <v>0.0</v>
      </c>
      <c r="AQ426" s="12">
        <v>0.0</v>
      </c>
      <c r="AR426" s="12">
        <v>0.0</v>
      </c>
      <c r="AS426" s="12">
        <f t="shared" si="143"/>
        <v>0</v>
      </c>
      <c r="AT426" s="16">
        <f t="shared" si="126"/>
        <v>0</v>
      </c>
      <c r="AU426" s="18">
        <f t="shared" si="141"/>
        <v>69659.66</v>
      </c>
      <c r="AV426" s="18"/>
      <c r="AW426" s="18"/>
      <c r="AX426" s="12">
        <f t="shared" si="1"/>
        <v>0</v>
      </c>
      <c r="AY426" s="12"/>
      <c r="AZ426" s="12">
        <v>0.0</v>
      </c>
      <c r="BA426" s="18">
        <f>IF(AZ426="","",AZ426)</f>
        <v>0</v>
      </c>
      <c r="BB426" s="10">
        <f t="shared" si="16"/>
        <v>308492.78</v>
      </c>
      <c r="BC426" s="16">
        <f t="shared" si="88"/>
        <v>23272.5</v>
      </c>
      <c r="BD426" s="16"/>
      <c r="BE426" s="16"/>
      <c r="BF426" s="6"/>
      <c r="BG426" s="6"/>
      <c r="BH426" s="6"/>
      <c r="BI426" s="29">
        <f t="shared" si="139"/>
        <v>26451.6129</v>
      </c>
      <c r="BJ426" s="6"/>
      <c r="BK426" s="15">
        <f t="shared" si="76"/>
        <v>0</v>
      </c>
      <c r="BN426" s="16">
        <f t="shared" si="14"/>
        <v>-26451.6129</v>
      </c>
      <c r="BO426" s="16">
        <f t="shared" si="140"/>
        <v>-115501.6303</v>
      </c>
      <c r="BY426" s="6">
        <f t="shared" si="2"/>
        <v>2024</v>
      </c>
      <c r="BZ426" s="6" t="str">
        <f t="shared" si="3"/>
        <v>diciembre</v>
      </c>
      <c r="CA426" s="6" t="str">
        <f t="shared" si="4"/>
        <v>12</v>
      </c>
    </row>
    <row r="427">
      <c r="A427" s="8">
        <v>45634.0</v>
      </c>
      <c r="B427" s="12">
        <v>0.0</v>
      </c>
      <c r="C427" s="12">
        <v>0.0</v>
      </c>
      <c r="D427" s="12"/>
      <c r="E427" s="12">
        <v>0.0</v>
      </c>
      <c r="F427" s="12">
        <v>0.0</v>
      </c>
      <c r="G427" s="12">
        <v>0.0</v>
      </c>
      <c r="H427" s="12">
        <f t="shared" si="137"/>
        <v>0</v>
      </c>
      <c r="I427" s="12">
        <v>0.0</v>
      </c>
      <c r="J427" s="12">
        <v>0.0</v>
      </c>
      <c r="K427" s="12"/>
      <c r="L427" s="12">
        <v>0.0</v>
      </c>
      <c r="M427" s="12">
        <v>0.0</v>
      </c>
      <c r="N427" s="12">
        <v>0.0</v>
      </c>
      <c r="O427" s="16">
        <f t="shared" si="97"/>
        <v>0</v>
      </c>
      <c r="P427" s="12">
        <v>0.0</v>
      </c>
      <c r="Q427" s="12">
        <v>0.0</v>
      </c>
      <c r="R427" s="12"/>
      <c r="S427" s="12">
        <v>0.0</v>
      </c>
      <c r="T427" s="12">
        <v>0.0</v>
      </c>
      <c r="U427" s="12">
        <v>0.0</v>
      </c>
      <c r="V427" s="16">
        <f t="shared" si="138"/>
        <v>0</v>
      </c>
      <c r="W427" s="12">
        <v>0.0</v>
      </c>
      <c r="X427" s="12">
        <v>0.0</v>
      </c>
      <c r="Y427" s="12"/>
      <c r="Z427" s="12">
        <v>0.0</v>
      </c>
      <c r="AA427" s="12">
        <v>0.0</v>
      </c>
      <c r="AB427" s="12">
        <v>0.0</v>
      </c>
      <c r="AC427" s="12">
        <v>0.0</v>
      </c>
      <c r="AD427" s="12"/>
      <c r="AE427" s="12"/>
      <c r="AF427" s="12">
        <v>0.0</v>
      </c>
      <c r="AG427" s="12">
        <v>0.0</v>
      </c>
      <c r="AH427" s="12"/>
      <c r="AI427" s="12">
        <v>0.0</v>
      </c>
      <c r="AJ427" s="12">
        <v>0.0</v>
      </c>
      <c r="AK427" s="12">
        <v>0.0</v>
      </c>
      <c r="AL427" s="12">
        <f t="shared" ref="AL427:AL450" si="144">AK427+AJ427+AI427+AG427+AF427</f>
        <v>0</v>
      </c>
      <c r="AM427" s="12">
        <v>0.0</v>
      </c>
      <c r="AN427" s="12">
        <v>0.0</v>
      </c>
      <c r="AO427" s="12"/>
      <c r="AP427" s="12">
        <v>0.0</v>
      </c>
      <c r="AQ427" s="12">
        <v>0.0</v>
      </c>
      <c r="AR427" s="12">
        <v>0.0</v>
      </c>
      <c r="AS427" s="12">
        <f t="shared" si="143"/>
        <v>0</v>
      </c>
      <c r="AT427" s="16">
        <f t="shared" si="126"/>
        <v>0</v>
      </c>
      <c r="AU427" s="18">
        <f t="shared" si="141"/>
        <v>69659.66</v>
      </c>
      <c r="AV427" s="18"/>
      <c r="AW427" s="18"/>
      <c r="AX427" s="12">
        <f t="shared" si="1"/>
        <v>0</v>
      </c>
      <c r="AY427" s="12"/>
      <c r="AZ427" s="12">
        <v>0.0</v>
      </c>
      <c r="BA427" s="18">
        <f t="shared" ref="BA427:BA450" si="145">IF(AZ427="","",AZ427+BA426)</f>
        <v>0</v>
      </c>
      <c r="BB427" s="10">
        <f t="shared" si="16"/>
        <v>269931.1825</v>
      </c>
      <c r="BC427" s="16">
        <f t="shared" si="88"/>
        <v>24614</v>
      </c>
      <c r="BD427" s="16"/>
      <c r="BE427" s="16"/>
      <c r="BF427" s="6"/>
      <c r="BG427" s="6"/>
      <c r="BH427" s="6"/>
      <c r="BI427" s="29">
        <f t="shared" si="139"/>
        <v>26451.6129</v>
      </c>
      <c r="BJ427" s="6"/>
      <c r="BK427" s="15">
        <f t="shared" si="76"/>
        <v>0</v>
      </c>
      <c r="BN427" s="16">
        <f t="shared" si="14"/>
        <v>-26451.6129</v>
      </c>
      <c r="BO427" s="16">
        <f t="shared" si="140"/>
        <v>-141953.2432</v>
      </c>
      <c r="BY427" s="6">
        <f t="shared" si="2"/>
        <v>2024</v>
      </c>
      <c r="BZ427" s="6" t="str">
        <f t="shared" si="3"/>
        <v>diciembre</v>
      </c>
      <c r="CA427" s="6" t="str">
        <f t="shared" si="4"/>
        <v>12</v>
      </c>
    </row>
    <row r="428">
      <c r="A428" s="8">
        <v>45635.0</v>
      </c>
      <c r="B428" s="12">
        <v>80147.17</v>
      </c>
      <c r="C428" s="12">
        <v>716.94</v>
      </c>
      <c r="D428" s="12"/>
      <c r="E428" s="12">
        <v>0.0</v>
      </c>
      <c r="F428" s="12">
        <v>0.0</v>
      </c>
      <c r="G428" s="12">
        <v>0.0</v>
      </c>
      <c r="H428" s="12">
        <f t="shared" si="137"/>
        <v>80864.11</v>
      </c>
      <c r="I428" s="12">
        <v>49663.0</v>
      </c>
      <c r="J428" s="12">
        <v>1643.58</v>
      </c>
      <c r="K428" s="12"/>
      <c r="L428" s="12">
        <v>0.0</v>
      </c>
      <c r="M428" s="12">
        <v>0.0</v>
      </c>
      <c r="N428" s="12">
        <v>0.0</v>
      </c>
      <c r="O428" s="16">
        <f t="shared" si="97"/>
        <v>51306.58</v>
      </c>
      <c r="P428" s="12">
        <v>14877.04</v>
      </c>
      <c r="Q428" s="12">
        <v>150.88</v>
      </c>
      <c r="R428" s="12"/>
      <c r="S428" s="12">
        <v>0.0</v>
      </c>
      <c r="T428" s="12">
        <v>0.0</v>
      </c>
      <c r="U428" s="12">
        <v>0.0</v>
      </c>
      <c r="V428" s="16">
        <f t="shared" si="138"/>
        <v>15027.92</v>
      </c>
      <c r="W428" s="12">
        <v>2008.14</v>
      </c>
      <c r="X428" s="12">
        <v>0.0</v>
      </c>
      <c r="Y428" s="12"/>
      <c r="Z428" s="12">
        <v>0.0</v>
      </c>
      <c r="AA428" s="12">
        <v>0.0</v>
      </c>
      <c r="AB428" s="12">
        <v>0.0</v>
      </c>
      <c r="AC428" s="16">
        <f t="shared" ref="AC428:AC432" si="146">W428+X428+Z428+AA428+AB428</f>
        <v>2008.14</v>
      </c>
      <c r="AD428" s="12"/>
      <c r="AE428" s="12"/>
      <c r="AF428" s="12">
        <v>6357.79</v>
      </c>
      <c r="AG428" s="12">
        <v>256.15</v>
      </c>
      <c r="AH428" s="12"/>
      <c r="AI428" s="12">
        <v>0.0</v>
      </c>
      <c r="AJ428" s="12">
        <v>0.0</v>
      </c>
      <c r="AK428" s="12">
        <v>0.0</v>
      </c>
      <c r="AL428" s="12">
        <f t="shared" si="144"/>
        <v>6613.94</v>
      </c>
      <c r="AM428" s="12">
        <v>2039.0</v>
      </c>
      <c r="AN428" s="12">
        <v>0.0</v>
      </c>
      <c r="AO428" s="12"/>
      <c r="AP428" s="12">
        <v>0.0</v>
      </c>
      <c r="AQ428" s="12">
        <v>0.0</v>
      </c>
      <c r="AR428" s="12">
        <v>0.0</v>
      </c>
      <c r="AS428" s="12">
        <f t="shared" si="143"/>
        <v>2039</v>
      </c>
      <c r="AT428" s="16">
        <f t="shared" si="126"/>
        <v>76995.58</v>
      </c>
      <c r="AU428" s="18">
        <f t="shared" si="141"/>
        <v>146655.24</v>
      </c>
      <c r="AV428" s="18"/>
      <c r="AW428" s="18"/>
      <c r="AX428" s="12">
        <f t="shared" si="1"/>
        <v>76995.58</v>
      </c>
      <c r="AY428" s="12"/>
      <c r="AZ428" s="12">
        <v>5368.47</v>
      </c>
      <c r="BA428" s="18">
        <f t="shared" si="145"/>
        <v>5368.47</v>
      </c>
      <c r="BB428" s="10">
        <f t="shared" si="16"/>
        <v>505145.8267</v>
      </c>
      <c r="BC428" s="16">
        <f t="shared" si="88"/>
        <v>58049.71667</v>
      </c>
      <c r="BD428" s="16"/>
      <c r="BE428" s="16"/>
      <c r="BF428" s="6"/>
      <c r="BG428" s="6"/>
      <c r="BH428" s="6"/>
      <c r="BI428" s="29">
        <f t="shared" si="139"/>
        <v>26451.6129</v>
      </c>
      <c r="BK428" s="15">
        <f t="shared" si="76"/>
        <v>2.910808512</v>
      </c>
      <c r="BN428" s="16">
        <f t="shared" si="14"/>
        <v>50543.9671</v>
      </c>
      <c r="BO428" s="16">
        <f t="shared" si="140"/>
        <v>-91409.27613</v>
      </c>
      <c r="BY428" s="6">
        <f t="shared" si="2"/>
        <v>2024</v>
      </c>
      <c r="BZ428" s="6" t="str">
        <f t="shared" si="3"/>
        <v>diciembre</v>
      </c>
      <c r="CA428" s="6" t="str">
        <f t="shared" si="4"/>
        <v>12</v>
      </c>
    </row>
    <row r="429">
      <c r="A429" s="8">
        <v>45636.0</v>
      </c>
      <c r="B429" s="12">
        <v>52312.19</v>
      </c>
      <c r="C429" s="12">
        <v>3416.54</v>
      </c>
      <c r="D429" s="12"/>
      <c r="E429" s="12">
        <v>1824.66</v>
      </c>
      <c r="F429" s="12">
        <v>0.0</v>
      </c>
      <c r="G429" s="12">
        <v>0.0</v>
      </c>
      <c r="H429" s="12">
        <f t="shared" si="137"/>
        <v>57553.39</v>
      </c>
      <c r="I429" s="12">
        <v>15236.0</v>
      </c>
      <c r="J429" s="12">
        <v>2652.32</v>
      </c>
      <c r="K429" s="12"/>
      <c r="L429" s="12">
        <v>3460.74</v>
      </c>
      <c r="M429" s="12">
        <v>0.0</v>
      </c>
      <c r="N429" s="12">
        <v>0.0</v>
      </c>
      <c r="O429" s="16">
        <f t="shared" si="97"/>
        <v>21349.06</v>
      </c>
      <c r="P429" s="12">
        <v>8655.81</v>
      </c>
      <c r="Q429" s="12">
        <v>1238.07</v>
      </c>
      <c r="R429" s="12"/>
      <c r="S429" s="12">
        <v>0.0</v>
      </c>
      <c r="T429" s="12">
        <v>0.0</v>
      </c>
      <c r="U429" s="12">
        <v>0.0</v>
      </c>
      <c r="V429" s="16">
        <f t="shared" si="138"/>
        <v>9893.88</v>
      </c>
      <c r="W429" s="12">
        <v>6396.79</v>
      </c>
      <c r="X429" s="12">
        <v>0.0</v>
      </c>
      <c r="Y429" s="12"/>
      <c r="Z429" s="12">
        <v>0.0</v>
      </c>
      <c r="AA429" s="12">
        <v>0.0</v>
      </c>
      <c r="AB429" s="12">
        <v>0.0</v>
      </c>
      <c r="AC429" s="16">
        <f t="shared" si="146"/>
        <v>6396.79</v>
      </c>
      <c r="AD429" s="12"/>
      <c r="AE429" s="12"/>
      <c r="AF429" s="12">
        <v>2162.81</v>
      </c>
      <c r="AG429" s="12">
        <v>117.0</v>
      </c>
      <c r="AH429" s="12"/>
      <c r="AI429" s="12">
        <v>0.0</v>
      </c>
      <c r="AJ429" s="12">
        <v>0.0</v>
      </c>
      <c r="AK429" s="12">
        <v>0.0</v>
      </c>
      <c r="AL429" s="12">
        <f t="shared" si="144"/>
        <v>2279.81</v>
      </c>
      <c r="AM429" s="12">
        <v>6950.0</v>
      </c>
      <c r="AN429" s="12">
        <v>0.0</v>
      </c>
      <c r="AO429" s="12"/>
      <c r="AP429" s="12">
        <v>0.0</v>
      </c>
      <c r="AQ429" s="12">
        <v>0.0</v>
      </c>
      <c r="AR429" s="12">
        <v>0.0</v>
      </c>
      <c r="AS429" s="12">
        <f t="shared" si="143"/>
        <v>6950</v>
      </c>
      <c r="AT429" s="16">
        <f t="shared" si="126"/>
        <v>46869.54</v>
      </c>
      <c r="AU429" s="18">
        <f t="shared" si="141"/>
        <v>193524.78</v>
      </c>
      <c r="AV429" s="18"/>
      <c r="AW429" s="18"/>
      <c r="AX429" s="12">
        <f t="shared" si="1"/>
        <v>46869.54</v>
      </c>
      <c r="AY429" s="12"/>
      <c r="AZ429" s="12">
        <v>3356.13</v>
      </c>
      <c r="BA429" s="18">
        <f t="shared" si="145"/>
        <v>8724.6</v>
      </c>
      <c r="BB429" s="10">
        <f t="shared" si="16"/>
        <v>599926.818</v>
      </c>
      <c r="BC429" s="16">
        <f t="shared" si="88"/>
        <v>49756.9</v>
      </c>
      <c r="BD429" s="16"/>
      <c r="BE429" s="16"/>
      <c r="BF429" s="6"/>
      <c r="BG429" s="6"/>
      <c r="BH429" s="6"/>
      <c r="BI429" s="29">
        <f t="shared" si="139"/>
        <v>26451.6129</v>
      </c>
      <c r="BK429" s="15">
        <f t="shared" si="76"/>
        <v>1.771897244</v>
      </c>
      <c r="BN429" s="16">
        <f t="shared" si="14"/>
        <v>20417.9271</v>
      </c>
      <c r="BO429" s="16">
        <f t="shared" si="140"/>
        <v>-70991.34903</v>
      </c>
      <c r="BY429" s="6">
        <f t="shared" si="2"/>
        <v>2024</v>
      </c>
      <c r="BZ429" s="6" t="str">
        <f t="shared" si="3"/>
        <v>diciembre</v>
      </c>
      <c r="CA429" s="6" t="str">
        <f t="shared" si="4"/>
        <v>12</v>
      </c>
    </row>
    <row r="430">
      <c r="A430" s="8">
        <v>45637.0</v>
      </c>
      <c r="B430" s="12">
        <v>19562.35</v>
      </c>
      <c r="C430" s="12">
        <v>1331.52</v>
      </c>
      <c r="D430" s="12"/>
      <c r="E430" s="12">
        <v>2231.06</v>
      </c>
      <c r="F430" s="12">
        <v>0.0</v>
      </c>
      <c r="G430" s="12">
        <v>0.0</v>
      </c>
      <c r="H430" s="12">
        <f t="shared" si="137"/>
        <v>23124.93</v>
      </c>
      <c r="I430" s="12">
        <v>6999.0</v>
      </c>
      <c r="J430" s="12">
        <v>1401.38</v>
      </c>
      <c r="K430" s="12"/>
      <c r="L430" s="12">
        <v>16300.7</v>
      </c>
      <c r="M430" s="12">
        <v>0.0</v>
      </c>
      <c r="N430" s="12">
        <v>0.0</v>
      </c>
      <c r="O430" s="16">
        <f t="shared" si="97"/>
        <v>24701.08</v>
      </c>
      <c r="P430" s="12">
        <v>4088.89</v>
      </c>
      <c r="Q430" s="12">
        <v>644.97</v>
      </c>
      <c r="R430" s="12"/>
      <c r="S430" s="12">
        <v>0.0</v>
      </c>
      <c r="T430" s="12">
        <v>0.0</v>
      </c>
      <c r="U430" s="12">
        <v>0.0</v>
      </c>
      <c r="V430" s="16">
        <f t="shared" si="138"/>
        <v>4733.86</v>
      </c>
      <c r="W430" s="12">
        <v>2160.06</v>
      </c>
      <c r="X430" s="12">
        <v>0.0</v>
      </c>
      <c r="Y430" s="12"/>
      <c r="Z430" s="12">
        <v>0.0</v>
      </c>
      <c r="AA430" s="12">
        <v>0.0</v>
      </c>
      <c r="AB430" s="12">
        <v>0.0</v>
      </c>
      <c r="AC430" s="16">
        <f t="shared" si="146"/>
        <v>2160.06</v>
      </c>
      <c r="AD430" s="12"/>
      <c r="AE430" s="12"/>
      <c r="AF430" s="12">
        <v>2559.59</v>
      </c>
      <c r="AG430" s="12">
        <v>0.0</v>
      </c>
      <c r="AH430" s="12"/>
      <c r="AI430" s="12">
        <v>0.0</v>
      </c>
      <c r="AJ430" s="12">
        <v>0.0</v>
      </c>
      <c r="AK430" s="12">
        <v>0.0</v>
      </c>
      <c r="AL430" s="12">
        <f t="shared" si="144"/>
        <v>2559.59</v>
      </c>
      <c r="AM430" s="12">
        <v>2492.0</v>
      </c>
      <c r="AN430" s="12">
        <v>0.0</v>
      </c>
      <c r="AO430" s="12"/>
      <c r="AP430" s="12">
        <v>0.0</v>
      </c>
      <c r="AQ430" s="12">
        <v>0.0</v>
      </c>
      <c r="AR430" s="12">
        <v>0.0</v>
      </c>
      <c r="AS430" s="12">
        <f t="shared" si="143"/>
        <v>2492</v>
      </c>
      <c r="AT430" s="16">
        <f t="shared" si="126"/>
        <v>36646.59</v>
      </c>
      <c r="AU430" s="18">
        <f t="shared" si="141"/>
        <v>230171.37</v>
      </c>
      <c r="AV430" s="18"/>
      <c r="AW430" s="18"/>
      <c r="AX430" s="12">
        <f t="shared" si="1"/>
        <v>36646.59</v>
      </c>
      <c r="AY430" s="12"/>
      <c r="AZ430" s="12">
        <v>4064.53</v>
      </c>
      <c r="BA430" s="18">
        <f t="shared" si="145"/>
        <v>12789.13</v>
      </c>
      <c r="BB430" s="10">
        <f t="shared" si="16"/>
        <v>648664.77</v>
      </c>
      <c r="BC430" s="16">
        <f t="shared" si="88"/>
        <v>43537.2875</v>
      </c>
      <c r="BD430" s="16"/>
      <c r="BE430" s="16"/>
      <c r="BF430" s="6"/>
      <c r="BG430" s="6"/>
      <c r="BH430" s="6"/>
      <c r="BI430" s="29">
        <f t="shared" si="139"/>
        <v>26451.6129</v>
      </c>
      <c r="BK430" s="15">
        <f t="shared" si="76"/>
        <v>1.385419866</v>
      </c>
      <c r="BN430" s="16">
        <f t="shared" si="14"/>
        <v>10194.9771</v>
      </c>
      <c r="BO430" s="16">
        <f t="shared" si="140"/>
        <v>-60796.37194</v>
      </c>
      <c r="BY430" s="6">
        <f t="shared" si="2"/>
        <v>2024</v>
      </c>
      <c r="BZ430" s="6" t="str">
        <f t="shared" si="3"/>
        <v>diciembre</v>
      </c>
      <c r="CA430" s="6" t="str">
        <f t="shared" si="4"/>
        <v>12</v>
      </c>
    </row>
    <row r="431">
      <c r="A431" s="8">
        <v>45638.0</v>
      </c>
      <c r="B431" s="12">
        <v>2637.12</v>
      </c>
      <c r="C431" s="12">
        <v>0.0</v>
      </c>
      <c r="D431" s="12"/>
      <c r="E431" s="12">
        <v>0.0</v>
      </c>
      <c r="F431" s="12">
        <v>0.0</v>
      </c>
      <c r="G431" s="12">
        <v>0.0</v>
      </c>
      <c r="H431" s="12">
        <f t="shared" si="137"/>
        <v>2637.12</v>
      </c>
      <c r="I431" s="12">
        <v>1363.55</v>
      </c>
      <c r="J431" s="12">
        <v>0.0</v>
      </c>
      <c r="K431" s="12"/>
      <c r="L431" s="12">
        <v>0.0</v>
      </c>
      <c r="M431" s="12">
        <v>0.0</v>
      </c>
      <c r="N431" s="12">
        <v>0.0</v>
      </c>
      <c r="O431" s="16">
        <f t="shared" si="97"/>
        <v>1363.55</v>
      </c>
      <c r="P431" s="12">
        <v>850.49</v>
      </c>
      <c r="Q431" s="12">
        <v>0.0</v>
      </c>
      <c r="R431" s="12"/>
      <c r="S431" s="12">
        <v>0.0</v>
      </c>
      <c r="T431" s="12">
        <v>0.0</v>
      </c>
      <c r="U431" s="12">
        <v>0.0</v>
      </c>
      <c r="V431" s="16">
        <f t="shared" si="138"/>
        <v>850.49</v>
      </c>
      <c r="W431" s="12">
        <v>3959.81</v>
      </c>
      <c r="X431" s="12">
        <v>0.0</v>
      </c>
      <c r="Y431" s="12"/>
      <c r="Z431" s="12">
        <v>0.0</v>
      </c>
      <c r="AA431" s="12">
        <v>0.0</v>
      </c>
      <c r="AB431" s="12">
        <v>0.0</v>
      </c>
      <c r="AC431" s="16">
        <f t="shared" si="146"/>
        <v>3959.81</v>
      </c>
      <c r="AD431" s="12"/>
      <c r="AE431" s="12"/>
      <c r="AF431" s="12">
        <v>284.57</v>
      </c>
      <c r="AG431" s="12">
        <v>0.0</v>
      </c>
      <c r="AH431" s="12"/>
      <c r="AI431" s="12">
        <v>0.0</v>
      </c>
      <c r="AJ431" s="12">
        <v>0.0</v>
      </c>
      <c r="AK431" s="12">
        <v>0.0</v>
      </c>
      <c r="AL431" s="12">
        <f t="shared" si="144"/>
        <v>284.57</v>
      </c>
      <c r="AM431" s="12">
        <v>4280.0</v>
      </c>
      <c r="AN431" s="12">
        <v>0.0</v>
      </c>
      <c r="AO431" s="12"/>
      <c r="AP431" s="12">
        <v>0.0</v>
      </c>
      <c r="AQ431" s="12">
        <v>0.0</v>
      </c>
      <c r="AR431" s="12">
        <v>0.0</v>
      </c>
      <c r="AS431" s="12">
        <f t="shared" si="143"/>
        <v>4280</v>
      </c>
      <c r="AT431" s="16">
        <f t="shared" si="126"/>
        <v>10738.42</v>
      </c>
      <c r="AU431" s="18">
        <f t="shared" si="141"/>
        <v>240909.79</v>
      </c>
      <c r="AV431" s="18"/>
      <c r="AW431" s="18"/>
      <c r="AX431" s="12">
        <f t="shared" si="1"/>
        <v>10738.42</v>
      </c>
      <c r="AY431" s="12"/>
      <c r="AZ431" s="12">
        <v>0.0</v>
      </c>
      <c r="BA431" s="18">
        <f t="shared" si="145"/>
        <v>12789.13</v>
      </c>
      <c r="BB431" s="10">
        <f t="shared" si="16"/>
        <v>622350.2908</v>
      </c>
      <c r="BC431" s="16">
        <f t="shared" si="88"/>
        <v>81475.13333</v>
      </c>
      <c r="BD431" s="16"/>
      <c r="BE431" s="16"/>
      <c r="BF431" s="6"/>
      <c r="BG431" s="6"/>
      <c r="BH431" s="6"/>
      <c r="BI431" s="29">
        <f t="shared" si="139"/>
        <v>26451.6129</v>
      </c>
      <c r="BJ431" s="6"/>
      <c r="BK431" s="15">
        <f t="shared" si="76"/>
        <v>0.4059646585</v>
      </c>
      <c r="BN431" s="16">
        <f t="shared" si="14"/>
        <v>-15713.1929</v>
      </c>
      <c r="BO431" s="16">
        <f t="shared" si="140"/>
        <v>-76509.56484</v>
      </c>
      <c r="BY431" s="6">
        <f t="shared" si="2"/>
        <v>2024</v>
      </c>
      <c r="BZ431" s="6" t="str">
        <f t="shared" si="3"/>
        <v>diciembre</v>
      </c>
      <c r="CA431" s="6" t="str">
        <f t="shared" si="4"/>
        <v>12</v>
      </c>
    </row>
    <row r="432">
      <c r="A432" s="8">
        <v>45639.0</v>
      </c>
      <c r="B432" s="12">
        <v>19282.19</v>
      </c>
      <c r="C432" s="12">
        <v>1911.62</v>
      </c>
      <c r="D432" s="12"/>
      <c r="E432" s="12">
        <v>3408.03</v>
      </c>
      <c r="F432" s="12">
        <v>0.0</v>
      </c>
      <c r="G432" s="12">
        <v>0.0</v>
      </c>
      <c r="H432" s="12">
        <f t="shared" si="137"/>
        <v>24601.84</v>
      </c>
      <c r="I432" s="12">
        <v>6559.0</v>
      </c>
      <c r="J432" s="12">
        <v>2176.64</v>
      </c>
      <c r="K432" s="12"/>
      <c r="L432" s="12">
        <v>1591.97</v>
      </c>
      <c r="M432" s="12">
        <v>0.0</v>
      </c>
      <c r="N432" s="12">
        <v>0.0</v>
      </c>
      <c r="O432" s="16">
        <f t="shared" si="97"/>
        <v>10327.61</v>
      </c>
      <c r="P432" s="12">
        <v>5523.35</v>
      </c>
      <c r="Q432" s="12">
        <v>1389.64</v>
      </c>
      <c r="R432" s="12"/>
      <c r="S432" s="12">
        <v>0.0</v>
      </c>
      <c r="T432" s="12">
        <v>0.0</v>
      </c>
      <c r="U432" s="12">
        <v>0.0</v>
      </c>
      <c r="V432" s="16">
        <f t="shared" si="138"/>
        <v>6912.99</v>
      </c>
      <c r="W432" s="12">
        <v>9874.43</v>
      </c>
      <c r="X432" s="12">
        <v>3.25</v>
      </c>
      <c r="Y432" s="12"/>
      <c r="Z432" s="12">
        <v>0.0</v>
      </c>
      <c r="AA432" s="12">
        <v>0.0</v>
      </c>
      <c r="AB432" s="12">
        <v>0.0</v>
      </c>
      <c r="AC432" s="16">
        <f t="shared" si="146"/>
        <v>9877.68</v>
      </c>
      <c r="AD432" s="12"/>
      <c r="AE432" s="12"/>
      <c r="AF432" s="12">
        <v>2081.73</v>
      </c>
      <c r="AG432" s="12">
        <v>856.47</v>
      </c>
      <c r="AH432" s="12"/>
      <c r="AI432" s="12">
        <v>0.0</v>
      </c>
      <c r="AJ432" s="12">
        <v>0.0</v>
      </c>
      <c r="AK432" s="12">
        <v>0.0</v>
      </c>
      <c r="AL432" s="12">
        <f t="shared" si="144"/>
        <v>2938.2</v>
      </c>
      <c r="AM432" s="12">
        <v>12669.0</v>
      </c>
      <c r="AN432" s="12">
        <v>0.0</v>
      </c>
      <c r="AO432" s="12"/>
      <c r="AP432" s="12">
        <v>0.0</v>
      </c>
      <c r="AQ432" s="12">
        <v>0.0</v>
      </c>
      <c r="AR432" s="12">
        <v>0.0</v>
      </c>
      <c r="AS432" s="12">
        <f t="shared" si="143"/>
        <v>12669</v>
      </c>
      <c r="AT432" s="16">
        <f t="shared" si="126"/>
        <v>42725.48</v>
      </c>
      <c r="AU432" s="18">
        <f t="shared" si="141"/>
        <v>283635.27</v>
      </c>
      <c r="AV432" s="18"/>
      <c r="AW432" s="18"/>
      <c r="AX432" s="12">
        <f t="shared" si="1"/>
        <v>42725.48</v>
      </c>
      <c r="AY432" s="12"/>
      <c r="AZ432" s="12">
        <v>5585.05</v>
      </c>
      <c r="BA432" s="18">
        <f t="shared" si="145"/>
        <v>18374.18</v>
      </c>
      <c r="BB432" s="10">
        <f t="shared" si="16"/>
        <v>676361.0285</v>
      </c>
      <c r="BC432" s="16">
        <f t="shared" si="88"/>
        <v>96762.39</v>
      </c>
      <c r="BD432" s="16"/>
      <c r="BE432" s="16"/>
      <c r="BF432" s="6"/>
      <c r="BG432" s="6"/>
      <c r="BH432" s="6"/>
      <c r="BI432" s="29">
        <f t="shared" si="139"/>
        <v>26451.6129</v>
      </c>
      <c r="BK432" s="15">
        <f t="shared" si="76"/>
        <v>1.615231561</v>
      </c>
      <c r="BN432" s="16">
        <f t="shared" si="14"/>
        <v>16273.8671</v>
      </c>
      <c r="BO432" s="16">
        <f t="shared" si="140"/>
        <v>-60235.69774</v>
      </c>
      <c r="BY432" s="6">
        <f t="shared" si="2"/>
        <v>2024</v>
      </c>
      <c r="BZ432" s="6" t="str">
        <f t="shared" si="3"/>
        <v>diciembre</v>
      </c>
      <c r="CA432" s="6" t="str">
        <f t="shared" si="4"/>
        <v>12</v>
      </c>
    </row>
    <row r="433">
      <c r="A433" s="8">
        <v>45640.0</v>
      </c>
      <c r="B433" s="12">
        <v>0.0</v>
      </c>
      <c r="C433" s="12">
        <v>0.0</v>
      </c>
      <c r="D433" s="12"/>
      <c r="E433" s="12">
        <v>0.0</v>
      </c>
      <c r="F433" s="12">
        <v>0.0</v>
      </c>
      <c r="G433" s="12">
        <v>0.0</v>
      </c>
      <c r="H433" s="12">
        <f t="shared" si="137"/>
        <v>0</v>
      </c>
      <c r="I433" s="12">
        <v>0.0</v>
      </c>
      <c r="J433" s="12">
        <v>0.0</v>
      </c>
      <c r="K433" s="12"/>
      <c r="L433" s="12">
        <v>0.0</v>
      </c>
      <c r="M433" s="12">
        <v>0.0</v>
      </c>
      <c r="N433" s="12">
        <v>0.0</v>
      </c>
      <c r="O433" s="16">
        <f t="shared" si="97"/>
        <v>0</v>
      </c>
      <c r="P433" s="12">
        <v>0.0</v>
      </c>
      <c r="Q433" s="12">
        <v>0.0</v>
      </c>
      <c r="R433" s="12"/>
      <c r="S433" s="12">
        <v>0.0</v>
      </c>
      <c r="T433" s="12">
        <v>0.0</v>
      </c>
      <c r="U433" s="12">
        <v>0.0</v>
      </c>
      <c r="V433" s="16">
        <f t="shared" si="138"/>
        <v>0</v>
      </c>
      <c r="W433" s="12">
        <v>0.0</v>
      </c>
      <c r="X433" s="12">
        <v>0.0</v>
      </c>
      <c r="Y433" s="12"/>
      <c r="Z433" s="12">
        <v>0.0</v>
      </c>
      <c r="AA433" s="12">
        <v>0.0</v>
      </c>
      <c r="AB433" s="12">
        <v>0.0</v>
      </c>
      <c r="AC433" s="12">
        <v>0.0</v>
      </c>
      <c r="AD433" s="12"/>
      <c r="AE433" s="12"/>
      <c r="AF433" s="12">
        <v>0.0</v>
      </c>
      <c r="AG433" s="12">
        <v>0.0</v>
      </c>
      <c r="AH433" s="12"/>
      <c r="AI433" s="12">
        <v>0.0</v>
      </c>
      <c r="AJ433" s="12">
        <v>0.0</v>
      </c>
      <c r="AK433" s="12">
        <v>0.0</v>
      </c>
      <c r="AL433" s="12">
        <f t="shared" si="144"/>
        <v>0</v>
      </c>
      <c r="AM433" s="12">
        <v>0.0</v>
      </c>
      <c r="AN433" s="12">
        <v>0.0</v>
      </c>
      <c r="AO433" s="12"/>
      <c r="AP433" s="12">
        <v>0.0</v>
      </c>
      <c r="AQ433" s="12">
        <v>0.0</v>
      </c>
      <c r="AR433" s="12">
        <v>0.0</v>
      </c>
      <c r="AS433" s="12">
        <f t="shared" si="143"/>
        <v>0</v>
      </c>
      <c r="AT433" s="16">
        <f t="shared" si="126"/>
        <v>0</v>
      </c>
      <c r="AU433" s="18">
        <f t="shared" si="141"/>
        <v>283635.27</v>
      </c>
      <c r="AV433" s="18"/>
      <c r="AW433" s="18"/>
      <c r="AX433" s="12">
        <f t="shared" si="1"/>
        <v>0</v>
      </c>
      <c r="AY433" s="12"/>
      <c r="AZ433" s="12">
        <v>0.0</v>
      </c>
      <c r="BA433" s="18">
        <f t="shared" si="145"/>
        <v>18374.18</v>
      </c>
      <c r="BB433" s="10">
        <f t="shared" si="16"/>
        <v>628049.5264</v>
      </c>
      <c r="BC433" s="16">
        <f t="shared" si="88"/>
        <v>104623.35</v>
      </c>
      <c r="BD433" s="16"/>
      <c r="BE433" s="16"/>
      <c r="BF433" s="6"/>
      <c r="BG433" s="6"/>
      <c r="BH433" s="6"/>
      <c r="BI433" s="29">
        <f t="shared" si="139"/>
        <v>26451.6129</v>
      </c>
      <c r="BJ433" s="6"/>
      <c r="BK433" s="15">
        <f t="shared" si="76"/>
        <v>0</v>
      </c>
      <c r="BN433" s="16">
        <f t="shared" si="14"/>
        <v>-26451.6129</v>
      </c>
      <c r="BO433" s="16">
        <f t="shared" si="140"/>
        <v>-86687.31065</v>
      </c>
      <c r="BY433" s="6">
        <f t="shared" si="2"/>
        <v>2024</v>
      </c>
      <c r="BZ433" s="6" t="str">
        <f t="shared" si="3"/>
        <v>diciembre</v>
      </c>
      <c r="CA433" s="6" t="str">
        <f t="shared" si="4"/>
        <v>12</v>
      </c>
    </row>
    <row r="434">
      <c r="A434" s="8">
        <v>45641.0</v>
      </c>
      <c r="B434" s="12">
        <v>0.0</v>
      </c>
      <c r="C434" s="12">
        <v>0.0</v>
      </c>
      <c r="D434" s="12"/>
      <c r="E434" s="12">
        <v>0.0</v>
      </c>
      <c r="F434" s="12">
        <v>0.0</v>
      </c>
      <c r="G434" s="12">
        <v>0.0</v>
      </c>
      <c r="H434" s="12">
        <f t="shared" si="137"/>
        <v>0</v>
      </c>
      <c r="I434" s="12">
        <v>0.0</v>
      </c>
      <c r="J434" s="12">
        <v>0.0</v>
      </c>
      <c r="K434" s="12"/>
      <c r="L434" s="12">
        <v>0.0</v>
      </c>
      <c r="M434" s="12">
        <v>0.0</v>
      </c>
      <c r="N434" s="12">
        <v>0.0</v>
      </c>
      <c r="O434" s="16">
        <f t="shared" si="97"/>
        <v>0</v>
      </c>
      <c r="P434" s="12">
        <v>0.0</v>
      </c>
      <c r="Q434" s="12">
        <v>0.0</v>
      </c>
      <c r="R434" s="12"/>
      <c r="S434" s="12">
        <v>0.0</v>
      </c>
      <c r="T434" s="12">
        <v>0.0</v>
      </c>
      <c r="U434" s="12">
        <v>0.0</v>
      </c>
      <c r="V434" s="16">
        <f t="shared" si="138"/>
        <v>0</v>
      </c>
      <c r="W434" s="12">
        <v>0.0</v>
      </c>
      <c r="X434" s="12">
        <v>0.0</v>
      </c>
      <c r="Y434" s="12"/>
      <c r="Z434" s="12">
        <v>0.0</v>
      </c>
      <c r="AA434" s="12">
        <v>0.0</v>
      </c>
      <c r="AB434" s="12">
        <v>0.0</v>
      </c>
      <c r="AC434" s="16">
        <f t="shared" ref="AC434:AC444" si="147">W434+X434+Z434+AA434+AB434</f>
        <v>0</v>
      </c>
      <c r="AD434" s="12"/>
      <c r="AE434" s="12"/>
      <c r="AF434" s="12">
        <v>0.0</v>
      </c>
      <c r="AG434" s="12">
        <v>0.0</v>
      </c>
      <c r="AH434" s="12"/>
      <c r="AI434" s="12">
        <v>0.0</v>
      </c>
      <c r="AJ434" s="12">
        <v>0.0</v>
      </c>
      <c r="AK434" s="12">
        <v>0.0</v>
      </c>
      <c r="AL434" s="12">
        <f t="shared" si="144"/>
        <v>0</v>
      </c>
      <c r="AM434" s="12">
        <v>0.0</v>
      </c>
      <c r="AN434" s="12">
        <v>0.0</v>
      </c>
      <c r="AO434" s="12"/>
      <c r="AP434" s="12">
        <v>0.0</v>
      </c>
      <c r="AQ434" s="12">
        <v>0.0</v>
      </c>
      <c r="AR434" s="12">
        <v>0.0</v>
      </c>
      <c r="AS434" s="12">
        <f t="shared" si="143"/>
        <v>0</v>
      </c>
      <c r="AT434" s="16">
        <f t="shared" si="126"/>
        <v>0</v>
      </c>
      <c r="AU434" s="18">
        <f t="shared" si="141"/>
        <v>283635.27</v>
      </c>
      <c r="AV434" s="18"/>
      <c r="AW434" s="18"/>
      <c r="AX434" s="12">
        <f t="shared" si="1"/>
        <v>0</v>
      </c>
      <c r="AY434" s="12"/>
      <c r="AZ434" s="12">
        <v>0.0</v>
      </c>
      <c r="BA434" s="18">
        <f t="shared" si="145"/>
        <v>18374.18</v>
      </c>
      <c r="BB434" s="10">
        <f t="shared" si="16"/>
        <v>586179.558</v>
      </c>
      <c r="BC434" s="16">
        <f t="shared" si="88"/>
        <v>100379.0792</v>
      </c>
      <c r="BD434" s="16"/>
      <c r="BE434" s="16"/>
      <c r="BF434" s="6"/>
      <c r="BG434" s="6"/>
      <c r="BH434" s="6"/>
      <c r="BI434" s="29">
        <f t="shared" si="139"/>
        <v>26451.6129</v>
      </c>
      <c r="BJ434" s="6"/>
      <c r="BK434" s="15">
        <f t="shared" si="76"/>
        <v>0</v>
      </c>
      <c r="BN434" s="16">
        <f t="shared" si="14"/>
        <v>-26451.6129</v>
      </c>
      <c r="BO434" s="16">
        <f t="shared" si="140"/>
        <v>-113138.9235</v>
      </c>
      <c r="BY434" s="6">
        <f t="shared" si="2"/>
        <v>2024</v>
      </c>
      <c r="BZ434" s="6" t="str">
        <f t="shared" si="3"/>
        <v>diciembre</v>
      </c>
      <c r="CA434" s="6" t="str">
        <f t="shared" si="4"/>
        <v>12</v>
      </c>
    </row>
    <row r="435">
      <c r="A435" s="8">
        <v>45642.0</v>
      </c>
      <c r="B435" s="12">
        <v>21334.81</v>
      </c>
      <c r="C435" s="12">
        <v>523.38</v>
      </c>
      <c r="D435" s="12"/>
      <c r="E435" s="12">
        <v>0.0</v>
      </c>
      <c r="F435" s="12">
        <v>0.0</v>
      </c>
      <c r="G435" s="12">
        <v>0.0</v>
      </c>
      <c r="H435" s="12">
        <f t="shared" si="137"/>
        <v>21858.19</v>
      </c>
      <c r="I435" s="12">
        <v>28475.0</v>
      </c>
      <c r="J435" s="12">
        <v>5619.26</v>
      </c>
      <c r="K435" s="12"/>
      <c r="L435" s="12">
        <v>0.0</v>
      </c>
      <c r="M435" s="12">
        <v>0.0</v>
      </c>
      <c r="N435" s="12">
        <v>0.0</v>
      </c>
      <c r="O435" s="16">
        <f t="shared" si="97"/>
        <v>34094.26</v>
      </c>
      <c r="P435" s="12">
        <v>9043.81</v>
      </c>
      <c r="Q435" s="12">
        <v>262.52</v>
      </c>
      <c r="R435" s="12"/>
      <c r="S435" s="12">
        <v>0.0</v>
      </c>
      <c r="T435" s="12">
        <v>0.0</v>
      </c>
      <c r="U435" s="12">
        <v>0.0</v>
      </c>
      <c r="V435" s="16">
        <f t="shared" si="138"/>
        <v>9306.33</v>
      </c>
      <c r="W435" s="12">
        <f>36.61+13039.34</f>
        <v>13075.95</v>
      </c>
      <c r="X435" s="12">
        <v>0.0</v>
      </c>
      <c r="Y435" s="12"/>
      <c r="Z435" s="12">
        <v>0.0</v>
      </c>
      <c r="AA435" s="12">
        <v>0.0</v>
      </c>
      <c r="AB435" s="12">
        <v>0.0</v>
      </c>
      <c r="AC435" s="16">
        <f t="shared" si="147"/>
        <v>13075.95</v>
      </c>
      <c r="AD435" s="12"/>
      <c r="AE435" s="12"/>
      <c r="AF435" s="12">
        <v>2522.92</v>
      </c>
      <c r="AG435" s="12">
        <v>127.02</v>
      </c>
      <c r="AH435" s="12"/>
      <c r="AI435" s="12">
        <v>0.0</v>
      </c>
      <c r="AJ435" s="12">
        <v>0.0</v>
      </c>
      <c r="AK435" s="12">
        <v>0.0</v>
      </c>
      <c r="AL435" s="12">
        <f t="shared" si="144"/>
        <v>2649.94</v>
      </c>
      <c r="AM435" s="12">
        <v>19668.0</v>
      </c>
      <c r="AN435" s="12">
        <v>0.0</v>
      </c>
      <c r="AO435" s="12"/>
      <c r="AP435" s="12">
        <v>0.0</v>
      </c>
      <c r="AQ435" s="12">
        <v>0.0</v>
      </c>
      <c r="AR435" s="12">
        <v>0.0</v>
      </c>
      <c r="AS435" s="12">
        <f t="shared" si="143"/>
        <v>19668</v>
      </c>
      <c r="AT435" s="16">
        <f t="shared" si="126"/>
        <v>78794.48</v>
      </c>
      <c r="AU435" s="18">
        <f t="shared" si="141"/>
        <v>362429.75</v>
      </c>
      <c r="AV435" s="18"/>
      <c r="AW435" s="18"/>
      <c r="AX435" s="12">
        <f t="shared" si="1"/>
        <v>78794.48</v>
      </c>
      <c r="AY435" s="12"/>
      <c r="AZ435" s="12">
        <v>6922.04</v>
      </c>
      <c r="BA435" s="18">
        <f t="shared" si="145"/>
        <v>25296.22</v>
      </c>
      <c r="BB435" s="10">
        <f t="shared" si="16"/>
        <v>702207.6406</v>
      </c>
      <c r="BC435" s="16">
        <f t="shared" si="88"/>
        <v>109090.4885</v>
      </c>
      <c r="BD435" s="16"/>
      <c r="BE435" s="16"/>
      <c r="BF435" s="6"/>
      <c r="BG435" s="6"/>
      <c r="BH435" s="6"/>
      <c r="BI435" s="29">
        <f t="shared" si="139"/>
        <v>26451.6129</v>
      </c>
      <c r="BK435" s="15">
        <f t="shared" si="76"/>
        <v>2.978815707</v>
      </c>
      <c r="BN435" s="16">
        <f t="shared" si="14"/>
        <v>52342.8671</v>
      </c>
      <c r="BO435" s="16">
        <f t="shared" si="140"/>
        <v>-60796.05645</v>
      </c>
      <c r="BY435" s="6">
        <f t="shared" si="2"/>
        <v>2024</v>
      </c>
      <c r="BZ435" s="6" t="str">
        <f t="shared" si="3"/>
        <v>diciembre</v>
      </c>
      <c r="CA435" s="6" t="str">
        <f t="shared" si="4"/>
        <v>12</v>
      </c>
    </row>
    <row r="436">
      <c r="A436" s="8">
        <v>45643.0</v>
      </c>
      <c r="B436" s="12">
        <v>33113.92</v>
      </c>
      <c r="C436" s="12">
        <v>189.9</v>
      </c>
      <c r="D436" s="12"/>
      <c r="E436" s="12">
        <v>100.18</v>
      </c>
      <c r="F436" s="12">
        <v>0.0</v>
      </c>
      <c r="G436" s="12">
        <v>0.0</v>
      </c>
      <c r="H436" s="12">
        <f t="shared" si="137"/>
        <v>33404</v>
      </c>
      <c r="I436" s="12">
        <v>22500.0</v>
      </c>
      <c r="J436" s="12">
        <v>2866.32</v>
      </c>
      <c r="K436" s="12"/>
      <c r="L436" s="12">
        <v>100.18</v>
      </c>
      <c r="M436" s="12">
        <v>0.0</v>
      </c>
      <c r="N436" s="12">
        <v>0.0</v>
      </c>
      <c r="O436" s="16">
        <f t="shared" si="97"/>
        <v>25466.5</v>
      </c>
      <c r="P436" s="12">
        <v>9797.84</v>
      </c>
      <c r="Q436" s="12">
        <v>467.2</v>
      </c>
      <c r="R436" s="12"/>
      <c r="S436" s="12">
        <v>0.0</v>
      </c>
      <c r="T436" s="12">
        <v>0.0</v>
      </c>
      <c r="U436" s="12">
        <v>0.0</v>
      </c>
      <c r="V436" s="16">
        <f t="shared" si="138"/>
        <v>10265.04</v>
      </c>
      <c r="W436" s="12">
        <v>11319.04</v>
      </c>
      <c r="X436" s="12">
        <v>0.0</v>
      </c>
      <c r="Y436" s="12"/>
      <c r="Z436" s="12">
        <v>0.0</v>
      </c>
      <c r="AA436" s="12">
        <v>0.0</v>
      </c>
      <c r="AB436" s="12">
        <v>0.0</v>
      </c>
      <c r="AC436" s="16">
        <f t="shared" si="147"/>
        <v>11319.04</v>
      </c>
      <c r="AD436" s="12"/>
      <c r="AE436" s="12"/>
      <c r="AF436" s="12">
        <v>3618.04</v>
      </c>
      <c r="AG436" s="12">
        <v>0.0</v>
      </c>
      <c r="AH436" s="12"/>
      <c r="AI436" s="12">
        <v>0.0</v>
      </c>
      <c r="AJ436" s="12">
        <v>0.0</v>
      </c>
      <c r="AK436" s="12">
        <v>0.0</v>
      </c>
      <c r="AL436" s="12">
        <f t="shared" si="144"/>
        <v>3618.04</v>
      </c>
      <c r="AM436" s="12">
        <v>20006.0</v>
      </c>
      <c r="AN436" s="12">
        <v>0.0</v>
      </c>
      <c r="AO436" s="12"/>
      <c r="AP436" s="12">
        <v>0.0</v>
      </c>
      <c r="AQ436" s="12">
        <v>0.0</v>
      </c>
      <c r="AR436" s="12">
        <v>0.0</v>
      </c>
      <c r="AS436" s="12">
        <f t="shared" si="143"/>
        <v>20006</v>
      </c>
      <c r="AT436" s="16">
        <f t="shared" si="126"/>
        <v>70674.62</v>
      </c>
      <c r="AU436" s="18">
        <f t="shared" si="141"/>
        <v>433104.37</v>
      </c>
      <c r="AV436" s="18"/>
      <c r="AW436" s="18"/>
      <c r="AX436" s="12">
        <f t="shared" si="1"/>
        <v>70674.62</v>
      </c>
      <c r="AY436" s="12"/>
      <c r="AZ436" s="12">
        <v>11599.22</v>
      </c>
      <c r="BA436" s="18">
        <f t="shared" si="145"/>
        <v>36895.44</v>
      </c>
      <c r="BB436" s="10">
        <f t="shared" si="16"/>
        <v>789778.5571</v>
      </c>
      <c r="BC436" s="16">
        <f t="shared" si="88"/>
        <v>101298.3107</v>
      </c>
      <c r="BD436" s="16"/>
      <c r="BE436" s="16"/>
      <c r="BF436" s="6"/>
      <c r="BG436" s="6"/>
      <c r="BH436" s="6"/>
      <c r="BI436" s="29">
        <f t="shared" si="139"/>
        <v>26451.6129</v>
      </c>
      <c r="BK436" s="15">
        <f t="shared" si="76"/>
        <v>2.67184539</v>
      </c>
      <c r="BN436" s="16">
        <f t="shared" si="14"/>
        <v>44223.0071</v>
      </c>
      <c r="BO436" s="16">
        <f t="shared" si="140"/>
        <v>-16573.04935</v>
      </c>
      <c r="BY436" s="6">
        <f t="shared" si="2"/>
        <v>2024</v>
      </c>
      <c r="BZ436" s="6" t="str">
        <f t="shared" si="3"/>
        <v>diciembre</v>
      </c>
      <c r="CA436" s="6" t="str">
        <f t="shared" si="4"/>
        <v>12</v>
      </c>
    </row>
    <row r="437">
      <c r="A437" s="8">
        <v>45644.0</v>
      </c>
      <c r="B437" s="12">
        <v>25878.83</v>
      </c>
      <c r="C437" s="12">
        <v>471.77</v>
      </c>
      <c r="D437" s="12"/>
      <c r="E437" s="12">
        <v>0.0</v>
      </c>
      <c r="F437" s="12">
        <v>0.0</v>
      </c>
      <c r="G437" s="12">
        <v>0.0</v>
      </c>
      <c r="H437" s="12">
        <f t="shared" si="137"/>
        <v>26350.6</v>
      </c>
      <c r="I437" s="12">
        <v>16556.0</v>
      </c>
      <c r="J437" s="12">
        <v>3210.36</v>
      </c>
      <c r="K437" s="12"/>
      <c r="L437" s="12">
        <v>0.0</v>
      </c>
      <c r="M437" s="12">
        <v>0.0</v>
      </c>
      <c r="N437" s="12">
        <v>0.0</v>
      </c>
      <c r="O437" s="16">
        <f t="shared" si="97"/>
        <v>19766.36</v>
      </c>
      <c r="P437" s="12">
        <v>7976.85</v>
      </c>
      <c r="Q437" s="12">
        <v>360.9</v>
      </c>
      <c r="R437" s="12"/>
      <c r="S437" s="12">
        <v>0.0</v>
      </c>
      <c r="T437" s="12">
        <v>0.0</v>
      </c>
      <c r="U437" s="12">
        <v>0.0</v>
      </c>
      <c r="V437" s="16">
        <f t="shared" si="138"/>
        <v>8337.75</v>
      </c>
      <c r="W437" s="12">
        <v>15227.95</v>
      </c>
      <c r="X437" s="12">
        <v>0.69</v>
      </c>
      <c r="Y437" s="12"/>
      <c r="Z437" s="12">
        <v>0.0</v>
      </c>
      <c r="AA437" s="12">
        <v>0.0</v>
      </c>
      <c r="AB437" s="12">
        <v>0.0</v>
      </c>
      <c r="AC437" s="16">
        <f t="shared" si="147"/>
        <v>15228.64</v>
      </c>
      <c r="AD437" s="12"/>
      <c r="AE437" s="12"/>
      <c r="AF437" s="12">
        <v>5324.58</v>
      </c>
      <c r="AG437" s="12">
        <v>0.0</v>
      </c>
      <c r="AH437" s="12"/>
      <c r="AI437" s="12">
        <v>0.0</v>
      </c>
      <c r="AJ437" s="12">
        <v>0.0</v>
      </c>
      <c r="AK437" s="12">
        <v>0.0</v>
      </c>
      <c r="AL437" s="12">
        <f t="shared" si="144"/>
        <v>5324.58</v>
      </c>
      <c r="AM437" s="12">
        <v>25006.0</v>
      </c>
      <c r="AN437" s="12">
        <v>0.0</v>
      </c>
      <c r="AO437" s="12"/>
      <c r="AP437" s="12">
        <v>0.0</v>
      </c>
      <c r="AQ437" s="12">
        <v>0.0</v>
      </c>
      <c r="AR437" s="12">
        <v>0.0</v>
      </c>
      <c r="AS437" s="12">
        <f t="shared" si="143"/>
        <v>25006</v>
      </c>
      <c r="AT437" s="16">
        <f t="shared" si="126"/>
        <v>73663.33</v>
      </c>
      <c r="AU437" s="18">
        <f t="shared" si="141"/>
        <v>506767.7</v>
      </c>
      <c r="AV437" s="18"/>
      <c r="AW437" s="18"/>
      <c r="AX437" s="12">
        <f t="shared" si="1"/>
        <v>73663.33</v>
      </c>
      <c r="AY437" s="12"/>
      <c r="AZ437" s="12">
        <v>1697.39</v>
      </c>
      <c r="BA437" s="18">
        <f t="shared" si="145"/>
        <v>38592.83</v>
      </c>
      <c r="BB437" s="10">
        <f t="shared" si="16"/>
        <v>872766.5944</v>
      </c>
      <c r="BC437" s="16">
        <f t="shared" si="88"/>
        <v>94545.09</v>
      </c>
      <c r="BD437" s="16"/>
      <c r="BE437" s="16"/>
      <c r="BF437" s="6"/>
      <c r="BG437" s="6"/>
      <c r="BH437" s="6"/>
      <c r="BI437" s="29">
        <f t="shared" si="139"/>
        <v>26451.6129</v>
      </c>
      <c r="BK437" s="15">
        <f t="shared" si="76"/>
        <v>2.784833207</v>
      </c>
      <c r="BN437" s="16">
        <f t="shared" si="14"/>
        <v>47211.7171</v>
      </c>
      <c r="BO437" s="16">
        <f t="shared" si="140"/>
        <v>30638.66774</v>
      </c>
      <c r="BY437" s="6">
        <f t="shared" si="2"/>
        <v>2024</v>
      </c>
      <c r="BZ437" s="6" t="str">
        <f t="shared" si="3"/>
        <v>diciembre</v>
      </c>
      <c r="CA437" s="6" t="str">
        <f t="shared" si="4"/>
        <v>12</v>
      </c>
    </row>
    <row r="438">
      <c r="A438" s="8">
        <v>45645.0</v>
      </c>
      <c r="B438" s="12">
        <v>18398.37</v>
      </c>
      <c r="C438" s="12">
        <v>1889.81</v>
      </c>
      <c r="D438" s="12"/>
      <c r="E438" s="12">
        <v>0.0</v>
      </c>
      <c r="F438" s="12">
        <v>0.0</v>
      </c>
      <c r="G438" s="12">
        <v>0.0</v>
      </c>
      <c r="H438" s="12">
        <f t="shared" si="137"/>
        <v>20288.18</v>
      </c>
      <c r="I438" s="12">
        <v>7889.0</v>
      </c>
      <c r="J438" s="12">
        <v>2240.7</v>
      </c>
      <c r="K438" s="12"/>
      <c r="L438" s="12">
        <v>0.0</v>
      </c>
      <c r="M438" s="12">
        <v>0.0</v>
      </c>
      <c r="N438" s="12">
        <v>0.0</v>
      </c>
      <c r="O438" s="16">
        <f t="shared" si="97"/>
        <v>10129.7</v>
      </c>
      <c r="P438" s="12">
        <v>5568.26</v>
      </c>
      <c r="Q438" s="12">
        <v>669.23</v>
      </c>
      <c r="R438" s="12"/>
      <c r="S438" s="12">
        <v>0.0</v>
      </c>
      <c r="T438" s="12">
        <v>0.0</v>
      </c>
      <c r="U438" s="12">
        <v>0.0</v>
      </c>
      <c r="V438" s="16">
        <f t="shared" si="138"/>
        <v>6237.49</v>
      </c>
      <c r="W438" s="12">
        <v>3552.36</v>
      </c>
      <c r="X438" s="12">
        <v>81.47</v>
      </c>
      <c r="Y438" s="12"/>
      <c r="Z438" s="12">
        <v>0.0</v>
      </c>
      <c r="AA438" s="12">
        <v>0.0</v>
      </c>
      <c r="AB438" s="12">
        <v>0.0</v>
      </c>
      <c r="AC438" s="16">
        <f t="shared" si="147"/>
        <v>3633.83</v>
      </c>
      <c r="AD438" s="12"/>
      <c r="AE438" s="12"/>
      <c r="AF438" s="12">
        <v>759.56</v>
      </c>
      <c r="AG438" s="12">
        <v>260.06</v>
      </c>
      <c r="AH438" s="12"/>
      <c r="AI438" s="12">
        <v>0.0</v>
      </c>
      <c r="AJ438" s="12">
        <v>0.0</v>
      </c>
      <c r="AK438" s="12">
        <v>0.0</v>
      </c>
      <c r="AL438" s="12">
        <f t="shared" si="144"/>
        <v>1019.62</v>
      </c>
      <c r="AM438" s="12">
        <v>5586.0</v>
      </c>
      <c r="AN438" s="12">
        <v>0.0</v>
      </c>
      <c r="AO438" s="12"/>
      <c r="AP438" s="12">
        <v>0.0</v>
      </c>
      <c r="AQ438" s="12">
        <v>0.0</v>
      </c>
      <c r="AR438" s="12">
        <v>0.0</v>
      </c>
      <c r="AS438" s="12">
        <f t="shared" si="143"/>
        <v>5586</v>
      </c>
      <c r="AT438" s="16">
        <f t="shared" si="126"/>
        <v>26606.64</v>
      </c>
      <c r="AU438" s="18">
        <f t="shared" si="141"/>
        <v>533374.34</v>
      </c>
      <c r="AV438" s="18"/>
      <c r="AW438" s="18"/>
      <c r="AX438" s="12">
        <f t="shared" si="1"/>
        <v>26606.64</v>
      </c>
      <c r="AY438" s="12"/>
      <c r="AZ438" s="12">
        <v>5138.79</v>
      </c>
      <c r="BA438" s="18">
        <f t="shared" si="145"/>
        <v>43731.62</v>
      </c>
      <c r="BB438" s="10">
        <f t="shared" si="16"/>
        <v>870242.3442</v>
      </c>
      <c r="BC438" s="16">
        <f t="shared" si="88"/>
        <v>113259.2969</v>
      </c>
      <c r="BD438" s="16"/>
      <c r="BE438" s="16"/>
      <c r="BF438" s="6"/>
      <c r="BG438" s="6"/>
      <c r="BH438" s="6"/>
      <c r="BI438" s="29">
        <f t="shared" si="139"/>
        <v>26451.6129</v>
      </c>
      <c r="BK438" s="15">
        <f t="shared" si="76"/>
        <v>1.00586078</v>
      </c>
      <c r="BN438" s="16">
        <f t="shared" si="14"/>
        <v>155.0270968</v>
      </c>
      <c r="BO438" s="16">
        <f t="shared" si="140"/>
        <v>30793.69484</v>
      </c>
      <c r="BY438" s="6">
        <f t="shared" si="2"/>
        <v>2024</v>
      </c>
      <c r="BZ438" s="6" t="str">
        <f t="shared" si="3"/>
        <v>diciembre</v>
      </c>
      <c r="CA438" s="6" t="str">
        <f t="shared" si="4"/>
        <v>12</v>
      </c>
    </row>
    <row r="439">
      <c r="A439" s="8">
        <v>45646.0</v>
      </c>
      <c r="B439" s="12">
        <v>13383.96</v>
      </c>
      <c r="C439" s="12">
        <v>573.67</v>
      </c>
      <c r="D439" s="12"/>
      <c r="E439" s="12">
        <v>0.0</v>
      </c>
      <c r="F439" s="12">
        <v>0.0</v>
      </c>
      <c r="G439" s="12">
        <v>0.0</v>
      </c>
      <c r="H439" s="12">
        <f t="shared" si="137"/>
        <v>13957.63</v>
      </c>
      <c r="I439" s="12">
        <v>4669.0</v>
      </c>
      <c r="J439" s="12">
        <v>985.03</v>
      </c>
      <c r="K439" s="12"/>
      <c r="L439" s="12">
        <v>4998.0</v>
      </c>
      <c r="M439" s="12">
        <v>0.0</v>
      </c>
      <c r="N439" s="12">
        <v>0.0</v>
      </c>
      <c r="O439" s="16">
        <f t="shared" si="97"/>
        <v>10652.03</v>
      </c>
      <c r="P439" s="12">
        <v>3450.74</v>
      </c>
      <c r="Q439" s="12">
        <v>148.39</v>
      </c>
      <c r="R439" s="12"/>
      <c r="S439" s="12">
        <v>0.0</v>
      </c>
      <c r="T439" s="12">
        <v>0.0</v>
      </c>
      <c r="U439" s="12">
        <v>0.0</v>
      </c>
      <c r="V439" s="16">
        <f t="shared" si="138"/>
        <v>3599.13</v>
      </c>
      <c r="W439" s="12">
        <v>28831.76</v>
      </c>
      <c r="X439" s="12">
        <v>89.6</v>
      </c>
      <c r="Y439" s="12"/>
      <c r="Z439" s="12">
        <v>0.0</v>
      </c>
      <c r="AA439" s="12">
        <v>0.0</v>
      </c>
      <c r="AB439" s="12">
        <v>0.0</v>
      </c>
      <c r="AC439" s="16">
        <f t="shared" si="147"/>
        <v>28921.36</v>
      </c>
      <c r="AD439" s="12"/>
      <c r="AE439" s="12"/>
      <c r="AF439" s="12">
        <v>2445.35</v>
      </c>
      <c r="AG439" s="12">
        <v>0.0</v>
      </c>
      <c r="AH439" s="12"/>
      <c r="AI439" s="12">
        <v>0.0</v>
      </c>
      <c r="AJ439" s="12">
        <v>0.0</v>
      </c>
      <c r="AK439" s="12">
        <v>0.0</v>
      </c>
      <c r="AL439" s="12">
        <f t="shared" si="144"/>
        <v>2445.35</v>
      </c>
      <c r="AM439" s="12">
        <v>28792.0</v>
      </c>
      <c r="AN439" s="12">
        <v>0.0</v>
      </c>
      <c r="AO439" s="12"/>
      <c r="AP439" s="12">
        <v>0.0</v>
      </c>
      <c r="AQ439" s="12">
        <v>0.0</v>
      </c>
      <c r="AR439" s="12">
        <v>0.0</v>
      </c>
      <c r="AS439" s="12">
        <f t="shared" si="143"/>
        <v>28792</v>
      </c>
      <c r="AT439" s="16">
        <f t="shared" si="126"/>
        <v>74409.87</v>
      </c>
      <c r="AU439" s="18">
        <f t="shared" si="141"/>
        <v>607784.21</v>
      </c>
      <c r="AV439" s="18"/>
      <c r="AW439" s="18"/>
      <c r="AX439" s="12">
        <f t="shared" si="1"/>
        <v>74409.87</v>
      </c>
      <c r="AY439" s="12"/>
      <c r="AZ439" s="12">
        <v>3631.97</v>
      </c>
      <c r="BA439" s="18">
        <f t="shared" si="145"/>
        <v>47363.59</v>
      </c>
      <c r="BB439" s="10">
        <f t="shared" si="16"/>
        <v>942065.5255</v>
      </c>
      <c r="BC439" s="16">
        <f t="shared" si="88"/>
        <v>127383.6382</v>
      </c>
      <c r="BD439" s="16"/>
      <c r="BE439" s="16"/>
      <c r="BF439" s="6"/>
      <c r="BG439" s="6"/>
      <c r="BH439" s="6"/>
      <c r="BI439" s="29">
        <f t="shared" si="139"/>
        <v>26451.6129</v>
      </c>
      <c r="BK439" s="15">
        <f t="shared" si="76"/>
        <v>2.813056061</v>
      </c>
      <c r="BN439" s="16">
        <f t="shared" si="14"/>
        <v>47958.2571</v>
      </c>
      <c r="BO439" s="16">
        <f t="shared" si="140"/>
        <v>78751.95194</v>
      </c>
      <c r="BY439" s="6">
        <f t="shared" si="2"/>
        <v>2024</v>
      </c>
      <c r="BZ439" s="6" t="str">
        <f t="shared" si="3"/>
        <v>diciembre</v>
      </c>
      <c r="CA439" s="6" t="str">
        <f t="shared" si="4"/>
        <v>12</v>
      </c>
    </row>
    <row r="440">
      <c r="A440" s="8">
        <v>45647.0</v>
      </c>
      <c r="B440" s="12">
        <v>0.0</v>
      </c>
      <c r="C440" s="12">
        <v>0.0</v>
      </c>
      <c r="D440" s="12"/>
      <c r="E440" s="12">
        <v>0.0</v>
      </c>
      <c r="F440" s="12">
        <v>0.0</v>
      </c>
      <c r="G440" s="12">
        <v>0.0</v>
      </c>
      <c r="H440" s="12">
        <f t="shared" si="137"/>
        <v>0</v>
      </c>
      <c r="I440" s="12">
        <v>0.0</v>
      </c>
      <c r="J440" s="12">
        <v>0.0</v>
      </c>
      <c r="K440" s="12"/>
      <c r="L440" s="12">
        <v>0.0</v>
      </c>
      <c r="M440" s="12">
        <v>0.0</v>
      </c>
      <c r="N440" s="12">
        <v>0.0</v>
      </c>
      <c r="O440" s="16">
        <f t="shared" si="97"/>
        <v>0</v>
      </c>
      <c r="P440" s="12">
        <v>0.0</v>
      </c>
      <c r="Q440" s="12">
        <v>0.0</v>
      </c>
      <c r="R440" s="12"/>
      <c r="S440" s="12">
        <v>0.0</v>
      </c>
      <c r="T440" s="12">
        <v>0.0</v>
      </c>
      <c r="U440" s="12">
        <v>0.0</v>
      </c>
      <c r="V440" s="16">
        <f t="shared" si="138"/>
        <v>0</v>
      </c>
      <c r="W440" s="12">
        <v>0.0</v>
      </c>
      <c r="X440" s="12">
        <v>0.0</v>
      </c>
      <c r="Y440" s="12"/>
      <c r="Z440" s="12">
        <v>0.0</v>
      </c>
      <c r="AA440" s="12">
        <v>0.0</v>
      </c>
      <c r="AB440" s="12">
        <v>0.0</v>
      </c>
      <c r="AC440" s="16">
        <f t="shared" si="147"/>
        <v>0</v>
      </c>
      <c r="AD440" s="12"/>
      <c r="AE440" s="12"/>
      <c r="AF440" s="12">
        <v>0.0</v>
      </c>
      <c r="AG440" s="12">
        <v>0.0</v>
      </c>
      <c r="AH440" s="12"/>
      <c r="AI440" s="12">
        <v>0.0</v>
      </c>
      <c r="AJ440" s="12">
        <v>0.0</v>
      </c>
      <c r="AK440" s="12">
        <v>0.0</v>
      </c>
      <c r="AL440" s="12">
        <f t="shared" si="144"/>
        <v>0</v>
      </c>
      <c r="AM440" s="12">
        <v>0.0</v>
      </c>
      <c r="AN440" s="12">
        <v>0.0</v>
      </c>
      <c r="AO440" s="12"/>
      <c r="AP440" s="12">
        <v>0.0</v>
      </c>
      <c r="AQ440" s="12">
        <v>0.0</v>
      </c>
      <c r="AR440" s="12">
        <v>0.0</v>
      </c>
      <c r="AS440" s="12">
        <f t="shared" si="143"/>
        <v>0</v>
      </c>
      <c r="AT440" s="16">
        <f t="shared" si="126"/>
        <v>0</v>
      </c>
      <c r="AU440" s="18">
        <f t="shared" si="141"/>
        <v>607784.21</v>
      </c>
      <c r="AV440" s="18"/>
      <c r="AW440" s="18"/>
      <c r="AX440" s="12">
        <f t="shared" si="1"/>
        <v>0</v>
      </c>
      <c r="AY440" s="12"/>
      <c r="AZ440" s="12">
        <v>0.0</v>
      </c>
      <c r="BA440" s="18">
        <f t="shared" si="145"/>
        <v>47363.59</v>
      </c>
      <c r="BB440" s="10">
        <f t="shared" si="16"/>
        <v>897205.2624</v>
      </c>
      <c r="BC440" s="16">
        <f t="shared" si="88"/>
        <v>140768.8056</v>
      </c>
      <c r="BD440" s="16"/>
      <c r="BE440" s="16"/>
      <c r="BF440" s="6"/>
      <c r="BG440" s="6"/>
      <c r="BH440" s="6"/>
      <c r="BI440" s="29">
        <f t="shared" si="139"/>
        <v>26451.6129</v>
      </c>
      <c r="BJ440" s="6"/>
      <c r="BK440" s="15">
        <f t="shared" si="76"/>
        <v>0</v>
      </c>
      <c r="BN440" s="16">
        <f t="shared" si="14"/>
        <v>-26451.6129</v>
      </c>
      <c r="BO440" s="16">
        <f t="shared" si="140"/>
        <v>52300.33903</v>
      </c>
      <c r="BY440" s="6">
        <f t="shared" si="2"/>
        <v>2024</v>
      </c>
      <c r="BZ440" s="6" t="str">
        <f t="shared" si="3"/>
        <v>diciembre</v>
      </c>
      <c r="CA440" s="6" t="str">
        <f t="shared" si="4"/>
        <v>12</v>
      </c>
    </row>
    <row r="441">
      <c r="A441" s="8">
        <v>45648.0</v>
      </c>
      <c r="B441" s="12">
        <v>0.0</v>
      </c>
      <c r="C441" s="12">
        <v>0.0</v>
      </c>
      <c r="D441" s="12"/>
      <c r="E441" s="12">
        <v>0.0</v>
      </c>
      <c r="F441" s="12">
        <v>0.0</v>
      </c>
      <c r="G441" s="12">
        <v>0.0</v>
      </c>
      <c r="H441" s="12">
        <f t="shared" si="137"/>
        <v>0</v>
      </c>
      <c r="I441" s="12">
        <v>0.0</v>
      </c>
      <c r="J441" s="12">
        <v>0.0</v>
      </c>
      <c r="K441" s="12"/>
      <c r="L441" s="12">
        <v>0.0</v>
      </c>
      <c r="M441" s="12">
        <v>0.0</v>
      </c>
      <c r="N441" s="12">
        <v>0.0</v>
      </c>
      <c r="O441" s="16">
        <f t="shared" si="97"/>
        <v>0</v>
      </c>
      <c r="P441" s="12">
        <v>0.0</v>
      </c>
      <c r="Q441" s="12">
        <v>0.0</v>
      </c>
      <c r="R441" s="12"/>
      <c r="S441" s="12">
        <v>0.0</v>
      </c>
      <c r="T441" s="12">
        <v>0.0</v>
      </c>
      <c r="U441" s="12">
        <v>0.0</v>
      </c>
      <c r="V441" s="16">
        <f t="shared" si="138"/>
        <v>0</v>
      </c>
      <c r="W441" s="12">
        <v>0.0</v>
      </c>
      <c r="X441" s="12">
        <v>0.0</v>
      </c>
      <c r="Y441" s="12"/>
      <c r="Z441" s="12">
        <v>0.0</v>
      </c>
      <c r="AA441" s="12">
        <v>0.0</v>
      </c>
      <c r="AB441" s="12">
        <v>0.0</v>
      </c>
      <c r="AC441" s="16">
        <f t="shared" si="147"/>
        <v>0</v>
      </c>
      <c r="AD441" s="12"/>
      <c r="AE441" s="12"/>
      <c r="AF441" s="12">
        <v>0.0</v>
      </c>
      <c r="AG441" s="12">
        <v>0.0</v>
      </c>
      <c r="AH441" s="12"/>
      <c r="AI441" s="12">
        <v>0.0</v>
      </c>
      <c r="AJ441" s="12">
        <v>0.0</v>
      </c>
      <c r="AK441" s="12">
        <v>0.0</v>
      </c>
      <c r="AL441" s="12">
        <f t="shared" si="144"/>
        <v>0</v>
      </c>
      <c r="AM441" s="12">
        <v>0.0</v>
      </c>
      <c r="AN441" s="12">
        <v>0.0</v>
      </c>
      <c r="AO441" s="12"/>
      <c r="AP441" s="12">
        <v>0.0</v>
      </c>
      <c r="AQ441" s="12">
        <v>0.0</v>
      </c>
      <c r="AR441" s="12">
        <v>0.0</v>
      </c>
      <c r="AS441" s="12">
        <f t="shared" si="143"/>
        <v>0</v>
      </c>
      <c r="AT441" s="16">
        <f t="shared" si="126"/>
        <v>0</v>
      </c>
      <c r="AU441" s="18">
        <f t="shared" si="141"/>
        <v>607784.21</v>
      </c>
      <c r="AV441" s="18"/>
      <c r="AW441" s="18"/>
      <c r="AX441" s="12">
        <f t="shared" si="1"/>
        <v>0</v>
      </c>
      <c r="AY441" s="12"/>
      <c r="AZ441" s="12">
        <v>0.0</v>
      </c>
      <c r="BA441" s="18">
        <f t="shared" si="145"/>
        <v>47363.59</v>
      </c>
      <c r="BB441" s="10">
        <f t="shared" si="16"/>
        <v>856423.205</v>
      </c>
      <c r="BC441" s="16">
        <f t="shared" si="88"/>
        <v>140361.6684</v>
      </c>
      <c r="BD441" s="16"/>
      <c r="BE441" s="16"/>
      <c r="BF441" s="6"/>
      <c r="BG441" s="6"/>
      <c r="BH441" s="6"/>
      <c r="BI441" s="29">
        <f t="shared" si="139"/>
        <v>26451.6129</v>
      </c>
      <c r="BJ441" s="6"/>
      <c r="BK441" s="15">
        <f t="shared" si="76"/>
        <v>0</v>
      </c>
      <c r="BN441" s="16">
        <f t="shared" si="14"/>
        <v>-26451.6129</v>
      </c>
      <c r="BO441" s="16">
        <f t="shared" si="140"/>
        <v>25848.72613</v>
      </c>
      <c r="BY441" s="6">
        <f t="shared" si="2"/>
        <v>2024</v>
      </c>
      <c r="BZ441" s="6" t="str">
        <f t="shared" si="3"/>
        <v>diciembre</v>
      </c>
      <c r="CA441" s="6" t="str">
        <f t="shared" si="4"/>
        <v>12</v>
      </c>
    </row>
    <row r="442">
      <c r="A442" s="8">
        <v>45649.0</v>
      </c>
      <c r="B442" s="12">
        <v>0.0</v>
      </c>
      <c r="C442" s="12">
        <v>0.0</v>
      </c>
      <c r="D442" s="12"/>
      <c r="E442" s="12">
        <v>0.0</v>
      </c>
      <c r="F442" s="12">
        <v>0.0</v>
      </c>
      <c r="G442" s="12">
        <v>0.0</v>
      </c>
      <c r="H442" s="12">
        <f t="shared" si="137"/>
        <v>0</v>
      </c>
      <c r="I442" s="12">
        <v>0.0</v>
      </c>
      <c r="J442" s="12">
        <v>0.0</v>
      </c>
      <c r="K442" s="12"/>
      <c r="L442" s="12">
        <v>0.0</v>
      </c>
      <c r="M442" s="12">
        <v>0.0</v>
      </c>
      <c r="N442" s="12">
        <v>0.0</v>
      </c>
      <c r="O442" s="16">
        <f t="shared" si="97"/>
        <v>0</v>
      </c>
      <c r="P442" s="12">
        <v>0.0</v>
      </c>
      <c r="Q442" s="12">
        <v>0.0</v>
      </c>
      <c r="R442" s="12"/>
      <c r="S442" s="12">
        <v>0.0</v>
      </c>
      <c r="T442" s="12">
        <v>0.0</v>
      </c>
      <c r="U442" s="12">
        <v>0.0</v>
      </c>
      <c r="V442" s="16">
        <f t="shared" si="138"/>
        <v>0</v>
      </c>
      <c r="W442" s="12">
        <v>0.0</v>
      </c>
      <c r="X442" s="12">
        <v>0.0</v>
      </c>
      <c r="Y442" s="12"/>
      <c r="Z442" s="12">
        <v>0.0</v>
      </c>
      <c r="AA442" s="12">
        <v>0.0</v>
      </c>
      <c r="AB442" s="12">
        <v>0.0</v>
      </c>
      <c r="AC442" s="16">
        <f t="shared" si="147"/>
        <v>0</v>
      </c>
      <c r="AD442" s="12"/>
      <c r="AE442" s="12"/>
      <c r="AF442" s="12">
        <v>0.0</v>
      </c>
      <c r="AG442" s="12">
        <v>0.0</v>
      </c>
      <c r="AH442" s="12"/>
      <c r="AI442" s="12">
        <v>0.0</v>
      </c>
      <c r="AJ442" s="12">
        <v>0.0</v>
      </c>
      <c r="AK442" s="12">
        <v>0.0</v>
      </c>
      <c r="AL442" s="12">
        <f t="shared" si="144"/>
        <v>0</v>
      </c>
      <c r="AM442" s="12">
        <v>0.0</v>
      </c>
      <c r="AN442" s="12">
        <v>0.0</v>
      </c>
      <c r="AO442" s="12"/>
      <c r="AP442" s="12">
        <v>0.0</v>
      </c>
      <c r="AQ442" s="12">
        <v>0.0</v>
      </c>
      <c r="AR442" s="12">
        <v>0.0</v>
      </c>
      <c r="AS442" s="12">
        <f t="shared" si="143"/>
        <v>0</v>
      </c>
      <c r="AT442" s="16">
        <f t="shared" si="126"/>
        <v>0</v>
      </c>
      <c r="AU442" s="18">
        <f t="shared" si="141"/>
        <v>607784.21</v>
      </c>
      <c r="AV442" s="18"/>
      <c r="AW442" s="18"/>
      <c r="AX442" s="12">
        <f t="shared" si="1"/>
        <v>0</v>
      </c>
      <c r="AY442" s="12"/>
      <c r="AZ442" s="12">
        <v>0.0</v>
      </c>
      <c r="BA442" s="18">
        <f t="shared" si="145"/>
        <v>47363.59</v>
      </c>
      <c r="BB442" s="10">
        <f t="shared" si="16"/>
        <v>819187.4135</v>
      </c>
      <c r="BC442" s="16">
        <f t="shared" si="88"/>
        <v>151946.0525</v>
      </c>
      <c r="BD442" s="16"/>
      <c r="BE442" s="16"/>
      <c r="BF442" s="6"/>
      <c r="BG442" s="6"/>
      <c r="BH442" s="6"/>
      <c r="BI442" s="29">
        <f t="shared" si="139"/>
        <v>26451.6129</v>
      </c>
      <c r="BJ442" s="6"/>
      <c r="BK442" s="15">
        <f t="shared" si="76"/>
        <v>0</v>
      </c>
      <c r="BN442" s="16">
        <f t="shared" si="14"/>
        <v>-26451.6129</v>
      </c>
      <c r="BO442" s="16">
        <f t="shared" si="140"/>
        <v>-602.8867742</v>
      </c>
      <c r="BY442" s="6">
        <f t="shared" si="2"/>
        <v>2024</v>
      </c>
      <c r="BZ442" s="6" t="str">
        <f t="shared" si="3"/>
        <v>diciembre</v>
      </c>
      <c r="CA442" s="6" t="str">
        <f t="shared" si="4"/>
        <v>12</v>
      </c>
    </row>
    <row r="443">
      <c r="A443" s="8">
        <v>45650.0</v>
      </c>
      <c r="B443" s="12">
        <v>0.0</v>
      </c>
      <c r="C443" s="12">
        <v>0.0</v>
      </c>
      <c r="D443" s="12"/>
      <c r="E443" s="12">
        <v>0.0</v>
      </c>
      <c r="F443" s="12">
        <v>0.0</v>
      </c>
      <c r="G443" s="12">
        <v>0.0</v>
      </c>
      <c r="H443" s="12">
        <f t="shared" si="137"/>
        <v>0</v>
      </c>
      <c r="I443" s="12">
        <v>0.0</v>
      </c>
      <c r="J443" s="12">
        <v>0.0</v>
      </c>
      <c r="K443" s="12"/>
      <c r="L443" s="12">
        <v>0.0</v>
      </c>
      <c r="M443" s="12">
        <v>0.0</v>
      </c>
      <c r="N443" s="12">
        <v>0.0</v>
      </c>
      <c r="O443" s="16">
        <f t="shared" si="97"/>
        <v>0</v>
      </c>
      <c r="P443" s="12">
        <v>0.0</v>
      </c>
      <c r="Q443" s="12">
        <v>0.0</v>
      </c>
      <c r="R443" s="12"/>
      <c r="S443" s="12">
        <v>0.0</v>
      </c>
      <c r="T443" s="12">
        <v>0.0</v>
      </c>
      <c r="U443" s="12">
        <v>0.0</v>
      </c>
      <c r="V443" s="16">
        <f t="shared" si="138"/>
        <v>0</v>
      </c>
      <c r="W443" s="12">
        <v>0.0</v>
      </c>
      <c r="X443" s="12">
        <v>0.0</v>
      </c>
      <c r="Y443" s="12"/>
      <c r="Z443" s="12">
        <v>0.0</v>
      </c>
      <c r="AA443" s="12">
        <v>0.0</v>
      </c>
      <c r="AB443" s="12">
        <v>0.0</v>
      </c>
      <c r="AC443" s="16">
        <f t="shared" si="147"/>
        <v>0</v>
      </c>
      <c r="AD443" s="12"/>
      <c r="AE443" s="12"/>
      <c r="AF443" s="12">
        <v>0.0</v>
      </c>
      <c r="AG443" s="12">
        <v>0.0</v>
      </c>
      <c r="AH443" s="12"/>
      <c r="AI443" s="12">
        <v>0.0</v>
      </c>
      <c r="AJ443" s="12">
        <v>0.0</v>
      </c>
      <c r="AK443" s="12">
        <v>0.0</v>
      </c>
      <c r="AL443" s="12">
        <f t="shared" si="144"/>
        <v>0</v>
      </c>
      <c r="AM443" s="12">
        <v>0.0</v>
      </c>
      <c r="AN443" s="12">
        <v>0.0</v>
      </c>
      <c r="AO443" s="12"/>
      <c r="AP443" s="12">
        <v>0.0</v>
      </c>
      <c r="AQ443" s="12">
        <v>0.0</v>
      </c>
      <c r="AR443" s="12">
        <v>0.0</v>
      </c>
      <c r="AS443" s="12">
        <f t="shared" si="143"/>
        <v>0</v>
      </c>
      <c r="AT443" s="16">
        <f t="shared" si="126"/>
        <v>0</v>
      </c>
      <c r="AU443" s="18">
        <f t="shared" si="141"/>
        <v>607784.21</v>
      </c>
      <c r="AV443" s="18"/>
      <c r="AW443" s="18"/>
      <c r="AX443" s="12">
        <f t="shared" si="1"/>
        <v>0</v>
      </c>
      <c r="AY443" s="12"/>
      <c r="AZ443" s="12">
        <v>0.0</v>
      </c>
      <c r="BA443" s="18">
        <f t="shared" si="145"/>
        <v>47363.59</v>
      </c>
      <c r="BB443" s="10">
        <f t="shared" si="16"/>
        <v>785054.6046</v>
      </c>
      <c r="BC443" s="16">
        <f t="shared" si="88"/>
        <v>144710.5262</v>
      </c>
      <c r="BD443" s="16"/>
      <c r="BE443" s="16"/>
      <c r="BF443" s="6"/>
      <c r="BG443" s="6"/>
      <c r="BH443" s="6"/>
      <c r="BI443" s="29">
        <f t="shared" si="139"/>
        <v>26451.6129</v>
      </c>
      <c r="BJ443" s="6"/>
      <c r="BK443" s="15">
        <f t="shared" si="76"/>
        <v>0</v>
      </c>
      <c r="BN443" s="16">
        <f t="shared" si="14"/>
        <v>-26451.6129</v>
      </c>
      <c r="BO443" s="16">
        <f t="shared" si="140"/>
        <v>-27054.49968</v>
      </c>
      <c r="BY443" s="6">
        <f t="shared" si="2"/>
        <v>2024</v>
      </c>
      <c r="BZ443" s="6" t="str">
        <f t="shared" si="3"/>
        <v>diciembre</v>
      </c>
      <c r="CA443" s="6" t="str">
        <f t="shared" si="4"/>
        <v>12</v>
      </c>
    </row>
    <row r="444">
      <c r="A444" s="8">
        <v>45651.0</v>
      </c>
      <c r="B444" s="12">
        <v>0.0</v>
      </c>
      <c r="C444" s="12">
        <v>0.0</v>
      </c>
      <c r="D444" s="12"/>
      <c r="E444" s="12">
        <v>0.0</v>
      </c>
      <c r="F444" s="12">
        <v>0.0</v>
      </c>
      <c r="G444" s="12">
        <v>0.0</v>
      </c>
      <c r="H444" s="12">
        <f t="shared" si="137"/>
        <v>0</v>
      </c>
      <c r="I444" s="12">
        <v>0.0</v>
      </c>
      <c r="J444" s="12">
        <v>0.0</v>
      </c>
      <c r="K444" s="12"/>
      <c r="L444" s="12">
        <v>0.0</v>
      </c>
      <c r="M444" s="12">
        <v>0.0</v>
      </c>
      <c r="N444" s="12">
        <v>0.0</v>
      </c>
      <c r="O444" s="16">
        <f t="shared" si="97"/>
        <v>0</v>
      </c>
      <c r="P444" s="12">
        <v>0.0</v>
      </c>
      <c r="Q444" s="12">
        <v>0.0</v>
      </c>
      <c r="R444" s="12"/>
      <c r="S444" s="12">
        <v>0.0</v>
      </c>
      <c r="T444" s="12">
        <v>0.0</v>
      </c>
      <c r="U444" s="12">
        <v>0.0</v>
      </c>
      <c r="V444" s="16">
        <f t="shared" si="138"/>
        <v>0</v>
      </c>
      <c r="W444" s="12">
        <v>0.0</v>
      </c>
      <c r="X444" s="12">
        <v>0.0</v>
      </c>
      <c r="Y444" s="12"/>
      <c r="Z444" s="12">
        <v>0.0</v>
      </c>
      <c r="AA444" s="12">
        <v>0.0</v>
      </c>
      <c r="AB444" s="12">
        <v>0.0</v>
      </c>
      <c r="AC444" s="16">
        <f t="shared" si="147"/>
        <v>0</v>
      </c>
      <c r="AD444" s="12"/>
      <c r="AE444" s="12"/>
      <c r="AF444" s="12">
        <v>0.0</v>
      </c>
      <c r="AG444" s="12">
        <v>0.0</v>
      </c>
      <c r="AH444" s="12"/>
      <c r="AI444" s="12">
        <v>0.0</v>
      </c>
      <c r="AJ444" s="12">
        <v>0.0</v>
      </c>
      <c r="AK444" s="12">
        <v>0.0</v>
      </c>
      <c r="AL444" s="12">
        <f t="shared" si="144"/>
        <v>0</v>
      </c>
      <c r="AM444" s="12">
        <v>0.0</v>
      </c>
      <c r="AN444" s="12">
        <v>0.0</v>
      </c>
      <c r="AO444" s="12"/>
      <c r="AP444" s="12">
        <v>0.0</v>
      </c>
      <c r="AQ444" s="12">
        <v>0.0</v>
      </c>
      <c r="AR444" s="12">
        <v>0.0</v>
      </c>
      <c r="AS444" s="12">
        <f t="shared" si="143"/>
        <v>0</v>
      </c>
      <c r="AT444" s="16">
        <f t="shared" si="126"/>
        <v>0</v>
      </c>
      <c r="AU444" s="18">
        <f t="shared" si="141"/>
        <v>607784.21</v>
      </c>
      <c r="AV444" s="18"/>
      <c r="AW444" s="18"/>
      <c r="AX444" s="12">
        <f t="shared" si="1"/>
        <v>0</v>
      </c>
      <c r="AY444" s="12"/>
      <c r="AZ444" s="12">
        <v>0.0</v>
      </c>
      <c r="BA444" s="18">
        <f t="shared" si="145"/>
        <v>47363.59</v>
      </c>
      <c r="BB444" s="10">
        <f t="shared" si="16"/>
        <v>753652.4204</v>
      </c>
      <c r="BC444" s="16">
        <f t="shared" si="88"/>
        <v>138132.775</v>
      </c>
      <c r="BD444" s="16"/>
      <c r="BE444" s="16"/>
      <c r="BF444" s="6"/>
      <c r="BG444" s="6"/>
      <c r="BH444" s="6"/>
      <c r="BI444" s="29">
        <f t="shared" si="139"/>
        <v>26451.6129</v>
      </c>
      <c r="BJ444" s="6"/>
      <c r="BK444" s="15">
        <f t="shared" si="76"/>
        <v>0</v>
      </c>
      <c r="BN444" s="16">
        <f t="shared" si="14"/>
        <v>-26451.6129</v>
      </c>
      <c r="BO444" s="16">
        <f t="shared" si="140"/>
        <v>-53506.11258</v>
      </c>
      <c r="BY444" s="6">
        <f t="shared" si="2"/>
        <v>2024</v>
      </c>
      <c r="BZ444" s="6" t="str">
        <f t="shared" si="3"/>
        <v>diciembre</v>
      </c>
      <c r="CA444" s="6" t="str">
        <f t="shared" si="4"/>
        <v>12</v>
      </c>
    </row>
    <row r="445">
      <c r="A445" s="8">
        <v>45652.0</v>
      </c>
      <c r="B445" s="12">
        <v>0.0</v>
      </c>
      <c r="C445" s="12">
        <v>0.0</v>
      </c>
      <c r="D445" s="12"/>
      <c r="E445" s="12">
        <v>0.0</v>
      </c>
      <c r="F445" s="12">
        <v>0.0</v>
      </c>
      <c r="G445" s="12">
        <v>0.0</v>
      </c>
      <c r="H445" s="12">
        <f t="shared" si="137"/>
        <v>0</v>
      </c>
      <c r="I445" s="12">
        <v>0.0</v>
      </c>
      <c r="J445" s="12">
        <v>0.0</v>
      </c>
      <c r="K445" s="12"/>
      <c r="L445" s="12">
        <v>0.0</v>
      </c>
      <c r="M445" s="12">
        <v>0.0</v>
      </c>
      <c r="N445" s="12">
        <v>0.0</v>
      </c>
      <c r="O445" s="16">
        <f t="shared" si="97"/>
        <v>0</v>
      </c>
      <c r="P445" s="12">
        <v>0.0</v>
      </c>
      <c r="Q445" s="12">
        <v>0.0</v>
      </c>
      <c r="R445" s="12"/>
      <c r="S445" s="12">
        <v>0.0</v>
      </c>
      <c r="T445" s="12">
        <v>0.0</v>
      </c>
      <c r="U445" s="12">
        <v>0.0</v>
      </c>
      <c r="V445" s="16">
        <f t="shared" si="138"/>
        <v>0</v>
      </c>
      <c r="W445" s="12">
        <v>0.0</v>
      </c>
      <c r="X445" s="12">
        <v>0.0</v>
      </c>
      <c r="Y445" s="12"/>
      <c r="Z445" s="12">
        <v>0.0</v>
      </c>
      <c r="AA445" s="12">
        <v>0.0</v>
      </c>
      <c r="AB445" s="12">
        <v>0.0</v>
      </c>
      <c r="AC445" s="12">
        <v>0.0</v>
      </c>
      <c r="AD445" s="12"/>
      <c r="AE445" s="12"/>
      <c r="AF445" s="12">
        <v>0.0</v>
      </c>
      <c r="AG445" s="12">
        <v>0.0</v>
      </c>
      <c r="AH445" s="12"/>
      <c r="AI445" s="12">
        <v>0.0</v>
      </c>
      <c r="AJ445" s="12">
        <v>0.0</v>
      </c>
      <c r="AK445" s="12">
        <v>0.0</v>
      </c>
      <c r="AL445" s="12">
        <f t="shared" si="144"/>
        <v>0</v>
      </c>
      <c r="AM445" s="12">
        <v>0.0</v>
      </c>
      <c r="AN445" s="12">
        <v>0.0</v>
      </c>
      <c r="AO445" s="12"/>
      <c r="AP445" s="12">
        <v>0.0</v>
      </c>
      <c r="AQ445" s="12">
        <v>0.0</v>
      </c>
      <c r="AR445" s="12">
        <v>0.0</v>
      </c>
      <c r="AS445" s="12">
        <f t="shared" si="143"/>
        <v>0</v>
      </c>
      <c r="AT445" s="16">
        <f t="shared" si="126"/>
        <v>0</v>
      </c>
      <c r="AU445" s="18">
        <f t="shared" si="141"/>
        <v>607784.21</v>
      </c>
      <c r="AV445" s="18"/>
      <c r="AW445" s="18"/>
      <c r="AX445" s="12">
        <f t="shared" si="1"/>
        <v>0</v>
      </c>
      <c r="AY445" s="12"/>
      <c r="AZ445" s="12">
        <v>0.0</v>
      </c>
      <c r="BA445" s="18">
        <f t="shared" si="145"/>
        <v>47363.59</v>
      </c>
      <c r="BB445" s="10">
        <f t="shared" si="16"/>
        <v>724665.7888</v>
      </c>
      <c r="BC445" s="16">
        <f t="shared" si="88"/>
        <v>132127.0022</v>
      </c>
      <c r="BD445" s="16"/>
      <c r="BE445" s="16"/>
      <c r="BF445" s="6"/>
      <c r="BG445" s="6"/>
      <c r="BH445" s="6"/>
      <c r="BI445" s="29">
        <f t="shared" si="139"/>
        <v>26451.6129</v>
      </c>
      <c r="BJ445" s="6"/>
      <c r="BK445" s="15">
        <f t="shared" si="76"/>
        <v>0</v>
      </c>
      <c r="BN445" s="16">
        <f t="shared" si="14"/>
        <v>-26451.6129</v>
      </c>
      <c r="BO445" s="16">
        <f t="shared" si="140"/>
        <v>-79957.72548</v>
      </c>
      <c r="BY445" s="6">
        <f t="shared" si="2"/>
        <v>2024</v>
      </c>
      <c r="BZ445" s="6" t="str">
        <f t="shared" si="3"/>
        <v>diciembre</v>
      </c>
      <c r="CA445" s="6" t="str">
        <f t="shared" si="4"/>
        <v>12</v>
      </c>
    </row>
    <row r="446">
      <c r="A446" s="8">
        <v>45653.0</v>
      </c>
      <c r="B446" s="12">
        <v>8425.78</v>
      </c>
      <c r="C446" s="12">
        <v>1542.44</v>
      </c>
      <c r="D446" s="12"/>
      <c r="E446" s="12">
        <v>0.0</v>
      </c>
      <c r="F446" s="12">
        <v>0.0</v>
      </c>
      <c r="G446" s="12">
        <v>0.0</v>
      </c>
      <c r="H446" s="12">
        <f t="shared" si="137"/>
        <v>9968.22</v>
      </c>
      <c r="I446" s="12">
        <v>8456.9</v>
      </c>
      <c r="J446" s="12">
        <v>2326.94</v>
      </c>
      <c r="K446" s="12"/>
      <c r="L446" s="12">
        <v>0.0</v>
      </c>
      <c r="M446" s="12">
        <v>0.0</v>
      </c>
      <c r="N446" s="12">
        <v>0.0</v>
      </c>
      <c r="O446" s="16">
        <f t="shared" si="97"/>
        <v>10783.84</v>
      </c>
      <c r="P446" s="12">
        <v>2152.34</v>
      </c>
      <c r="Q446" s="12">
        <v>1346.44</v>
      </c>
      <c r="R446" s="12"/>
      <c r="S446" s="12">
        <v>0.0</v>
      </c>
      <c r="T446" s="12">
        <v>0.0</v>
      </c>
      <c r="U446" s="12">
        <v>0.0</v>
      </c>
      <c r="V446" s="16">
        <f t="shared" si="138"/>
        <v>3498.78</v>
      </c>
      <c r="W446" s="12">
        <v>4.98</v>
      </c>
      <c r="X446" s="12">
        <v>0.0</v>
      </c>
      <c r="Y446" s="12"/>
      <c r="Z446" s="12">
        <v>0.0</v>
      </c>
      <c r="AA446" s="12">
        <v>0.0</v>
      </c>
      <c r="AB446" s="12">
        <v>0.0</v>
      </c>
      <c r="AC446" s="16">
        <f t="shared" ref="AC446:AC450" si="148">W446+X446+Z446+AA446+AB446</f>
        <v>4.98</v>
      </c>
      <c r="AD446" s="12"/>
      <c r="AE446" s="12"/>
      <c r="AF446" s="12">
        <v>1218.04</v>
      </c>
      <c r="AG446" s="12">
        <v>1471.19</v>
      </c>
      <c r="AH446" s="12"/>
      <c r="AI446" s="12">
        <v>0.0</v>
      </c>
      <c r="AJ446" s="12">
        <v>0.0</v>
      </c>
      <c r="AK446" s="12">
        <v>0.0</v>
      </c>
      <c r="AL446" s="12">
        <f t="shared" si="144"/>
        <v>2689.23</v>
      </c>
      <c r="AM446" s="12">
        <v>0.0</v>
      </c>
      <c r="AN446" s="12">
        <v>0.0</v>
      </c>
      <c r="AO446" s="12"/>
      <c r="AP446" s="12">
        <v>0.0</v>
      </c>
      <c r="AQ446" s="12">
        <v>0.0</v>
      </c>
      <c r="AR446" s="12">
        <v>0.0</v>
      </c>
      <c r="AS446" s="12">
        <f t="shared" si="143"/>
        <v>0</v>
      </c>
      <c r="AT446" s="16">
        <f t="shared" si="126"/>
        <v>16976.83</v>
      </c>
      <c r="AU446" s="18">
        <f t="shared" si="141"/>
        <v>624761.04</v>
      </c>
      <c r="AV446" s="18"/>
      <c r="AW446" s="18"/>
      <c r="AX446" s="12">
        <f t="shared" si="1"/>
        <v>16976.83</v>
      </c>
      <c r="AY446" s="12"/>
      <c r="AZ446" s="12">
        <v>1024.81</v>
      </c>
      <c r="BA446" s="18">
        <f t="shared" si="145"/>
        <v>48388.4</v>
      </c>
      <c r="BB446" s="10">
        <f t="shared" si="16"/>
        <v>717318.2311</v>
      </c>
      <c r="BC446" s="16">
        <f t="shared" si="88"/>
        <v>126621.7104</v>
      </c>
      <c r="BD446" s="16"/>
      <c r="BE446" s="16"/>
      <c r="BF446" s="6"/>
      <c r="BG446" s="6"/>
      <c r="BH446" s="6"/>
      <c r="BI446" s="29">
        <f t="shared" si="139"/>
        <v>26451.6129</v>
      </c>
      <c r="BJ446" s="6"/>
      <c r="BK446" s="15">
        <f t="shared" si="76"/>
        <v>0.6418069878</v>
      </c>
      <c r="BN446" s="16">
        <f t="shared" si="14"/>
        <v>-9474.782903</v>
      </c>
      <c r="BO446" s="16">
        <f t="shared" si="140"/>
        <v>-89432.50839</v>
      </c>
      <c r="BY446" s="6">
        <f t="shared" si="2"/>
        <v>2024</v>
      </c>
      <c r="BZ446" s="6" t="str">
        <f t="shared" si="3"/>
        <v>diciembre</v>
      </c>
      <c r="CA446" s="6" t="str">
        <f t="shared" si="4"/>
        <v>12</v>
      </c>
    </row>
    <row r="447">
      <c r="A447" s="8">
        <v>45654.0</v>
      </c>
      <c r="B447" s="12">
        <v>7865.96</v>
      </c>
      <c r="C447" s="12">
        <v>2200.27</v>
      </c>
      <c r="D447" s="12"/>
      <c r="E447" s="12">
        <v>0.0</v>
      </c>
      <c r="F447" s="12">
        <v>0.0</v>
      </c>
      <c r="G447" s="12">
        <v>0.0</v>
      </c>
      <c r="H447" s="12">
        <f t="shared" si="137"/>
        <v>10066.23</v>
      </c>
      <c r="I447" s="12">
        <v>6559.0</v>
      </c>
      <c r="J447" s="12">
        <v>1757.91</v>
      </c>
      <c r="K447" s="12"/>
      <c r="L447" s="12">
        <v>0.0</v>
      </c>
      <c r="M447" s="12">
        <v>0.0</v>
      </c>
      <c r="N447" s="12">
        <v>0.0</v>
      </c>
      <c r="O447" s="16">
        <f t="shared" si="97"/>
        <v>8316.91</v>
      </c>
      <c r="P447" s="12">
        <v>3594.52</v>
      </c>
      <c r="Q447" s="12">
        <v>435.99</v>
      </c>
      <c r="R447" s="12"/>
      <c r="S447" s="12">
        <v>0.0</v>
      </c>
      <c r="T447" s="12">
        <v>0.0</v>
      </c>
      <c r="U447" s="12">
        <v>0.0</v>
      </c>
      <c r="V447" s="16">
        <f t="shared" si="138"/>
        <v>4030.51</v>
      </c>
      <c r="W447" s="12">
        <v>0.0</v>
      </c>
      <c r="X447" s="12">
        <v>0.0</v>
      </c>
      <c r="Y447" s="12"/>
      <c r="Z447" s="12">
        <v>0.0</v>
      </c>
      <c r="AA447" s="12">
        <v>0.0</v>
      </c>
      <c r="AB447" s="12">
        <v>0.0</v>
      </c>
      <c r="AC447" s="16">
        <f t="shared" si="148"/>
        <v>0</v>
      </c>
      <c r="AD447" s="12"/>
      <c r="AE447" s="12"/>
      <c r="AF447" s="12">
        <v>601.61</v>
      </c>
      <c r="AG447" s="12">
        <v>482.99</v>
      </c>
      <c r="AH447" s="12"/>
      <c r="AI447" s="12">
        <v>0.0</v>
      </c>
      <c r="AJ447" s="12">
        <v>0.0</v>
      </c>
      <c r="AK447" s="12">
        <v>0.0</v>
      </c>
      <c r="AL447" s="12">
        <f t="shared" si="144"/>
        <v>1084.6</v>
      </c>
      <c r="AM447" s="12">
        <v>0.0</v>
      </c>
      <c r="AN447" s="12">
        <v>0.0</v>
      </c>
      <c r="AO447" s="12"/>
      <c r="AP447" s="12">
        <v>0.0</v>
      </c>
      <c r="AQ447" s="12">
        <v>0.0</v>
      </c>
      <c r="AR447" s="12">
        <v>0.0</v>
      </c>
      <c r="AS447" s="12">
        <f t="shared" si="143"/>
        <v>0</v>
      </c>
      <c r="AT447" s="16">
        <f t="shared" si="126"/>
        <v>13432.02</v>
      </c>
      <c r="AU447" s="18">
        <f t="shared" si="141"/>
        <v>638193.06</v>
      </c>
      <c r="AV447" s="18"/>
      <c r="AW447" s="18"/>
      <c r="AX447" s="12">
        <f t="shared" si="1"/>
        <v>13432.02</v>
      </c>
      <c r="AY447" s="12"/>
      <c r="AZ447" s="12">
        <v>625.94</v>
      </c>
      <c r="BA447" s="18">
        <f t="shared" si="145"/>
        <v>49014.34</v>
      </c>
      <c r="BB447" s="10">
        <f t="shared" si="16"/>
        <v>706570.8879</v>
      </c>
      <c r="BC447" s="16">
        <f t="shared" si="88"/>
        <v>121556.842</v>
      </c>
      <c r="BD447" s="16"/>
      <c r="BE447" s="16"/>
      <c r="BF447" s="6"/>
      <c r="BG447" s="6"/>
      <c r="BH447" s="6"/>
      <c r="BI447" s="29">
        <f t="shared" si="139"/>
        <v>26451.6129</v>
      </c>
      <c r="BJ447" s="6"/>
      <c r="BK447" s="15">
        <f t="shared" si="76"/>
        <v>0.507795878</v>
      </c>
      <c r="BN447" s="16">
        <f t="shared" si="14"/>
        <v>-13019.5929</v>
      </c>
      <c r="BO447" s="16">
        <f t="shared" si="140"/>
        <v>-102452.1013</v>
      </c>
      <c r="BY447" s="6">
        <f t="shared" si="2"/>
        <v>2024</v>
      </c>
      <c r="BZ447" s="6" t="str">
        <f t="shared" si="3"/>
        <v>diciembre</v>
      </c>
      <c r="CA447" s="6" t="str">
        <f t="shared" si="4"/>
        <v>12</v>
      </c>
    </row>
    <row r="448">
      <c r="A448" s="8">
        <v>45655.0</v>
      </c>
      <c r="B448" s="12">
        <v>0.0</v>
      </c>
      <c r="C448" s="12">
        <v>0.0</v>
      </c>
      <c r="D448" s="12"/>
      <c r="E448" s="12">
        <v>0.0</v>
      </c>
      <c r="F448" s="12">
        <v>0.0</v>
      </c>
      <c r="G448" s="12">
        <v>0.0</v>
      </c>
      <c r="H448" s="12">
        <f t="shared" si="137"/>
        <v>0</v>
      </c>
      <c r="I448" s="12">
        <v>0.0</v>
      </c>
      <c r="J448" s="12">
        <v>0.0</v>
      </c>
      <c r="K448" s="12"/>
      <c r="L448" s="12">
        <v>0.0</v>
      </c>
      <c r="M448" s="12">
        <v>0.0</v>
      </c>
      <c r="N448" s="12">
        <v>0.0</v>
      </c>
      <c r="O448" s="16">
        <f t="shared" si="97"/>
        <v>0</v>
      </c>
      <c r="P448" s="12">
        <v>0.0</v>
      </c>
      <c r="Q448" s="12">
        <v>0.0</v>
      </c>
      <c r="R448" s="12"/>
      <c r="S448" s="12">
        <v>0.0</v>
      </c>
      <c r="T448" s="12">
        <v>0.0</v>
      </c>
      <c r="U448" s="12">
        <v>0.0</v>
      </c>
      <c r="V448" s="16">
        <f t="shared" si="138"/>
        <v>0</v>
      </c>
      <c r="W448" s="12">
        <v>0.0</v>
      </c>
      <c r="X448" s="12">
        <v>0.0</v>
      </c>
      <c r="Y448" s="12"/>
      <c r="Z448" s="12">
        <v>0.0</v>
      </c>
      <c r="AA448" s="12">
        <v>0.0</v>
      </c>
      <c r="AB448" s="12">
        <v>0.0</v>
      </c>
      <c r="AC448" s="16">
        <f t="shared" si="148"/>
        <v>0</v>
      </c>
      <c r="AD448" s="12"/>
      <c r="AE448" s="12"/>
      <c r="AF448" s="12">
        <v>0.0</v>
      </c>
      <c r="AG448" s="12">
        <v>0.0</v>
      </c>
      <c r="AH448" s="12"/>
      <c r="AI448" s="12">
        <v>0.0</v>
      </c>
      <c r="AJ448" s="12">
        <v>0.0</v>
      </c>
      <c r="AK448" s="12">
        <v>0.0</v>
      </c>
      <c r="AL448" s="12">
        <f t="shared" si="144"/>
        <v>0</v>
      </c>
      <c r="AM448" s="12">
        <v>0.0</v>
      </c>
      <c r="AN448" s="12">
        <v>0.0</v>
      </c>
      <c r="AO448" s="12"/>
      <c r="AP448" s="12">
        <v>0.0</v>
      </c>
      <c r="AQ448" s="12">
        <v>0.0</v>
      </c>
      <c r="AR448" s="12">
        <v>0.0</v>
      </c>
      <c r="AS448" s="12">
        <f t="shared" si="143"/>
        <v>0</v>
      </c>
      <c r="AT448" s="16">
        <f t="shared" si="126"/>
        <v>0</v>
      </c>
      <c r="AU448" s="18">
        <f t="shared" si="141"/>
        <v>638193.06</v>
      </c>
      <c r="AV448" s="18"/>
      <c r="AW448" s="18"/>
      <c r="AX448" s="12">
        <f t="shared" si="1"/>
        <v>0</v>
      </c>
      <c r="AY448" s="12"/>
      <c r="AZ448" s="12">
        <v>0.0</v>
      </c>
      <c r="BA448" s="18">
        <f t="shared" si="145"/>
        <v>49014.34</v>
      </c>
      <c r="BB448" s="10">
        <f t="shared" si="16"/>
        <v>682206.3745</v>
      </c>
      <c r="BC448" s="16">
        <f t="shared" si="88"/>
        <v>116881.5788</v>
      </c>
      <c r="BD448" s="16"/>
      <c r="BE448" s="16"/>
      <c r="BF448" s="6"/>
      <c r="BG448" s="6"/>
      <c r="BH448" s="6"/>
      <c r="BI448" s="29">
        <f t="shared" si="139"/>
        <v>26451.6129</v>
      </c>
      <c r="BJ448" s="6"/>
      <c r="BK448" s="15">
        <f t="shared" si="76"/>
        <v>0</v>
      </c>
      <c r="BN448" s="16">
        <f t="shared" si="14"/>
        <v>-26451.6129</v>
      </c>
      <c r="BO448" s="16">
        <f t="shared" si="140"/>
        <v>-128903.7142</v>
      </c>
      <c r="BY448" s="6">
        <f t="shared" si="2"/>
        <v>2024</v>
      </c>
      <c r="BZ448" s="6" t="str">
        <f t="shared" si="3"/>
        <v>diciembre</v>
      </c>
      <c r="CA448" s="6" t="str">
        <f t="shared" si="4"/>
        <v>12</v>
      </c>
    </row>
    <row r="449">
      <c r="A449" s="8">
        <v>45656.0</v>
      </c>
      <c r="B449" s="12">
        <v>41908.96</v>
      </c>
      <c r="C449" s="12">
        <v>1865.31</v>
      </c>
      <c r="D449" s="12"/>
      <c r="E449" s="12">
        <v>3381.85</v>
      </c>
      <c r="F449" s="12">
        <v>0.0</v>
      </c>
      <c r="G449" s="12">
        <v>0.0</v>
      </c>
      <c r="H449" s="12">
        <f t="shared" si="137"/>
        <v>47156.12</v>
      </c>
      <c r="I449" s="12">
        <v>23956.0</v>
      </c>
      <c r="J449" s="12">
        <v>1956.81</v>
      </c>
      <c r="K449" s="12"/>
      <c r="L449" s="12">
        <v>1618.15</v>
      </c>
      <c r="M449" s="12">
        <v>0.0</v>
      </c>
      <c r="N449" s="12">
        <v>0.0</v>
      </c>
      <c r="O449" s="16">
        <f t="shared" si="97"/>
        <v>27530.96</v>
      </c>
      <c r="P449" s="12">
        <v>8854.07</v>
      </c>
      <c r="Q449" s="12">
        <v>1046.76</v>
      </c>
      <c r="R449" s="12"/>
      <c r="S449" s="12">
        <v>0.0</v>
      </c>
      <c r="T449" s="12">
        <v>0.0</v>
      </c>
      <c r="U449" s="12">
        <v>0.0</v>
      </c>
      <c r="V449" s="16">
        <f t="shared" si="138"/>
        <v>9900.83</v>
      </c>
      <c r="W449" s="12">
        <v>47.83</v>
      </c>
      <c r="X449" s="12">
        <v>0.27</v>
      </c>
      <c r="Y449" s="12"/>
      <c r="Z449" s="12">
        <v>0.0</v>
      </c>
      <c r="AA449" s="12">
        <v>0.0</v>
      </c>
      <c r="AB449" s="12">
        <v>0.0</v>
      </c>
      <c r="AC449" s="16">
        <f t="shared" si="148"/>
        <v>48.1</v>
      </c>
      <c r="AD449" s="12"/>
      <c r="AE449" s="12"/>
      <c r="AF449" s="12">
        <v>2570.08</v>
      </c>
      <c r="AG449" s="12">
        <v>989.15</v>
      </c>
      <c r="AH449" s="12"/>
      <c r="AI449" s="12">
        <v>0.0</v>
      </c>
      <c r="AJ449" s="12">
        <v>0.0</v>
      </c>
      <c r="AK449" s="12">
        <v>0.0</v>
      </c>
      <c r="AL449" s="12">
        <f t="shared" si="144"/>
        <v>3559.23</v>
      </c>
      <c r="AM449" s="12">
        <v>0.0</v>
      </c>
      <c r="AN449" s="12">
        <v>0.0</v>
      </c>
      <c r="AO449" s="12"/>
      <c r="AP449" s="12">
        <v>0.0</v>
      </c>
      <c r="AQ449" s="12">
        <v>0.0</v>
      </c>
      <c r="AR449" s="12">
        <v>0.0</v>
      </c>
      <c r="AS449" s="12">
        <f t="shared" si="143"/>
        <v>0</v>
      </c>
      <c r="AT449" s="16">
        <f t="shared" si="126"/>
        <v>41039.12</v>
      </c>
      <c r="AU449" s="18">
        <f t="shared" si="141"/>
        <v>679232.18</v>
      </c>
      <c r="AV449" s="18"/>
      <c r="AW449" s="18"/>
      <c r="AX449" s="12">
        <f t="shared" si="1"/>
        <v>41039.12</v>
      </c>
      <c r="AY449" s="12"/>
      <c r="AZ449" s="12">
        <v>7332.01</v>
      </c>
      <c r="BA449" s="18">
        <f t="shared" si="145"/>
        <v>56346.35</v>
      </c>
      <c r="BB449" s="10">
        <f t="shared" si="16"/>
        <v>701873.2527</v>
      </c>
      <c r="BC449" s="16">
        <f t="shared" si="88"/>
        <v>115696.4889</v>
      </c>
      <c r="BD449" s="16"/>
      <c r="BE449" s="16"/>
      <c r="BF449" s="6"/>
      <c r="BG449" s="6"/>
      <c r="BH449" s="6"/>
      <c r="BI449" s="29">
        <f t="shared" si="139"/>
        <v>26451.6129</v>
      </c>
      <c r="BK449" s="15">
        <f t="shared" si="76"/>
        <v>1.551478927</v>
      </c>
      <c r="BN449" s="16">
        <f t="shared" si="14"/>
        <v>14587.5071</v>
      </c>
      <c r="BO449" s="16">
        <f t="shared" si="140"/>
        <v>-114316.2071</v>
      </c>
      <c r="BY449" s="6">
        <f t="shared" si="2"/>
        <v>2024</v>
      </c>
      <c r="BZ449" s="6" t="str">
        <f t="shared" si="3"/>
        <v>diciembre</v>
      </c>
      <c r="CA449" s="6" t="str">
        <f t="shared" si="4"/>
        <v>12</v>
      </c>
    </row>
    <row r="450">
      <c r="A450" s="8">
        <v>45657.0</v>
      </c>
      <c r="B450" s="12">
        <f>71137.91+73918.26+28154.31</f>
        <v>173210.48</v>
      </c>
      <c r="C450" s="12">
        <f>2392.67+1653.16+700.03</f>
        <v>4745.86</v>
      </c>
      <c r="D450" s="12"/>
      <c r="E450" s="12">
        <v>1110.47</v>
      </c>
      <c r="F450" s="12">
        <v>0.0</v>
      </c>
      <c r="G450" s="12">
        <v>0.0</v>
      </c>
      <c r="H450" s="12">
        <f t="shared" si="137"/>
        <v>179066.81</v>
      </c>
      <c r="I450" s="12">
        <v>127175.69</v>
      </c>
      <c r="J450" s="12">
        <v>23639.98</v>
      </c>
      <c r="K450" s="12"/>
      <c r="L450" s="12">
        <v>1016.17</v>
      </c>
      <c r="M450" s="12">
        <v>0.0</v>
      </c>
      <c r="N450" s="12">
        <v>0.0</v>
      </c>
      <c r="O450" s="16">
        <f t="shared" si="97"/>
        <v>151831.84</v>
      </c>
      <c r="P450" s="12">
        <f>22051.31+24647.24+9873.09</f>
        <v>56571.64</v>
      </c>
      <c r="Q450" s="12">
        <f>1528.84+364.88+423.46</f>
        <v>2317.18</v>
      </c>
      <c r="R450" s="12"/>
      <c r="S450" s="12">
        <v>0.0</v>
      </c>
      <c r="T450" s="12">
        <v>0.0</v>
      </c>
      <c r="U450" s="12">
        <v>0.0</v>
      </c>
      <c r="V450" s="16">
        <f t="shared" si="138"/>
        <v>58888.82</v>
      </c>
      <c r="W450" s="12">
        <f>15562.96+150.64+24.35</f>
        <v>15737.95</v>
      </c>
      <c r="X450" s="12">
        <f>2462.24+110.81</f>
        <v>2573.05</v>
      </c>
      <c r="Y450" s="12"/>
      <c r="Z450" s="12">
        <v>0.36</v>
      </c>
      <c r="AA450" s="12">
        <v>0.0</v>
      </c>
      <c r="AB450" s="12">
        <v>0.0</v>
      </c>
      <c r="AC450" s="16">
        <f t="shared" si="148"/>
        <v>18311.36</v>
      </c>
      <c r="AD450" s="12"/>
      <c r="AE450" s="12"/>
      <c r="AF450" s="12">
        <f>3099.3+2882.47+311.39</f>
        <v>6293.16</v>
      </c>
      <c r="AG450" s="12">
        <v>514.42</v>
      </c>
      <c r="AH450" s="12"/>
      <c r="AI450" s="12">
        <v>0.0</v>
      </c>
      <c r="AJ450" s="12">
        <v>0.0</v>
      </c>
      <c r="AK450" s="12">
        <v>0.0</v>
      </c>
      <c r="AL450" s="12">
        <f t="shared" si="144"/>
        <v>6807.58</v>
      </c>
      <c r="AM450" s="12">
        <v>19497.0</v>
      </c>
      <c r="AN450" s="12">
        <v>3020.0</v>
      </c>
      <c r="AO450" s="12"/>
      <c r="AP450" s="12">
        <v>0.0</v>
      </c>
      <c r="AQ450" s="12">
        <v>0.0</v>
      </c>
      <c r="AR450" s="12">
        <v>0.0</v>
      </c>
      <c r="AS450" s="12">
        <f t="shared" si="143"/>
        <v>22517</v>
      </c>
      <c r="AT450" s="16">
        <f t="shared" si="126"/>
        <v>258356.6</v>
      </c>
      <c r="AU450" s="18">
        <f t="shared" si="141"/>
        <v>937588.78</v>
      </c>
      <c r="AV450" s="18"/>
      <c r="AW450" s="18"/>
      <c r="AX450" s="12">
        <f t="shared" si="1"/>
        <v>258356.6</v>
      </c>
      <c r="AY450" s="12"/>
      <c r="AZ450" s="12">
        <f>4376.84+1619.22+1524.29</f>
        <v>7520.35</v>
      </c>
      <c r="BA450" s="18">
        <f t="shared" si="145"/>
        <v>63866.7</v>
      </c>
      <c r="BB450" s="10">
        <f t="shared" si="16"/>
        <v>937588.78</v>
      </c>
      <c r="BC450" s="16">
        <f t="shared" si="88"/>
        <v>113963.0464</v>
      </c>
      <c r="BD450" s="16"/>
      <c r="BE450" s="16"/>
      <c r="BF450" s="6"/>
      <c r="BG450" s="6"/>
      <c r="BH450" s="6"/>
      <c r="BI450" s="29">
        <f t="shared" si="139"/>
        <v>26451.6129</v>
      </c>
      <c r="BK450" s="15">
        <f t="shared" si="76"/>
        <v>9.767139756</v>
      </c>
      <c r="BN450" s="16">
        <f t="shared" si="14"/>
        <v>231904.9871</v>
      </c>
      <c r="BO450" s="16">
        <f t="shared" si="140"/>
        <v>117588.78</v>
      </c>
      <c r="BY450" s="6">
        <f t="shared" si="2"/>
        <v>2024</v>
      </c>
      <c r="BZ450" s="6" t="str">
        <f t="shared" si="3"/>
        <v>diciembre</v>
      </c>
      <c r="CA450" s="6" t="str">
        <f t="shared" si="4"/>
        <v>12</v>
      </c>
    </row>
    <row r="451">
      <c r="A451" s="8">
        <v>45658.0</v>
      </c>
      <c r="B451" s="16"/>
      <c r="C451" s="16"/>
      <c r="D451" s="16"/>
      <c r="E451" s="16"/>
      <c r="F451" s="16"/>
      <c r="G451" s="16"/>
      <c r="H451" s="12">
        <f t="shared" ref="H451:H815" si="149">B451+C451+E451+F451+G451+D451</f>
        <v>0</v>
      </c>
      <c r="I451" s="16"/>
      <c r="J451" s="16"/>
      <c r="K451" s="16"/>
      <c r="L451" s="16"/>
      <c r="M451" s="16"/>
      <c r="N451" s="16"/>
      <c r="O451" s="16">
        <f t="shared" ref="O451:O815" si="150">+N451+M451+L451+J451+I451+K451</f>
        <v>0</v>
      </c>
      <c r="P451" s="16"/>
      <c r="Q451" s="16"/>
      <c r="R451" s="16"/>
      <c r="S451" s="16"/>
      <c r="T451" s="16"/>
      <c r="U451" s="16"/>
      <c r="V451" s="16">
        <f t="shared" ref="V451:V815" si="151">P451+Q451+S451+T451+U451+R451</f>
        <v>0</v>
      </c>
      <c r="W451" s="16"/>
      <c r="X451" s="16"/>
      <c r="Y451" s="16"/>
      <c r="Z451" s="16"/>
      <c r="AA451" s="16"/>
      <c r="AB451" s="16"/>
      <c r="AC451" s="16">
        <f t="shared" ref="AC451:AC484" si="152">W451+X451+Z451+AA451+AB451+Y451</f>
        <v>0</v>
      </c>
      <c r="AD451" s="16"/>
      <c r="AE451" s="16"/>
      <c r="AF451" s="16"/>
      <c r="AG451" s="16"/>
      <c r="AH451" s="16"/>
      <c r="AI451" s="16"/>
      <c r="AJ451" s="16"/>
      <c r="AK451" s="16"/>
      <c r="AL451" s="12">
        <f t="shared" ref="AL451:AL542" si="153">AK451+AJ451+AI451+AG451+AF451+AH451</f>
        <v>0</v>
      </c>
      <c r="AM451" s="16"/>
      <c r="AN451" s="16"/>
      <c r="AO451" s="12"/>
      <c r="AP451" s="16"/>
      <c r="AQ451" s="16"/>
      <c r="AR451" s="16"/>
      <c r="AS451" s="12">
        <f t="shared" ref="AS451:AS463" si="154">AR451+AQ451+AP451+AN451+AM451+AO451</f>
        <v>0</v>
      </c>
      <c r="AT451" s="16">
        <f t="shared" si="126"/>
        <v>0</v>
      </c>
      <c r="AU451" s="18">
        <f>IF(AT451="","",AT451)</f>
        <v>0</v>
      </c>
      <c r="AV451" s="18"/>
      <c r="AW451" s="18"/>
      <c r="AX451" s="12">
        <f t="shared" si="1"/>
        <v>0</v>
      </c>
      <c r="AY451" s="12">
        <f t="shared" ref="AY451:AY571" si="155">IF(AT451="","",AU451+AW451+BE451)</f>
        <v>0</v>
      </c>
      <c r="AZ451" s="12">
        <v>0.0</v>
      </c>
      <c r="BA451" s="18">
        <f>IF(AZ451="","",AZ451)</f>
        <v>0</v>
      </c>
      <c r="BB451" s="10">
        <f t="shared" si="16"/>
        <v>0</v>
      </c>
      <c r="BC451" s="16">
        <f t="shared" si="88"/>
        <v>110033.2862</v>
      </c>
      <c r="BD451" s="16"/>
      <c r="BE451" s="16"/>
      <c r="BF451" s="6"/>
      <c r="BG451" s="42">
        <v>1021781.85</v>
      </c>
      <c r="BH451" s="6"/>
      <c r="BI451" s="29">
        <f t="shared" ref="BI451:BI481" si="156">IF(AT451="","",$BG$451/DAY(EOMONTH(A451,0)))</f>
        <v>32960.70484</v>
      </c>
      <c r="BJ451" s="6"/>
      <c r="BK451" s="15">
        <f t="shared" si="76"/>
        <v>0</v>
      </c>
      <c r="BN451" s="16">
        <f t="shared" si="14"/>
        <v>-32960.70484</v>
      </c>
      <c r="BO451" s="16">
        <f>IF(AT451="","",BN451)</f>
        <v>-32960.70484</v>
      </c>
      <c r="BY451" s="6">
        <f t="shared" si="2"/>
        <v>2025</v>
      </c>
      <c r="BZ451" s="6" t="str">
        <f t="shared" si="3"/>
        <v>enero</v>
      </c>
      <c r="CA451" s="6" t="str">
        <f t="shared" si="4"/>
        <v>1</v>
      </c>
    </row>
    <row r="452">
      <c r="A452" s="8">
        <v>45659.0</v>
      </c>
      <c r="B452" s="12">
        <v>1259.0</v>
      </c>
      <c r="C452" s="12">
        <v>500.0</v>
      </c>
      <c r="D452" s="12"/>
      <c r="E452" s="12">
        <v>0.0</v>
      </c>
      <c r="F452" s="12">
        <v>0.0</v>
      </c>
      <c r="G452" s="12">
        <v>0.0</v>
      </c>
      <c r="H452" s="12">
        <f t="shared" si="149"/>
        <v>1759</v>
      </c>
      <c r="I452" s="12">
        <v>1500.0</v>
      </c>
      <c r="J452" s="12">
        <v>1200.0</v>
      </c>
      <c r="K452" s="12"/>
      <c r="L452" s="12">
        <v>0.0</v>
      </c>
      <c r="M452" s="12">
        <v>0.0</v>
      </c>
      <c r="N452" s="12">
        <v>0.0</v>
      </c>
      <c r="O452" s="16">
        <f t="shared" si="150"/>
        <v>2700</v>
      </c>
      <c r="P452" s="12">
        <v>1600.0</v>
      </c>
      <c r="Q452" s="12">
        <v>200.0</v>
      </c>
      <c r="R452" s="12"/>
      <c r="S452" s="12">
        <v>0.0</v>
      </c>
      <c r="T452" s="12">
        <v>0.0</v>
      </c>
      <c r="U452" s="12">
        <v>0.0</v>
      </c>
      <c r="V452" s="16">
        <f t="shared" si="151"/>
        <v>1800</v>
      </c>
      <c r="W452" s="12">
        <v>0.0</v>
      </c>
      <c r="X452" s="12">
        <v>0.0</v>
      </c>
      <c r="Y452" s="12"/>
      <c r="Z452" s="12">
        <v>0.0</v>
      </c>
      <c r="AA452" s="12">
        <v>0.0</v>
      </c>
      <c r="AB452" s="12">
        <v>0.0</v>
      </c>
      <c r="AC452" s="16">
        <f t="shared" si="152"/>
        <v>0</v>
      </c>
      <c r="AD452" s="12"/>
      <c r="AE452" s="12"/>
      <c r="AF452" s="12">
        <v>0.0</v>
      </c>
      <c r="AG452" s="12">
        <v>0.0</v>
      </c>
      <c r="AH452" s="12"/>
      <c r="AI452" s="12">
        <v>0.0</v>
      </c>
      <c r="AJ452" s="12">
        <v>0.0</v>
      </c>
      <c r="AK452" s="12">
        <v>0.0</v>
      </c>
      <c r="AL452" s="12">
        <f t="shared" si="153"/>
        <v>0</v>
      </c>
      <c r="AM452" s="12">
        <v>0.0</v>
      </c>
      <c r="AN452" s="12">
        <v>0.0</v>
      </c>
      <c r="AO452" s="12"/>
      <c r="AP452" s="12">
        <v>0.0</v>
      </c>
      <c r="AQ452" s="12">
        <v>0.0</v>
      </c>
      <c r="AR452" s="12">
        <v>0.0</v>
      </c>
      <c r="AS452" s="12">
        <f t="shared" si="154"/>
        <v>0</v>
      </c>
      <c r="AT452" s="16">
        <f t="shared" si="126"/>
        <v>4500</v>
      </c>
      <c r="AU452" s="18">
        <f t="shared" ref="AU452:AU481" si="157">IF(AT452="","",AT452+AU451)</f>
        <v>4500</v>
      </c>
      <c r="AV452" s="18"/>
      <c r="AW452" s="18"/>
      <c r="AX452" s="12">
        <f t="shared" si="1"/>
        <v>4500</v>
      </c>
      <c r="AY452" s="12">
        <f t="shared" si="155"/>
        <v>4500</v>
      </c>
      <c r="AZ452" s="12">
        <v>500.0</v>
      </c>
      <c r="BA452" s="18">
        <f t="shared" ref="BA452:BA481" si="158">IF(AZ452="","",AZ452+BA451)</f>
        <v>500</v>
      </c>
      <c r="BB452" s="10">
        <f t="shared" si="16"/>
        <v>69750</v>
      </c>
      <c r="BC452" s="16">
        <f t="shared" si="88"/>
        <v>113205.3633</v>
      </c>
      <c r="BD452" s="16"/>
      <c r="BE452" s="16"/>
      <c r="BF452" s="6"/>
      <c r="BG452" s="6"/>
      <c r="BH452" s="6"/>
      <c r="BI452" s="29">
        <f t="shared" si="156"/>
        <v>32960.70484</v>
      </c>
      <c r="BJ452" s="6"/>
      <c r="BK452" s="15">
        <f t="shared" si="76"/>
        <v>0.1365262066</v>
      </c>
      <c r="BN452" s="16">
        <f t="shared" si="14"/>
        <v>-28460.70484</v>
      </c>
      <c r="BO452" s="16">
        <f t="shared" ref="BO452:BO481" si="159">IF(AT452="","",BN452+BO451)</f>
        <v>-61421.40968</v>
      </c>
      <c r="BQ452" s="43">
        <v>71137.91</v>
      </c>
      <c r="BR452" s="43">
        <v>56606.15</v>
      </c>
      <c r="BS452" s="43">
        <v>23580.15</v>
      </c>
      <c r="BT452" s="43">
        <v>18025.2</v>
      </c>
      <c r="BU452" s="43">
        <v>3099.3</v>
      </c>
      <c r="BV452" s="43">
        <v>22517.0</v>
      </c>
      <c r="BW452" s="44">
        <f t="shared" ref="BW452:BW454" si="160">BV452+BU452+BT452+BS452+BR452</f>
        <v>123827.8</v>
      </c>
      <c r="BY452" s="6">
        <f t="shared" si="2"/>
        <v>2025</v>
      </c>
      <c r="BZ452" s="6" t="str">
        <f t="shared" si="3"/>
        <v>enero</v>
      </c>
      <c r="CA452" s="6" t="str">
        <f t="shared" si="4"/>
        <v>1</v>
      </c>
    </row>
    <row r="453">
      <c r="A453" s="8">
        <v>45660.0</v>
      </c>
      <c r="B453" s="12">
        <v>1423.0</v>
      </c>
      <c r="C453" s="12">
        <v>263.0</v>
      </c>
      <c r="D453" s="12"/>
      <c r="E453" s="12">
        <v>0.0</v>
      </c>
      <c r="F453" s="12">
        <v>0.0</v>
      </c>
      <c r="G453" s="12">
        <v>0.0</v>
      </c>
      <c r="H453" s="12">
        <f t="shared" si="149"/>
        <v>1686</v>
      </c>
      <c r="I453" s="12">
        <v>1623.0</v>
      </c>
      <c r="J453" s="12">
        <v>1000.0</v>
      </c>
      <c r="K453" s="12"/>
      <c r="L453" s="12">
        <v>0.0</v>
      </c>
      <c r="M453" s="12">
        <v>0.0</v>
      </c>
      <c r="N453" s="12">
        <v>0.0</v>
      </c>
      <c r="O453" s="16">
        <f t="shared" si="150"/>
        <v>2623</v>
      </c>
      <c r="P453" s="12">
        <v>2532.0</v>
      </c>
      <c r="Q453" s="12">
        <v>500.0</v>
      </c>
      <c r="R453" s="12"/>
      <c r="S453" s="12">
        <v>0.0</v>
      </c>
      <c r="T453" s="12">
        <v>0.0</v>
      </c>
      <c r="U453" s="12">
        <v>0.0</v>
      </c>
      <c r="V453" s="16">
        <f t="shared" si="151"/>
        <v>3032</v>
      </c>
      <c r="W453" s="12">
        <v>0.0</v>
      </c>
      <c r="X453" s="12">
        <v>0.0</v>
      </c>
      <c r="Y453" s="12"/>
      <c r="Z453" s="12">
        <v>0.0</v>
      </c>
      <c r="AA453" s="12">
        <v>0.0</v>
      </c>
      <c r="AB453" s="12">
        <v>0.0</v>
      </c>
      <c r="AC453" s="16">
        <f t="shared" si="152"/>
        <v>0</v>
      </c>
      <c r="AD453" s="12"/>
      <c r="AE453" s="12"/>
      <c r="AF453" s="12">
        <v>0.0</v>
      </c>
      <c r="AG453" s="12">
        <v>0.0</v>
      </c>
      <c r="AH453" s="12"/>
      <c r="AI453" s="12">
        <v>0.0</v>
      </c>
      <c r="AJ453" s="12">
        <v>0.0</v>
      </c>
      <c r="AK453" s="12">
        <v>0.0</v>
      </c>
      <c r="AL453" s="12">
        <f t="shared" si="153"/>
        <v>0</v>
      </c>
      <c r="AM453" s="12">
        <v>0.0</v>
      </c>
      <c r="AN453" s="12">
        <v>0.0</v>
      </c>
      <c r="AO453" s="12"/>
      <c r="AP453" s="12">
        <v>0.0</v>
      </c>
      <c r="AQ453" s="12">
        <v>0.0</v>
      </c>
      <c r="AR453" s="12">
        <v>0.0</v>
      </c>
      <c r="AS453" s="12">
        <f t="shared" si="154"/>
        <v>0</v>
      </c>
      <c r="AT453" s="16">
        <f t="shared" si="126"/>
        <v>5655</v>
      </c>
      <c r="AU453" s="18">
        <f t="shared" si="157"/>
        <v>10155</v>
      </c>
      <c r="AV453" s="18"/>
      <c r="AW453" s="18"/>
      <c r="AX453" s="12">
        <f t="shared" si="1"/>
        <v>5655</v>
      </c>
      <c r="AY453" s="12">
        <f t="shared" si="155"/>
        <v>10155</v>
      </c>
      <c r="AZ453" s="12">
        <v>263.0</v>
      </c>
      <c r="BA453" s="18">
        <f t="shared" si="158"/>
        <v>763</v>
      </c>
      <c r="BB453" s="10">
        <f t="shared" si="16"/>
        <v>104935</v>
      </c>
      <c r="BC453" s="16">
        <f t="shared" si="88"/>
        <v>151223.9968</v>
      </c>
      <c r="BD453" s="16"/>
      <c r="BE453" s="16"/>
      <c r="BF453" s="6"/>
      <c r="BG453" s="6"/>
      <c r="BH453" s="6"/>
      <c r="BI453" s="29">
        <f t="shared" si="156"/>
        <v>32960.70484</v>
      </c>
      <c r="BJ453" s="6"/>
      <c r="BK453" s="15">
        <f t="shared" si="76"/>
        <v>0.171567933</v>
      </c>
      <c r="BN453" s="16">
        <f t="shared" si="14"/>
        <v>-27305.70484</v>
      </c>
      <c r="BO453" s="16">
        <f t="shared" si="159"/>
        <v>-88727.11452</v>
      </c>
      <c r="BQ453" s="43">
        <v>76681.79</v>
      </c>
      <c r="BR453" s="43">
        <v>61553.71</v>
      </c>
      <c r="BS453" s="43">
        <v>25012.12</v>
      </c>
      <c r="BT453" s="43">
        <v>151.0</v>
      </c>
      <c r="BU453" s="43">
        <v>2882.47</v>
      </c>
      <c r="BV453" s="43">
        <v>0.0</v>
      </c>
      <c r="BW453" s="44">
        <f t="shared" si="160"/>
        <v>89599.3</v>
      </c>
      <c r="BY453" s="6">
        <f t="shared" si="2"/>
        <v>2025</v>
      </c>
      <c r="BZ453" s="6" t="str">
        <f t="shared" si="3"/>
        <v>enero</v>
      </c>
      <c r="CA453" s="6" t="str">
        <f t="shared" si="4"/>
        <v>1</v>
      </c>
    </row>
    <row r="454">
      <c r="A454" s="8">
        <v>45661.0</v>
      </c>
      <c r="B454" s="12">
        <v>956.0</v>
      </c>
      <c r="C454" s="12">
        <v>356.0</v>
      </c>
      <c r="D454" s="12"/>
      <c r="E454" s="12">
        <v>0.0</v>
      </c>
      <c r="F454" s="12">
        <v>0.0</v>
      </c>
      <c r="G454" s="12">
        <v>0.0</v>
      </c>
      <c r="H454" s="12">
        <f t="shared" si="149"/>
        <v>1312</v>
      </c>
      <c r="I454" s="12">
        <v>1423.0</v>
      </c>
      <c r="J454" s="12">
        <v>1320.0</v>
      </c>
      <c r="K454" s="12"/>
      <c r="L454" s="12">
        <v>0.0</v>
      </c>
      <c r="M454" s="12">
        <v>0.0</v>
      </c>
      <c r="N454" s="12">
        <v>0.0</v>
      </c>
      <c r="O454" s="16">
        <f t="shared" si="150"/>
        <v>2743</v>
      </c>
      <c r="P454" s="12">
        <v>2630.0</v>
      </c>
      <c r="Q454" s="12">
        <v>352.0</v>
      </c>
      <c r="R454" s="12"/>
      <c r="S454" s="12">
        <v>0.0</v>
      </c>
      <c r="T454" s="12">
        <v>0.0</v>
      </c>
      <c r="U454" s="12">
        <v>0.0</v>
      </c>
      <c r="V454" s="16">
        <f t="shared" si="151"/>
        <v>2982</v>
      </c>
      <c r="W454" s="12">
        <v>0.0</v>
      </c>
      <c r="X454" s="12">
        <v>0.0</v>
      </c>
      <c r="Y454" s="12"/>
      <c r="Z454" s="12">
        <v>0.0</v>
      </c>
      <c r="AA454" s="12">
        <v>0.0</v>
      </c>
      <c r="AB454" s="12">
        <v>0.0</v>
      </c>
      <c r="AC454" s="16">
        <f t="shared" si="152"/>
        <v>0</v>
      </c>
      <c r="AD454" s="12"/>
      <c r="AE454" s="12"/>
      <c r="AF454" s="12">
        <v>0.0</v>
      </c>
      <c r="AG454" s="12">
        <v>0.0</v>
      </c>
      <c r="AH454" s="12"/>
      <c r="AI454" s="12">
        <v>0.0</v>
      </c>
      <c r="AJ454" s="12">
        <v>0.0</v>
      </c>
      <c r="AK454" s="12">
        <v>0.0</v>
      </c>
      <c r="AL454" s="12">
        <f t="shared" si="153"/>
        <v>0</v>
      </c>
      <c r="AM454" s="12">
        <v>0.0</v>
      </c>
      <c r="AN454" s="12">
        <v>0.0</v>
      </c>
      <c r="AO454" s="12"/>
      <c r="AP454" s="12">
        <v>0.0</v>
      </c>
      <c r="AQ454" s="12">
        <v>0.0</v>
      </c>
      <c r="AR454" s="12">
        <v>0.0</v>
      </c>
      <c r="AS454" s="12">
        <f t="shared" si="154"/>
        <v>0</v>
      </c>
      <c r="AT454" s="16">
        <f t="shared" si="126"/>
        <v>5725</v>
      </c>
      <c r="AU454" s="18">
        <f t="shared" si="157"/>
        <v>15880</v>
      </c>
      <c r="AV454" s="18"/>
      <c r="AW454" s="18"/>
      <c r="AX454" s="12">
        <f t="shared" si="1"/>
        <v>5725</v>
      </c>
      <c r="AY454" s="12">
        <f t="shared" si="155"/>
        <v>15880</v>
      </c>
      <c r="AZ454" s="12">
        <v>632.0</v>
      </c>
      <c r="BA454" s="18">
        <f t="shared" si="158"/>
        <v>1395</v>
      </c>
      <c r="BB454" s="10">
        <f t="shared" si="16"/>
        <v>123070</v>
      </c>
      <c r="BC454" s="16">
        <f t="shared" si="88"/>
        <v>0</v>
      </c>
      <c r="BD454" s="16"/>
      <c r="BE454" s="16"/>
      <c r="BF454" s="6"/>
      <c r="BG454" s="6"/>
      <c r="BH454" s="6"/>
      <c r="BI454" s="29">
        <f t="shared" si="156"/>
        <v>32960.70484</v>
      </c>
      <c r="BJ454" s="6"/>
      <c r="BK454" s="15">
        <f t="shared" si="76"/>
        <v>0.173691674</v>
      </c>
      <c r="BN454" s="16">
        <f t="shared" si="14"/>
        <v>-27235.70484</v>
      </c>
      <c r="BO454" s="16">
        <f t="shared" si="159"/>
        <v>-115962.8194</v>
      </c>
      <c r="BQ454" s="43">
        <v>28854.34</v>
      </c>
      <c r="BR454" s="43">
        <v>40767.45</v>
      </c>
      <c r="BS454" s="43">
        <v>10296.55</v>
      </c>
      <c r="BT454" s="43">
        <v>135.16</v>
      </c>
      <c r="BU454" s="43">
        <v>825.81</v>
      </c>
      <c r="BV454" s="43">
        <v>0.0</v>
      </c>
      <c r="BW454" s="44">
        <f t="shared" si="160"/>
        <v>52024.97</v>
      </c>
      <c r="BY454" s="6">
        <f t="shared" si="2"/>
        <v>2025</v>
      </c>
      <c r="BZ454" s="6" t="str">
        <f t="shared" si="3"/>
        <v>enero</v>
      </c>
      <c r="CA454" s="6" t="str">
        <f t="shared" si="4"/>
        <v>1</v>
      </c>
    </row>
    <row r="455">
      <c r="A455" s="8">
        <v>45662.0</v>
      </c>
      <c r="B455" s="12">
        <v>0.0</v>
      </c>
      <c r="C455" s="12">
        <v>0.0</v>
      </c>
      <c r="D455" s="12"/>
      <c r="E455" s="12">
        <v>0.0</v>
      </c>
      <c r="F455" s="12">
        <v>0.0</v>
      </c>
      <c r="G455" s="12">
        <v>0.0</v>
      </c>
      <c r="H455" s="12">
        <f t="shared" si="149"/>
        <v>0</v>
      </c>
      <c r="I455" s="12">
        <v>0.0</v>
      </c>
      <c r="J455" s="12">
        <v>0.0</v>
      </c>
      <c r="K455" s="12"/>
      <c r="L455" s="12">
        <v>0.0</v>
      </c>
      <c r="M455" s="12">
        <v>0.0</v>
      </c>
      <c r="N455" s="12">
        <v>0.0</v>
      </c>
      <c r="O455" s="16">
        <f t="shared" si="150"/>
        <v>0</v>
      </c>
      <c r="P455" s="12">
        <v>0.0</v>
      </c>
      <c r="Q455" s="12">
        <v>0.0</v>
      </c>
      <c r="R455" s="12"/>
      <c r="S455" s="12">
        <v>0.0</v>
      </c>
      <c r="T455" s="12">
        <v>0.0</v>
      </c>
      <c r="U455" s="12">
        <v>0.0</v>
      </c>
      <c r="V455" s="16">
        <f t="shared" si="151"/>
        <v>0</v>
      </c>
      <c r="W455" s="12">
        <v>0.0</v>
      </c>
      <c r="X455" s="12">
        <v>0.0</v>
      </c>
      <c r="Y455" s="12"/>
      <c r="Z455" s="12">
        <v>0.0</v>
      </c>
      <c r="AA455" s="12">
        <v>0.0</v>
      </c>
      <c r="AB455" s="12">
        <v>0.0</v>
      </c>
      <c r="AC455" s="16">
        <f t="shared" si="152"/>
        <v>0</v>
      </c>
      <c r="AD455" s="12"/>
      <c r="AE455" s="12"/>
      <c r="AF455" s="12">
        <v>0.0</v>
      </c>
      <c r="AG455" s="12">
        <v>0.0</v>
      </c>
      <c r="AH455" s="12"/>
      <c r="AI455" s="12">
        <v>0.0</v>
      </c>
      <c r="AJ455" s="12">
        <v>0.0</v>
      </c>
      <c r="AK455" s="12">
        <v>0.0</v>
      </c>
      <c r="AL455" s="12">
        <f t="shared" si="153"/>
        <v>0</v>
      </c>
      <c r="AM455" s="12">
        <v>0.0</v>
      </c>
      <c r="AN455" s="12">
        <v>0.0</v>
      </c>
      <c r="AO455" s="12"/>
      <c r="AP455" s="12">
        <v>0.0</v>
      </c>
      <c r="AQ455" s="12">
        <v>0.0</v>
      </c>
      <c r="AR455" s="12">
        <v>0.0</v>
      </c>
      <c r="AS455" s="12">
        <f t="shared" si="154"/>
        <v>0</v>
      </c>
      <c r="AT455" s="16">
        <f t="shared" si="126"/>
        <v>0</v>
      </c>
      <c r="AU455" s="18">
        <f t="shared" si="157"/>
        <v>15880</v>
      </c>
      <c r="AV455" s="18"/>
      <c r="AW455" s="18"/>
      <c r="AX455" s="12">
        <f t="shared" si="1"/>
        <v>0</v>
      </c>
      <c r="AY455" s="12">
        <f t="shared" si="155"/>
        <v>15880</v>
      </c>
      <c r="AZ455" s="12">
        <v>0.0</v>
      </c>
      <c r="BA455" s="18">
        <f t="shared" si="158"/>
        <v>1395</v>
      </c>
      <c r="BB455" s="10">
        <f t="shared" si="16"/>
        <v>98456</v>
      </c>
      <c r="BC455" s="16">
        <f t="shared" si="88"/>
        <v>11250</v>
      </c>
      <c r="BD455" s="16"/>
      <c r="BE455" s="16"/>
      <c r="BF455" s="6"/>
      <c r="BG455" s="6"/>
      <c r="BH455" s="6"/>
      <c r="BI455" s="29">
        <f t="shared" si="156"/>
        <v>32960.70484</v>
      </c>
      <c r="BJ455" s="6"/>
      <c r="BK455" s="15">
        <f t="shared" si="76"/>
        <v>0</v>
      </c>
      <c r="BN455" s="16">
        <f t="shared" si="14"/>
        <v>-32960.70484</v>
      </c>
      <c r="BO455" s="16">
        <f t="shared" si="159"/>
        <v>-148923.5242</v>
      </c>
      <c r="BQ455" s="36"/>
      <c r="BR455" s="36"/>
      <c r="BS455" s="36"/>
      <c r="BT455" s="36"/>
      <c r="BU455" s="36"/>
      <c r="BV455" s="36"/>
      <c r="BW455" s="36"/>
      <c r="BY455" s="6">
        <f t="shared" si="2"/>
        <v>2025</v>
      </c>
      <c r="BZ455" s="6" t="str">
        <f t="shared" si="3"/>
        <v>enero</v>
      </c>
      <c r="CA455" s="6" t="str">
        <f t="shared" si="4"/>
        <v>1</v>
      </c>
    </row>
    <row r="456">
      <c r="A456" s="8">
        <v>45663.0</v>
      </c>
      <c r="B456" s="12">
        <v>34448.12</v>
      </c>
      <c r="C456" s="12">
        <v>4533.0</v>
      </c>
      <c r="D456" s="12"/>
      <c r="E456" s="12">
        <v>0.0</v>
      </c>
      <c r="F456" s="12">
        <v>0.0</v>
      </c>
      <c r="G456" s="12">
        <v>0.0</v>
      </c>
      <c r="H456" s="12">
        <f t="shared" si="149"/>
        <v>38981.12</v>
      </c>
      <c r="I456" s="12">
        <v>15796.2</v>
      </c>
      <c r="J456" s="12">
        <v>11262.9</v>
      </c>
      <c r="K456" s="12"/>
      <c r="L456" s="12">
        <v>0.0</v>
      </c>
      <c r="M456" s="12">
        <v>0.0</v>
      </c>
      <c r="N456" s="12">
        <v>0.0</v>
      </c>
      <c r="O456" s="16">
        <f t="shared" si="150"/>
        <v>27059.1</v>
      </c>
      <c r="P456" s="12">
        <v>2483.11</v>
      </c>
      <c r="Q456" s="12">
        <v>2633.0</v>
      </c>
      <c r="R456" s="12"/>
      <c r="S456" s="12">
        <v>0.0</v>
      </c>
      <c r="T456" s="12">
        <v>0.0</v>
      </c>
      <c r="U456" s="12">
        <v>0.0</v>
      </c>
      <c r="V456" s="16">
        <f t="shared" si="151"/>
        <v>5116.11</v>
      </c>
      <c r="W456" s="12">
        <v>2462.73</v>
      </c>
      <c r="X456" s="12">
        <v>0.0</v>
      </c>
      <c r="Y456" s="12"/>
      <c r="Z456" s="12">
        <v>0.0</v>
      </c>
      <c r="AA456" s="12">
        <v>0.0</v>
      </c>
      <c r="AB456" s="12">
        <v>0.0</v>
      </c>
      <c r="AC456" s="16">
        <f t="shared" si="152"/>
        <v>2462.73</v>
      </c>
      <c r="AD456" s="12"/>
      <c r="AE456" s="12"/>
      <c r="AF456" s="12">
        <v>2960.58</v>
      </c>
      <c r="AG456" s="12">
        <v>0.0</v>
      </c>
      <c r="AH456" s="12"/>
      <c r="AI456" s="12">
        <v>0.0</v>
      </c>
      <c r="AJ456" s="12">
        <v>0.0</v>
      </c>
      <c r="AK456" s="12">
        <v>0.0</v>
      </c>
      <c r="AL456" s="12">
        <f t="shared" si="153"/>
        <v>2960.58</v>
      </c>
      <c r="AM456" s="12">
        <v>2058.0</v>
      </c>
      <c r="AN456" s="12">
        <v>0.0</v>
      </c>
      <c r="AO456" s="12"/>
      <c r="AP456" s="12">
        <v>0.0</v>
      </c>
      <c r="AQ456" s="12">
        <v>0.0</v>
      </c>
      <c r="AR456" s="12">
        <v>0.0</v>
      </c>
      <c r="AS456" s="12">
        <f t="shared" si="154"/>
        <v>2058</v>
      </c>
      <c r="AT456" s="16">
        <f t="shared" si="126"/>
        <v>39656.52</v>
      </c>
      <c r="AU456" s="18">
        <f t="shared" si="157"/>
        <v>55536.52</v>
      </c>
      <c r="AV456" s="18"/>
      <c r="AW456" s="18"/>
      <c r="AX456" s="12">
        <f t="shared" si="1"/>
        <v>39656.52</v>
      </c>
      <c r="AY456" s="12">
        <f t="shared" si="155"/>
        <v>55536.52</v>
      </c>
      <c r="AZ456" s="12">
        <v>866.79</v>
      </c>
      <c r="BA456" s="18">
        <f t="shared" si="158"/>
        <v>2261.79</v>
      </c>
      <c r="BB456" s="10">
        <f t="shared" si="16"/>
        <v>286938.6867</v>
      </c>
      <c r="BC456" s="16">
        <f t="shared" si="88"/>
        <v>16925</v>
      </c>
      <c r="BD456" s="16"/>
      <c r="BE456" s="16"/>
      <c r="BF456" s="6"/>
      <c r="BG456" s="6"/>
      <c r="BH456" s="6"/>
      <c r="BI456" s="29">
        <f t="shared" si="156"/>
        <v>32960.70484</v>
      </c>
      <c r="BK456" s="15">
        <f t="shared" si="76"/>
        <v>1.203145388</v>
      </c>
      <c r="BN456" s="16">
        <f t="shared" si="14"/>
        <v>6695.815161</v>
      </c>
      <c r="BO456" s="16">
        <f t="shared" si="159"/>
        <v>-142227.709</v>
      </c>
      <c r="BY456" s="6">
        <f t="shared" si="2"/>
        <v>2025</v>
      </c>
      <c r="BZ456" s="6" t="str">
        <f t="shared" si="3"/>
        <v>enero</v>
      </c>
      <c r="CA456" s="6" t="str">
        <f t="shared" si="4"/>
        <v>1</v>
      </c>
    </row>
    <row r="457">
      <c r="A457" s="8">
        <v>45664.0</v>
      </c>
      <c r="B457" s="12">
        <v>28988.1</v>
      </c>
      <c r="C457" s="12">
        <v>0.0</v>
      </c>
      <c r="D457" s="12">
        <v>3856.47</v>
      </c>
      <c r="E457" s="12">
        <v>0.0</v>
      </c>
      <c r="F457" s="12">
        <v>0.0</v>
      </c>
      <c r="G457" s="12">
        <v>0.0</v>
      </c>
      <c r="H457" s="12">
        <f t="shared" si="149"/>
        <v>32844.57</v>
      </c>
      <c r="I457" s="12">
        <v>15805.71</v>
      </c>
      <c r="J457" s="12">
        <v>0.0</v>
      </c>
      <c r="K457" s="12">
        <v>5489.0</v>
      </c>
      <c r="L457" s="12">
        <v>0.0</v>
      </c>
      <c r="M457" s="12">
        <v>0.0</v>
      </c>
      <c r="N457" s="12">
        <v>0.0</v>
      </c>
      <c r="O457" s="16">
        <f t="shared" si="150"/>
        <v>21294.71</v>
      </c>
      <c r="P457" s="12">
        <v>9775.92</v>
      </c>
      <c r="Q457" s="12">
        <v>0.0</v>
      </c>
      <c r="R457" s="12">
        <v>871.24</v>
      </c>
      <c r="S457" s="12">
        <v>0.0</v>
      </c>
      <c r="T457" s="12">
        <v>0.0</v>
      </c>
      <c r="U457" s="12">
        <v>0.0</v>
      </c>
      <c r="V457" s="16">
        <f t="shared" si="151"/>
        <v>10647.16</v>
      </c>
      <c r="W457" s="12">
        <v>2695.37</v>
      </c>
      <c r="X457" s="12">
        <v>0.0</v>
      </c>
      <c r="Y457" s="12">
        <v>0.99</v>
      </c>
      <c r="Z457" s="12">
        <v>0.0</v>
      </c>
      <c r="AA457" s="12">
        <v>0.0</v>
      </c>
      <c r="AB457" s="12">
        <v>0.0</v>
      </c>
      <c r="AC457" s="16">
        <f t="shared" si="152"/>
        <v>2696.36</v>
      </c>
      <c r="AD457" s="12"/>
      <c r="AE457" s="12"/>
      <c r="AF457" s="12">
        <v>5713.27</v>
      </c>
      <c r="AG457" s="12">
        <v>112.69</v>
      </c>
      <c r="AH457" s="12">
        <v>0.0</v>
      </c>
      <c r="AI457" s="12">
        <v>0.0</v>
      </c>
      <c r="AJ457" s="12">
        <v>0.0</v>
      </c>
      <c r="AK457" s="12">
        <v>0.0</v>
      </c>
      <c r="AL457" s="12">
        <f t="shared" si="153"/>
        <v>5825.96</v>
      </c>
      <c r="AM457" s="12">
        <v>2838.0</v>
      </c>
      <c r="AN457" s="12">
        <v>0.0</v>
      </c>
      <c r="AO457" s="12">
        <v>0.0</v>
      </c>
      <c r="AP457" s="12">
        <v>0.0</v>
      </c>
      <c r="AQ457" s="12">
        <v>0.0</v>
      </c>
      <c r="AR457" s="12">
        <v>0.0</v>
      </c>
      <c r="AS457" s="12">
        <f t="shared" si="154"/>
        <v>2838</v>
      </c>
      <c r="AT457" s="16">
        <f t="shared" si="126"/>
        <v>43302.19</v>
      </c>
      <c r="AU457" s="18">
        <f t="shared" si="157"/>
        <v>98838.71</v>
      </c>
      <c r="AV457" s="18"/>
      <c r="AW457" s="18"/>
      <c r="AX457" s="12">
        <f t="shared" si="1"/>
        <v>43302.19</v>
      </c>
      <c r="AY457" s="12">
        <f t="shared" si="155"/>
        <v>98838.71</v>
      </c>
      <c r="AZ457" s="12">
        <v>0.0</v>
      </c>
      <c r="BA457" s="18">
        <f t="shared" si="158"/>
        <v>2261.79</v>
      </c>
      <c r="BB457" s="10">
        <f t="shared" si="16"/>
        <v>437714.2871</v>
      </c>
      <c r="BC457" s="16">
        <f t="shared" si="88"/>
        <v>19850</v>
      </c>
      <c r="BD457" s="16"/>
      <c r="BE457" s="16"/>
      <c r="BF457" s="6"/>
      <c r="BG457" s="6"/>
      <c r="BH457" s="6"/>
      <c r="BI457" s="29">
        <f t="shared" si="156"/>
        <v>32960.70484</v>
      </c>
      <c r="BK457" s="15">
        <f t="shared" si="76"/>
        <v>1.313751942</v>
      </c>
      <c r="BN457" s="16">
        <f t="shared" si="14"/>
        <v>10341.48516</v>
      </c>
      <c r="BO457" s="16">
        <f t="shared" si="159"/>
        <v>-131886.2239</v>
      </c>
      <c r="BY457" s="6">
        <f t="shared" si="2"/>
        <v>2025</v>
      </c>
      <c r="BZ457" s="6" t="str">
        <f t="shared" si="3"/>
        <v>enero</v>
      </c>
      <c r="CA457" s="6" t="str">
        <f t="shared" si="4"/>
        <v>1</v>
      </c>
    </row>
    <row r="458">
      <c r="A458" s="8">
        <v>45665.0</v>
      </c>
      <c r="B458" s="12">
        <v>27796.34</v>
      </c>
      <c r="C458" s="12">
        <v>2038.5</v>
      </c>
      <c r="D458" s="12">
        <v>0.0</v>
      </c>
      <c r="E458" s="12">
        <v>0.0</v>
      </c>
      <c r="F458" s="12">
        <v>0.0</v>
      </c>
      <c r="G458" s="12">
        <v>0.0</v>
      </c>
      <c r="H458" s="12">
        <f t="shared" si="149"/>
        <v>29834.84</v>
      </c>
      <c r="I458" s="12">
        <v>14852.0</v>
      </c>
      <c r="J458" s="12">
        <v>3754.54</v>
      </c>
      <c r="K458" s="12">
        <v>0.0</v>
      </c>
      <c r="L458" s="12">
        <v>0.0</v>
      </c>
      <c r="M458" s="12">
        <v>0.0</v>
      </c>
      <c r="N458" s="12">
        <v>0.0</v>
      </c>
      <c r="O458" s="16">
        <f t="shared" si="150"/>
        <v>18606.54</v>
      </c>
      <c r="P458" s="12">
        <v>6932.86</v>
      </c>
      <c r="Q458" s="12">
        <v>1324.58</v>
      </c>
      <c r="R458" s="12">
        <v>0.0</v>
      </c>
      <c r="S458" s="12">
        <v>0.0</v>
      </c>
      <c r="T458" s="12">
        <v>0.0</v>
      </c>
      <c r="U458" s="12">
        <v>0.0</v>
      </c>
      <c r="V458" s="16">
        <f t="shared" si="151"/>
        <v>8257.44</v>
      </c>
      <c r="W458" s="12">
        <v>77.12</v>
      </c>
      <c r="X458" s="12">
        <v>0.0</v>
      </c>
      <c r="Y458" s="12">
        <v>0.0</v>
      </c>
      <c r="Z458" s="12">
        <v>0.0</v>
      </c>
      <c r="AA458" s="12">
        <v>0.0</v>
      </c>
      <c r="AB458" s="12">
        <v>0.0</v>
      </c>
      <c r="AC458" s="16">
        <f t="shared" si="152"/>
        <v>77.12</v>
      </c>
      <c r="AD458" s="12"/>
      <c r="AE458" s="12"/>
      <c r="AF458" s="12">
        <v>4972.26</v>
      </c>
      <c r="AG458" s="12">
        <v>198.29</v>
      </c>
      <c r="AH458" s="12">
        <v>0.0</v>
      </c>
      <c r="AI458" s="12">
        <v>0.0</v>
      </c>
      <c r="AJ458" s="12">
        <v>0.0</v>
      </c>
      <c r="AK458" s="12">
        <v>0.0</v>
      </c>
      <c r="AL458" s="12">
        <f t="shared" si="153"/>
        <v>5170.55</v>
      </c>
      <c r="AM458" s="12">
        <v>0.0</v>
      </c>
      <c r="AN458" s="12">
        <v>0.0</v>
      </c>
      <c r="AO458" s="12">
        <v>0.0</v>
      </c>
      <c r="AP458" s="12">
        <v>0.0</v>
      </c>
      <c r="AQ458" s="12">
        <v>0.0</v>
      </c>
      <c r="AR458" s="12">
        <v>0.0</v>
      </c>
      <c r="AS458" s="12">
        <f t="shared" si="154"/>
        <v>0</v>
      </c>
      <c r="AT458" s="16">
        <f t="shared" si="126"/>
        <v>32111.65</v>
      </c>
      <c r="AU458" s="18">
        <f t="shared" si="157"/>
        <v>130950.36</v>
      </c>
      <c r="AV458" s="18"/>
      <c r="AW458" s="18"/>
      <c r="AX458" s="12">
        <f t="shared" si="1"/>
        <v>32111.65</v>
      </c>
      <c r="AY458" s="12">
        <f t="shared" si="155"/>
        <v>130950.36</v>
      </c>
      <c r="AZ458" s="12">
        <v>7024.86</v>
      </c>
      <c r="BA458" s="18">
        <f t="shared" si="158"/>
        <v>9286.65</v>
      </c>
      <c r="BB458" s="10">
        <f t="shared" si="16"/>
        <v>507432.645</v>
      </c>
      <c r="BC458" s="16">
        <f t="shared" si="88"/>
        <v>15880</v>
      </c>
      <c r="BD458" s="16"/>
      <c r="BE458" s="16"/>
      <c r="BF458" s="6"/>
      <c r="BG458" s="6"/>
      <c r="BH458" s="6"/>
      <c r="BI458" s="29">
        <f t="shared" si="156"/>
        <v>32960.70484</v>
      </c>
      <c r="BJ458" s="6"/>
      <c r="BK458" s="15">
        <f t="shared" si="76"/>
        <v>0.9742403919</v>
      </c>
      <c r="BN458" s="16">
        <f t="shared" si="14"/>
        <v>-849.0548387</v>
      </c>
      <c r="BO458" s="16">
        <f t="shared" si="159"/>
        <v>-132735.2787</v>
      </c>
      <c r="BY458" s="6">
        <f t="shared" si="2"/>
        <v>2025</v>
      </c>
      <c r="BZ458" s="6" t="str">
        <f t="shared" si="3"/>
        <v>enero</v>
      </c>
      <c r="CA458" s="6" t="str">
        <f t="shared" si="4"/>
        <v>1</v>
      </c>
    </row>
    <row r="459">
      <c r="A459" s="8">
        <v>45666.0</v>
      </c>
      <c r="B459" s="12">
        <v>25939.08</v>
      </c>
      <c r="C459" s="12">
        <v>239.19</v>
      </c>
      <c r="D459" s="12">
        <v>0.0</v>
      </c>
      <c r="E459" s="12">
        <v>0.0</v>
      </c>
      <c r="F459" s="12">
        <v>0.0</v>
      </c>
      <c r="G459" s="12">
        <v>0.0</v>
      </c>
      <c r="H459" s="12">
        <f t="shared" si="149"/>
        <v>26178.27</v>
      </c>
      <c r="I459" s="12">
        <v>10699.0</v>
      </c>
      <c r="J459" s="12">
        <v>3247.75</v>
      </c>
      <c r="K459" s="12">
        <v>0.0</v>
      </c>
      <c r="L459" s="12">
        <v>2185.4</v>
      </c>
      <c r="M459" s="12">
        <v>0.0</v>
      </c>
      <c r="N459" s="12">
        <v>0.0</v>
      </c>
      <c r="O459" s="16">
        <f t="shared" si="150"/>
        <v>16132.15</v>
      </c>
      <c r="P459" s="12">
        <v>5698.47</v>
      </c>
      <c r="Q459" s="12">
        <v>372.64</v>
      </c>
      <c r="R459" s="12">
        <v>0.0</v>
      </c>
      <c r="S459" s="12">
        <v>0.0</v>
      </c>
      <c r="T459" s="12">
        <v>0.0</v>
      </c>
      <c r="U459" s="12">
        <v>0.0</v>
      </c>
      <c r="V459" s="16">
        <f t="shared" si="151"/>
        <v>6071.11</v>
      </c>
      <c r="W459" s="12">
        <v>22.34</v>
      </c>
      <c r="X459" s="12">
        <v>0.0</v>
      </c>
      <c r="Y459" s="12">
        <v>0.0</v>
      </c>
      <c r="Z459" s="12">
        <v>0.0</v>
      </c>
      <c r="AA459" s="12">
        <v>0.0</v>
      </c>
      <c r="AB459" s="12">
        <v>0.0</v>
      </c>
      <c r="AC459" s="16">
        <f t="shared" si="152"/>
        <v>22.34</v>
      </c>
      <c r="AD459" s="12"/>
      <c r="AE459" s="12"/>
      <c r="AF459" s="12">
        <v>4796.8</v>
      </c>
      <c r="AG459" s="12">
        <v>0.0</v>
      </c>
      <c r="AH459" s="12">
        <v>0.0</v>
      </c>
      <c r="AI459" s="12">
        <v>0.0</v>
      </c>
      <c r="AJ459" s="12">
        <v>0.0</v>
      </c>
      <c r="AK459" s="12">
        <v>0.0</v>
      </c>
      <c r="AL459" s="12">
        <f t="shared" si="153"/>
        <v>4796.8</v>
      </c>
      <c r="AM459" s="12">
        <v>0.0</v>
      </c>
      <c r="AN459" s="12">
        <v>0.0</v>
      </c>
      <c r="AO459" s="12">
        <v>0.0</v>
      </c>
      <c r="AP459" s="12">
        <v>0.0</v>
      </c>
      <c r="AQ459" s="12">
        <v>0.0</v>
      </c>
      <c r="AR459" s="12">
        <v>0.0</v>
      </c>
      <c r="AS459" s="12">
        <f t="shared" si="154"/>
        <v>0</v>
      </c>
      <c r="AT459" s="16">
        <f t="shared" si="126"/>
        <v>27022.4</v>
      </c>
      <c r="AU459" s="18">
        <f t="shared" si="157"/>
        <v>157972.76</v>
      </c>
      <c r="AV459" s="18"/>
      <c r="AW459" s="18"/>
      <c r="AX459" s="12">
        <f t="shared" si="1"/>
        <v>27022.4</v>
      </c>
      <c r="AY459" s="12">
        <f t="shared" si="155"/>
        <v>157972.76</v>
      </c>
      <c r="AZ459" s="12">
        <v>1814.87</v>
      </c>
      <c r="BA459" s="18">
        <f t="shared" si="158"/>
        <v>11101.52</v>
      </c>
      <c r="BB459" s="10">
        <f t="shared" si="16"/>
        <v>544128.3956</v>
      </c>
      <c r="BC459" s="16">
        <f t="shared" si="88"/>
        <v>46280.43333</v>
      </c>
      <c r="BD459" s="16"/>
      <c r="BE459" s="16"/>
      <c r="BF459" s="6"/>
      <c r="BG459" s="6"/>
      <c r="BH459" s="6"/>
      <c r="BI459" s="29">
        <f t="shared" si="156"/>
        <v>32960.70484</v>
      </c>
      <c r="BJ459" s="6"/>
      <c r="BK459" s="15">
        <f t="shared" si="76"/>
        <v>0.819836837</v>
      </c>
      <c r="BN459" s="16">
        <f t="shared" si="14"/>
        <v>-5938.304839</v>
      </c>
      <c r="BO459" s="16">
        <f t="shared" si="159"/>
        <v>-138673.5835</v>
      </c>
      <c r="BY459" s="6">
        <f t="shared" si="2"/>
        <v>2025</v>
      </c>
      <c r="BZ459" s="6" t="str">
        <f t="shared" si="3"/>
        <v>enero</v>
      </c>
      <c r="CA459" s="6" t="str">
        <f t="shared" si="4"/>
        <v>1</v>
      </c>
    </row>
    <row r="460">
      <c r="A460" s="8">
        <v>45667.0</v>
      </c>
      <c r="B460" s="12">
        <v>20112.07</v>
      </c>
      <c r="C460" s="12">
        <v>375.5</v>
      </c>
      <c r="D460" s="12">
        <v>0.0</v>
      </c>
      <c r="E460" s="12">
        <v>5361.35</v>
      </c>
      <c r="F460" s="12">
        <v>0.0</v>
      </c>
      <c r="G460" s="12">
        <v>0.0</v>
      </c>
      <c r="H460" s="12">
        <f t="shared" si="149"/>
        <v>25848.92</v>
      </c>
      <c r="I460" s="12">
        <v>5421.0</v>
      </c>
      <c r="J460" s="12">
        <v>2504.85</v>
      </c>
      <c r="K460" s="12">
        <v>0.0</v>
      </c>
      <c r="L460" s="12">
        <v>2738.65</v>
      </c>
      <c r="M460" s="12">
        <v>0.0</v>
      </c>
      <c r="N460" s="12">
        <v>0.0</v>
      </c>
      <c r="O460" s="16">
        <f t="shared" si="150"/>
        <v>10664.5</v>
      </c>
      <c r="P460" s="12">
        <v>3624.19</v>
      </c>
      <c r="Q460" s="12">
        <v>642.62</v>
      </c>
      <c r="R460" s="12">
        <v>0.0</v>
      </c>
      <c r="S460" s="12">
        <v>0.0</v>
      </c>
      <c r="T460" s="12">
        <v>0.0</v>
      </c>
      <c r="U460" s="12">
        <v>0.0</v>
      </c>
      <c r="V460" s="16">
        <f t="shared" si="151"/>
        <v>4266.81</v>
      </c>
      <c r="W460" s="12">
        <v>2768.46</v>
      </c>
      <c r="X460" s="12">
        <v>1933.35</v>
      </c>
      <c r="Y460" s="12">
        <v>0.0</v>
      </c>
      <c r="Z460" s="12">
        <v>0.0</v>
      </c>
      <c r="AA460" s="12">
        <v>0.0</v>
      </c>
      <c r="AB460" s="12">
        <v>0.0</v>
      </c>
      <c r="AC460" s="16">
        <f t="shared" si="152"/>
        <v>4701.81</v>
      </c>
      <c r="AD460" s="12"/>
      <c r="AE460" s="12"/>
      <c r="AF460" s="12">
        <v>5718.83</v>
      </c>
      <c r="AG460" s="12">
        <v>1568.0</v>
      </c>
      <c r="AH460" s="12">
        <v>0.0</v>
      </c>
      <c r="AI460" s="12">
        <v>0.0</v>
      </c>
      <c r="AJ460" s="12">
        <v>0.0</v>
      </c>
      <c r="AK460" s="12">
        <v>0.0</v>
      </c>
      <c r="AL460" s="12">
        <f t="shared" si="153"/>
        <v>7286.83</v>
      </c>
      <c r="AM460" s="12">
        <v>3062.0</v>
      </c>
      <c r="AN460" s="12">
        <v>864.0</v>
      </c>
      <c r="AO460" s="12">
        <v>0.0</v>
      </c>
      <c r="AP460" s="12">
        <v>0.0</v>
      </c>
      <c r="AQ460" s="12">
        <v>0.0</v>
      </c>
      <c r="AR460" s="12">
        <v>0.0</v>
      </c>
      <c r="AS460" s="12">
        <f t="shared" si="154"/>
        <v>3926</v>
      </c>
      <c r="AT460" s="16">
        <f t="shared" si="126"/>
        <v>30845.95</v>
      </c>
      <c r="AU460" s="18">
        <f t="shared" si="157"/>
        <v>188818.71</v>
      </c>
      <c r="AV460" s="18"/>
      <c r="AW460" s="18"/>
      <c r="AX460" s="12">
        <f t="shared" si="1"/>
        <v>30845.95</v>
      </c>
      <c r="AY460" s="12">
        <f t="shared" si="155"/>
        <v>188818.71</v>
      </c>
      <c r="AZ460" s="12">
        <v>0.0</v>
      </c>
      <c r="BA460" s="18">
        <f t="shared" si="158"/>
        <v>11101.52</v>
      </c>
      <c r="BB460" s="10">
        <f t="shared" si="16"/>
        <v>585338.001</v>
      </c>
      <c r="BC460" s="16">
        <f t="shared" si="88"/>
        <v>70599.07857</v>
      </c>
      <c r="BD460" s="16"/>
      <c r="BE460" s="16"/>
      <c r="BF460" s="6"/>
      <c r="BG460" s="6"/>
      <c r="BH460" s="6"/>
      <c r="BI460" s="29">
        <f t="shared" si="156"/>
        <v>32960.70484</v>
      </c>
      <c r="BJ460" s="6"/>
      <c r="BK460" s="15">
        <f t="shared" si="76"/>
        <v>0.9358401209</v>
      </c>
      <c r="BN460" s="16">
        <f t="shared" si="14"/>
        <v>-2114.754839</v>
      </c>
      <c r="BO460" s="16">
        <f t="shared" si="159"/>
        <v>-140788.3384</v>
      </c>
      <c r="BY460" s="6">
        <f t="shared" si="2"/>
        <v>2025</v>
      </c>
      <c r="BZ460" s="6" t="str">
        <f t="shared" si="3"/>
        <v>enero</v>
      </c>
      <c r="CA460" s="6" t="str">
        <f t="shared" si="4"/>
        <v>1</v>
      </c>
    </row>
    <row r="461">
      <c r="A461" s="8">
        <v>45668.0</v>
      </c>
      <c r="B461" s="12">
        <v>0.0</v>
      </c>
      <c r="C461" s="12">
        <v>0.0</v>
      </c>
      <c r="D461" s="12">
        <v>0.0</v>
      </c>
      <c r="E461" s="12">
        <v>0.0</v>
      </c>
      <c r="F461" s="12">
        <v>0.0</v>
      </c>
      <c r="G461" s="12">
        <v>0.0</v>
      </c>
      <c r="H461" s="12">
        <f t="shared" si="149"/>
        <v>0</v>
      </c>
      <c r="I461" s="12">
        <v>0.0</v>
      </c>
      <c r="J461" s="12">
        <v>0.0</v>
      </c>
      <c r="K461" s="12">
        <v>0.0</v>
      </c>
      <c r="L461" s="12">
        <v>0.0</v>
      </c>
      <c r="M461" s="12">
        <v>0.0</v>
      </c>
      <c r="N461" s="12">
        <v>0.0</v>
      </c>
      <c r="O461" s="16">
        <f t="shared" si="150"/>
        <v>0</v>
      </c>
      <c r="P461" s="12">
        <v>0.0</v>
      </c>
      <c r="Q461" s="12">
        <v>0.0</v>
      </c>
      <c r="R461" s="12">
        <v>0.0</v>
      </c>
      <c r="S461" s="12">
        <v>0.0</v>
      </c>
      <c r="T461" s="12">
        <v>0.0</v>
      </c>
      <c r="U461" s="12">
        <v>0.0</v>
      </c>
      <c r="V461" s="16">
        <f t="shared" si="151"/>
        <v>0</v>
      </c>
      <c r="W461" s="12">
        <v>0.0</v>
      </c>
      <c r="X461" s="12">
        <v>0.0</v>
      </c>
      <c r="Y461" s="12">
        <v>0.0</v>
      </c>
      <c r="Z461" s="12">
        <v>0.0</v>
      </c>
      <c r="AA461" s="12">
        <v>0.0</v>
      </c>
      <c r="AB461" s="12">
        <v>0.0</v>
      </c>
      <c r="AC461" s="16">
        <f t="shared" si="152"/>
        <v>0</v>
      </c>
      <c r="AD461" s="12"/>
      <c r="AE461" s="12"/>
      <c r="AF461" s="12">
        <v>0.0</v>
      </c>
      <c r="AG461" s="12">
        <v>0.0</v>
      </c>
      <c r="AH461" s="12">
        <v>0.0</v>
      </c>
      <c r="AI461" s="12">
        <v>0.0</v>
      </c>
      <c r="AJ461" s="12">
        <v>0.0</v>
      </c>
      <c r="AK461" s="12">
        <v>0.0</v>
      </c>
      <c r="AL461" s="12">
        <f t="shared" si="153"/>
        <v>0</v>
      </c>
      <c r="AM461" s="12">
        <v>0.0</v>
      </c>
      <c r="AN461" s="12">
        <v>0.0</v>
      </c>
      <c r="AO461" s="12">
        <v>0.0</v>
      </c>
      <c r="AP461" s="12">
        <v>0.0</v>
      </c>
      <c r="AQ461" s="12">
        <v>0.0</v>
      </c>
      <c r="AR461" s="12">
        <v>0.0</v>
      </c>
      <c r="AS461" s="12">
        <f t="shared" si="154"/>
        <v>0</v>
      </c>
      <c r="AT461" s="16">
        <f t="shared" si="126"/>
        <v>0</v>
      </c>
      <c r="AU461" s="18">
        <f t="shared" si="157"/>
        <v>188818.71</v>
      </c>
      <c r="AV461" s="18"/>
      <c r="AW461" s="18"/>
      <c r="AX461" s="12">
        <f t="shared" si="1"/>
        <v>0</v>
      </c>
      <c r="AY461" s="12">
        <f t="shared" si="155"/>
        <v>188818.71</v>
      </c>
      <c r="AZ461" s="12">
        <v>0.0</v>
      </c>
      <c r="BA461" s="18">
        <f t="shared" si="158"/>
        <v>11101.52</v>
      </c>
      <c r="BB461" s="10">
        <f t="shared" si="16"/>
        <v>532125.4555</v>
      </c>
      <c r="BC461" s="16">
        <f t="shared" si="88"/>
        <v>81843.975</v>
      </c>
      <c r="BD461" s="16"/>
      <c r="BE461" s="16"/>
      <c r="BF461" s="6"/>
      <c r="BG461" s="6"/>
      <c r="BH461" s="6"/>
      <c r="BI461" s="29">
        <f t="shared" si="156"/>
        <v>32960.70484</v>
      </c>
      <c r="BJ461" s="6"/>
      <c r="BK461" s="15">
        <f t="shared" si="76"/>
        <v>0</v>
      </c>
      <c r="BN461" s="16">
        <f t="shared" si="14"/>
        <v>-32960.70484</v>
      </c>
      <c r="BO461" s="16">
        <f t="shared" si="159"/>
        <v>-173749.0432</v>
      </c>
      <c r="BY461" s="6">
        <f t="shared" si="2"/>
        <v>2025</v>
      </c>
      <c r="BZ461" s="6" t="str">
        <f t="shared" si="3"/>
        <v>enero</v>
      </c>
      <c r="CA461" s="6" t="str">
        <f t="shared" si="4"/>
        <v>1</v>
      </c>
    </row>
    <row r="462">
      <c r="A462" s="8">
        <v>45669.0</v>
      </c>
      <c r="B462" s="12">
        <v>0.0</v>
      </c>
      <c r="C462" s="12">
        <v>0.0</v>
      </c>
      <c r="D462" s="12">
        <v>0.0</v>
      </c>
      <c r="E462" s="12">
        <v>0.0</v>
      </c>
      <c r="F462" s="12">
        <v>0.0</v>
      </c>
      <c r="G462" s="12">
        <v>0.0</v>
      </c>
      <c r="H462" s="12">
        <f t="shared" si="149"/>
        <v>0</v>
      </c>
      <c r="I462" s="12">
        <v>0.0</v>
      </c>
      <c r="J462" s="12">
        <v>0.0</v>
      </c>
      <c r="K462" s="12">
        <v>0.0</v>
      </c>
      <c r="L462" s="12">
        <v>0.0</v>
      </c>
      <c r="M462" s="12">
        <v>0.0</v>
      </c>
      <c r="N462" s="12">
        <v>0.0</v>
      </c>
      <c r="O462" s="16">
        <f t="shared" si="150"/>
        <v>0</v>
      </c>
      <c r="P462" s="12">
        <v>0.0</v>
      </c>
      <c r="Q462" s="12">
        <v>0.0</v>
      </c>
      <c r="R462" s="12">
        <v>0.0</v>
      </c>
      <c r="S462" s="12">
        <v>0.0</v>
      </c>
      <c r="T462" s="12">
        <v>0.0</v>
      </c>
      <c r="U462" s="12">
        <v>0.0</v>
      </c>
      <c r="V462" s="16">
        <f t="shared" si="151"/>
        <v>0</v>
      </c>
      <c r="W462" s="12">
        <v>0.0</v>
      </c>
      <c r="X462" s="12">
        <v>0.0</v>
      </c>
      <c r="Y462" s="12">
        <v>0.0</v>
      </c>
      <c r="Z462" s="12">
        <v>0.0</v>
      </c>
      <c r="AA462" s="12">
        <v>0.0</v>
      </c>
      <c r="AB462" s="12">
        <v>0.0</v>
      </c>
      <c r="AC462" s="16">
        <f t="shared" si="152"/>
        <v>0</v>
      </c>
      <c r="AD462" s="12"/>
      <c r="AE462" s="12"/>
      <c r="AF462" s="12">
        <v>0.0</v>
      </c>
      <c r="AG462" s="12">
        <v>0.0</v>
      </c>
      <c r="AH462" s="12">
        <v>0.0</v>
      </c>
      <c r="AI462" s="12">
        <v>0.0</v>
      </c>
      <c r="AJ462" s="12">
        <v>0.0</v>
      </c>
      <c r="AK462" s="12">
        <v>0.0</v>
      </c>
      <c r="AL462" s="12">
        <f t="shared" si="153"/>
        <v>0</v>
      </c>
      <c r="AM462" s="12">
        <v>0.0</v>
      </c>
      <c r="AN462" s="12">
        <v>0.0</v>
      </c>
      <c r="AO462" s="12">
        <v>0.0</v>
      </c>
      <c r="AP462" s="12">
        <v>0.0</v>
      </c>
      <c r="AQ462" s="12">
        <v>0.0</v>
      </c>
      <c r="AR462" s="12">
        <v>0.0</v>
      </c>
      <c r="AS462" s="12">
        <f t="shared" si="154"/>
        <v>0</v>
      </c>
      <c r="AT462" s="16">
        <f t="shared" si="126"/>
        <v>0</v>
      </c>
      <c r="AU462" s="18">
        <f t="shared" si="157"/>
        <v>188818.71</v>
      </c>
      <c r="AV462" s="18"/>
      <c r="AW462" s="18"/>
      <c r="AX462" s="12">
        <f t="shared" si="1"/>
        <v>0</v>
      </c>
      <c r="AY462" s="12">
        <f t="shared" si="155"/>
        <v>188818.71</v>
      </c>
      <c r="AZ462" s="12">
        <v>0.0</v>
      </c>
      <c r="BA462" s="18">
        <f t="shared" si="158"/>
        <v>11101.52</v>
      </c>
      <c r="BB462" s="10">
        <f t="shared" si="16"/>
        <v>487781.6675</v>
      </c>
      <c r="BC462" s="16">
        <f t="shared" si="88"/>
        <v>87762.64444</v>
      </c>
      <c r="BD462" s="16"/>
      <c r="BE462" s="16"/>
      <c r="BF462" s="6"/>
      <c r="BG462" s="6"/>
      <c r="BH462" s="6"/>
      <c r="BI462" s="29">
        <f t="shared" si="156"/>
        <v>32960.70484</v>
      </c>
      <c r="BJ462" s="6"/>
      <c r="BK462" s="15">
        <f t="shared" si="76"/>
        <v>0</v>
      </c>
      <c r="BN462" s="16">
        <f t="shared" si="14"/>
        <v>-32960.70484</v>
      </c>
      <c r="BO462" s="16">
        <f t="shared" si="159"/>
        <v>-206709.7481</v>
      </c>
      <c r="BY462" s="6">
        <f t="shared" si="2"/>
        <v>2025</v>
      </c>
      <c r="BZ462" s="6" t="str">
        <f t="shared" si="3"/>
        <v>enero</v>
      </c>
      <c r="CA462" s="6" t="str">
        <f t="shared" si="4"/>
        <v>1</v>
      </c>
    </row>
    <row r="463">
      <c r="A463" s="8">
        <v>45670.0</v>
      </c>
      <c r="B463" s="12">
        <v>11716.82</v>
      </c>
      <c r="C463" s="12">
        <v>2286.31</v>
      </c>
      <c r="D463" s="12">
        <v>0.0</v>
      </c>
      <c r="E463" s="12">
        <v>0.0</v>
      </c>
      <c r="F463" s="12">
        <v>0.0</v>
      </c>
      <c r="G463" s="12">
        <v>0.0</v>
      </c>
      <c r="H463" s="12">
        <f t="shared" si="149"/>
        <v>14003.13</v>
      </c>
      <c r="I463" s="12">
        <v>12356.0</v>
      </c>
      <c r="J463" s="12">
        <v>2667.63</v>
      </c>
      <c r="K463" s="12">
        <v>0.0</v>
      </c>
      <c r="L463" s="12">
        <v>0.0</v>
      </c>
      <c r="M463" s="12">
        <v>0.0</v>
      </c>
      <c r="N463" s="12">
        <v>0.0</v>
      </c>
      <c r="O463" s="16">
        <f t="shared" si="150"/>
        <v>15023.63</v>
      </c>
      <c r="P463" s="12">
        <v>4613.27</v>
      </c>
      <c r="Q463" s="12">
        <v>1292.42</v>
      </c>
      <c r="R463" s="12">
        <v>0.0</v>
      </c>
      <c r="S463" s="12">
        <v>0.0</v>
      </c>
      <c r="T463" s="12">
        <v>0.0</v>
      </c>
      <c r="U463" s="12">
        <v>0.0</v>
      </c>
      <c r="V463" s="16">
        <f t="shared" si="151"/>
        <v>5905.69</v>
      </c>
      <c r="W463" s="12">
        <v>461.18</v>
      </c>
      <c r="X463" s="12">
        <v>0.0</v>
      </c>
      <c r="Y463" s="12">
        <v>0.0</v>
      </c>
      <c r="Z463" s="12">
        <v>0.0</v>
      </c>
      <c r="AA463" s="12">
        <v>0.0</v>
      </c>
      <c r="AB463" s="12">
        <v>0.0</v>
      </c>
      <c r="AC463" s="16">
        <f t="shared" si="152"/>
        <v>461.18</v>
      </c>
      <c r="AD463" s="12"/>
      <c r="AE463" s="12"/>
      <c r="AF463" s="12">
        <v>6707.95</v>
      </c>
      <c r="AG463" s="12">
        <v>669.42</v>
      </c>
      <c r="AH463" s="12">
        <v>0.0</v>
      </c>
      <c r="AI463" s="12">
        <v>0.0</v>
      </c>
      <c r="AJ463" s="12">
        <v>0.0</v>
      </c>
      <c r="AK463" s="12">
        <v>0.0</v>
      </c>
      <c r="AL463" s="12">
        <f t="shared" si="153"/>
        <v>7377.37</v>
      </c>
      <c r="AM463" s="12">
        <v>0.0</v>
      </c>
      <c r="AN463" s="12">
        <v>0.0</v>
      </c>
      <c r="AO463" s="12">
        <v>0.0</v>
      </c>
      <c r="AP463" s="12">
        <v>0.0</v>
      </c>
      <c r="AQ463" s="12">
        <v>0.0</v>
      </c>
      <c r="AR463" s="12">
        <v>0.0</v>
      </c>
      <c r="AS463" s="12">
        <f t="shared" si="154"/>
        <v>0</v>
      </c>
      <c r="AT463" s="16">
        <f t="shared" si="126"/>
        <v>28767.87</v>
      </c>
      <c r="AU463" s="18">
        <f t="shared" si="157"/>
        <v>217586.58</v>
      </c>
      <c r="AV463" s="18"/>
      <c r="AW463" s="18"/>
      <c r="AX463" s="12">
        <f t="shared" si="1"/>
        <v>28767.87</v>
      </c>
      <c r="AY463" s="12">
        <f t="shared" si="155"/>
        <v>217586.58</v>
      </c>
      <c r="AZ463" s="12">
        <v>1516.82</v>
      </c>
      <c r="BA463" s="18">
        <f t="shared" si="158"/>
        <v>12618.34</v>
      </c>
      <c r="BB463" s="10">
        <f t="shared" si="16"/>
        <v>518860.3062</v>
      </c>
      <c r="BC463" s="16">
        <f t="shared" si="88"/>
        <v>94409.355</v>
      </c>
      <c r="BD463" s="16"/>
      <c r="BE463" s="16"/>
      <c r="BF463" s="6"/>
      <c r="BG463" s="6"/>
      <c r="BH463" s="6"/>
      <c r="BI463" s="29">
        <f t="shared" si="156"/>
        <v>32960.70484</v>
      </c>
      <c r="BJ463" s="6"/>
      <c r="BK463" s="15">
        <f t="shared" si="76"/>
        <v>0.8727929254</v>
      </c>
      <c r="BN463" s="16">
        <f t="shared" si="14"/>
        <v>-4192.834839</v>
      </c>
      <c r="BO463" s="16">
        <f t="shared" si="159"/>
        <v>-210902.5829</v>
      </c>
      <c r="BY463" s="6">
        <f t="shared" si="2"/>
        <v>2025</v>
      </c>
      <c r="BZ463" s="6" t="str">
        <f t="shared" si="3"/>
        <v>enero</v>
      </c>
      <c r="CA463" s="6" t="str">
        <f t="shared" si="4"/>
        <v>1</v>
      </c>
    </row>
    <row r="464">
      <c r="A464" s="8">
        <v>45671.0</v>
      </c>
      <c r="B464" s="12">
        <v>22018.23</v>
      </c>
      <c r="C464" s="12">
        <v>0.0</v>
      </c>
      <c r="D464" s="12">
        <v>1193.6</v>
      </c>
      <c r="E464" s="12">
        <v>2268.54</v>
      </c>
      <c r="F464" s="12">
        <v>0.0</v>
      </c>
      <c r="G464" s="12">
        <v>0.0</v>
      </c>
      <c r="H464" s="12">
        <f t="shared" si="149"/>
        <v>25480.37</v>
      </c>
      <c r="I464" s="12">
        <v>8963.0</v>
      </c>
      <c r="J464" s="12">
        <v>0.0</v>
      </c>
      <c r="K464" s="12">
        <v>1457.19</v>
      </c>
      <c r="L464" s="12">
        <v>16263.22</v>
      </c>
      <c r="M464" s="12">
        <v>0.0</v>
      </c>
      <c r="N464" s="12">
        <v>0.0</v>
      </c>
      <c r="O464" s="16">
        <f t="shared" si="150"/>
        <v>26683.41</v>
      </c>
      <c r="P464" s="12">
        <v>4174.57</v>
      </c>
      <c r="Q464" s="12">
        <v>0.0</v>
      </c>
      <c r="R464" s="12">
        <v>413.94</v>
      </c>
      <c r="S464" s="12">
        <v>0.0</v>
      </c>
      <c r="T464" s="12">
        <v>0.0</v>
      </c>
      <c r="U464" s="12">
        <v>0.0</v>
      </c>
      <c r="V464" s="16">
        <f t="shared" si="151"/>
        <v>4588.51</v>
      </c>
      <c r="W464" s="12">
        <v>0.8</v>
      </c>
      <c r="X464" s="12">
        <v>0.0</v>
      </c>
      <c r="Y464" s="12">
        <v>0.0</v>
      </c>
      <c r="Z464" s="12">
        <v>0.0</v>
      </c>
      <c r="AA464" s="12">
        <v>0.0</v>
      </c>
      <c r="AB464" s="12">
        <v>0.0</v>
      </c>
      <c r="AC464" s="16">
        <f t="shared" si="152"/>
        <v>0.8</v>
      </c>
      <c r="AD464" s="12"/>
      <c r="AE464" s="12"/>
      <c r="AF464" s="12">
        <v>1256.26</v>
      </c>
      <c r="AG464" s="12">
        <v>0.0</v>
      </c>
      <c r="AH464" s="12">
        <v>897.57</v>
      </c>
      <c r="AI464" s="12">
        <v>0.0</v>
      </c>
      <c r="AJ464" s="12">
        <v>0.0</v>
      </c>
      <c r="AK464" s="12">
        <v>0.0</v>
      </c>
      <c r="AL464" s="12">
        <f t="shared" si="153"/>
        <v>2153.83</v>
      </c>
      <c r="AM464" s="12">
        <v>0.0</v>
      </c>
      <c r="AN464" s="12">
        <v>0.0</v>
      </c>
      <c r="AO464" s="12">
        <v>0.0</v>
      </c>
      <c r="AP464" s="12">
        <v>0.0</v>
      </c>
      <c r="AQ464" s="12">
        <v>0.0</v>
      </c>
      <c r="AR464" s="12">
        <v>0.0</v>
      </c>
      <c r="AS464" s="12">
        <v>0.0</v>
      </c>
      <c r="AT464" s="16">
        <f t="shared" si="126"/>
        <v>33426.55</v>
      </c>
      <c r="AU464" s="18">
        <f t="shared" si="157"/>
        <v>251013.13</v>
      </c>
      <c r="AV464" s="18"/>
      <c r="AW464" s="18"/>
      <c r="AX464" s="12">
        <f t="shared" si="1"/>
        <v>33426.55</v>
      </c>
      <c r="AY464" s="12">
        <f t="shared" si="155"/>
        <v>251013.13</v>
      </c>
      <c r="AZ464" s="12">
        <v>5202.97</v>
      </c>
      <c r="BA464" s="18">
        <f t="shared" si="158"/>
        <v>17821.31</v>
      </c>
      <c r="BB464" s="10">
        <f t="shared" si="16"/>
        <v>555814.7879</v>
      </c>
      <c r="BC464" s="16">
        <f t="shared" si="88"/>
        <v>85826.68636</v>
      </c>
      <c r="BD464" s="16"/>
      <c r="BE464" s="16"/>
      <c r="BF464" s="6"/>
      <c r="BG464" s="6"/>
      <c r="BH464" s="6"/>
      <c r="BI464" s="29">
        <f t="shared" si="156"/>
        <v>32960.70484</v>
      </c>
      <c r="BK464" s="15">
        <f t="shared" si="76"/>
        <v>1.01413335</v>
      </c>
      <c r="BN464" s="16">
        <f t="shared" si="14"/>
        <v>465.8451613</v>
      </c>
      <c r="BO464" s="16">
        <f t="shared" si="159"/>
        <v>-210436.7377</v>
      </c>
      <c r="BY464" s="6">
        <f t="shared" si="2"/>
        <v>2025</v>
      </c>
      <c r="BZ464" s="6" t="str">
        <f t="shared" si="3"/>
        <v>enero</v>
      </c>
      <c r="CA464" s="6" t="str">
        <f t="shared" si="4"/>
        <v>1</v>
      </c>
    </row>
    <row r="465">
      <c r="A465" s="8">
        <v>45672.0</v>
      </c>
      <c r="B465" s="12">
        <v>29211.05</v>
      </c>
      <c r="C465" s="12">
        <v>3003.81</v>
      </c>
      <c r="D465" s="12">
        <v>0.0</v>
      </c>
      <c r="E465" s="12">
        <v>0.0</v>
      </c>
      <c r="F465" s="12">
        <v>0.0</v>
      </c>
      <c r="G465" s="12">
        <v>0.0</v>
      </c>
      <c r="H465" s="12">
        <f t="shared" si="149"/>
        <v>32214.86</v>
      </c>
      <c r="I465" s="12">
        <v>16879.0</v>
      </c>
      <c r="J465" s="12">
        <v>2366.56</v>
      </c>
      <c r="K465" s="12">
        <v>0.0</v>
      </c>
      <c r="L465" s="12">
        <v>0.0</v>
      </c>
      <c r="M465" s="12">
        <v>0.0</v>
      </c>
      <c r="N465" s="12">
        <v>0.0</v>
      </c>
      <c r="O465" s="16">
        <f t="shared" si="150"/>
        <v>19245.56</v>
      </c>
      <c r="P465" s="12">
        <v>8889.36</v>
      </c>
      <c r="Q465" s="12">
        <v>1563.61</v>
      </c>
      <c r="R465" s="12">
        <v>0.0</v>
      </c>
      <c r="S465" s="12">
        <v>0.0</v>
      </c>
      <c r="T465" s="12">
        <v>0.0</v>
      </c>
      <c r="U465" s="12">
        <v>0.0</v>
      </c>
      <c r="V465" s="16">
        <f t="shared" si="151"/>
        <v>10452.97</v>
      </c>
      <c r="W465" s="12">
        <v>113.92</v>
      </c>
      <c r="X465" s="12">
        <v>63.48</v>
      </c>
      <c r="Y465" s="12">
        <v>0.0</v>
      </c>
      <c r="Z465" s="12">
        <v>0.0</v>
      </c>
      <c r="AA465" s="12">
        <v>0.0</v>
      </c>
      <c r="AB465" s="12">
        <v>0.0</v>
      </c>
      <c r="AC465" s="16">
        <f t="shared" si="152"/>
        <v>177.4</v>
      </c>
      <c r="AD465" s="12"/>
      <c r="AE465" s="12"/>
      <c r="AF465" s="12">
        <v>3403.37</v>
      </c>
      <c r="AG465" s="12">
        <v>464.74</v>
      </c>
      <c r="AH465" s="12">
        <v>0.0</v>
      </c>
      <c r="AI465" s="12">
        <v>0.0</v>
      </c>
      <c r="AJ465" s="12">
        <v>0.0</v>
      </c>
      <c r="AK465" s="12">
        <v>0.0</v>
      </c>
      <c r="AL465" s="12">
        <f t="shared" si="153"/>
        <v>3868.11</v>
      </c>
      <c r="AM465" s="12">
        <v>0.0</v>
      </c>
      <c r="AN465" s="12">
        <v>0.0</v>
      </c>
      <c r="AO465" s="12">
        <v>0.0</v>
      </c>
      <c r="AP465" s="12">
        <v>0.0</v>
      </c>
      <c r="AQ465" s="12">
        <v>0.0</v>
      </c>
      <c r="AR465" s="12">
        <v>0.0</v>
      </c>
      <c r="AS465" s="12">
        <f t="shared" ref="AS465:AS483" si="161">AR465+AQ465+AP465+AN465+AM465+AO465</f>
        <v>0</v>
      </c>
      <c r="AT465" s="16">
        <f t="shared" si="126"/>
        <v>33744.04</v>
      </c>
      <c r="AU465" s="18">
        <f t="shared" si="157"/>
        <v>284757.17</v>
      </c>
      <c r="AV465" s="18"/>
      <c r="AW465" s="18"/>
      <c r="AX465" s="12">
        <f t="shared" si="1"/>
        <v>33744.04</v>
      </c>
      <c r="AY465" s="12">
        <f t="shared" si="155"/>
        <v>284757.17</v>
      </c>
      <c r="AZ465" s="12">
        <v>4904.57</v>
      </c>
      <c r="BA465" s="18">
        <f t="shared" si="158"/>
        <v>22725.88</v>
      </c>
      <c r="BB465" s="10">
        <f t="shared" si="16"/>
        <v>588498.1513</v>
      </c>
      <c r="BC465" s="16">
        <f t="shared" si="88"/>
        <v>78674.4625</v>
      </c>
      <c r="BD465" s="16"/>
      <c r="BE465" s="16"/>
      <c r="BF465" s="6"/>
      <c r="BG465" s="6"/>
      <c r="BH465" s="6"/>
      <c r="BI465" s="29">
        <f t="shared" si="156"/>
        <v>32960.70484</v>
      </c>
      <c r="BK465" s="15">
        <f t="shared" si="76"/>
        <v>1.023765728</v>
      </c>
      <c r="BN465" s="16">
        <f t="shared" si="14"/>
        <v>783.3351613</v>
      </c>
      <c r="BO465" s="16">
        <f t="shared" si="159"/>
        <v>-209653.4026</v>
      </c>
      <c r="BY465" s="6">
        <f t="shared" si="2"/>
        <v>2025</v>
      </c>
      <c r="BZ465" s="6" t="str">
        <f t="shared" si="3"/>
        <v>enero</v>
      </c>
      <c r="CA465" s="6" t="str">
        <f t="shared" si="4"/>
        <v>1</v>
      </c>
    </row>
    <row r="466">
      <c r="A466" s="8">
        <v>45673.0</v>
      </c>
      <c r="B466" s="12">
        <v>20100.07</v>
      </c>
      <c r="C466" s="12">
        <v>1479.52</v>
      </c>
      <c r="D466" s="12">
        <v>0.0</v>
      </c>
      <c r="E466" s="12">
        <v>0.0</v>
      </c>
      <c r="F466" s="12">
        <v>0.0</v>
      </c>
      <c r="G466" s="12">
        <v>0.0</v>
      </c>
      <c r="H466" s="12">
        <f t="shared" si="149"/>
        <v>21579.59</v>
      </c>
      <c r="I466" s="12">
        <v>16523.0</v>
      </c>
      <c r="J466" s="12">
        <v>1924.9</v>
      </c>
      <c r="K466" s="12">
        <v>0.0</v>
      </c>
      <c r="L466" s="12">
        <v>0.0</v>
      </c>
      <c r="M466" s="12">
        <v>0.0</v>
      </c>
      <c r="N466" s="12">
        <v>0.0</v>
      </c>
      <c r="O466" s="16">
        <f t="shared" si="150"/>
        <v>18447.9</v>
      </c>
      <c r="P466" s="12">
        <v>8483.7</v>
      </c>
      <c r="Q466" s="12">
        <v>1144.89</v>
      </c>
      <c r="R466" s="12">
        <v>0.0</v>
      </c>
      <c r="S466" s="12">
        <v>0.0</v>
      </c>
      <c r="T466" s="12">
        <v>0.0</v>
      </c>
      <c r="U466" s="12">
        <v>0.0</v>
      </c>
      <c r="V466" s="16">
        <f t="shared" si="151"/>
        <v>9628.59</v>
      </c>
      <c r="W466" s="12">
        <v>92.01</v>
      </c>
      <c r="X466" s="12">
        <v>3.26</v>
      </c>
      <c r="Y466" s="12">
        <v>0.0</v>
      </c>
      <c r="Z466" s="12">
        <v>0.0</v>
      </c>
      <c r="AA466" s="12">
        <v>0.0</v>
      </c>
      <c r="AB466" s="12">
        <v>0.0</v>
      </c>
      <c r="AC466" s="16">
        <f t="shared" si="152"/>
        <v>95.27</v>
      </c>
      <c r="AD466" s="12"/>
      <c r="AE466" s="12"/>
      <c r="AF466" s="12">
        <v>1252.51</v>
      </c>
      <c r="AG466" s="12">
        <v>0.0</v>
      </c>
      <c r="AH466" s="12">
        <v>0.0</v>
      </c>
      <c r="AI466" s="12">
        <v>0.0</v>
      </c>
      <c r="AJ466" s="12">
        <v>0.0</v>
      </c>
      <c r="AK466" s="12">
        <v>0.0</v>
      </c>
      <c r="AL466" s="12">
        <f t="shared" si="153"/>
        <v>1252.51</v>
      </c>
      <c r="AM466" s="12">
        <v>0.0</v>
      </c>
      <c r="AN466" s="12">
        <v>0.0</v>
      </c>
      <c r="AO466" s="12">
        <v>0.0</v>
      </c>
      <c r="AP466" s="12">
        <v>0.0</v>
      </c>
      <c r="AQ466" s="12">
        <v>0.0</v>
      </c>
      <c r="AR466" s="12">
        <v>0.0</v>
      </c>
      <c r="AS466" s="12">
        <f t="shared" si="161"/>
        <v>0</v>
      </c>
      <c r="AT466" s="16">
        <f t="shared" si="126"/>
        <v>29424.27</v>
      </c>
      <c r="AU466" s="18">
        <f t="shared" si="157"/>
        <v>314181.44</v>
      </c>
      <c r="AV466" s="18"/>
      <c r="AW466" s="18"/>
      <c r="AX466" s="12">
        <f t="shared" si="1"/>
        <v>29424.27</v>
      </c>
      <c r="AY466" s="12">
        <f t="shared" si="155"/>
        <v>314181.44</v>
      </c>
      <c r="AZ466" s="12">
        <v>3458.29</v>
      </c>
      <c r="BA466" s="18">
        <f t="shared" si="158"/>
        <v>26184.17</v>
      </c>
      <c r="BB466" s="10">
        <f t="shared" si="16"/>
        <v>608726.54</v>
      </c>
      <c r="BC466" s="16">
        <f t="shared" si="88"/>
        <v>83687.14615</v>
      </c>
      <c r="BD466" s="16"/>
      <c r="BE466" s="16"/>
      <c r="BF466" s="6"/>
      <c r="BG466" s="6"/>
      <c r="BH466" s="6"/>
      <c r="BI466" s="29">
        <f t="shared" si="156"/>
        <v>32960.70484</v>
      </c>
      <c r="BJ466" s="6"/>
      <c r="BK466" s="15">
        <f t="shared" si="76"/>
        <v>0.8927075481</v>
      </c>
      <c r="BN466" s="16">
        <f t="shared" si="14"/>
        <v>-3536.434839</v>
      </c>
      <c r="BO466" s="16">
        <f t="shared" si="159"/>
        <v>-213189.8374</v>
      </c>
      <c r="BY466" s="6">
        <f t="shared" si="2"/>
        <v>2025</v>
      </c>
      <c r="BZ466" s="6" t="str">
        <f t="shared" si="3"/>
        <v>enero</v>
      </c>
      <c r="CA466" s="6" t="str">
        <f t="shared" si="4"/>
        <v>1</v>
      </c>
    </row>
    <row r="467">
      <c r="A467" s="8">
        <v>45674.0</v>
      </c>
      <c r="B467" s="12">
        <v>21962.85</v>
      </c>
      <c r="C467" s="12">
        <v>3209.48</v>
      </c>
      <c r="D467" s="12">
        <v>2700.84</v>
      </c>
      <c r="E467" s="12">
        <v>101.86</v>
      </c>
      <c r="F467" s="12">
        <v>0.0</v>
      </c>
      <c r="G467" s="12">
        <v>0.0</v>
      </c>
      <c r="H467" s="12">
        <f t="shared" si="149"/>
        <v>27975.03</v>
      </c>
      <c r="I467" s="12">
        <v>6799.38</v>
      </c>
      <c r="J467" s="12">
        <v>2301.14</v>
      </c>
      <c r="K467" s="12">
        <v>1265.0</v>
      </c>
      <c r="L467" s="12">
        <v>10892.36</v>
      </c>
      <c r="M467" s="12">
        <v>0.0</v>
      </c>
      <c r="N467" s="12">
        <v>0.0</v>
      </c>
      <c r="O467" s="16">
        <f t="shared" si="150"/>
        <v>21257.88</v>
      </c>
      <c r="P467" s="12">
        <v>6836.47</v>
      </c>
      <c r="Q467" s="12">
        <v>242.27</v>
      </c>
      <c r="R467" s="12">
        <v>1005.6</v>
      </c>
      <c r="S467" s="12">
        <v>0.0</v>
      </c>
      <c r="T467" s="12">
        <v>0.0</v>
      </c>
      <c r="U467" s="12">
        <v>0.0</v>
      </c>
      <c r="V467" s="16">
        <f t="shared" si="151"/>
        <v>8084.34</v>
      </c>
      <c r="W467" s="12">
        <v>10200.04</v>
      </c>
      <c r="X467" s="12">
        <v>0.75</v>
      </c>
      <c r="Y467" s="12">
        <v>1.25</v>
      </c>
      <c r="Z467" s="12">
        <v>0.0</v>
      </c>
      <c r="AA467" s="12">
        <v>0.0</v>
      </c>
      <c r="AB467" s="12">
        <v>0.0</v>
      </c>
      <c r="AC467" s="16">
        <f t="shared" si="152"/>
        <v>10202.04</v>
      </c>
      <c r="AD467" s="12"/>
      <c r="AE467" s="12"/>
      <c r="AF467" s="12">
        <v>1148.09</v>
      </c>
      <c r="AG467" s="12">
        <v>277.45</v>
      </c>
      <c r="AH467" s="12">
        <v>0.0</v>
      </c>
      <c r="AI467" s="12">
        <v>0.0</v>
      </c>
      <c r="AJ467" s="12">
        <v>0.0</v>
      </c>
      <c r="AK467" s="12">
        <v>0.0</v>
      </c>
      <c r="AL467" s="12">
        <f t="shared" si="153"/>
        <v>1425.54</v>
      </c>
      <c r="AM467" s="12">
        <v>10721.0</v>
      </c>
      <c r="AN467" s="12">
        <v>0.0</v>
      </c>
      <c r="AO467" s="12">
        <v>0.0</v>
      </c>
      <c r="AP467" s="12">
        <v>0.0</v>
      </c>
      <c r="AQ467" s="12">
        <v>0.0</v>
      </c>
      <c r="AR467" s="12">
        <v>0.0</v>
      </c>
      <c r="AS467" s="12">
        <f t="shared" si="161"/>
        <v>10721</v>
      </c>
      <c r="AT467" s="16">
        <f t="shared" si="126"/>
        <v>51690.8</v>
      </c>
      <c r="AU467" s="18">
        <f t="shared" si="157"/>
        <v>365872.24</v>
      </c>
      <c r="AV467" s="18"/>
      <c r="AW467" s="18"/>
      <c r="AX467" s="12">
        <f t="shared" si="1"/>
        <v>51690.8</v>
      </c>
      <c r="AY467" s="12">
        <f t="shared" si="155"/>
        <v>365872.24</v>
      </c>
      <c r="AZ467" s="12">
        <v>12633.35</v>
      </c>
      <c r="BA467" s="18">
        <f t="shared" si="158"/>
        <v>38817.52</v>
      </c>
      <c r="BB467" s="10">
        <f t="shared" si="16"/>
        <v>667178.7906</v>
      </c>
      <c r="BC467" s="16">
        <f t="shared" si="88"/>
        <v>89647.54643</v>
      </c>
      <c r="BD467" s="16"/>
      <c r="BE467" s="16"/>
      <c r="BF467" s="6"/>
      <c r="BG467" s="6"/>
      <c r="BH467" s="6"/>
      <c r="BI467" s="29">
        <f t="shared" si="156"/>
        <v>32960.70484</v>
      </c>
      <c r="BK467" s="15">
        <f t="shared" si="76"/>
        <v>1.568255298</v>
      </c>
      <c r="BN467" s="16">
        <f t="shared" si="14"/>
        <v>18730.09516</v>
      </c>
      <c r="BO467" s="16">
        <f t="shared" si="159"/>
        <v>-194459.7423</v>
      </c>
      <c r="BY467" s="6">
        <f t="shared" si="2"/>
        <v>2025</v>
      </c>
      <c r="BZ467" s="6" t="str">
        <f t="shared" si="3"/>
        <v>enero</v>
      </c>
      <c r="CA467" s="6" t="str">
        <f t="shared" si="4"/>
        <v>1</v>
      </c>
    </row>
    <row r="468">
      <c r="A468" s="8">
        <v>45675.0</v>
      </c>
      <c r="B468" s="12">
        <v>0.0</v>
      </c>
      <c r="C468" s="12">
        <v>0.0</v>
      </c>
      <c r="D468" s="12">
        <v>0.0</v>
      </c>
      <c r="E468" s="12">
        <v>0.0</v>
      </c>
      <c r="F468" s="12">
        <v>0.0</v>
      </c>
      <c r="G468" s="12">
        <v>0.0</v>
      </c>
      <c r="H468" s="12">
        <f t="shared" si="149"/>
        <v>0</v>
      </c>
      <c r="I468" s="12">
        <v>0.0</v>
      </c>
      <c r="J468" s="12">
        <v>0.0</v>
      </c>
      <c r="K468" s="12">
        <v>0.0</v>
      </c>
      <c r="L468" s="12">
        <v>0.0</v>
      </c>
      <c r="M468" s="12">
        <v>0.0</v>
      </c>
      <c r="N468" s="12">
        <v>0.0</v>
      </c>
      <c r="O468" s="16">
        <f t="shared" si="150"/>
        <v>0</v>
      </c>
      <c r="P468" s="12">
        <v>0.0</v>
      </c>
      <c r="Q468" s="12">
        <v>0.0</v>
      </c>
      <c r="R468" s="12">
        <v>0.0</v>
      </c>
      <c r="S468" s="12">
        <v>0.0</v>
      </c>
      <c r="T468" s="12">
        <v>0.0</v>
      </c>
      <c r="U468" s="12">
        <v>0.0</v>
      </c>
      <c r="V468" s="16">
        <f t="shared" si="151"/>
        <v>0</v>
      </c>
      <c r="W468" s="12">
        <v>0.0</v>
      </c>
      <c r="X468" s="12">
        <v>0.0</v>
      </c>
      <c r="Y468" s="12">
        <v>0.0</v>
      </c>
      <c r="Z468" s="12">
        <v>0.0</v>
      </c>
      <c r="AA468" s="12">
        <v>0.0</v>
      </c>
      <c r="AB468" s="12">
        <v>0.0</v>
      </c>
      <c r="AC468" s="16">
        <f t="shared" si="152"/>
        <v>0</v>
      </c>
      <c r="AD468" s="12"/>
      <c r="AE468" s="12"/>
      <c r="AF468" s="12">
        <v>0.0</v>
      </c>
      <c r="AG468" s="12">
        <v>0.0</v>
      </c>
      <c r="AH468" s="12">
        <v>0.0</v>
      </c>
      <c r="AI468" s="12">
        <v>0.0</v>
      </c>
      <c r="AJ468" s="12">
        <v>0.0</v>
      </c>
      <c r="AK468" s="12">
        <v>0.0</v>
      </c>
      <c r="AL468" s="12">
        <f t="shared" si="153"/>
        <v>0</v>
      </c>
      <c r="AM468" s="12">
        <v>0.0</v>
      </c>
      <c r="AN468" s="12">
        <v>0.0</v>
      </c>
      <c r="AO468" s="12">
        <v>0.0</v>
      </c>
      <c r="AP468" s="12">
        <v>0.0</v>
      </c>
      <c r="AQ468" s="12">
        <v>0.0</v>
      </c>
      <c r="AR468" s="12">
        <v>0.0</v>
      </c>
      <c r="AS468" s="12">
        <f t="shared" si="161"/>
        <v>0</v>
      </c>
      <c r="AT468" s="16">
        <f t="shared" si="126"/>
        <v>0</v>
      </c>
      <c r="AU468" s="18">
        <f t="shared" si="157"/>
        <v>365872.24</v>
      </c>
      <c r="AV468" s="18"/>
      <c r="AW468" s="18"/>
      <c r="AX468" s="12">
        <f t="shared" si="1"/>
        <v>0</v>
      </c>
      <c r="AY468" s="12">
        <f t="shared" si="155"/>
        <v>365872.24</v>
      </c>
      <c r="AZ468" s="12">
        <v>0.0</v>
      </c>
      <c r="BA468" s="18">
        <f t="shared" si="158"/>
        <v>38817.52</v>
      </c>
      <c r="BB468" s="10">
        <f t="shared" si="16"/>
        <v>630113.3022</v>
      </c>
      <c r="BC468" s="16">
        <f t="shared" si="88"/>
        <v>94919.05667</v>
      </c>
      <c r="BD468" s="16"/>
      <c r="BE468" s="16"/>
      <c r="BF468" s="6"/>
      <c r="BG468" s="6"/>
      <c r="BH468" s="6"/>
      <c r="BI468" s="29">
        <f t="shared" si="156"/>
        <v>32960.70484</v>
      </c>
      <c r="BJ468" s="6"/>
      <c r="BK468" s="15">
        <f t="shared" si="76"/>
        <v>0</v>
      </c>
      <c r="BN468" s="16">
        <f t="shared" si="14"/>
        <v>-32960.70484</v>
      </c>
      <c r="BO468" s="16">
        <f t="shared" si="159"/>
        <v>-227420.4471</v>
      </c>
      <c r="BY468" s="6">
        <f t="shared" si="2"/>
        <v>2025</v>
      </c>
      <c r="BZ468" s="6" t="str">
        <f t="shared" si="3"/>
        <v>enero</v>
      </c>
      <c r="CA468" s="6" t="str">
        <f t="shared" si="4"/>
        <v>1</v>
      </c>
    </row>
    <row r="469">
      <c r="A469" s="8">
        <v>45676.0</v>
      </c>
      <c r="B469" s="12">
        <v>0.0</v>
      </c>
      <c r="C469" s="12">
        <v>0.0</v>
      </c>
      <c r="D469" s="12">
        <v>0.0</v>
      </c>
      <c r="E469" s="12">
        <v>0.0</v>
      </c>
      <c r="F469" s="12">
        <v>0.0</v>
      </c>
      <c r="G469" s="12">
        <v>0.0</v>
      </c>
      <c r="H469" s="12">
        <f t="shared" si="149"/>
        <v>0</v>
      </c>
      <c r="I469" s="12">
        <v>0.0</v>
      </c>
      <c r="J469" s="12">
        <v>0.0</v>
      </c>
      <c r="K469" s="12">
        <v>0.0</v>
      </c>
      <c r="L469" s="12">
        <v>0.0</v>
      </c>
      <c r="M469" s="12">
        <v>0.0</v>
      </c>
      <c r="N469" s="12">
        <v>0.0</v>
      </c>
      <c r="O469" s="16">
        <f t="shared" si="150"/>
        <v>0</v>
      </c>
      <c r="P469" s="12">
        <v>0.0</v>
      </c>
      <c r="Q469" s="12">
        <v>0.0</v>
      </c>
      <c r="R469" s="12">
        <v>0.0</v>
      </c>
      <c r="S469" s="12">
        <v>0.0</v>
      </c>
      <c r="T469" s="12">
        <v>0.0</v>
      </c>
      <c r="U469" s="12">
        <v>0.0</v>
      </c>
      <c r="V469" s="16">
        <f t="shared" si="151"/>
        <v>0</v>
      </c>
      <c r="W469" s="12">
        <v>0.0</v>
      </c>
      <c r="X469" s="12">
        <v>0.0</v>
      </c>
      <c r="Y469" s="12">
        <v>0.0</v>
      </c>
      <c r="Z469" s="12">
        <v>0.0</v>
      </c>
      <c r="AA469" s="12">
        <v>0.0</v>
      </c>
      <c r="AB469" s="12">
        <v>0.0</v>
      </c>
      <c r="AC469" s="16">
        <f t="shared" si="152"/>
        <v>0</v>
      </c>
      <c r="AD469" s="12"/>
      <c r="AE469" s="12"/>
      <c r="AF469" s="12">
        <v>0.0</v>
      </c>
      <c r="AG469" s="12">
        <v>0.0</v>
      </c>
      <c r="AH469" s="12">
        <v>0.0</v>
      </c>
      <c r="AI469" s="12">
        <v>0.0</v>
      </c>
      <c r="AJ469" s="12">
        <v>0.0</v>
      </c>
      <c r="AK469" s="12">
        <v>0.0</v>
      </c>
      <c r="AL469" s="12">
        <f t="shared" si="153"/>
        <v>0</v>
      </c>
      <c r="AM469" s="12">
        <v>0.0</v>
      </c>
      <c r="AN469" s="12">
        <v>0.0</v>
      </c>
      <c r="AO469" s="12">
        <v>0.0</v>
      </c>
      <c r="AP469" s="12">
        <v>0.0</v>
      </c>
      <c r="AQ469" s="12">
        <v>0.0</v>
      </c>
      <c r="AR469" s="12">
        <v>0.0</v>
      </c>
      <c r="AS469" s="12">
        <f t="shared" si="161"/>
        <v>0</v>
      </c>
      <c r="AT469" s="16">
        <f t="shared" si="126"/>
        <v>0</v>
      </c>
      <c r="AU469" s="18">
        <f t="shared" si="157"/>
        <v>365872.24</v>
      </c>
      <c r="AV469" s="18"/>
      <c r="AW469" s="18"/>
      <c r="AX469" s="12">
        <f t="shared" si="1"/>
        <v>0</v>
      </c>
      <c r="AY469" s="12">
        <f t="shared" si="155"/>
        <v>365872.24</v>
      </c>
      <c r="AZ469" s="12">
        <v>0.0</v>
      </c>
      <c r="BA469" s="18">
        <f t="shared" si="158"/>
        <v>38817.52</v>
      </c>
      <c r="BB469" s="10">
        <f t="shared" si="16"/>
        <v>596949.4442</v>
      </c>
      <c r="BC469" s="16">
        <f t="shared" si="88"/>
        <v>98181.7</v>
      </c>
      <c r="BD469" s="16"/>
      <c r="BE469" s="16"/>
      <c r="BF469" s="6"/>
      <c r="BG469" s="6"/>
      <c r="BH469" s="6"/>
      <c r="BI469" s="29">
        <f t="shared" si="156"/>
        <v>32960.70484</v>
      </c>
      <c r="BJ469" s="6"/>
      <c r="BK469" s="15">
        <f t="shared" si="76"/>
        <v>0</v>
      </c>
      <c r="BN469" s="16">
        <f t="shared" si="14"/>
        <v>-32960.70484</v>
      </c>
      <c r="BO469" s="16">
        <f t="shared" si="159"/>
        <v>-260381.1519</v>
      </c>
      <c r="BY469" s="6">
        <f t="shared" si="2"/>
        <v>2025</v>
      </c>
      <c r="BZ469" s="6" t="str">
        <f t="shared" si="3"/>
        <v>enero</v>
      </c>
      <c r="CA469" s="6" t="str">
        <f t="shared" si="4"/>
        <v>1</v>
      </c>
    </row>
    <row r="470">
      <c r="A470" s="8">
        <v>45677.0</v>
      </c>
      <c r="B470" s="12">
        <v>19895.44</v>
      </c>
      <c r="C470" s="12">
        <v>832.3</v>
      </c>
      <c r="D470" s="12">
        <v>0.0</v>
      </c>
      <c r="E470" s="12">
        <v>0.0</v>
      </c>
      <c r="F470" s="12">
        <v>0.0</v>
      </c>
      <c r="G470" s="12">
        <v>0.0</v>
      </c>
      <c r="H470" s="12">
        <f t="shared" si="149"/>
        <v>20727.74</v>
      </c>
      <c r="I470" s="12">
        <v>10975.0</v>
      </c>
      <c r="J470" s="12">
        <v>1290.09</v>
      </c>
      <c r="K470" s="12">
        <v>0.0</v>
      </c>
      <c r="L470" s="12">
        <v>0.0</v>
      </c>
      <c r="M470" s="12">
        <v>0.0</v>
      </c>
      <c r="N470" s="12">
        <v>0.0</v>
      </c>
      <c r="O470" s="16">
        <f t="shared" si="150"/>
        <v>12265.09</v>
      </c>
      <c r="P470" s="12">
        <v>6335.77</v>
      </c>
      <c r="Q470" s="12">
        <v>150.88</v>
      </c>
      <c r="R470" s="12">
        <v>0.0</v>
      </c>
      <c r="S470" s="12">
        <v>0.0</v>
      </c>
      <c r="T470" s="12">
        <v>0.0</v>
      </c>
      <c r="U470" s="12">
        <v>0.0</v>
      </c>
      <c r="V470" s="16">
        <f t="shared" si="151"/>
        <v>6486.65</v>
      </c>
      <c r="W470" s="12">
        <v>5368.17</v>
      </c>
      <c r="X470" s="12">
        <v>0.0</v>
      </c>
      <c r="Y470" s="12">
        <v>0.0</v>
      </c>
      <c r="Z470" s="12">
        <v>0.0</v>
      </c>
      <c r="AA470" s="12">
        <v>0.0</v>
      </c>
      <c r="AB470" s="12">
        <v>0.0</v>
      </c>
      <c r="AC470" s="16">
        <f t="shared" si="152"/>
        <v>5368.17</v>
      </c>
      <c r="AD470" s="12"/>
      <c r="AE470" s="12"/>
      <c r="AF470" s="12">
        <v>2432.73</v>
      </c>
      <c r="AG470" s="12">
        <v>250.58</v>
      </c>
      <c r="AH470" s="12">
        <v>0.0</v>
      </c>
      <c r="AI470" s="12">
        <v>0.0</v>
      </c>
      <c r="AJ470" s="12">
        <v>0.0</v>
      </c>
      <c r="AK470" s="12">
        <v>0.0</v>
      </c>
      <c r="AL470" s="12">
        <f t="shared" si="153"/>
        <v>2683.31</v>
      </c>
      <c r="AM470" s="12">
        <v>4240.0</v>
      </c>
      <c r="AN470" s="12">
        <v>0.0</v>
      </c>
      <c r="AO470" s="12">
        <v>0.0</v>
      </c>
      <c r="AP470" s="12">
        <v>0.0</v>
      </c>
      <c r="AQ470" s="12">
        <v>0.0</v>
      </c>
      <c r="AR470" s="12">
        <v>0.0</v>
      </c>
      <c r="AS470" s="12">
        <f t="shared" si="161"/>
        <v>4240</v>
      </c>
      <c r="AT470" s="16">
        <f t="shared" si="126"/>
        <v>31043.22</v>
      </c>
      <c r="AU470" s="18">
        <f t="shared" si="157"/>
        <v>396915.46</v>
      </c>
      <c r="AV470" s="18"/>
      <c r="AW470" s="18"/>
      <c r="AX470" s="12">
        <f t="shared" si="1"/>
        <v>31043.22</v>
      </c>
      <c r="AY470" s="12">
        <f t="shared" si="155"/>
        <v>396915.46</v>
      </c>
      <c r="AZ470" s="12">
        <v>2236.66</v>
      </c>
      <c r="BA470" s="18">
        <f t="shared" si="158"/>
        <v>41054.18</v>
      </c>
      <c r="BB470" s="10">
        <f t="shared" si="16"/>
        <v>615218.963</v>
      </c>
      <c r="BC470" s="16">
        <f t="shared" si="88"/>
        <v>107609.4824</v>
      </c>
      <c r="BD470" s="16"/>
      <c r="BE470" s="16"/>
      <c r="BF470" s="6"/>
      <c r="BG470" s="6"/>
      <c r="BH470" s="6"/>
      <c r="BI470" s="29">
        <f t="shared" si="156"/>
        <v>32960.70484</v>
      </c>
      <c r="BJ470" s="6"/>
      <c r="BK470" s="15">
        <f t="shared" si="76"/>
        <v>0.9418251264</v>
      </c>
      <c r="BN470" s="16">
        <f t="shared" si="14"/>
        <v>-1917.484839</v>
      </c>
      <c r="BO470" s="16">
        <f t="shared" si="159"/>
        <v>-262298.6368</v>
      </c>
      <c r="BY470" s="6">
        <f t="shared" si="2"/>
        <v>2025</v>
      </c>
      <c r="BZ470" s="6" t="str">
        <f t="shared" si="3"/>
        <v>enero</v>
      </c>
      <c r="CA470" s="6" t="str">
        <f t="shared" si="4"/>
        <v>1</v>
      </c>
    </row>
    <row r="471">
      <c r="A471" s="8">
        <v>45678.0</v>
      </c>
      <c r="B471" s="12">
        <v>15310.72</v>
      </c>
      <c r="C471" s="12">
        <v>592.96</v>
      </c>
      <c r="D471" s="12">
        <v>1732.52</v>
      </c>
      <c r="E471" s="12">
        <v>0.0</v>
      </c>
      <c r="F471" s="12">
        <v>0.0</v>
      </c>
      <c r="G471" s="12">
        <v>0.0</v>
      </c>
      <c r="H471" s="12">
        <f t="shared" si="149"/>
        <v>17636.2</v>
      </c>
      <c r="I471" s="12">
        <v>9452.0</v>
      </c>
      <c r="J471" s="12">
        <v>1745.0</v>
      </c>
      <c r="K471" s="12">
        <v>1236.0</v>
      </c>
      <c r="L471" s="12">
        <v>1176.06</v>
      </c>
      <c r="M471" s="12">
        <v>0.0</v>
      </c>
      <c r="N471" s="12">
        <v>0.0</v>
      </c>
      <c r="O471" s="16">
        <f t="shared" si="150"/>
        <v>13609.06</v>
      </c>
      <c r="P471" s="12">
        <v>4951.87</v>
      </c>
      <c r="Q471" s="12">
        <v>148.39</v>
      </c>
      <c r="R471" s="12">
        <v>413.94</v>
      </c>
      <c r="S471" s="12">
        <v>0.0</v>
      </c>
      <c r="T471" s="12">
        <v>0.0</v>
      </c>
      <c r="U471" s="12">
        <v>0.0</v>
      </c>
      <c r="V471" s="16">
        <f t="shared" si="151"/>
        <v>5514.2</v>
      </c>
      <c r="W471" s="12">
        <v>77.85</v>
      </c>
      <c r="X471" s="12">
        <v>89.6</v>
      </c>
      <c r="Y471" s="12">
        <v>0.0</v>
      </c>
      <c r="Z471" s="12">
        <v>0.0</v>
      </c>
      <c r="AA471" s="12">
        <v>0.0</v>
      </c>
      <c r="AB471" s="12">
        <v>0.0</v>
      </c>
      <c r="AC471" s="16">
        <f t="shared" si="152"/>
        <v>167.45</v>
      </c>
      <c r="AD471" s="12"/>
      <c r="AE471" s="12"/>
      <c r="AF471" s="12">
        <v>2758.28</v>
      </c>
      <c r="AG471" s="12">
        <v>0.0</v>
      </c>
      <c r="AH471" s="12">
        <v>775.05</v>
      </c>
      <c r="AI471" s="12">
        <v>5000.0</v>
      </c>
      <c r="AJ471" s="12">
        <v>0.0</v>
      </c>
      <c r="AK471" s="12">
        <v>0.0</v>
      </c>
      <c r="AL471" s="12">
        <f t="shared" si="153"/>
        <v>8533.33</v>
      </c>
      <c r="AM471" s="12">
        <v>0.0</v>
      </c>
      <c r="AN471" s="12">
        <v>0.0</v>
      </c>
      <c r="AO471" s="12">
        <v>0.0</v>
      </c>
      <c r="AP471" s="12">
        <v>0.0</v>
      </c>
      <c r="AQ471" s="12">
        <v>0.0</v>
      </c>
      <c r="AR471" s="12">
        <v>0.0</v>
      </c>
      <c r="AS471" s="12">
        <f t="shared" si="161"/>
        <v>0</v>
      </c>
      <c r="AT471" s="16">
        <f t="shared" si="126"/>
        <v>27824.04</v>
      </c>
      <c r="AU471" s="18">
        <f t="shared" si="157"/>
        <v>424739.5</v>
      </c>
      <c r="AV471" s="18"/>
      <c r="AW471" s="18"/>
      <c r="AX471" s="12">
        <f t="shared" si="1"/>
        <v>27824.04</v>
      </c>
      <c r="AY471" s="12">
        <f t="shared" si="155"/>
        <v>424739.5</v>
      </c>
      <c r="AZ471" s="12">
        <v>3922.55</v>
      </c>
      <c r="BA471" s="18">
        <f t="shared" si="158"/>
        <v>44976.73</v>
      </c>
      <c r="BB471" s="10">
        <f t="shared" si="16"/>
        <v>626996.4048</v>
      </c>
      <c r="BC471" s="16">
        <f t="shared" si="88"/>
        <v>101631.1778</v>
      </c>
      <c r="BD471" s="16"/>
      <c r="BE471" s="16"/>
      <c r="BF471" s="6"/>
      <c r="BG471" s="6"/>
      <c r="BH471" s="6"/>
      <c r="BI471" s="29">
        <f t="shared" si="156"/>
        <v>32960.70484</v>
      </c>
      <c r="BJ471" s="6"/>
      <c r="BK471" s="15">
        <f t="shared" si="76"/>
        <v>0.8441579188</v>
      </c>
      <c r="BN471" s="16">
        <f t="shared" si="14"/>
        <v>-5136.664839</v>
      </c>
      <c r="BO471" s="16">
        <f t="shared" si="159"/>
        <v>-267435.3016</v>
      </c>
      <c r="BY471" s="6">
        <f t="shared" si="2"/>
        <v>2025</v>
      </c>
      <c r="BZ471" s="6" t="str">
        <f t="shared" si="3"/>
        <v>enero</v>
      </c>
      <c r="CA471" s="6" t="str">
        <f t="shared" si="4"/>
        <v>1</v>
      </c>
    </row>
    <row r="472">
      <c r="A472" s="8">
        <v>45679.0</v>
      </c>
      <c r="B472" s="12">
        <v>19965.98</v>
      </c>
      <c r="C472" s="12">
        <v>14463.47</v>
      </c>
      <c r="D472" s="12">
        <v>1673.88</v>
      </c>
      <c r="E472" s="12">
        <v>0.0</v>
      </c>
      <c r="F472" s="12">
        <v>0.0</v>
      </c>
      <c r="G472" s="12">
        <v>0.0</v>
      </c>
      <c r="H472" s="12">
        <f t="shared" si="149"/>
        <v>36103.33</v>
      </c>
      <c r="I472" s="12">
        <v>45612.9</v>
      </c>
      <c r="J472" s="12">
        <v>6012.66</v>
      </c>
      <c r="K472" s="12">
        <v>2412.2</v>
      </c>
      <c r="L472" s="12">
        <v>0.0</v>
      </c>
      <c r="M472" s="12">
        <v>0.0</v>
      </c>
      <c r="N472" s="12">
        <v>0.0</v>
      </c>
      <c r="O472" s="16">
        <f t="shared" si="150"/>
        <v>54037.76</v>
      </c>
      <c r="P472" s="12">
        <v>3463.13</v>
      </c>
      <c r="Q472" s="12">
        <v>2234.7</v>
      </c>
      <c r="R472" s="12">
        <v>418.54</v>
      </c>
      <c r="S472" s="12">
        <v>0.0</v>
      </c>
      <c r="T472" s="12">
        <v>0.0</v>
      </c>
      <c r="U472" s="12">
        <v>0.0</v>
      </c>
      <c r="V472" s="16">
        <f t="shared" si="151"/>
        <v>6116.37</v>
      </c>
      <c r="W472" s="12">
        <v>8217.28</v>
      </c>
      <c r="X472" s="12">
        <v>2093.2</v>
      </c>
      <c r="Y472" s="12">
        <v>0.0</v>
      </c>
      <c r="Z472" s="12">
        <v>0.0</v>
      </c>
      <c r="AA472" s="12">
        <v>0.0</v>
      </c>
      <c r="AB472" s="12">
        <v>0.0</v>
      </c>
      <c r="AC472" s="16">
        <f t="shared" si="152"/>
        <v>10310.48</v>
      </c>
      <c r="AD472" s="12"/>
      <c r="AE472" s="12"/>
      <c r="AF472" s="12">
        <v>1646.4</v>
      </c>
      <c r="AG472" s="12">
        <v>0.0</v>
      </c>
      <c r="AH472" s="12">
        <v>446.55</v>
      </c>
      <c r="AI472" s="12">
        <v>0.0</v>
      </c>
      <c r="AJ472" s="12">
        <v>0.0</v>
      </c>
      <c r="AK472" s="12">
        <v>0.0</v>
      </c>
      <c r="AL472" s="12">
        <f t="shared" si="153"/>
        <v>2092.95</v>
      </c>
      <c r="AM472" s="12">
        <v>9324.0</v>
      </c>
      <c r="AN472" s="12">
        <v>897.04</v>
      </c>
      <c r="AO472" s="12">
        <v>0.0</v>
      </c>
      <c r="AP472" s="12">
        <v>0.0</v>
      </c>
      <c r="AQ472" s="12">
        <v>0.0</v>
      </c>
      <c r="AR472" s="12">
        <v>0.0</v>
      </c>
      <c r="AS472" s="12">
        <f t="shared" si="161"/>
        <v>10221.04</v>
      </c>
      <c r="AT472" s="16">
        <f t="shared" si="126"/>
        <v>82778.6</v>
      </c>
      <c r="AU472" s="18">
        <f t="shared" si="157"/>
        <v>507518.1</v>
      </c>
      <c r="AV472" s="18"/>
      <c r="AW472" s="18"/>
      <c r="AX472" s="12">
        <f t="shared" si="1"/>
        <v>82778.6</v>
      </c>
      <c r="AY472" s="12">
        <f t="shared" si="155"/>
        <v>507518.1</v>
      </c>
      <c r="AZ472" s="12">
        <v>3277.18</v>
      </c>
      <c r="BA472" s="18">
        <f t="shared" si="158"/>
        <v>48253.91</v>
      </c>
      <c r="BB472" s="10">
        <f t="shared" si="16"/>
        <v>715139.1409</v>
      </c>
      <c r="BC472" s="16">
        <f t="shared" si="88"/>
        <v>96282.16842</v>
      </c>
      <c r="BD472" s="16"/>
      <c r="BE472" s="16"/>
      <c r="BF472" s="6"/>
      <c r="BG472" s="6"/>
      <c r="BH472" s="6"/>
      <c r="BI472" s="29">
        <f t="shared" si="156"/>
        <v>32960.70484</v>
      </c>
      <c r="BK472" s="15">
        <f t="shared" si="76"/>
        <v>2.511432944</v>
      </c>
      <c r="BN472" s="16">
        <f t="shared" si="14"/>
        <v>49817.89516</v>
      </c>
      <c r="BO472" s="16">
        <f t="shared" si="159"/>
        <v>-217617.4065</v>
      </c>
      <c r="BY472" s="6">
        <f t="shared" si="2"/>
        <v>2025</v>
      </c>
      <c r="BZ472" s="6" t="str">
        <f t="shared" si="3"/>
        <v>enero</v>
      </c>
      <c r="CA472" s="6" t="str">
        <f t="shared" si="4"/>
        <v>1</v>
      </c>
    </row>
    <row r="473">
      <c r="A473" s="8">
        <v>45680.0</v>
      </c>
      <c r="B473" s="12">
        <v>23660.28</v>
      </c>
      <c r="C473" s="12">
        <v>2074.71</v>
      </c>
      <c r="D473" s="12">
        <v>0.0</v>
      </c>
      <c r="E473" s="12">
        <v>3438.66</v>
      </c>
      <c r="F473" s="12">
        <v>0.0</v>
      </c>
      <c r="G473" s="12">
        <v>0.0</v>
      </c>
      <c r="H473" s="12">
        <f t="shared" si="149"/>
        <v>29173.65</v>
      </c>
      <c r="I473" s="12">
        <v>14875.0</v>
      </c>
      <c r="J473" s="12">
        <v>1894.81</v>
      </c>
      <c r="K473" s="12">
        <v>0.0</v>
      </c>
      <c r="L473" s="12">
        <v>3438.66</v>
      </c>
      <c r="M473" s="12">
        <v>0.0</v>
      </c>
      <c r="N473" s="12">
        <v>0.0</v>
      </c>
      <c r="O473" s="16">
        <f t="shared" si="150"/>
        <v>20208.47</v>
      </c>
      <c r="P473" s="12">
        <v>6838.43</v>
      </c>
      <c r="Q473" s="12">
        <v>1095.41</v>
      </c>
      <c r="R473" s="12">
        <v>0.0</v>
      </c>
      <c r="S473" s="12">
        <v>0.0</v>
      </c>
      <c r="T473" s="12">
        <v>0.0</v>
      </c>
      <c r="U473" s="12">
        <v>0.0</v>
      </c>
      <c r="V473" s="16">
        <f t="shared" si="151"/>
        <v>7933.84</v>
      </c>
      <c r="W473" s="12">
        <v>6404.65</v>
      </c>
      <c r="X473" s="12">
        <v>0.0</v>
      </c>
      <c r="Y473" s="12">
        <v>0.0</v>
      </c>
      <c r="Z473" s="12">
        <v>0.0</v>
      </c>
      <c r="AA473" s="12">
        <v>0.0</v>
      </c>
      <c r="AB473" s="12">
        <v>0.0</v>
      </c>
      <c r="AC473" s="16">
        <f t="shared" si="152"/>
        <v>6404.65</v>
      </c>
      <c r="AD473" s="12"/>
      <c r="AE473" s="12"/>
      <c r="AF473" s="12">
        <v>5493.37</v>
      </c>
      <c r="AG473" s="12">
        <v>5620.47</v>
      </c>
      <c r="AH473" s="12">
        <v>0.0</v>
      </c>
      <c r="AI473" s="12">
        <v>0.0</v>
      </c>
      <c r="AJ473" s="12">
        <v>0.0</v>
      </c>
      <c r="AK473" s="12">
        <v>0.0</v>
      </c>
      <c r="AL473" s="12">
        <f t="shared" si="153"/>
        <v>11113.84</v>
      </c>
      <c r="AM473" s="12">
        <v>4794.0</v>
      </c>
      <c r="AN473" s="12">
        <v>0.0</v>
      </c>
      <c r="AO473" s="12">
        <v>3490.0</v>
      </c>
      <c r="AP473" s="12">
        <v>0.0</v>
      </c>
      <c r="AQ473" s="12">
        <v>0.0</v>
      </c>
      <c r="AR473" s="12">
        <v>0.0</v>
      </c>
      <c r="AS473" s="12">
        <f t="shared" si="161"/>
        <v>8284</v>
      </c>
      <c r="AT473" s="16">
        <f t="shared" si="126"/>
        <v>53944.8</v>
      </c>
      <c r="AU473" s="18">
        <f t="shared" si="157"/>
        <v>561462.9</v>
      </c>
      <c r="AV473" s="18"/>
      <c r="AW473" s="18"/>
      <c r="AX473" s="12">
        <f t="shared" si="1"/>
        <v>53944.8</v>
      </c>
      <c r="AY473" s="12">
        <f t="shared" si="155"/>
        <v>561462.9</v>
      </c>
      <c r="AZ473" s="12">
        <v>970.03</v>
      </c>
      <c r="BA473" s="18">
        <f t="shared" si="158"/>
        <v>49223.94</v>
      </c>
      <c r="BB473" s="10">
        <f t="shared" si="16"/>
        <v>756754.3435</v>
      </c>
      <c r="BC473" s="16">
        <f t="shared" si="88"/>
        <v>99228.865</v>
      </c>
      <c r="BD473" s="16"/>
      <c r="BE473" s="16"/>
      <c r="BF473" s="6"/>
      <c r="BG473" s="6"/>
      <c r="BH473" s="6"/>
      <c r="BI473" s="29">
        <f t="shared" si="156"/>
        <v>32960.70484</v>
      </c>
      <c r="BK473" s="15">
        <f t="shared" si="76"/>
        <v>1.636639758</v>
      </c>
      <c r="BN473" s="16">
        <f t="shared" si="14"/>
        <v>20984.09516</v>
      </c>
      <c r="BO473" s="16">
        <f t="shared" si="159"/>
        <v>-196633.3113</v>
      </c>
      <c r="BY473" s="6">
        <f t="shared" si="2"/>
        <v>2025</v>
      </c>
      <c r="BZ473" s="6" t="str">
        <f t="shared" si="3"/>
        <v>enero</v>
      </c>
      <c r="CA473" s="6" t="str">
        <f t="shared" si="4"/>
        <v>1</v>
      </c>
    </row>
    <row r="474">
      <c r="A474" s="8">
        <v>45681.0</v>
      </c>
      <c r="B474" s="12">
        <v>12474.97</v>
      </c>
      <c r="C474" s="12">
        <v>329.72</v>
      </c>
      <c r="D474" s="12">
        <v>0.0</v>
      </c>
      <c r="E474" s="12">
        <v>309747.59</v>
      </c>
      <c r="F474" s="12">
        <v>0.0</v>
      </c>
      <c r="G474" s="12">
        <v>0.0</v>
      </c>
      <c r="H474" s="12">
        <f t="shared" si="149"/>
        <v>322552.28</v>
      </c>
      <c r="I474" s="12">
        <v>27822.89</v>
      </c>
      <c r="J474" s="12">
        <v>3760.12</v>
      </c>
      <c r="K474" s="12">
        <v>0.0</v>
      </c>
      <c r="L474" s="12">
        <v>2412.0</v>
      </c>
      <c r="M474" s="12">
        <v>0.0</v>
      </c>
      <c r="N474" s="12">
        <v>0.0</v>
      </c>
      <c r="O474" s="16">
        <f t="shared" si="150"/>
        <v>33995.01</v>
      </c>
      <c r="P474" s="12">
        <v>2804.12</v>
      </c>
      <c r="Q474" s="12">
        <v>257.09</v>
      </c>
      <c r="R474" s="12">
        <v>0.0</v>
      </c>
      <c r="S474" s="12">
        <v>0.0</v>
      </c>
      <c r="T474" s="12">
        <v>0.0</v>
      </c>
      <c r="U474" s="12">
        <v>0.0</v>
      </c>
      <c r="V474" s="16">
        <f t="shared" si="151"/>
        <v>3061.21</v>
      </c>
      <c r="W474" s="12">
        <v>6848.72</v>
      </c>
      <c r="X474" s="12">
        <v>0.0</v>
      </c>
      <c r="Y474" s="12">
        <v>0.0</v>
      </c>
      <c r="Z474" s="12">
        <v>0.0</v>
      </c>
      <c r="AA474" s="12">
        <v>0.0</v>
      </c>
      <c r="AB474" s="12">
        <v>0.0</v>
      </c>
      <c r="AC474" s="16">
        <f t="shared" si="152"/>
        <v>6848.72</v>
      </c>
      <c r="AD474" s="12"/>
      <c r="AE474" s="12"/>
      <c r="AF474" s="12">
        <v>1394.69</v>
      </c>
      <c r="AG474" s="12">
        <v>3997.22</v>
      </c>
      <c r="AH474" s="12">
        <v>0.0</v>
      </c>
      <c r="AI474" s="12">
        <v>0.0</v>
      </c>
      <c r="AJ474" s="12">
        <v>0.0</v>
      </c>
      <c r="AK474" s="12">
        <v>0.0</v>
      </c>
      <c r="AL474" s="12">
        <f t="shared" si="153"/>
        <v>5391.91</v>
      </c>
      <c r="AM474" s="12">
        <v>6143.0</v>
      </c>
      <c r="AN474" s="12">
        <v>0.0</v>
      </c>
      <c r="AO474" s="12">
        <v>0.0</v>
      </c>
      <c r="AP474" s="12">
        <v>0.0</v>
      </c>
      <c r="AQ474" s="12">
        <v>0.0</v>
      </c>
      <c r="AR474" s="12">
        <v>0.0</v>
      </c>
      <c r="AS474" s="12">
        <f t="shared" si="161"/>
        <v>6143</v>
      </c>
      <c r="AT474" s="16">
        <f t="shared" si="126"/>
        <v>55439.85</v>
      </c>
      <c r="AU474" s="18">
        <f t="shared" si="157"/>
        <v>616902.75</v>
      </c>
      <c r="AV474" s="18"/>
      <c r="AW474" s="18"/>
      <c r="AX474" s="12">
        <f t="shared" si="1"/>
        <v>55439.85</v>
      </c>
      <c r="AY474" s="12">
        <f t="shared" si="155"/>
        <v>616902.75</v>
      </c>
      <c r="AZ474" s="12">
        <v>24483.73</v>
      </c>
      <c r="BA474" s="18">
        <f t="shared" si="158"/>
        <v>73707.67</v>
      </c>
      <c r="BB474" s="10">
        <f t="shared" si="16"/>
        <v>796832.7188</v>
      </c>
      <c r="BC474" s="16">
        <f t="shared" si="88"/>
        <v>101128.4524</v>
      </c>
      <c r="BD474" s="16"/>
      <c r="BE474" s="16"/>
      <c r="BF474" s="6"/>
      <c r="BG474" s="6"/>
      <c r="BH474" s="6"/>
      <c r="BI474" s="29">
        <f t="shared" si="156"/>
        <v>32960.70484</v>
      </c>
      <c r="BK474" s="15">
        <f t="shared" si="76"/>
        <v>1.681998315</v>
      </c>
      <c r="BN474" s="16">
        <f t="shared" si="14"/>
        <v>22479.14516</v>
      </c>
      <c r="BO474" s="16">
        <f t="shared" si="159"/>
        <v>-174154.1661</v>
      </c>
      <c r="BY474" s="6">
        <f t="shared" si="2"/>
        <v>2025</v>
      </c>
      <c r="BZ474" s="6" t="str">
        <f t="shared" si="3"/>
        <v>enero</v>
      </c>
      <c r="CA474" s="6" t="str">
        <f t="shared" si="4"/>
        <v>1</v>
      </c>
    </row>
    <row r="475">
      <c r="A475" s="8">
        <v>45682.0</v>
      </c>
      <c r="B475" s="12">
        <v>0.0</v>
      </c>
      <c r="C475" s="12">
        <v>0.0</v>
      </c>
      <c r="D475" s="12">
        <v>0.0</v>
      </c>
      <c r="E475" s="12">
        <v>0.0</v>
      </c>
      <c r="F475" s="12">
        <v>0.0</v>
      </c>
      <c r="G475" s="12">
        <v>0.0</v>
      </c>
      <c r="H475" s="12">
        <f t="shared" si="149"/>
        <v>0</v>
      </c>
      <c r="I475" s="12">
        <v>0.0</v>
      </c>
      <c r="J475" s="12">
        <v>0.0</v>
      </c>
      <c r="K475" s="12">
        <v>0.0</v>
      </c>
      <c r="L475" s="12">
        <v>0.0</v>
      </c>
      <c r="M475" s="12">
        <v>0.0</v>
      </c>
      <c r="N475" s="12">
        <v>0.0</v>
      </c>
      <c r="O475" s="16">
        <f t="shared" si="150"/>
        <v>0</v>
      </c>
      <c r="P475" s="12">
        <v>0.0</v>
      </c>
      <c r="Q475" s="12">
        <v>0.0</v>
      </c>
      <c r="R475" s="12">
        <v>0.0</v>
      </c>
      <c r="S475" s="12">
        <v>0.0</v>
      </c>
      <c r="T475" s="12">
        <v>0.0</v>
      </c>
      <c r="U475" s="12">
        <v>0.0</v>
      </c>
      <c r="V475" s="16">
        <f t="shared" si="151"/>
        <v>0</v>
      </c>
      <c r="W475" s="12">
        <v>0.0</v>
      </c>
      <c r="X475" s="12">
        <v>0.0</v>
      </c>
      <c r="Y475" s="12">
        <v>0.0</v>
      </c>
      <c r="Z475" s="12">
        <v>0.0</v>
      </c>
      <c r="AA475" s="12">
        <v>0.0</v>
      </c>
      <c r="AB475" s="12">
        <v>0.0</v>
      </c>
      <c r="AC475" s="16">
        <f t="shared" si="152"/>
        <v>0</v>
      </c>
      <c r="AD475" s="12"/>
      <c r="AE475" s="12"/>
      <c r="AF475" s="12">
        <v>0.0</v>
      </c>
      <c r="AG475" s="12">
        <v>0.0</v>
      </c>
      <c r="AH475" s="12">
        <v>0.0</v>
      </c>
      <c r="AI475" s="12">
        <v>0.0</v>
      </c>
      <c r="AJ475" s="12">
        <v>0.0</v>
      </c>
      <c r="AK475" s="12">
        <v>0.0</v>
      </c>
      <c r="AL475" s="12">
        <f t="shared" si="153"/>
        <v>0</v>
      </c>
      <c r="AM475" s="12">
        <v>0.0</v>
      </c>
      <c r="AN475" s="12">
        <v>0.0</v>
      </c>
      <c r="AO475" s="12">
        <v>0.0</v>
      </c>
      <c r="AP475" s="12">
        <v>0.0</v>
      </c>
      <c r="AQ475" s="12">
        <v>0.0</v>
      </c>
      <c r="AR475" s="12">
        <v>0.0</v>
      </c>
      <c r="AS475" s="12">
        <f t="shared" si="161"/>
        <v>0</v>
      </c>
      <c r="AT475" s="16">
        <f t="shared" si="126"/>
        <v>0</v>
      </c>
      <c r="AU475" s="18">
        <f t="shared" si="157"/>
        <v>616902.75</v>
      </c>
      <c r="AV475" s="18"/>
      <c r="AW475" s="18"/>
      <c r="AX475" s="12">
        <f t="shared" si="1"/>
        <v>0</v>
      </c>
      <c r="AY475" s="12">
        <f t="shared" si="155"/>
        <v>616902.75</v>
      </c>
      <c r="AZ475" s="12">
        <v>0.0</v>
      </c>
      <c r="BA475" s="18">
        <f t="shared" si="158"/>
        <v>73707.67</v>
      </c>
      <c r="BB475" s="10">
        <f t="shared" si="16"/>
        <v>764959.41</v>
      </c>
      <c r="BC475" s="16">
        <f t="shared" si="88"/>
        <v>115345.0227</v>
      </c>
      <c r="BD475" s="16"/>
      <c r="BE475" s="16"/>
      <c r="BF475" s="6"/>
      <c r="BG475" s="6"/>
      <c r="BH475" s="6"/>
      <c r="BI475" s="29">
        <f t="shared" si="156"/>
        <v>32960.70484</v>
      </c>
      <c r="BJ475" s="6"/>
      <c r="BK475" s="15">
        <f t="shared" si="76"/>
        <v>0</v>
      </c>
      <c r="BN475" s="16">
        <f t="shared" si="14"/>
        <v>-32960.70484</v>
      </c>
      <c r="BO475" s="16">
        <f t="shared" si="159"/>
        <v>-207114.871</v>
      </c>
      <c r="BY475" s="6">
        <f t="shared" si="2"/>
        <v>2025</v>
      </c>
      <c r="BZ475" s="6" t="str">
        <f t="shared" si="3"/>
        <v>enero</v>
      </c>
      <c r="CA475" s="6" t="str">
        <f t="shared" si="4"/>
        <v>1</v>
      </c>
    </row>
    <row r="476">
      <c r="A476" s="8">
        <v>45683.0</v>
      </c>
      <c r="B476" s="12">
        <v>0.0</v>
      </c>
      <c r="C476" s="12">
        <v>0.0</v>
      </c>
      <c r="D476" s="12">
        <v>0.0</v>
      </c>
      <c r="E476" s="12">
        <v>0.0</v>
      </c>
      <c r="F476" s="12">
        <v>0.0</v>
      </c>
      <c r="G476" s="12">
        <v>0.0</v>
      </c>
      <c r="H476" s="12">
        <f t="shared" si="149"/>
        <v>0</v>
      </c>
      <c r="I476" s="12">
        <v>0.0</v>
      </c>
      <c r="J476" s="12">
        <v>0.0</v>
      </c>
      <c r="K476" s="12">
        <v>0.0</v>
      </c>
      <c r="L476" s="12">
        <v>0.0</v>
      </c>
      <c r="M476" s="12">
        <v>0.0</v>
      </c>
      <c r="N476" s="12">
        <v>0.0</v>
      </c>
      <c r="O476" s="16">
        <f t="shared" si="150"/>
        <v>0</v>
      </c>
      <c r="P476" s="12">
        <v>0.0</v>
      </c>
      <c r="Q476" s="12">
        <v>0.0</v>
      </c>
      <c r="R476" s="12">
        <v>0.0</v>
      </c>
      <c r="S476" s="12">
        <v>0.0</v>
      </c>
      <c r="T476" s="12">
        <v>0.0</v>
      </c>
      <c r="U476" s="12">
        <v>0.0</v>
      </c>
      <c r="V476" s="16">
        <f t="shared" si="151"/>
        <v>0</v>
      </c>
      <c r="W476" s="12">
        <v>0.0</v>
      </c>
      <c r="X476" s="12">
        <v>0.0</v>
      </c>
      <c r="Y476" s="12">
        <v>0.0</v>
      </c>
      <c r="Z476" s="12">
        <v>0.0</v>
      </c>
      <c r="AA476" s="12">
        <v>0.0</v>
      </c>
      <c r="AB476" s="12">
        <v>0.0</v>
      </c>
      <c r="AC476" s="16">
        <f t="shared" si="152"/>
        <v>0</v>
      </c>
      <c r="AD476" s="12"/>
      <c r="AE476" s="12"/>
      <c r="AF476" s="12">
        <v>0.0</v>
      </c>
      <c r="AG476" s="12">
        <v>0.0</v>
      </c>
      <c r="AH476" s="12">
        <v>0.0</v>
      </c>
      <c r="AI476" s="12">
        <v>0.0</v>
      </c>
      <c r="AJ476" s="12">
        <v>0.0</v>
      </c>
      <c r="AK476" s="12">
        <v>0.0</v>
      </c>
      <c r="AL476" s="12">
        <f t="shared" si="153"/>
        <v>0</v>
      </c>
      <c r="AM476" s="12">
        <v>0.0</v>
      </c>
      <c r="AN476" s="12">
        <v>0.0</v>
      </c>
      <c r="AO476" s="12">
        <v>0.0</v>
      </c>
      <c r="AP476" s="12">
        <v>0.0</v>
      </c>
      <c r="AQ476" s="12">
        <v>0.0</v>
      </c>
      <c r="AR476" s="12">
        <v>0.0</v>
      </c>
      <c r="AS476" s="12">
        <f t="shared" si="161"/>
        <v>0</v>
      </c>
      <c r="AT476" s="16">
        <f t="shared" si="126"/>
        <v>0</v>
      </c>
      <c r="AU476" s="18">
        <f t="shared" si="157"/>
        <v>616902.75</v>
      </c>
      <c r="AV476" s="18"/>
      <c r="AW476" s="18"/>
      <c r="AX476" s="12">
        <f t="shared" si="1"/>
        <v>0</v>
      </c>
      <c r="AY476" s="12">
        <f t="shared" si="155"/>
        <v>616902.75</v>
      </c>
      <c r="AZ476" s="12">
        <v>0.0</v>
      </c>
      <c r="BA476" s="18">
        <f t="shared" si="158"/>
        <v>73707.67</v>
      </c>
      <c r="BB476" s="10">
        <f t="shared" si="16"/>
        <v>735537.8942</v>
      </c>
      <c r="BC476" s="16">
        <f t="shared" si="88"/>
        <v>122057.1522</v>
      </c>
      <c r="BD476" s="16"/>
      <c r="BE476" s="16"/>
      <c r="BF476" s="6"/>
      <c r="BG476" s="6"/>
      <c r="BH476" s="6"/>
      <c r="BI476" s="29">
        <f t="shared" si="156"/>
        <v>32960.70484</v>
      </c>
      <c r="BJ476" s="6"/>
      <c r="BK476" s="15">
        <f t="shared" si="76"/>
        <v>0</v>
      </c>
      <c r="BN476" s="16">
        <f t="shared" si="14"/>
        <v>-32960.70484</v>
      </c>
      <c r="BO476" s="16">
        <f t="shared" si="159"/>
        <v>-240075.5758</v>
      </c>
      <c r="BY476" s="6">
        <f t="shared" si="2"/>
        <v>2025</v>
      </c>
      <c r="BZ476" s="6" t="str">
        <f t="shared" si="3"/>
        <v>enero</v>
      </c>
      <c r="CA476" s="6" t="str">
        <f t="shared" si="4"/>
        <v>1</v>
      </c>
    </row>
    <row r="477">
      <c r="A477" s="8">
        <v>45684.0</v>
      </c>
      <c r="B477" s="12">
        <v>51325.41</v>
      </c>
      <c r="C477" s="12">
        <v>1579.6</v>
      </c>
      <c r="D477" s="12">
        <v>3048.27</v>
      </c>
      <c r="E477" s="12">
        <v>0.0</v>
      </c>
      <c r="F477" s="12">
        <v>0.0</v>
      </c>
      <c r="G477" s="12">
        <v>0.0</v>
      </c>
      <c r="H477" s="12">
        <f t="shared" si="149"/>
        <v>55953.28</v>
      </c>
      <c r="I477" s="12">
        <v>38995.0</v>
      </c>
      <c r="J477" s="12">
        <v>1751.29</v>
      </c>
      <c r="K477" s="12">
        <v>1542.0</v>
      </c>
      <c r="L477" s="12">
        <v>0.0</v>
      </c>
      <c r="M477" s="12">
        <v>0.0</v>
      </c>
      <c r="N477" s="12">
        <v>0.0</v>
      </c>
      <c r="O477" s="16">
        <f t="shared" si="150"/>
        <v>42288.29</v>
      </c>
      <c r="P477" s="12">
        <v>7373.98</v>
      </c>
      <c r="Q477" s="12">
        <v>1609.16</v>
      </c>
      <c r="R477" s="12">
        <v>1283.46</v>
      </c>
      <c r="S477" s="12">
        <v>0.0</v>
      </c>
      <c r="T477" s="12">
        <v>0.0</v>
      </c>
      <c r="U477" s="12">
        <v>0.0</v>
      </c>
      <c r="V477" s="16">
        <f t="shared" si="151"/>
        <v>10266.6</v>
      </c>
      <c r="W477" s="12">
        <v>7812.58</v>
      </c>
      <c r="X477" s="12">
        <v>100.0</v>
      </c>
      <c r="Y477" s="12">
        <v>10646.81</v>
      </c>
      <c r="Z477" s="12">
        <v>0.0</v>
      </c>
      <c r="AA477" s="12">
        <v>0.0</v>
      </c>
      <c r="AB477" s="12">
        <v>0.0</v>
      </c>
      <c r="AC477" s="16">
        <f t="shared" si="152"/>
        <v>18559.39</v>
      </c>
      <c r="AD477" s="12"/>
      <c r="AE477" s="12"/>
      <c r="AF477" s="12">
        <v>2536.55</v>
      </c>
      <c r="AG477" s="12">
        <v>3449.3</v>
      </c>
      <c r="AH477" s="12">
        <v>0.0</v>
      </c>
      <c r="AI477" s="12">
        <v>0.0</v>
      </c>
      <c r="AJ477" s="12">
        <v>0.0</v>
      </c>
      <c r="AK477" s="12">
        <v>0.0</v>
      </c>
      <c r="AL477" s="12">
        <f t="shared" si="153"/>
        <v>5985.85</v>
      </c>
      <c r="AM477" s="12">
        <v>10996.0</v>
      </c>
      <c r="AN477" s="12">
        <v>0.0</v>
      </c>
      <c r="AO477" s="12">
        <v>14339.0</v>
      </c>
      <c r="AP477" s="12">
        <v>0.0</v>
      </c>
      <c r="AQ477" s="12">
        <v>0.0</v>
      </c>
      <c r="AR477" s="12">
        <v>0.0</v>
      </c>
      <c r="AS477" s="12">
        <f t="shared" si="161"/>
        <v>25335</v>
      </c>
      <c r="AT477" s="16">
        <f t="shared" si="126"/>
        <v>102435.13</v>
      </c>
      <c r="AU477" s="18">
        <f t="shared" si="157"/>
        <v>719337.88</v>
      </c>
      <c r="AV477" s="18"/>
      <c r="AW477" s="18"/>
      <c r="AX477" s="12">
        <f t="shared" si="1"/>
        <v>102435.13</v>
      </c>
      <c r="AY477" s="12">
        <f t="shared" si="155"/>
        <v>719337.88</v>
      </c>
      <c r="AZ477" s="12">
        <v>6614.72</v>
      </c>
      <c r="BA477" s="18">
        <f t="shared" si="158"/>
        <v>80322.39</v>
      </c>
      <c r="BB477" s="10">
        <f t="shared" si="16"/>
        <v>825906.4548</v>
      </c>
      <c r="BC477" s="16">
        <f t="shared" si="88"/>
        <v>128521.4063</v>
      </c>
      <c r="BD477" s="16"/>
      <c r="BE477" s="16"/>
      <c r="BF477" s="6"/>
      <c r="BG477" s="6"/>
      <c r="BH477" s="6"/>
      <c r="BI477" s="29">
        <f t="shared" si="156"/>
        <v>32960.70484</v>
      </c>
      <c r="BK477" s="15">
        <f t="shared" si="76"/>
        <v>3.107795495</v>
      </c>
      <c r="BN477" s="16">
        <f t="shared" si="14"/>
        <v>69474.42516</v>
      </c>
      <c r="BO477" s="16">
        <f t="shared" si="159"/>
        <v>-170601.1506</v>
      </c>
      <c r="BY477" s="6">
        <f t="shared" si="2"/>
        <v>2025</v>
      </c>
      <c r="BZ477" s="6" t="str">
        <f t="shared" si="3"/>
        <v>enero</v>
      </c>
      <c r="CA477" s="6" t="str">
        <f t="shared" si="4"/>
        <v>1</v>
      </c>
    </row>
    <row r="478">
      <c r="A478" s="8">
        <v>45685.0</v>
      </c>
      <c r="B478" s="12">
        <v>115851.87</v>
      </c>
      <c r="C478" s="12">
        <v>529.11</v>
      </c>
      <c r="D478" s="12">
        <v>0.0</v>
      </c>
      <c r="E478" s="12">
        <v>0.0</v>
      </c>
      <c r="F478" s="12">
        <v>0.0</v>
      </c>
      <c r="G478" s="12">
        <v>0.0</v>
      </c>
      <c r="H478" s="12">
        <f t="shared" si="149"/>
        <v>116380.98</v>
      </c>
      <c r="I478" s="12">
        <v>8956.0</v>
      </c>
      <c r="J478" s="12">
        <v>1076.12</v>
      </c>
      <c r="K478" s="12">
        <v>0.0</v>
      </c>
      <c r="L478" s="12">
        <v>0.0</v>
      </c>
      <c r="M478" s="12">
        <v>0.0</v>
      </c>
      <c r="N478" s="12">
        <v>0.0</v>
      </c>
      <c r="O478" s="16">
        <f t="shared" si="150"/>
        <v>10032.12</v>
      </c>
      <c r="P478" s="12">
        <v>6552.34</v>
      </c>
      <c r="Q478" s="12">
        <v>75.44</v>
      </c>
      <c r="R478" s="12">
        <v>0.0</v>
      </c>
      <c r="S478" s="12">
        <v>0.0</v>
      </c>
      <c r="T478" s="12">
        <v>0.0</v>
      </c>
      <c r="U478" s="12">
        <v>0.0</v>
      </c>
      <c r="V478" s="16">
        <f t="shared" si="151"/>
        <v>6627.78</v>
      </c>
      <c r="W478" s="12">
        <v>15564.65</v>
      </c>
      <c r="X478" s="12">
        <v>0.0</v>
      </c>
      <c r="Y478" s="12">
        <v>4865.85</v>
      </c>
      <c r="Z478" s="12">
        <v>0.0</v>
      </c>
      <c r="AA478" s="12">
        <v>0.0</v>
      </c>
      <c r="AB478" s="12">
        <v>0.0</v>
      </c>
      <c r="AC478" s="16">
        <f t="shared" si="152"/>
        <v>20430.5</v>
      </c>
      <c r="AD478" s="12"/>
      <c r="AE478" s="12"/>
      <c r="AF478" s="12">
        <v>406.99</v>
      </c>
      <c r="AG478" s="12">
        <v>0.0</v>
      </c>
      <c r="AH478" s="12">
        <v>0.0</v>
      </c>
      <c r="AI478" s="12">
        <v>0.0</v>
      </c>
      <c r="AJ478" s="12">
        <v>0.0</v>
      </c>
      <c r="AK478" s="12">
        <v>0.0</v>
      </c>
      <c r="AL478" s="12">
        <f t="shared" si="153"/>
        <v>406.99</v>
      </c>
      <c r="AM478" s="12">
        <v>17821.0</v>
      </c>
      <c r="AN478" s="12">
        <v>0.0</v>
      </c>
      <c r="AO478" s="12">
        <v>7724.0</v>
      </c>
      <c r="AP478" s="12">
        <v>0.0</v>
      </c>
      <c r="AQ478" s="12">
        <v>0.0</v>
      </c>
      <c r="AR478" s="12">
        <v>0.0</v>
      </c>
      <c r="AS478" s="12">
        <f t="shared" si="161"/>
        <v>25545</v>
      </c>
      <c r="AT478" s="16">
        <f t="shared" si="126"/>
        <v>63042.39</v>
      </c>
      <c r="AU478" s="18">
        <f t="shared" si="157"/>
        <v>782380.27</v>
      </c>
      <c r="AV478" s="18"/>
      <c r="AW478" s="18"/>
      <c r="AX478" s="12">
        <f t="shared" si="1"/>
        <v>63042.39</v>
      </c>
      <c r="AY478" s="12">
        <f t="shared" si="155"/>
        <v>782380.27</v>
      </c>
      <c r="AZ478" s="12">
        <v>363.14</v>
      </c>
      <c r="BA478" s="18">
        <f t="shared" si="158"/>
        <v>80685.53</v>
      </c>
      <c r="BB478" s="10">
        <f t="shared" si="16"/>
        <v>866206.7275</v>
      </c>
      <c r="BC478" s="16">
        <f t="shared" si="88"/>
        <v>123380.55</v>
      </c>
      <c r="BD478" s="16"/>
      <c r="BE478" s="16"/>
      <c r="BF478" s="6"/>
      <c r="BG478" s="6"/>
      <c r="BH478" s="6"/>
      <c r="BI478" s="29">
        <f t="shared" si="156"/>
        <v>32960.70484</v>
      </c>
      <c r="BK478" s="15">
        <f t="shared" si="76"/>
        <v>1.91265297</v>
      </c>
      <c r="BN478" s="16">
        <f t="shared" si="14"/>
        <v>30081.68516</v>
      </c>
      <c r="BO478" s="16">
        <f t="shared" si="159"/>
        <v>-140519.4655</v>
      </c>
      <c r="BY478" s="6">
        <f t="shared" si="2"/>
        <v>2025</v>
      </c>
      <c r="BZ478" s="6" t="str">
        <f t="shared" si="3"/>
        <v>enero</v>
      </c>
      <c r="CA478" s="6" t="str">
        <f t="shared" si="4"/>
        <v>1</v>
      </c>
    </row>
    <row r="479">
      <c r="A479" s="8">
        <v>45686.0</v>
      </c>
      <c r="B479" s="12">
        <v>7581.17</v>
      </c>
      <c r="C479" s="12">
        <v>682.08</v>
      </c>
      <c r="D479" s="12">
        <v>0.0</v>
      </c>
      <c r="E479" s="12">
        <v>0.0</v>
      </c>
      <c r="F479" s="12">
        <v>0.0</v>
      </c>
      <c r="G479" s="12">
        <v>0.0</v>
      </c>
      <c r="H479" s="12">
        <f t="shared" si="149"/>
        <v>8263.25</v>
      </c>
      <c r="I479" s="12">
        <v>3574.0</v>
      </c>
      <c r="J479" s="12">
        <v>1757.87</v>
      </c>
      <c r="K479" s="12">
        <v>0.0</v>
      </c>
      <c r="L479" s="12">
        <v>0.0</v>
      </c>
      <c r="M479" s="12">
        <v>0.0</v>
      </c>
      <c r="N479" s="12">
        <v>0.0</v>
      </c>
      <c r="O479" s="16">
        <f t="shared" si="150"/>
        <v>5331.87</v>
      </c>
      <c r="P479" s="12">
        <v>2847.5</v>
      </c>
      <c r="Q479" s="12">
        <v>314.44</v>
      </c>
      <c r="R479" s="12">
        <v>0.0</v>
      </c>
      <c r="S479" s="12">
        <v>0.0</v>
      </c>
      <c r="T479" s="12">
        <v>0.0</v>
      </c>
      <c r="U479" s="12">
        <v>0.0</v>
      </c>
      <c r="V479" s="16">
        <f t="shared" si="151"/>
        <v>3161.94</v>
      </c>
      <c r="W479" s="12">
        <v>2338.41</v>
      </c>
      <c r="X479" s="12">
        <v>0.0</v>
      </c>
      <c r="Y479" s="12">
        <v>6028.33</v>
      </c>
      <c r="Z479" s="12">
        <v>0.0</v>
      </c>
      <c r="AA479" s="12">
        <v>0.0</v>
      </c>
      <c r="AB479" s="12">
        <v>0.0</v>
      </c>
      <c r="AC479" s="16">
        <f t="shared" si="152"/>
        <v>8366.74</v>
      </c>
      <c r="AD479" s="12"/>
      <c r="AE479" s="12"/>
      <c r="AF479" s="12">
        <v>3162.34</v>
      </c>
      <c r="AG479" s="12">
        <v>0.0</v>
      </c>
      <c r="AH479" s="12">
        <v>0.0</v>
      </c>
      <c r="AI479" s="12">
        <v>0.0</v>
      </c>
      <c r="AJ479" s="12">
        <v>0.0</v>
      </c>
      <c r="AK479" s="12">
        <v>0.0</v>
      </c>
      <c r="AL479" s="12">
        <f t="shared" si="153"/>
        <v>3162.34</v>
      </c>
      <c r="AM479" s="12">
        <v>1989.0</v>
      </c>
      <c r="AN479" s="12">
        <v>0.0</v>
      </c>
      <c r="AO479" s="12">
        <v>7212.0</v>
      </c>
      <c r="AP479" s="12">
        <v>0.0</v>
      </c>
      <c r="AQ479" s="12">
        <v>0.0</v>
      </c>
      <c r="AR479" s="12">
        <v>0.0</v>
      </c>
      <c r="AS479" s="12">
        <f t="shared" si="161"/>
        <v>9201</v>
      </c>
      <c r="AT479" s="16">
        <f t="shared" si="126"/>
        <v>29223.89</v>
      </c>
      <c r="AU479" s="18">
        <f t="shared" si="157"/>
        <v>811604.16</v>
      </c>
      <c r="AV479" s="18"/>
      <c r="AW479" s="18"/>
      <c r="AX479" s="12">
        <f t="shared" si="1"/>
        <v>29223.89</v>
      </c>
      <c r="AY479" s="12">
        <f t="shared" si="155"/>
        <v>811604.16</v>
      </c>
      <c r="AZ479" s="12">
        <v>0.0</v>
      </c>
      <c r="BA479" s="18">
        <f t="shared" si="158"/>
        <v>80685.53</v>
      </c>
      <c r="BB479" s="10">
        <f t="shared" si="16"/>
        <v>867576.8607</v>
      </c>
      <c r="BC479" s="16">
        <f t="shared" si="88"/>
        <v>118635.1442</v>
      </c>
      <c r="BD479" s="16"/>
      <c r="BE479" s="16"/>
      <c r="BF479" s="6"/>
      <c r="BG479" s="6"/>
      <c r="BH479" s="6"/>
      <c r="BI479" s="29">
        <f t="shared" si="156"/>
        <v>32960.70484</v>
      </c>
      <c r="BJ479" s="6"/>
      <c r="BK479" s="15">
        <f t="shared" si="76"/>
        <v>0.8866281878</v>
      </c>
      <c r="BN479" s="16">
        <f t="shared" si="14"/>
        <v>-3736.814839</v>
      </c>
      <c r="BO479" s="16">
        <f t="shared" si="159"/>
        <v>-144256.2803</v>
      </c>
      <c r="BP479" s="16">
        <f>AU450+AU419+AU389+AU358+AU328+AU297+AU266+AU236+AU205+AU175+AU144+AU115</f>
        <v>8217510.716</v>
      </c>
      <c r="BY479" s="6">
        <f t="shared" si="2"/>
        <v>2025</v>
      </c>
      <c r="BZ479" s="6" t="str">
        <f t="shared" si="3"/>
        <v>enero</v>
      </c>
      <c r="CA479" s="6" t="str">
        <f t="shared" si="4"/>
        <v>1</v>
      </c>
    </row>
    <row r="480">
      <c r="A480" s="8">
        <v>45687.0</v>
      </c>
      <c r="B480" s="12">
        <v>34713.75</v>
      </c>
      <c r="C480" s="12">
        <v>2461.65</v>
      </c>
      <c r="D480" s="12">
        <v>4313.55</v>
      </c>
      <c r="E480" s="12">
        <v>0.0</v>
      </c>
      <c r="F480" s="12">
        <v>0.0</v>
      </c>
      <c r="G480" s="12">
        <v>0.0</v>
      </c>
      <c r="H480" s="12">
        <f t="shared" si="149"/>
        <v>41488.95</v>
      </c>
      <c r="I480" s="12">
        <v>34756.0</v>
      </c>
      <c r="J480" s="12">
        <v>2463.0</v>
      </c>
      <c r="K480" s="12">
        <v>2044.47</v>
      </c>
      <c r="L480" s="12">
        <v>0.0</v>
      </c>
      <c r="M480" s="12">
        <v>0.0</v>
      </c>
      <c r="N480" s="12">
        <v>0.0</v>
      </c>
      <c r="O480" s="16">
        <f t="shared" si="150"/>
        <v>39263.47</v>
      </c>
      <c r="P480" s="12">
        <v>13520.61</v>
      </c>
      <c r="Q480" s="12">
        <v>605.86</v>
      </c>
      <c r="R480" s="12">
        <v>1248.36</v>
      </c>
      <c r="S480" s="12">
        <v>0.0</v>
      </c>
      <c r="T480" s="12">
        <v>0.0</v>
      </c>
      <c r="U480" s="12">
        <v>0.0</v>
      </c>
      <c r="V480" s="16">
        <f t="shared" si="151"/>
        <v>15374.83</v>
      </c>
      <c r="W480" s="12">
        <v>13826.03</v>
      </c>
      <c r="X480" s="12">
        <v>0.16</v>
      </c>
      <c r="Y480" s="12">
        <v>90.75</v>
      </c>
      <c r="Z480" s="12">
        <v>0.0</v>
      </c>
      <c r="AA480" s="12">
        <v>0.0</v>
      </c>
      <c r="AB480" s="12">
        <v>0.0</v>
      </c>
      <c r="AC480" s="16">
        <f t="shared" si="152"/>
        <v>13916.94</v>
      </c>
      <c r="AD480" s="12"/>
      <c r="AE480" s="12"/>
      <c r="AF480" s="12">
        <v>1007.92</v>
      </c>
      <c r="AG480" s="12">
        <v>102.27</v>
      </c>
      <c r="AH480" s="12">
        <v>0.0</v>
      </c>
      <c r="AI480" s="12">
        <v>0.0</v>
      </c>
      <c r="AJ480" s="12">
        <v>0.0</v>
      </c>
      <c r="AK480" s="12">
        <v>0.0</v>
      </c>
      <c r="AL480" s="12">
        <f t="shared" si="153"/>
        <v>1110.19</v>
      </c>
      <c r="AM480" s="12">
        <v>22448.0</v>
      </c>
      <c r="AN480" s="12">
        <v>0.0</v>
      </c>
      <c r="AO480" s="12">
        <v>0.0</v>
      </c>
      <c r="AP480" s="12">
        <v>0.0</v>
      </c>
      <c r="AQ480" s="12">
        <v>0.0</v>
      </c>
      <c r="AR480" s="12">
        <v>0.0</v>
      </c>
      <c r="AS480" s="12">
        <f t="shared" si="161"/>
        <v>22448</v>
      </c>
      <c r="AT480" s="16">
        <f t="shared" si="126"/>
        <v>92113.43</v>
      </c>
      <c r="AU480" s="18">
        <f t="shared" si="157"/>
        <v>903717.59</v>
      </c>
      <c r="AV480" s="18"/>
      <c r="AW480" s="18"/>
      <c r="AX480" s="12">
        <f t="shared" si="1"/>
        <v>92113.43</v>
      </c>
      <c r="AY480" s="12">
        <f t="shared" si="155"/>
        <v>903717.59</v>
      </c>
      <c r="AZ480" s="12">
        <v>3362.97</v>
      </c>
      <c r="BA480" s="18">
        <f t="shared" si="158"/>
        <v>84048.5</v>
      </c>
      <c r="BB480" s="10">
        <f t="shared" si="16"/>
        <v>933841.5097</v>
      </c>
      <c r="BC480" s="16">
        <f t="shared" si="88"/>
        <v>133210.7185</v>
      </c>
      <c r="BD480" s="16"/>
      <c r="BE480" s="16"/>
      <c r="BF480" s="6"/>
      <c r="BG480" s="6"/>
      <c r="BH480" s="6"/>
      <c r="BI480" s="29">
        <f t="shared" si="156"/>
        <v>32960.70484</v>
      </c>
      <c r="BK480" s="15">
        <f t="shared" si="76"/>
        <v>2.794643818</v>
      </c>
      <c r="BN480" s="16">
        <f t="shared" si="14"/>
        <v>59152.72516</v>
      </c>
      <c r="BO480" s="16">
        <f t="shared" si="159"/>
        <v>-85103.55516</v>
      </c>
      <c r="BY480" s="6">
        <f t="shared" si="2"/>
        <v>2025</v>
      </c>
      <c r="BZ480" s="6" t="str">
        <f t="shared" si="3"/>
        <v>enero</v>
      </c>
      <c r="CA480" s="6" t="str">
        <f t="shared" si="4"/>
        <v>1</v>
      </c>
    </row>
    <row r="481">
      <c r="A481" s="8">
        <v>45688.0</v>
      </c>
      <c r="B481" s="12">
        <f>51898.42+25086.05+26889.18+8370.39</f>
        <v>112244.04</v>
      </c>
      <c r="C481" s="12">
        <f>24085.03+470.85+724.45</f>
        <v>25280.33</v>
      </c>
      <c r="D481" s="12">
        <f>1897.01+7575.07+1072.16</f>
        <v>10544.24</v>
      </c>
      <c r="E481" s="12">
        <v>0.0</v>
      </c>
      <c r="F481" s="12">
        <v>0.0</v>
      </c>
      <c r="G481" s="12">
        <v>0.0</v>
      </c>
      <c r="H481" s="12">
        <f t="shared" si="149"/>
        <v>148068.61</v>
      </c>
      <c r="I481" s="12">
        <f>35412+24562+13931.67+4162.4</f>
        <v>78068.07</v>
      </c>
      <c r="J481" s="12">
        <f>1320+4562+2891.06</f>
        <v>8773.06</v>
      </c>
      <c r="K481" s="12">
        <f>913.8+6952.48+2459</f>
        <v>10325.28</v>
      </c>
      <c r="L481" s="12">
        <v>0.0</v>
      </c>
      <c r="M481" s="12">
        <v>0.0</v>
      </c>
      <c r="N481" s="12">
        <v>0.0</v>
      </c>
      <c r="O481" s="16">
        <f t="shared" si="150"/>
        <v>97166.41</v>
      </c>
      <c r="P481" s="12">
        <f>14390.12+7920.07+11627.02+1779.14</f>
        <v>35716.35</v>
      </c>
      <c r="Q481" s="12">
        <f>1480.72+347.49</f>
        <v>1828.21</v>
      </c>
      <c r="R481" s="12">
        <f>559.29+1434.27+462.43</f>
        <v>2455.99</v>
      </c>
      <c r="S481" s="12">
        <v>0.0</v>
      </c>
      <c r="T481" s="12">
        <v>0.0</v>
      </c>
      <c r="U481" s="12">
        <v>0.0</v>
      </c>
      <c r="V481" s="16">
        <f t="shared" si="151"/>
        <v>40000.55</v>
      </c>
      <c r="W481" s="12">
        <f>6.55+70.04+5840.83+2613.1</f>
        <v>8530.52</v>
      </c>
      <c r="X481" s="12">
        <f>5047.8+110.81</f>
        <v>5158.61</v>
      </c>
      <c r="Y481" s="12">
        <f>0.1+9.09+0.27</f>
        <v>9.46</v>
      </c>
      <c r="Z481" s="12">
        <v>0.0</v>
      </c>
      <c r="AA481" s="12">
        <v>0.0</v>
      </c>
      <c r="AB481" s="12">
        <v>0.0</v>
      </c>
      <c r="AC481" s="16">
        <f t="shared" si="152"/>
        <v>13698.59</v>
      </c>
      <c r="AD481" s="12"/>
      <c r="AE481" s="12"/>
      <c r="AF481" s="12">
        <f>113.97+713.18+86.03</f>
        <v>913.18</v>
      </c>
      <c r="AG481" s="12">
        <v>116.06</v>
      </c>
      <c r="AH481" s="12">
        <v>0.0</v>
      </c>
      <c r="AI481" s="12">
        <v>0.0</v>
      </c>
      <c r="AJ481" s="12">
        <v>0.0</v>
      </c>
      <c r="AK481" s="12">
        <v>0.0</v>
      </c>
      <c r="AL481" s="12">
        <f t="shared" si="153"/>
        <v>1029.24</v>
      </c>
      <c r="AM481" s="12">
        <v>2842.0</v>
      </c>
      <c r="AN481" s="12">
        <f>2928+688</f>
        <v>3616</v>
      </c>
      <c r="AO481" s="12">
        <v>0.0</v>
      </c>
      <c r="AP481" s="12">
        <v>0.0</v>
      </c>
      <c r="AQ481" s="12">
        <v>0.0</v>
      </c>
      <c r="AR481" s="12">
        <v>0.0</v>
      </c>
      <c r="AS481" s="12">
        <f t="shared" si="161"/>
        <v>6458</v>
      </c>
      <c r="AT481" s="40">
        <v>158089.8</v>
      </c>
      <c r="AU481" s="18">
        <f t="shared" si="157"/>
        <v>1061807.39</v>
      </c>
      <c r="AV481" s="18"/>
      <c r="AW481" s="18"/>
      <c r="AX481" s="12">
        <f t="shared" si="1"/>
        <v>158089.8</v>
      </c>
      <c r="AY481" s="12">
        <f t="shared" si="155"/>
        <v>1061807.39</v>
      </c>
      <c r="AZ481" s="12">
        <f>2663.01+705.8+152.19</f>
        <v>3521</v>
      </c>
      <c r="BA481" s="18">
        <f t="shared" si="158"/>
        <v>87569.5</v>
      </c>
      <c r="BB481" s="10">
        <f t="shared" si="16"/>
        <v>1061807.39</v>
      </c>
      <c r="BC481" s="16">
        <f t="shared" si="88"/>
        <v>139710.7625</v>
      </c>
      <c r="BD481" s="16"/>
      <c r="BE481" s="16"/>
      <c r="BF481" s="6"/>
      <c r="BG481" s="6"/>
      <c r="BH481" s="6"/>
      <c r="BI481" s="29">
        <f t="shared" si="156"/>
        <v>32960.70484</v>
      </c>
      <c r="BK481" s="15">
        <f t="shared" si="76"/>
        <v>4.796311267</v>
      </c>
      <c r="BN481" s="45">
        <f t="shared" si="14"/>
        <v>125129.0952</v>
      </c>
      <c r="BO481" s="45">
        <f t="shared" si="159"/>
        <v>40025.54</v>
      </c>
      <c r="BY481" s="6">
        <f t="shared" si="2"/>
        <v>2025</v>
      </c>
      <c r="BZ481" s="6" t="str">
        <f t="shared" si="3"/>
        <v>enero</v>
      </c>
      <c r="CA481" s="6" t="str">
        <f t="shared" si="4"/>
        <v>1</v>
      </c>
    </row>
    <row r="482">
      <c r="A482" s="8">
        <v>45689.0</v>
      </c>
      <c r="B482" s="12">
        <v>5000.0</v>
      </c>
      <c r="C482" s="12">
        <v>2451.0</v>
      </c>
      <c r="D482" s="12">
        <v>0.0</v>
      </c>
      <c r="E482" s="12">
        <v>0.0</v>
      </c>
      <c r="F482" s="12">
        <v>0.0</v>
      </c>
      <c r="G482" s="12">
        <v>0.0</v>
      </c>
      <c r="H482" s="12">
        <f t="shared" si="149"/>
        <v>7451</v>
      </c>
      <c r="I482" s="12">
        <v>10243.0</v>
      </c>
      <c r="J482" s="12">
        <v>2543.0</v>
      </c>
      <c r="K482" s="12">
        <v>0.0</v>
      </c>
      <c r="L482" s="12">
        <v>0.0</v>
      </c>
      <c r="M482" s="12">
        <v>0.0</v>
      </c>
      <c r="N482" s="12">
        <v>0.0</v>
      </c>
      <c r="O482" s="16">
        <f t="shared" si="150"/>
        <v>12786</v>
      </c>
      <c r="P482" s="12">
        <v>4621.0</v>
      </c>
      <c r="Q482" s="12">
        <v>2362.0</v>
      </c>
      <c r="R482" s="12">
        <v>0.0</v>
      </c>
      <c r="S482" s="12">
        <v>0.0</v>
      </c>
      <c r="T482" s="12">
        <v>0.0</v>
      </c>
      <c r="U482" s="12">
        <v>0.0</v>
      </c>
      <c r="V482" s="16">
        <f t="shared" si="151"/>
        <v>6983</v>
      </c>
      <c r="W482" s="12">
        <v>0.0</v>
      </c>
      <c r="X482" s="12">
        <v>0.0</v>
      </c>
      <c r="Y482" s="12">
        <v>0.0</v>
      </c>
      <c r="Z482" s="12">
        <v>0.0</v>
      </c>
      <c r="AA482" s="12">
        <v>0.0</v>
      </c>
      <c r="AB482" s="12">
        <v>0.0</v>
      </c>
      <c r="AC482" s="16">
        <f t="shared" si="152"/>
        <v>0</v>
      </c>
      <c r="AD482" s="12"/>
      <c r="AE482" s="12"/>
      <c r="AF482" s="12">
        <v>0.0</v>
      </c>
      <c r="AG482" s="12">
        <v>0.0</v>
      </c>
      <c r="AH482" s="12">
        <v>0.0</v>
      </c>
      <c r="AI482" s="12">
        <v>0.0</v>
      </c>
      <c r="AJ482" s="12">
        <v>0.0</v>
      </c>
      <c r="AK482" s="12">
        <v>0.0</v>
      </c>
      <c r="AL482" s="12">
        <f t="shared" si="153"/>
        <v>0</v>
      </c>
      <c r="AM482" s="12">
        <v>0.0</v>
      </c>
      <c r="AN482" s="12">
        <v>0.0</v>
      </c>
      <c r="AO482" s="12">
        <v>0.0</v>
      </c>
      <c r="AP482" s="12">
        <v>0.0</v>
      </c>
      <c r="AQ482" s="12">
        <v>0.0</v>
      </c>
      <c r="AR482" s="12">
        <v>0.0</v>
      </c>
      <c r="AS482" s="12">
        <f t="shared" si="161"/>
        <v>0</v>
      </c>
      <c r="AT482" s="16">
        <f t="shared" ref="AT482:AT520" si="162">IF(AS482+AL482+AC482+V482+O482="","",AS482+AL482+AC482+V482+O482)</f>
        <v>19769</v>
      </c>
      <c r="AU482" s="18">
        <f>IF(AT482="","",AT482)</f>
        <v>19769</v>
      </c>
      <c r="AV482" s="18"/>
      <c r="AW482" s="18"/>
      <c r="AX482" s="12">
        <f t="shared" si="1"/>
        <v>19769</v>
      </c>
      <c r="AY482" s="12">
        <f t="shared" si="155"/>
        <v>19769</v>
      </c>
      <c r="AZ482" s="12">
        <f>245</f>
        <v>245</v>
      </c>
      <c r="BA482" s="18">
        <f>IF(AZ482="","",AZ482)</f>
        <v>245</v>
      </c>
      <c r="BB482" s="10">
        <f t="shared" si="16"/>
        <v>553532</v>
      </c>
      <c r="BC482" s="16">
        <f t="shared" si="88"/>
        <v>139931.7517</v>
      </c>
      <c r="BD482" s="16"/>
      <c r="BE482" s="16"/>
      <c r="BF482" s="6"/>
      <c r="BG482" s="12">
        <v>1072335.54</v>
      </c>
      <c r="BH482" s="6"/>
      <c r="BI482" s="29">
        <f t="shared" ref="BI482:BI509" si="163">IF(AT482="","",$BG$482/DAY(EOMONTH(A482,0)))</f>
        <v>38297.69786</v>
      </c>
      <c r="BJ482" s="6"/>
      <c r="BK482" s="15">
        <f t="shared" si="76"/>
        <v>0.5161929073</v>
      </c>
      <c r="BN482" s="16">
        <f t="shared" si="14"/>
        <v>-18528.69786</v>
      </c>
      <c r="BO482" s="16">
        <f>IF(AT482="","",BN482)</f>
        <v>-18528.69786</v>
      </c>
      <c r="BQ482" s="12">
        <v>33131.97</v>
      </c>
      <c r="BR482" s="12">
        <v>36076.48</v>
      </c>
      <c r="BS482" s="12">
        <v>9354.34</v>
      </c>
      <c r="BT482" s="12">
        <v>79.13</v>
      </c>
      <c r="BU482" s="12">
        <v>113.97</v>
      </c>
      <c r="BV482" s="12">
        <v>0.0</v>
      </c>
      <c r="BW482" s="16">
        <f t="shared" ref="BW482:BW484" si="164">BV482+BU482+BT482+BS482+BR482</f>
        <v>45623.92</v>
      </c>
      <c r="BY482" s="6">
        <f t="shared" si="2"/>
        <v>2025</v>
      </c>
      <c r="BZ482" s="6" t="str">
        <f t="shared" si="3"/>
        <v>febrero</v>
      </c>
      <c r="CA482" s="6" t="str">
        <f t="shared" si="4"/>
        <v>2</v>
      </c>
    </row>
    <row r="483">
      <c r="A483" s="8">
        <v>45690.0</v>
      </c>
      <c r="B483" s="12">
        <v>0.0</v>
      </c>
      <c r="C483" s="12">
        <v>0.0</v>
      </c>
      <c r="D483" s="12">
        <v>0.0</v>
      </c>
      <c r="E483" s="12">
        <v>0.0</v>
      </c>
      <c r="F483" s="12">
        <v>0.0</v>
      </c>
      <c r="G483" s="12">
        <v>0.0</v>
      </c>
      <c r="H483" s="12">
        <f t="shared" si="149"/>
        <v>0</v>
      </c>
      <c r="I483" s="12">
        <v>0.0</v>
      </c>
      <c r="J483" s="12">
        <v>0.0</v>
      </c>
      <c r="K483" s="12">
        <v>0.0</v>
      </c>
      <c r="L483" s="12">
        <v>0.0</v>
      </c>
      <c r="M483" s="12">
        <v>0.0</v>
      </c>
      <c r="N483" s="12">
        <v>0.0</v>
      </c>
      <c r="O483" s="16">
        <f t="shared" si="150"/>
        <v>0</v>
      </c>
      <c r="P483" s="12">
        <v>0.0</v>
      </c>
      <c r="Q483" s="12">
        <v>0.0</v>
      </c>
      <c r="R483" s="12">
        <v>0.0</v>
      </c>
      <c r="S483" s="12">
        <v>0.0</v>
      </c>
      <c r="T483" s="12">
        <v>0.0</v>
      </c>
      <c r="U483" s="12">
        <v>0.0</v>
      </c>
      <c r="V483" s="16">
        <f t="shared" si="151"/>
        <v>0</v>
      </c>
      <c r="W483" s="12">
        <v>0.0</v>
      </c>
      <c r="X483" s="12">
        <v>0.0</v>
      </c>
      <c r="Y483" s="12">
        <v>0.0</v>
      </c>
      <c r="Z483" s="12">
        <v>0.0</v>
      </c>
      <c r="AA483" s="12">
        <v>0.0</v>
      </c>
      <c r="AB483" s="12">
        <v>0.0</v>
      </c>
      <c r="AC483" s="16">
        <f t="shared" si="152"/>
        <v>0</v>
      </c>
      <c r="AD483" s="12"/>
      <c r="AE483" s="12"/>
      <c r="AF483" s="12">
        <v>0.0</v>
      </c>
      <c r="AG483" s="12">
        <v>0.0</v>
      </c>
      <c r="AH483" s="12">
        <v>0.0</v>
      </c>
      <c r="AI483" s="12">
        <v>0.0</v>
      </c>
      <c r="AJ483" s="12">
        <v>0.0</v>
      </c>
      <c r="AK483" s="12">
        <v>0.0</v>
      </c>
      <c r="AL483" s="12">
        <f t="shared" si="153"/>
        <v>0</v>
      </c>
      <c r="AM483" s="12">
        <v>0.0</v>
      </c>
      <c r="AN483" s="12">
        <v>0.0</v>
      </c>
      <c r="AO483" s="12">
        <v>0.0</v>
      </c>
      <c r="AP483" s="12">
        <v>0.0</v>
      </c>
      <c r="AQ483" s="12">
        <v>0.0</v>
      </c>
      <c r="AR483" s="12">
        <v>0.0</v>
      </c>
      <c r="AS483" s="12">
        <f t="shared" si="161"/>
        <v>0</v>
      </c>
      <c r="AT483" s="16">
        <f t="shared" si="162"/>
        <v>0</v>
      </c>
      <c r="AU483" s="18">
        <f t="shared" ref="AU483:AU509" si="165">IF(AT483="","",AT483+AU482)</f>
        <v>19769</v>
      </c>
      <c r="AV483" s="18"/>
      <c r="AW483" s="18"/>
      <c r="AX483" s="12">
        <f t="shared" si="1"/>
        <v>0</v>
      </c>
      <c r="AY483" s="12">
        <f t="shared" si="155"/>
        <v>19769</v>
      </c>
      <c r="AZ483" s="12">
        <v>0.0</v>
      </c>
      <c r="BA483" s="18">
        <f t="shared" ref="BA483:BA509" si="166">IF(AZ483="","",AZ483+BA482)</f>
        <v>245</v>
      </c>
      <c r="BB483" s="10">
        <f t="shared" si="16"/>
        <v>276766</v>
      </c>
      <c r="BC483" s="16">
        <f t="shared" si="88"/>
        <v>150619.5983</v>
      </c>
      <c r="BD483" s="16"/>
      <c r="BE483" s="16"/>
      <c r="BF483" s="6"/>
      <c r="BG483" s="6"/>
      <c r="BH483" s="6"/>
      <c r="BI483" s="29">
        <f t="shared" si="163"/>
        <v>38297.69786</v>
      </c>
      <c r="BJ483" s="6"/>
      <c r="BK483" s="15">
        <f t="shared" si="76"/>
        <v>0</v>
      </c>
      <c r="BN483" s="16">
        <f t="shared" si="14"/>
        <v>-38297.69786</v>
      </c>
      <c r="BO483" s="16">
        <f t="shared" ref="BO483:BO509" si="167">IF(AT483="","",BN483+BO482)</f>
        <v>-56826.39571</v>
      </c>
      <c r="BQ483" s="40">
        <v>28685.79</v>
      </c>
      <c r="BR483" s="40">
        <v>19392.81</v>
      </c>
      <c r="BS483" s="40">
        <v>12436.94</v>
      </c>
      <c r="BT483" s="40">
        <v>5840.83</v>
      </c>
      <c r="BU483" s="40">
        <v>713.18</v>
      </c>
      <c r="BV483" s="40">
        <v>688.0</v>
      </c>
      <c r="BW483" s="45">
        <f t="shared" si="164"/>
        <v>39071.76</v>
      </c>
      <c r="BY483" s="6">
        <f t="shared" si="2"/>
        <v>2025</v>
      </c>
      <c r="BZ483" s="6" t="str">
        <f t="shared" si="3"/>
        <v>febrero</v>
      </c>
      <c r="CA483" s="6" t="str">
        <f t="shared" si="4"/>
        <v>2</v>
      </c>
    </row>
    <row r="484">
      <c r="A484" s="8">
        <v>45691.0</v>
      </c>
      <c r="B484" s="12">
        <v>3612.0</v>
      </c>
      <c r="C484" s="12">
        <v>1347.0</v>
      </c>
      <c r="D484" s="12">
        <v>0.0</v>
      </c>
      <c r="E484" s="12">
        <v>0.0</v>
      </c>
      <c r="F484" s="12">
        <v>0.0</v>
      </c>
      <c r="G484" s="12">
        <v>0.0</v>
      </c>
      <c r="H484" s="12">
        <f t="shared" si="149"/>
        <v>4959</v>
      </c>
      <c r="I484" s="12">
        <v>5476.0</v>
      </c>
      <c r="J484" s="12">
        <v>1402.0</v>
      </c>
      <c r="K484" s="12">
        <v>0.0</v>
      </c>
      <c r="L484" s="12">
        <v>0.0</v>
      </c>
      <c r="M484" s="12">
        <v>0.0</v>
      </c>
      <c r="N484" s="12">
        <v>0.0</v>
      </c>
      <c r="O484" s="16">
        <f t="shared" si="150"/>
        <v>6878</v>
      </c>
      <c r="P484" s="12">
        <v>2486.0</v>
      </c>
      <c r="Q484" s="12">
        <v>1475.0</v>
      </c>
      <c r="R484" s="12">
        <v>0.0</v>
      </c>
      <c r="S484" s="12">
        <v>0.0</v>
      </c>
      <c r="T484" s="12">
        <v>0.0</v>
      </c>
      <c r="U484" s="12">
        <v>0.0</v>
      </c>
      <c r="V484" s="16">
        <f t="shared" si="151"/>
        <v>3961</v>
      </c>
      <c r="W484" s="12">
        <v>0.0</v>
      </c>
      <c r="X484" s="12">
        <v>0.0</v>
      </c>
      <c r="Y484" s="12">
        <v>0.0</v>
      </c>
      <c r="Z484" s="12">
        <v>0.0</v>
      </c>
      <c r="AA484" s="12">
        <v>0.0</v>
      </c>
      <c r="AB484" s="12">
        <v>0.0</v>
      </c>
      <c r="AC484" s="16">
        <f t="shared" si="152"/>
        <v>0</v>
      </c>
      <c r="AD484" s="12"/>
      <c r="AE484" s="12"/>
      <c r="AF484" s="12">
        <v>0.0</v>
      </c>
      <c r="AG484" s="12">
        <v>0.0</v>
      </c>
      <c r="AH484" s="12">
        <v>0.0</v>
      </c>
      <c r="AI484" s="12">
        <v>0.0</v>
      </c>
      <c r="AJ484" s="12">
        <v>0.0</v>
      </c>
      <c r="AK484" s="12">
        <v>0.0</v>
      </c>
      <c r="AL484" s="12">
        <f t="shared" si="153"/>
        <v>0</v>
      </c>
      <c r="AM484" s="12">
        <v>0.0</v>
      </c>
      <c r="AN484" s="12">
        <v>0.0</v>
      </c>
      <c r="AO484" s="12">
        <v>0.0</v>
      </c>
      <c r="AP484" s="12">
        <v>0.0</v>
      </c>
      <c r="AQ484" s="12">
        <v>0.0</v>
      </c>
      <c r="AR484" s="12">
        <v>0.0</v>
      </c>
      <c r="AS484" s="12">
        <v>0.0</v>
      </c>
      <c r="AT484" s="16">
        <f t="shared" si="162"/>
        <v>10839</v>
      </c>
      <c r="AU484" s="18">
        <f t="shared" si="165"/>
        <v>30608</v>
      </c>
      <c r="AV484" s="18"/>
      <c r="AW484" s="18"/>
      <c r="AX484" s="12">
        <f t="shared" si="1"/>
        <v>10839</v>
      </c>
      <c r="AY484" s="12">
        <f t="shared" si="155"/>
        <v>30608</v>
      </c>
      <c r="AZ484" s="12">
        <v>126.0</v>
      </c>
      <c r="BA484" s="18">
        <f t="shared" si="166"/>
        <v>371</v>
      </c>
      <c r="BB484" s="10">
        <f t="shared" si="16"/>
        <v>285674.6667</v>
      </c>
      <c r="BC484" s="16">
        <f t="shared" si="88"/>
        <v>171259.2565</v>
      </c>
      <c r="BD484" s="16"/>
      <c r="BE484" s="16"/>
      <c r="BF484" s="6"/>
      <c r="BG484" s="6"/>
      <c r="BH484" s="6"/>
      <c r="BI484" s="29">
        <f t="shared" si="163"/>
        <v>38297.69786</v>
      </c>
      <c r="BJ484" s="6"/>
      <c r="BK484" s="15">
        <f t="shared" si="76"/>
        <v>0.2830196228</v>
      </c>
      <c r="BN484" s="16">
        <f t="shared" si="14"/>
        <v>-27458.69786</v>
      </c>
      <c r="BO484" s="16">
        <f t="shared" si="167"/>
        <v>-84285.09357</v>
      </c>
      <c r="BQ484" s="40">
        <v>8370.39</v>
      </c>
      <c r="BR484" s="12">
        <v>4162.37</v>
      </c>
      <c r="BS484" s="40">
        <v>1779.17</v>
      </c>
      <c r="BT484" s="40">
        <v>2613.1</v>
      </c>
      <c r="BU484" s="40">
        <v>86.03</v>
      </c>
      <c r="BV484" s="40">
        <v>2842.0</v>
      </c>
      <c r="BW484" s="45">
        <f t="shared" si="164"/>
        <v>11482.67</v>
      </c>
      <c r="BY484" s="6">
        <f t="shared" si="2"/>
        <v>2025</v>
      </c>
      <c r="BZ484" s="6" t="str">
        <f t="shared" si="3"/>
        <v>febrero</v>
      </c>
      <c r="CA484" s="6" t="str">
        <f t="shared" si="4"/>
        <v>2</v>
      </c>
    </row>
    <row r="485">
      <c r="A485" s="8">
        <v>45692.0</v>
      </c>
      <c r="B485" s="12">
        <v>1574.0</v>
      </c>
      <c r="C485" s="12">
        <v>1345.0</v>
      </c>
      <c r="D485" s="12">
        <v>0.0</v>
      </c>
      <c r="E485" s="12">
        <v>0.0</v>
      </c>
      <c r="F485" s="12">
        <v>0.0</v>
      </c>
      <c r="G485" s="12">
        <v>0.0</v>
      </c>
      <c r="H485" s="12">
        <f t="shared" si="149"/>
        <v>2919</v>
      </c>
      <c r="I485" s="12">
        <v>4194.0</v>
      </c>
      <c r="J485" s="12">
        <v>1243.0</v>
      </c>
      <c r="K485" s="12">
        <v>0.0</v>
      </c>
      <c r="L485" s="12">
        <v>0.0</v>
      </c>
      <c r="M485" s="12">
        <v>0.0</v>
      </c>
      <c r="N485" s="12">
        <v>0.0</v>
      </c>
      <c r="O485" s="16">
        <f t="shared" si="150"/>
        <v>5437</v>
      </c>
      <c r="P485" s="12">
        <v>1478.0</v>
      </c>
      <c r="Q485" s="12">
        <v>875.0</v>
      </c>
      <c r="R485" s="12">
        <v>0.0</v>
      </c>
      <c r="S485" s="12">
        <v>0.0</v>
      </c>
      <c r="T485" s="12">
        <v>0.0</v>
      </c>
      <c r="U485" s="12">
        <v>0.0</v>
      </c>
      <c r="V485" s="16">
        <f t="shared" si="151"/>
        <v>2353</v>
      </c>
      <c r="W485" s="12">
        <v>0.0</v>
      </c>
      <c r="X485" s="12">
        <v>0.0</v>
      </c>
      <c r="Y485" s="12">
        <v>0.0</v>
      </c>
      <c r="Z485" s="12">
        <v>0.0</v>
      </c>
      <c r="AA485" s="12">
        <v>0.0</v>
      </c>
      <c r="AB485" s="12">
        <v>0.0</v>
      </c>
      <c r="AC485" s="12">
        <v>0.0</v>
      </c>
      <c r="AD485" s="12"/>
      <c r="AE485" s="12"/>
      <c r="AF485" s="12">
        <v>0.0</v>
      </c>
      <c r="AG485" s="12">
        <v>0.0</v>
      </c>
      <c r="AH485" s="12">
        <v>0.0</v>
      </c>
      <c r="AI485" s="12">
        <v>0.0</v>
      </c>
      <c r="AJ485" s="12">
        <v>0.0</v>
      </c>
      <c r="AK485" s="12">
        <v>0.0</v>
      </c>
      <c r="AL485" s="12">
        <f t="shared" si="153"/>
        <v>0</v>
      </c>
      <c r="AM485" s="12">
        <v>0.0</v>
      </c>
      <c r="AN485" s="12">
        <v>0.0</v>
      </c>
      <c r="AO485" s="12">
        <v>0.0</v>
      </c>
      <c r="AP485" s="12">
        <v>0.0</v>
      </c>
      <c r="AQ485" s="12">
        <v>0.0</v>
      </c>
      <c r="AR485" s="12">
        <v>0.0</v>
      </c>
      <c r="AS485" s="12">
        <f t="shared" ref="AS485:AS631" si="168">AR485+AQ485+AP485+AN485+AM485+AO485</f>
        <v>0</v>
      </c>
      <c r="AT485" s="16">
        <f t="shared" si="162"/>
        <v>7790</v>
      </c>
      <c r="AU485" s="18">
        <f t="shared" si="165"/>
        <v>38398</v>
      </c>
      <c r="AV485" s="18"/>
      <c r="AW485" s="18"/>
      <c r="AX485" s="12">
        <f t="shared" si="1"/>
        <v>7790</v>
      </c>
      <c r="AY485" s="12">
        <f t="shared" si="155"/>
        <v>38398</v>
      </c>
      <c r="AZ485" s="12">
        <v>267.0</v>
      </c>
      <c r="BA485" s="18">
        <f t="shared" si="166"/>
        <v>638</v>
      </c>
      <c r="BB485" s="10">
        <f t="shared" si="16"/>
        <v>268786</v>
      </c>
      <c r="BC485" s="16">
        <f t="shared" si="88"/>
        <v>98845</v>
      </c>
      <c r="BD485" s="16"/>
      <c r="BE485" s="16"/>
      <c r="BF485" s="6"/>
      <c r="BG485" s="6"/>
      <c r="BH485" s="6"/>
      <c r="BI485" s="29">
        <f t="shared" si="163"/>
        <v>38297.69786</v>
      </c>
      <c r="BJ485" s="6"/>
      <c r="BK485" s="15">
        <f t="shared" si="76"/>
        <v>0.2034064823</v>
      </c>
      <c r="BN485" s="16">
        <f t="shared" si="14"/>
        <v>-30507.69786</v>
      </c>
      <c r="BO485" s="16">
        <f t="shared" si="167"/>
        <v>-114792.7914</v>
      </c>
      <c r="BY485" s="6">
        <f t="shared" si="2"/>
        <v>2025</v>
      </c>
      <c r="BZ485" s="6" t="str">
        <f t="shared" si="3"/>
        <v>febrero</v>
      </c>
      <c r="CA485" s="6" t="str">
        <f t="shared" si="4"/>
        <v>2</v>
      </c>
    </row>
    <row r="486">
      <c r="A486" s="8">
        <v>45693.0</v>
      </c>
      <c r="B486" s="12">
        <v>1322.0</v>
      </c>
      <c r="C486" s="12">
        <v>1456.0</v>
      </c>
      <c r="D486" s="12">
        <v>0.0</v>
      </c>
      <c r="E486" s="12">
        <v>0.0</v>
      </c>
      <c r="F486" s="12">
        <v>0.0</v>
      </c>
      <c r="G486" s="12">
        <v>0.0</v>
      </c>
      <c r="H486" s="12">
        <f t="shared" si="149"/>
        <v>2778</v>
      </c>
      <c r="I486" s="12">
        <v>3469.0</v>
      </c>
      <c r="J486" s="12">
        <v>2469.0</v>
      </c>
      <c r="K486" s="12">
        <v>0.0</v>
      </c>
      <c r="L486" s="12">
        <v>0.0</v>
      </c>
      <c r="M486" s="12">
        <v>0.0</v>
      </c>
      <c r="N486" s="12">
        <v>0.0</v>
      </c>
      <c r="O486" s="16">
        <f t="shared" si="150"/>
        <v>5938</v>
      </c>
      <c r="P486" s="12">
        <v>1200.0</v>
      </c>
      <c r="Q486" s="12">
        <v>1111.0</v>
      </c>
      <c r="R486" s="12">
        <v>0.0</v>
      </c>
      <c r="S486" s="12">
        <v>0.0</v>
      </c>
      <c r="T486" s="12">
        <v>0.0</v>
      </c>
      <c r="U486" s="12">
        <v>0.0</v>
      </c>
      <c r="V486" s="16">
        <f t="shared" si="151"/>
        <v>2311</v>
      </c>
      <c r="W486" s="12">
        <v>0.0</v>
      </c>
      <c r="X486" s="12">
        <v>0.0</v>
      </c>
      <c r="Y486" s="12">
        <v>0.0</v>
      </c>
      <c r="Z486" s="12">
        <v>0.0</v>
      </c>
      <c r="AA486" s="12">
        <v>0.0</v>
      </c>
      <c r="AB486" s="12">
        <v>0.0</v>
      </c>
      <c r="AC486" s="16">
        <f t="shared" ref="AC486:AC815" si="169">W486+X486+Z486+AA486+AB486+Y486</f>
        <v>0</v>
      </c>
      <c r="AD486" s="12"/>
      <c r="AE486" s="12"/>
      <c r="AF486" s="12">
        <v>0.0</v>
      </c>
      <c r="AG486" s="12">
        <v>0.0</v>
      </c>
      <c r="AH486" s="12">
        <v>0.0</v>
      </c>
      <c r="AI486" s="12">
        <v>0.0</v>
      </c>
      <c r="AJ486" s="12">
        <v>0.0</v>
      </c>
      <c r="AK486" s="12">
        <v>0.0</v>
      </c>
      <c r="AL486" s="12">
        <f t="shared" si="153"/>
        <v>0</v>
      </c>
      <c r="AM486" s="12">
        <v>0.0</v>
      </c>
      <c r="AN486" s="12">
        <v>0.0</v>
      </c>
      <c r="AO486" s="12">
        <v>0.0</v>
      </c>
      <c r="AP486" s="12">
        <v>0.0</v>
      </c>
      <c r="AQ486" s="12">
        <v>0.0</v>
      </c>
      <c r="AR486" s="12">
        <v>0.0</v>
      </c>
      <c r="AS486" s="12">
        <f t="shared" si="168"/>
        <v>0</v>
      </c>
      <c r="AT486" s="16">
        <f t="shared" si="162"/>
        <v>8249</v>
      </c>
      <c r="AU486" s="18">
        <f t="shared" si="165"/>
        <v>46647</v>
      </c>
      <c r="AV486" s="18"/>
      <c r="AW486" s="18"/>
      <c r="AX486" s="12">
        <f t="shared" si="1"/>
        <v>8249</v>
      </c>
      <c r="AY486" s="12">
        <f t="shared" si="155"/>
        <v>46647</v>
      </c>
      <c r="AZ486" s="12">
        <v>136.0</v>
      </c>
      <c r="BA486" s="18">
        <f t="shared" si="166"/>
        <v>774</v>
      </c>
      <c r="BB486" s="10">
        <f t="shared" si="16"/>
        <v>261223.2</v>
      </c>
      <c r="BC486" s="16">
        <f t="shared" si="88"/>
        <v>49422.5</v>
      </c>
      <c r="BD486" s="16"/>
      <c r="BE486" s="16"/>
      <c r="BF486" s="6"/>
      <c r="BG486" s="6"/>
      <c r="BH486" s="6"/>
      <c r="BI486" s="29">
        <f t="shared" si="163"/>
        <v>38297.69786</v>
      </c>
      <c r="BJ486" s="6"/>
      <c r="BK486" s="15">
        <f t="shared" si="76"/>
        <v>0.2153915369</v>
      </c>
      <c r="BN486" s="16">
        <f t="shared" si="14"/>
        <v>-30048.69786</v>
      </c>
      <c r="BO486" s="16">
        <f t="shared" si="167"/>
        <v>-144841.4893</v>
      </c>
      <c r="BY486" s="6">
        <f t="shared" si="2"/>
        <v>2025</v>
      </c>
      <c r="BZ486" s="6" t="str">
        <f t="shared" si="3"/>
        <v>febrero</v>
      </c>
      <c r="CA486" s="6" t="str">
        <f t="shared" si="4"/>
        <v>2</v>
      </c>
    </row>
    <row r="487">
      <c r="A487" s="8">
        <v>45694.0</v>
      </c>
      <c r="B487" s="12">
        <v>55729.46</v>
      </c>
      <c r="C487" s="12">
        <v>1803.1</v>
      </c>
      <c r="D487" s="12">
        <v>795.352</v>
      </c>
      <c r="E487" s="12">
        <v>1172.38</v>
      </c>
      <c r="F487" s="12">
        <v>0.0</v>
      </c>
      <c r="G487" s="12">
        <v>0.0</v>
      </c>
      <c r="H487" s="12">
        <f t="shared" si="149"/>
        <v>59500.292</v>
      </c>
      <c r="I487" s="12">
        <v>15586.0</v>
      </c>
      <c r="J487" s="12">
        <v>1656.92</v>
      </c>
      <c r="K487" s="12">
        <v>0.0</v>
      </c>
      <c r="L487" s="12">
        <v>0.0</v>
      </c>
      <c r="M487" s="12">
        <v>0.0</v>
      </c>
      <c r="N487" s="12">
        <v>0.0</v>
      </c>
      <c r="O487" s="16">
        <f t="shared" si="150"/>
        <v>17242.92</v>
      </c>
      <c r="P487" s="12">
        <v>1414.21</v>
      </c>
      <c r="Q487" s="12">
        <v>2811.27</v>
      </c>
      <c r="R487" s="12">
        <v>483.6</v>
      </c>
      <c r="S487" s="12">
        <v>0.0</v>
      </c>
      <c r="T487" s="12">
        <v>0.0</v>
      </c>
      <c r="U487" s="12">
        <v>0.0</v>
      </c>
      <c r="V487" s="16">
        <f t="shared" si="151"/>
        <v>4709.08</v>
      </c>
      <c r="W487" s="12">
        <v>15057.54</v>
      </c>
      <c r="X487" s="12">
        <v>1.92</v>
      </c>
      <c r="Y487" s="12">
        <v>0.0</v>
      </c>
      <c r="Z487" s="12">
        <v>0.0</v>
      </c>
      <c r="AA487" s="12">
        <v>0.0</v>
      </c>
      <c r="AB487" s="12">
        <v>0.0</v>
      </c>
      <c r="AC487" s="16">
        <f t="shared" si="169"/>
        <v>15059.46</v>
      </c>
      <c r="AD487" s="12"/>
      <c r="AE487" s="12"/>
      <c r="AF487" s="12">
        <v>3942.82</v>
      </c>
      <c r="AG487" s="12">
        <v>26511.64</v>
      </c>
      <c r="AH487" s="12">
        <v>0.0</v>
      </c>
      <c r="AI487" s="12">
        <v>0.0</v>
      </c>
      <c r="AJ487" s="12">
        <v>0.0</v>
      </c>
      <c r="AK487" s="12">
        <v>0.0</v>
      </c>
      <c r="AL487" s="12">
        <f t="shared" si="153"/>
        <v>30454.46</v>
      </c>
      <c r="AM487" s="12">
        <v>17951.0</v>
      </c>
      <c r="AN487" s="12">
        <v>0.0</v>
      </c>
      <c r="AO487" s="12">
        <v>0.0</v>
      </c>
      <c r="AP487" s="12">
        <v>0.0</v>
      </c>
      <c r="AQ487" s="12">
        <v>0.0</v>
      </c>
      <c r="AR487" s="12">
        <v>0.0</v>
      </c>
      <c r="AS487" s="12">
        <f t="shared" si="168"/>
        <v>17951</v>
      </c>
      <c r="AT487" s="16">
        <f t="shared" si="162"/>
        <v>85416.92</v>
      </c>
      <c r="AU487" s="18">
        <f t="shared" si="165"/>
        <v>132063.92</v>
      </c>
      <c r="AV487" s="18"/>
      <c r="AW487" s="18"/>
      <c r="AX487" s="12">
        <f t="shared" si="1"/>
        <v>85416.92</v>
      </c>
      <c r="AY487" s="12">
        <f t="shared" si="155"/>
        <v>132063.92</v>
      </c>
      <c r="AZ487" s="12">
        <v>5257.63</v>
      </c>
      <c r="BA487" s="18">
        <f t="shared" si="166"/>
        <v>6031.63</v>
      </c>
      <c r="BB487" s="10">
        <f t="shared" si="16"/>
        <v>616298.2933</v>
      </c>
      <c r="BC487" s="16">
        <f t="shared" si="88"/>
        <v>51013.33333</v>
      </c>
      <c r="BD487" s="16"/>
      <c r="BE487" s="16"/>
      <c r="BF487" s="6"/>
      <c r="BG487" s="6"/>
      <c r="BH487" s="6"/>
      <c r="BI487" s="29">
        <f t="shared" si="163"/>
        <v>38297.69786</v>
      </c>
      <c r="BK487" s="15">
        <f t="shared" si="76"/>
        <v>2.23034085</v>
      </c>
      <c r="BN487" s="16">
        <f t="shared" si="14"/>
        <v>47119.22214</v>
      </c>
      <c r="BO487" s="16">
        <f t="shared" si="167"/>
        <v>-97722.26714</v>
      </c>
      <c r="BY487" s="6">
        <f t="shared" si="2"/>
        <v>2025</v>
      </c>
      <c r="BZ487" s="6" t="str">
        <f t="shared" si="3"/>
        <v>febrero</v>
      </c>
      <c r="CA487" s="6" t="str">
        <f t="shared" si="4"/>
        <v>2</v>
      </c>
    </row>
    <row r="488">
      <c r="A488" s="8">
        <v>45695.0</v>
      </c>
      <c r="B488" s="12">
        <v>44620.46</v>
      </c>
      <c r="C488" s="12">
        <v>340.8</v>
      </c>
      <c r="D488" s="12">
        <v>2387.86</v>
      </c>
      <c r="E488" s="12">
        <v>0.0</v>
      </c>
      <c r="F488" s="12">
        <v>0.0</v>
      </c>
      <c r="G488" s="12">
        <v>0.0</v>
      </c>
      <c r="H488" s="12">
        <f t="shared" si="149"/>
        <v>47349.12</v>
      </c>
      <c r="I488" s="12">
        <v>30412.0</v>
      </c>
      <c r="J488" s="12">
        <v>2169.47</v>
      </c>
      <c r="K488" s="12">
        <v>1475.0</v>
      </c>
      <c r="L488" s="12">
        <v>0.0</v>
      </c>
      <c r="M488" s="12">
        <v>0.0</v>
      </c>
      <c r="N488" s="12">
        <v>0.0</v>
      </c>
      <c r="O488" s="16">
        <f t="shared" si="150"/>
        <v>34056.47</v>
      </c>
      <c r="P488" s="12">
        <v>12227.09</v>
      </c>
      <c r="Q488" s="12">
        <v>257.09</v>
      </c>
      <c r="R488" s="12">
        <v>838.37</v>
      </c>
      <c r="S488" s="12">
        <v>0.0</v>
      </c>
      <c r="T488" s="12">
        <v>0.0</v>
      </c>
      <c r="U488" s="12">
        <v>0.0</v>
      </c>
      <c r="V488" s="16">
        <f t="shared" si="151"/>
        <v>13322.55</v>
      </c>
      <c r="W488" s="12">
        <v>5181.86</v>
      </c>
      <c r="X488" s="12">
        <v>1.34</v>
      </c>
      <c r="Y488" s="12">
        <v>0.0</v>
      </c>
      <c r="Z488" s="12">
        <v>0.0</v>
      </c>
      <c r="AA488" s="12">
        <v>0.0</v>
      </c>
      <c r="AB488" s="12">
        <v>0.0</v>
      </c>
      <c r="AC488" s="16">
        <f t="shared" si="169"/>
        <v>5183.2</v>
      </c>
      <c r="AD488" s="12"/>
      <c r="AE488" s="12"/>
      <c r="AF488" s="12">
        <v>7077.28</v>
      </c>
      <c r="AG488" s="12">
        <v>0.0</v>
      </c>
      <c r="AH488" s="12">
        <v>0.0</v>
      </c>
      <c r="AI488" s="12">
        <v>0.0</v>
      </c>
      <c r="AJ488" s="12">
        <v>0.0</v>
      </c>
      <c r="AK488" s="12">
        <v>0.0</v>
      </c>
      <c r="AL488" s="12">
        <f t="shared" si="153"/>
        <v>7077.28</v>
      </c>
      <c r="AM488" s="12">
        <v>5059.0</v>
      </c>
      <c r="AN488" s="12">
        <v>0.0</v>
      </c>
      <c r="AO488" s="12">
        <v>0.0</v>
      </c>
      <c r="AP488" s="12">
        <v>0.0</v>
      </c>
      <c r="AQ488" s="12">
        <v>0.0</v>
      </c>
      <c r="AR488" s="12">
        <v>0.0</v>
      </c>
      <c r="AS488" s="12">
        <f t="shared" si="168"/>
        <v>5059</v>
      </c>
      <c r="AT488" s="16">
        <f t="shared" si="162"/>
        <v>64698.5</v>
      </c>
      <c r="AU488" s="18">
        <f t="shared" si="165"/>
        <v>196762.42</v>
      </c>
      <c r="AV488" s="18"/>
      <c r="AW488" s="18"/>
      <c r="AX488" s="12">
        <f t="shared" si="1"/>
        <v>64698.5</v>
      </c>
      <c r="AY488" s="12">
        <f t="shared" si="155"/>
        <v>196762.42</v>
      </c>
      <c r="AZ488" s="12">
        <v>1841.59</v>
      </c>
      <c r="BA488" s="18">
        <f t="shared" si="166"/>
        <v>7873.22</v>
      </c>
      <c r="BB488" s="10">
        <f t="shared" si="16"/>
        <v>787049.68</v>
      </c>
      <c r="BC488" s="16">
        <f t="shared" si="88"/>
        <v>47997.5</v>
      </c>
      <c r="BD488" s="16"/>
      <c r="BE488" s="16"/>
      <c r="BF488" s="6"/>
      <c r="BG488" s="6"/>
      <c r="BH488" s="6"/>
      <c r="BI488" s="29">
        <f t="shared" si="163"/>
        <v>38297.69786</v>
      </c>
      <c r="BK488" s="15">
        <f t="shared" si="76"/>
        <v>1.689357419</v>
      </c>
      <c r="BN488" s="16">
        <f t="shared" si="14"/>
        <v>26400.80214</v>
      </c>
      <c r="BO488" s="16">
        <f t="shared" si="167"/>
        <v>-71321.465</v>
      </c>
      <c r="BY488" s="6">
        <f t="shared" si="2"/>
        <v>2025</v>
      </c>
      <c r="BZ488" s="6" t="str">
        <f t="shared" si="3"/>
        <v>febrero</v>
      </c>
      <c r="CA488" s="6" t="str">
        <f t="shared" si="4"/>
        <v>2</v>
      </c>
    </row>
    <row r="489">
      <c r="A489" s="8">
        <v>45696.0</v>
      </c>
      <c r="B489" s="12">
        <v>0.0</v>
      </c>
      <c r="C489" s="12">
        <v>0.0</v>
      </c>
      <c r="D489" s="12">
        <v>0.0</v>
      </c>
      <c r="E489" s="12">
        <v>0.0</v>
      </c>
      <c r="F489" s="12">
        <v>0.0</v>
      </c>
      <c r="G489" s="12">
        <v>0.0</v>
      </c>
      <c r="H489" s="12">
        <f t="shared" si="149"/>
        <v>0</v>
      </c>
      <c r="I489" s="12">
        <v>0.0</v>
      </c>
      <c r="J489" s="12">
        <v>0.0</v>
      </c>
      <c r="K489" s="12">
        <v>0.0</v>
      </c>
      <c r="L489" s="12">
        <v>0.0</v>
      </c>
      <c r="M489" s="12">
        <v>0.0</v>
      </c>
      <c r="N489" s="12">
        <v>0.0</v>
      </c>
      <c r="O489" s="16">
        <f t="shared" si="150"/>
        <v>0</v>
      </c>
      <c r="P489" s="12">
        <v>0.0</v>
      </c>
      <c r="Q489" s="12">
        <v>0.0</v>
      </c>
      <c r="R489" s="12">
        <v>0.0</v>
      </c>
      <c r="S489" s="12">
        <v>0.0</v>
      </c>
      <c r="T489" s="12">
        <v>0.0</v>
      </c>
      <c r="U489" s="12">
        <v>0.0</v>
      </c>
      <c r="V489" s="16">
        <f t="shared" si="151"/>
        <v>0</v>
      </c>
      <c r="W489" s="12">
        <v>0.0</v>
      </c>
      <c r="X489" s="12">
        <v>0.0</v>
      </c>
      <c r="Y489" s="12">
        <v>0.0</v>
      </c>
      <c r="Z489" s="12">
        <v>0.0</v>
      </c>
      <c r="AA489" s="12">
        <v>0.0</v>
      </c>
      <c r="AB489" s="12">
        <v>0.0</v>
      </c>
      <c r="AC489" s="16">
        <f t="shared" si="169"/>
        <v>0</v>
      </c>
      <c r="AD489" s="12"/>
      <c r="AE489" s="12"/>
      <c r="AF489" s="12">
        <v>0.0</v>
      </c>
      <c r="AG489" s="12">
        <v>0.0</v>
      </c>
      <c r="AH489" s="12">
        <v>0.0</v>
      </c>
      <c r="AI489" s="12">
        <v>0.0</v>
      </c>
      <c r="AJ489" s="12">
        <v>0.0</v>
      </c>
      <c r="AK489" s="12">
        <v>0.0</v>
      </c>
      <c r="AL489" s="12">
        <f t="shared" si="153"/>
        <v>0</v>
      </c>
      <c r="AM489" s="12">
        <v>0.0</v>
      </c>
      <c r="AN489" s="12">
        <v>0.0</v>
      </c>
      <c r="AO489" s="12">
        <v>0.0</v>
      </c>
      <c r="AP489" s="12">
        <v>0.0</v>
      </c>
      <c r="AQ489" s="12">
        <v>0.0</v>
      </c>
      <c r="AR489" s="12">
        <v>0.0</v>
      </c>
      <c r="AS489" s="12">
        <f t="shared" si="168"/>
        <v>0</v>
      </c>
      <c r="AT489" s="16">
        <f t="shared" si="162"/>
        <v>0</v>
      </c>
      <c r="AU489" s="18">
        <f t="shared" si="165"/>
        <v>196762.42</v>
      </c>
      <c r="AV489" s="18"/>
      <c r="AW489" s="18"/>
      <c r="AX489" s="12">
        <f t="shared" si="1"/>
        <v>0</v>
      </c>
      <c r="AY489" s="12">
        <f t="shared" si="155"/>
        <v>196762.42</v>
      </c>
      <c r="AZ489" s="12">
        <v>0.0</v>
      </c>
      <c r="BA489" s="18">
        <f t="shared" si="166"/>
        <v>7873.22</v>
      </c>
      <c r="BB489" s="10">
        <f t="shared" si="16"/>
        <v>688668.47</v>
      </c>
      <c r="BC489" s="16">
        <f t="shared" si="88"/>
        <v>46647</v>
      </c>
      <c r="BD489" s="16"/>
      <c r="BE489" s="16"/>
      <c r="BF489" s="6"/>
      <c r="BG489" s="6"/>
      <c r="BH489" s="6"/>
      <c r="BI489" s="29">
        <f t="shared" si="163"/>
        <v>38297.69786</v>
      </c>
      <c r="BJ489" s="6"/>
      <c r="BK489" s="15">
        <f t="shared" si="76"/>
        <v>0</v>
      </c>
      <c r="BN489" s="16">
        <f t="shared" si="14"/>
        <v>-38297.69786</v>
      </c>
      <c r="BO489" s="16">
        <f t="shared" si="167"/>
        <v>-109619.1629</v>
      </c>
      <c r="BY489" s="6">
        <f t="shared" si="2"/>
        <v>2025</v>
      </c>
      <c r="BZ489" s="6" t="str">
        <f t="shared" si="3"/>
        <v>febrero</v>
      </c>
      <c r="CA489" s="6" t="str">
        <f t="shared" si="4"/>
        <v>2</v>
      </c>
    </row>
    <row r="490">
      <c r="A490" s="8">
        <v>45697.0</v>
      </c>
      <c r="B490" s="12">
        <v>0.0</v>
      </c>
      <c r="C490" s="12">
        <v>0.0</v>
      </c>
      <c r="D490" s="12">
        <v>0.0</v>
      </c>
      <c r="E490" s="12">
        <v>0.0</v>
      </c>
      <c r="F490" s="12">
        <v>0.0</v>
      </c>
      <c r="G490" s="12">
        <v>0.0</v>
      </c>
      <c r="H490" s="12">
        <f t="shared" si="149"/>
        <v>0</v>
      </c>
      <c r="I490" s="12">
        <v>0.0</v>
      </c>
      <c r="J490" s="12">
        <v>0.0</v>
      </c>
      <c r="K490" s="12">
        <v>0.0</v>
      </c>
      <c r="L490" s="12">
        <v>0.0</v>
      </c>
      <c r="M490" s="12">
        <v>0.0</v>
      </c>
      <c r="N490" s="12">
        <v>0.0</v>
      </c>
      <c r="O490" s="16">
        <f t="shared" si="150"/>
        <v>0</v>
      </c>
      <c r="P490" s="12">
        <v>0.0</v>
      </c>
      <c r="Q490" s="12">
        <v>0.0</v>
      </c>
      <c r="R490" s="12">
        <v>0.0</v>
      </c>
      <c r="S490" s="12">
        <v>0.0</v>
      </c>
      <c r="T490" s="12">
        <v>0.0</v>
      </c>
      <c r="U490" s="12">
        <v>0.0</v>
      </c>
      <c r="V490" s="16">
        <f t="shared" si="151"/>
        <v>0</v>
      </c>
      <c r="W490" s="12">
        <v>0.0</v>
      </c>
      <c r="X490" s="12">
        <v>0.0</v>
      </c>
      <c r="Y490" s="12">
        <v>0.0</v>
      </c>
      <c r="Z490" s="12">
        <v>0.0</v>
      </c>
      <c r="AA490" s="12">
        <v>0.0</v>
      </c>
      <c r="AB490" s="12">
        <v>0.0</v>
      </c>
      <c r="AC490" s="16">
        <f t="shared" si="169"/>
        <v>0</v>
      </c>
      <c r="AD490" s="12"/>
      <c r="AE490" s="12"/>
      <c r="AF490" s="12">
        <v>0.0</v>
      </c>
      <c r="AG490" s="12">
        <v>0.0</v>
      </c>
      <c r="AH490" s="12">
        <v>0.0</v>
      </c>
      <c r="AI490" s="12">
        <v>0.0</v>
      </c>
      <c r="AJ490" s="12">
        <v>0.0</v>
      </c>
      <c r="AK490" s="12">
        <v>0.0</v>
      </c>
      <c r="AL490" s="12">
        <f t="shared" si="153"/>
        <v>0</v>
      </c>
      <c r="AM490" s="12">
        <v>0.0</v>
      </c>
      <c r="AN490" s="12">
        <v>0.0</v>
      </c>
      <c r="AO490" s="12">
        <v>0.0</v>
      </c>
      <c r="AP490" s="12">
        <v>0.0</v>
      </c>
      <c r="AQ490" s="12">
        <v>0.0</v>
      </c>
      <c r="AR490" s="12">
        <v>0.0</v>
      </c>
      <c r="AS490" s="12">
        <f t="shared" si="168"/>
        <v>0</v>
      </c>
      <c r="AT490" s="16">
        <f t="shared" si="162"/>
        <v>0</v>
      </c>
      <c r="AU490" s="18">
        <f t="shared" si="165"/>
        <v>196762.42</v>
      </c>
      <c r="AV490" s="18"/>
      <c r="AW490" s="18"/>
      <c r="AX490" s="12">
        <f t="shared" si="1"/>
        <v>0</v>
      </c>
      <c r="AY490" s="12">
        <f t="shared" si="155"/>
        <v>196762.42</v>
      </c>
      <c r="AZ490" s="12">
        <v>0.0</v>
      </c>
      <c r="BA490" s="18">
        <f t="shared" si="166"/>
        <v>7873.22</v>
      </c>
      <c r="BB490" s="10">
        <f t="shared" si="16"/>
        <v>612149.7511</v>
      </c>
      <c r="BC490" s="16">
        <f t="shared" si="88"/>
        <v>110053.2667</v>
      </c>
      <c r="BD490" s="16"/>
      <c r="BE490" s="16"/>
      <c r="BF490" s="6"/>
      <c r="BG490" s="6"/>
      <c r="BH490" s="6"/>
      <c r="BI490" s="29">
        <f t="shared" si="163"/>
        <v>38297.69786</v>
      </c>
      <c r="BJ490" s="6"/>
      <c r="BK490" s="15">
        <f t="shared" si="76"/>
        <v>0</v>
      </c>
      <c r="BN490" s="16">
        <f t="shared" si="14"/>
        <v>-38297.69786</v>
      </c>
      <c r="BO490" s="16">
        <f t="shared" si="167"/>
        <v>-147916.8607</v>
      </c>
      <c r="BY490" s="6">
        <f t="shared" si="2"/>
        <v>2025</v>
      </c>
      <c r="BZ490" s="6" t="str">
        <f t="shared" si="3"/>
        <v>febrero</v>
      </c>
      <c r="CA490" s="6" t="str">
        <f t="shared" si="4"/>
        <v>2</v>
      </c>
    </row>
    <row r="491">
      <c r="A491" s="8">
        <v>45698.0</v>
      </c>
      <c r="B491" s="12">
        <v>29684.98</v>
      </c>
      <c r="C491" s="12">
        <v>15452.48</v>
      </c>
      <c r="D491" s="12">
        <v>1638.89</v>
      </c>
      <c r="E491" s="12">
        <v>458247.1</v>
      </c>
      <c r="F491" s="12">
        <v>0.0</v>
      </c>
      <c r="G491" s="12">
        <v>0.0</v>
      </c>
      <c r="H491" s="12">
        <f t="shared" si="149"/>
        <v>505023.45</v>
      </c>
      <c r="I491" s="12">
        <v>18997.0</v>
      </c>
      <c r="J491" s="12">
        <v>1432.0</v>
      </c>
      <c r="K491" s="12">
        <v>1723.78</v>
      </c>
      <c r="L491" s="12">
        <v>0.0</v>
      </c>
      <c r="M491" s="12">
        <v>0.0</v>
      </c>
      <c r="N491" s="12">
        <v>0.0</v>
      </c>
      <c r="O491" s="16">
        <f t="shared" si="150"/>
        <v>22152.78</v>
      </c>
      <c r="P491" s="12">
        <v>7137.88</v>
      </c>
      <c r="Q491" s="12">
        <v>1378.19</v>
      </c>
      <c r="R491" s="12">
        <v>435.62</v>
      </c>
      <c r="S491" s="12">
        <v>0.0</v>
      </c>
      <c r="T491" s="12">
        <v>0.0</v>
      </c>
      <c r="U491" s="12">
        <v>0.0</v>
      </c>
      <c r="V491" s="16">
        <f t="shared" si="151"/>
        <v>8951.69</v>
      </c>
      <c r="W491" s="12">
        <v>3829.53</v>
      </c>
      <c r="X491" s="12">
        <v>0.0</v>
      </c>
      <c r="Y491" s="12">
        <v>0.0</v>
      </c>
      <c r="Z491" s="12">
        <v>540.0</v>
      </c>
      <c r="AA491" s="12">
        <v>0.0</v>
      </c>
      <c r="AB491" s="12">
        <v>0.0</v>
      </c>
      <c r="AC491" s="16">
        <f t="shared" si="169"/>
        <v>4369.53</v>
      </c>
      <c r="AD491" s="12"/>
      <c r="AE491" s="12"/>
      <c r="AF491" s="12">
        <v>0.0</v>
      </c>
      <c r="AG491" s="12">
        <v>1146.99</v>
      </c>
      <c r="AH491" s="12">
        <v>0.0</v>
      </c>
      <c r="AI491" s="12">
        <v>0.0</v>
      </c>
      <c r="AJ491" s="12">
        <v>0.0</v>
      </c>
      <c r="AK491" s="12">
        <v>0.0</v>
      </c>
      <c r="AL491" s="12">
        <f t="shared" si="153"/>
        <v>1146.99</v>
      </c>
      <c r="AM491" s="12">
        <v>5075.0</v>
      </c>
      <c r="AN491" s="12">
        <v>0.0</v>
      </c>
      <c r="AO491" s="12">
        <v>0.0</v>
      </c>
      <c r="AP491" s="12">
        <v>0.0</v>
      </c>
      <c r="AQ491" s="12">
        <v>0.0</v>
      </c>
      <c r="AR491" s="12">
        <v>0.0</v>
      </c>
      <c r="AS491" s="12">
        <f t="shared" si="168"/>
        <v>5075</v>
      </c>
      <c r="AT491" s="16">
        <f t="shared" si="162"/>
        <v>41695.99</v>
      </c>
      <c r="AU491" s="18">
        <f t="shared" si="165"/>
        <v>238458.41</v>
      </c>
      <c r="AV491" s="10"/>
      <c r="AW491" s="10"/>
      <c r="AX491" s="12">
        <f t="shared" si="1"/>
        <v>41695.99</v>
      </c>
      <c r="AY491" s="12">
        <f t="shared" si="155"/>
        <v>238458.41</v>
      </c>
      <c r="AZ491" s="12">
        <v>5995.56</v>
      </c>
      <c r="BA491" s="18">
        <f t="shared" si="166"/>
        <v>13868.78</v>
      </c>
      <c r="BB491" s="10">
        <f t="shared" si="16"/>
        <v>667683.548</v>
      </c>
      <c r="BC491" s="16">
        <f t="shared" si="88"/>
        <v>140544.5857</v>
      </c>
      <c r="BD491" s="16"/>
      <c r="BE491" s="16"/>
      <c r="BF491" s="6"/>
      <c r="BG491" s="6"/>
      <c r="BH491" s="6"/>
      <c r="BI491" s="29">
        <f t="shared" si="163"/>
        <v>38297.69786</v>
      </c>
      <c r="BK491" s="15">
        <f t="shared" si="76"/>
        <v>1.088733588</v>
      </c>
      <c r="BN491" s="16">
        <f t="shared" si="14"/>
        <v>3398.292143</v>
      </c>
      <c r="BO491" s="16">
        <f t="shared" si="167"/>
        <v>-144518.5686</v>
      </c>
      <c r="BY491" s="6">
        <f t="shared" si="2"/>
        <v>2025</v>
      </c>
      <c r="BZ491" s="6" t="str">
        <f t="shared" si="3"/>
        <v>febrero</v>
      </c>
      <c r="CA491" s="6" t="str">
        <f t="shared" si="4"/>
        <v>2</v>
      </c>
    </row>
    <row r="492">
      <c r="A492" s="8">
        <v>45699.0</v>
      </c>
      <c r="B492" s="12">
        <v>22464.55</v>
      </c>
      <c r="C492" s="12">
        <v>2831.53</v>
      </c>
      <c r="D492" s="12">
        <v>0.0</v>
      </c>
      <c r="E492" s="12">
        <v>0.0</v>
      </c>
      <c r="F492" s="12">
        <v>0.0</v>
      </c>
      <c r="G492" s="12">
        <v>0.0</v>
      </c>
      <c r="H492" s="12">
        <f t="shared" si="149"/>
        <v>25296.08</v>
      </c>
      <c r="I492" s="12">
        <v>10017.0</v>
      </c>
      <c r="J492" s="12">
        <v>1678.04</v>
      </c>
      <c r="K492" s="12">
        <v>0.0</v>
      </c>
      <c r="L492" s="12">
        <v>0.0</v>
      </c>
      <c r="M492" s="12">
        <v>0.0</v>
      </c>
      <c r="N492" s="12">
        <v>0.0</v>
      </c>
      <c r="O492" s="16">
        <f t="shared" si="150"/>
        <v>11695.04</v>
      </c>
      <c r="P492" s="12">
        <v>4888.62</v>
      </c>
      <c r="Q492" s="12">
        <v>1935.96</v>
      </c>
      <c r="R492" s="12">
        <v>0.0</v>
      </c>
      <c r="S492" s="12">
        <v>0.0</v>
      </c>
      <c r="T492" s="12">
        <v>0.0</v>
      </c>
      <c r="U492" s="12">
        <v>0.0</v>
      </c>
      <c r="V492" s="16">
        <f t="shared" si="151"/>
        <v>6824.58</v>
      </c>
      <c r="W492" s="12">
        <v>3196.82</v>
      </c>
      <c r="X492" s="12">
        <v>0.0</v>
      </c>
      <c r="Y492" s="12">
        <v>0.0</v>
      </c>
      <c r="Z492" s="12">
        <v>0.0</v>
      </c>
      <c r="AA492" s="12">
        <v>0.0</v>
      </c>
      <c r="AB492" s="12">
        <v>0.0</v>
      </c>
      <c r="AC492" s="16">
        <f t="shared" si="169"/>
        <v>3196.82</v>
      </c>
      <c r="AD492" s="12"/>
      <c r="AE492" s="12"/>
      <c r="AF492" s="12">
        <v>466.95</v>
      </c>
      <c r="AG492" s="12">
        <v>197.19</v>
      </c>
      <c r="AH492" s="12">
        <v>0.0</v>
      </c>
      <c r="AI492" s="12">
        <v>0.0</v>
      </c>
      <c r="AJ492" s="12">
        <v>0.0</v>
      </c>
      <c r="AK492" s="12">
        <v>0.0</v>
      </c>
      <c r="AL492" s="12">
        <f t="shared" si="153"/>
        <v>664.14</v>
      </c>
      <c r="AM492" s="12">
        <v>3441.0</v>
      </c>
      <c r="AN492" s="12">
        <v>0.0</v>
      </c>
      <c r="AO492" s="12">
        <v>0.0</v>
      </c>
      <c r="AP492" s="12">
        <v>0.0</v>
      </c>
      <c r="AQ492" s="12">
        <v>0.0</v>
      </c>
      <c r="AR492" s="12">
        <v>0.0</v>
      </c>
      <c r="AS492" s="12">
        <f t="shared" si="168"/>
        <v>3441</v>
      </c>
      <c r="AT492" s="16">
        <f t="shared" si="162"/>
        <v>25821.58</v>
      </c>
      <c r="AU492" s="18">
        <f t="shared" si="165"/>
        <v>264279.99</v>
      </c>
      <c r="AV492" s="18"/>
      <c r="AW492" s="18"/>
      <c r="AX492" s="12">
        <f t="shared" si="1"/>
        <v>25821.58</v>
      </c>
      <c r="AY492" s="12">
        <f t="shared" si="155"/>
        <v>264279.99</v>
      </c>
      <c r="AZ492" s="12">
        <v>4159.54</v>
      </c>
      <c r="BA492" s="18">
        <f t="shared" si="166"/>
        <v>18028.32</v>
      </c>
      <c r="BB492" s="10">
        <f t="shared" si="16"/>
        <v>672712.7018</v>
      </c>
      <c r="BC492" s="16">
        <f t="shared" si="88"/>
        <v>122976.5125</v>
      </c>
      <c r="BD492" s="16"/>
      <c r="BE492" s="16"/>
      <c r="BF492" s="6"/>
      <c r="BG492" s="6"/>
      <c r="BH492" s="6"/>
      <c r="BI492" s="29">
        <f t="shared" si="163"/>
        <v>38297.69786</v>
      </c>
      <c r="BJ492" s="6"/>
      <c r="BK492" s="15">
        <f t="shared" si="76"/>
        <v>0.6742332162</v>
      </c>
      <c r="BN492" s="16">
        <f t="shared" si="14"/>
        <v>-12476.11786</v>
      </c>
      <c r="BO492" s="16">
        <f t="shared" si="167"/>
        <v>-156994.6864</v>
      </c>
      <c r="BY492" s="6">
        <f t="shared" si="2"/>
        <v>2025</v>
      </c>
      <c r="BZ492" s="6" t="str">
        <f t="shared" si="3"/>
        <v>febrero</v>
      </c>
      <c r="CA492" s="6" t="str">
        <f t="shared" si="4"/>
        <v>2</v>
      </c>
    </row>
    <row r="493">
      <c r="A493" s="8">
        <v>45700.0</v>
      </c>
      <c r="B493" s="25">
        <v>17748.53</v>
      </c>
      <c r="C493" s="25">
        <v>2238.96</v>
      </c>
      <c r="D493" s="25">
        <v>0.0</v>
      </c>
      <c r="E493" s="25">
        <v>1907.32</v>
      </c>
      <c r="F493" s="25">
        <v>0.0</v>
      </c>
      <c r="G493" s="25">
        <v>0.0</v>
      </c>
      <c r="H493" s="25">
        <f t="shared" si="149"/>
        <v>21894.81</v>
      </c>
      <c r="I493" s="25">
        <v>11745.0</v>
      </c>
      <c r="J493" s="25">
        <v>1745.0</v>
      </c>
      <c r="K493" s="25">
        <v>1281.17</v>
      </c>
      <c r="L493" s="25">
        <v>0.0</v>
      </c>
      <c r="M493" s="25">
        <v>0.0</v>
      </c>
      <c r="N493" s="25">
        <v>0.0</v>
      </c>
      <c r="O493" s="25">
        <f t="shared" si="150"/>
        <v>14771.17</v>
      </c>
      <c r="P493" s="25">
        <v>4998.86</v>
      </c>
      <c r="Q493" s="25">
        <v>491.21</v>
      </c>
      <c r="R493" s="25">
        <v>0.0</v>
      </c>
      <c r="S493" s="25">
        <v>0.0</v>
      </c>
      <c r="T493" s="25">
        <v>0.0</v>
      </c>
      <c r="U493" s="25">
        <v>0.0</v>
      </c>
      <c r="V493" s="25">
        <f t="shared" si="151"/>
        <v>5490.07</v>
      </c>
      <c r="W493" s="25">
        <v>10217.39</v>
      </c>
      <c r="X493" s="25">
        <v>0.0</v>
      </c>
      <c r="Y493" s="25">
        <v>0.0</v>
      </c>
      <c r="Z493" s="25">
        <v>0.0</v>
      </c>
      <c r="AA493" s="25">
        <v>0.0</v>
      </c>
      <c r="AB493" s="25">
        <v>0.0</v>
      </c>
      <c r="AC493" s="25">
        <f t="shared" si="169"/>
        <v>10217.39</v>
      </c>
      <c r="AD493" s="25"/>
      <c r="AE493" s="25"/>
      <c r="AF493" s="25">
        <v>7357.05</v>
      </c>
      <c r="AG493" s="25">
        <v>0.0</v>
      </c>
      <c r="AH493" s="25">
        <v>0.0</v>
      </c>
      <c r="AI493" s="25">
        <v>0.0</v>
      </c>
      <c r="AJ493" s="25">
        <v>0.0</v>
      </c>
      <c r="AK493" s="25">
        <v>0.0</v>
      </c>
      <c r="AL493" s="25">
        <f t="shared" si="153"/>
        <v>7357.05</v>
      </c>
      <c r="AM493" s="25">
        <v>9827.0</v>
      </c>
      <c r="AN493" s="25">
        <v>0.0</v>
      </c>
      <c r="AO493" s="25">
        <v>0.0</v>
      </c>
      <c r="AP493" s="25">
        <v>0.0</v>
      </c>
      <c r="AQ493" s="25">
        <v>0.0</v>
      </c>
      <c r="AR493" s="25">
        <v>0.0</v>
      </c>
      <c r="AS493" s="25">
        <f t="shared" si="168"/>
        <v>9827</v>
      </c>
      <c r="AT493" s="16">
        <f t="shared" si="162"/>
        <v>47662.68</v>
      </c>
      <c r="AU493" s="18">
        <f t="shared" si="165"/>
        <v>311942.67</v>
      </c>
      <c r="AV493" s="18"/>
      <c r="AW493" s="18"/>
      <c r="AX493" s="12">
        <f t="shared" si="1"/>
        <v>47662.68</v>
      </c>
      <c r="AY493" s="12">
        <f t="shared" si="155"/>
        <v>311942.67</v>
      </c>
      <c r="AZ493" s="25">
        <v>1015.41</v>
      </c>
      <c r="BA493" s="18">
        <f t="shared" si="166"/>
        <v>19043.73</v>
      </c>
      <c r="BB493" s="10">
        <f t="shared" si="16"/>
        <v>727866.23</v>
      </c>
      <c r="BC493" s="16">
        <f t="shared" si="88"/>
        <v>109312.4556</v>
      </c>
      <c r="BD493" s="16"/>
      <c r="BE493" s="16"/>
      <c r="BF493" s="6"/>
      <c r="BG493" s="6"/>
      <c r="BH493" s="6"/>
      <c r="BI493" s="29">
        <f t="shared" si="163"/>
        <v>38297.69786</v>
      </c>
      <c r="BK493" s="15">
        <f t="shared" si="76"/>
        <v>1.244531203</v>
      </c>
      <c r="BN493" s="16">
        <f t="shared" si="14"/>
        <v>9364.982143</v>
      </c>
      <c r="BO493" s="16">
        <f t="shared" si="167"/>
        <v>-147629.7043</v>
      </c>
      <c r="BY493" s="6">
        <f t="shared" si="2"/>
        <v>2025</v>
      </c>
      <c r="BZ493" s="6" t="str">
        <f t="shared" si="3"/>
        <v>febrero</v>
      </c>
      <c r="CA493" s="6" t="str">
        <f t="shared" si="4"/>
        <v>2</v>
      </c>
    </row>
    <row r="494">
      <c r="A494" s="8">
        <v>45701.0</v>
      </c>
      <c r="B494" s="31">
        <v>85299.86</v>
      </c>
      <c r="C494" s="31">
        <v>0.0</v>
      </c>
      <c r="D494" s="31">
        <v>0.0</v>
      </c>
      <c r="E494" s="31">
        <v>0.0</v>
      </c>
      <c r="F494" s="31">
        <v>0.0</v>
      </c>
      <c r="G494" s="31">
        <v>0.0</v>
      </c>
      <c r="H494" s="31">
        <f t="shared" si="149"/>
        <v>85299.86</v>
      </c>
      <c r="I494" s="31">
        <v>9151.63</v>
      </c>
      <c r="J494" s="31">
        <v>0.0</v>
      </c>
      <c r="K494" s="31">
        <v>0.0</v>
      </c>
      <c r="L494" s="31">
        <v>0.0</v>
      </c>
      <c r="M494" s="31">
        <v>0.0</v>
      </c>
      <c r="N494" s="31">
        <v>0.0</v>
      </c>
      <c r="O494" s="31">
        <f t="shared" si="150"/>
        <v>9151.63</v>
      </c>
      <c r="P494" s="31">
        <v>5779.53</v>
      </c>
      <c r="Q494" s="31">
        <v>0.0</v>
      </c>
      <c r="R494" s="31">
        <v>0.0</v>
      </c>
      <c r="S494" s="31">
        <v>0.0</v>
      </c>
      <c r="T494" s="31">
        <v>0.0</v>
      </c>
      <c r="U494" s="31">
        <v>0.0</v>
      </c>
      <c r="V494" s="31">
        <f t="shared" si="151"/>
        <v>5779.53</v>
      </c>
      <c r="W494" s="31">
        <v>3815.95</v>
      </c>
      <c r="X494" s="31">
        <v>0.0</v>
      </c>
      <c r="Y494" s="31">
        <v>0.0</v>
      </c>
      <c r="Z494" s="31">
        <v>0.0</v>
      </c>
      <c r="AA494" s="31">
        <v>0.0</v>
      </c>
      <c r="AB494" s="31">
        <v>0.0</v>
      </c>
      <c r="AC494" s="31">
        <f t="shared" si="169"/>
        <v>3815.95</v>
      </c>
      <c r="AD494" s="31"/>
      <c r="AE494" s="31"/>
      <c r="AF494" s="31">
        <v>4952.62</v>
      </c>
      <c r="AG494" s="31">
        <v>0.0</v>
      </c>
      <c r="AH494" s="31">
        <v>0.0</v>
      </c>
      <c r="AI494" s="31">
        <v>0.0</v>
      </c>
      <c r="AJ494" s="31">
        <v>0.0</v>
      </c>
      <c r="AK494" s="31">
        <v>0.0</v>
      </c>
      <c r="AL494" s="31">
        <f t="shared" si="153"/>
        <v>4952.62</v>
      </c>
      <c r="AM494" s="31">
        <v>2716.0</v>
      </c>
      <c r="AN494" s="31">
        <v>0.0</v>
      </c>
      <c r="AO494" s="31">
        <v>0.0</v>
      </c>
      <c r="AP494" s="31">
        <v>0.0</v>
      </c>
      <c r="AQ494" s="31">
        <v>0.0</v>
      </c>
      <c r="AR494" s="31">
        <v>0.0</v>
      </c>
      <c r="AS494" s="31">
        <f t="shared" si="168"/>
        <v>2716</v>
      </c>
      <c r="AT494" s="16">
        <f t="shared" si="162"/>
        <v>26415.73</v>
      </c>
      <c r="AU494" s="18">
        <f t="shared" si="165"/>
        <v>338358.4</v>
      </c>
      <c r="AV494" s="18"/>
      <c r="AW494" s="18"/>
      <c r="AX494" s="12">
        <f t="shared" si="1"/>
        <v>26415.73</v>
      </c>
      <c r="AY494" s="12">
        <f t="shared" si="155"/>
        <v>338358.4</v>
      </c>
      <c r="AZ494" s="31">
        <v>2268.76</v>
      </c>
      <c r="BA494" s="18">
        <f t="shared" si="166"/>
        <v>21312.49</v>
      </c>
      <c r="BB494" s="10">
        <f t="shared" si="16"/>
        <v>728771.9385</v>
      </c>
      <c r="BC494" s="16">
        <f t="shared" si="88"/>
        <v>119229.205</v>
      </c>
      <c r="BD494" s="16"/>
      <c r="BE494" s="16"/>
      <c r="BF494" s="6"/>
      <c r="BG494" s="6"/>
      <c r="BH494" s="6"/>
      <c r="BI494" s="29">
        <f t="shared" si="163"/>
        <v>38297.69786</v>
      </c>
      <c r="BJ494" s="6"/>
      <c r="BK494" s="15">
        <f t="shared" si="76"/>
        <v>0.6897472036</v>
      </c>
      <c r="BN494" s="16">
        <f t="shared" si="14"/>
        <v>-11881.96786</v>
      </c>
      <c r="BO494" s="16">
        <f t="shared" si="167"/>
        <v>-159511.6721</v>
      </c>
      <c r="BY494" s="6">
        <f t="shared" si="2"/>
        <v>2025</v>
      </c>
      <c r="BZ494" s="6" t="str">
        <f t="shared" si="3"/>
        <v>febrero</v>
      </c>
      <c r="CA494" s="6" t="str">
        <f t="shared" si="4"/>
        <v>2</v>
      </c>
    </row>
    <row r="495">
      <c r="A495" s="8">
        <v>45702.0</v>
      </c>
      <c r="B495" s="25">
        <v>24089.12</v>
      </c>
      <c r="C495" s="25">
        <v>167.32</v>
      </c>
      <c r="D495" s="25">
        <v>1115.81</v>
      </c>
      <c r="E495" s="25">
        <v>3585.86</v>
      </c>
      <c r="F495" s="25">
        <v>0.0</v>
      </c>
      <c r="G495" s="25">
        <v>0.0</v>
      </c>
      <c r="H495" s="25">
        <f t="shared" si="149"/>
        <v>28958.11</v>
      </c>
      <c r="I495" s="25">
        <v>18745.0</v>
      </c>
      <c r="J495" s="25">
        <v>1891.41</v>
      </c>
      <c r="K495" s="25">
        <v>1115.81</v>
      </c>
      <c r="L495" s="25">
        <v>1414.14</v>
      </c>
      <c r="M495" s="25">
        <v>0.0</v>
      </c>
      <c r="N495" s="25">
        <v>0.0</v>
      </c>
      <c r="O495" s="25">
        <f t="shared" si="150"/>
        <v>23166.36</v>
      </c>
      <c r="P495" s="25">
        <v>8802.52</v>
      </c>
      <c r="Q495" s="25">
        <v>119.59</v>
      </c>
      <c r="R495" s="25">
        <v>435.62</v>
      </c>
      <c r="S495" s="25">
        <v>0.0</v>
      </c>
      <c r="T495" s="25">
        <v>0.0</v>
      </c>
      <c r="U495" s="25">
        <v>0.0</v>
      </c>
      <c r="V495" s="25">
        <f t="shared" si="151"/>
        <v>9357.73</v>
      </c>
      <c r="W495" s="25">
        <v>2743.4</v>
      </c>
      <c r="X495" s="25">
        <v>0.0</v>
      </c>
      <c r="Y495" s="25">
        <v>0.0</v>
      </c>
      <c r="Z495" s="25">
        <v>0.0</v>
      </c>
      <c r="AA495" s="25">
        <v>0.0</v>
      </c>
      <c r="AB495" s="25">
        <v>0.0</v>
      </c>
      <c r="AC495" s="25">
        <f t="shared" si="169"/>
        <v>2743.4</v>
      </c>
      <c r="AD495" s="25"/>
      <c r="AE495" s="25"/>
      <c r="AF495" s="25">
        <v>6893.39</v>
      </c>
      <c r="AG495" s="25">
        <v>0.0</v>
      </c>
      <c r="AH495" s="25">
        <v>435.62</v>
      </c>
      <c r="AI495" s="25">
        <v>0.0</v>
      </c>
      <c r="AJ495" s="25">
        <v>0.0</v>
      </c>
      <c r="AK495" s="25">
        <v>0.0</v>
      </c>
      <c r="AL495" s="25">
        <f t="shared" si="153"/>
        <v>7329.01</v>
      </c>
      <c r="AM495" s="25">
        <v>3046.0</v>
      </c>
      <c r="AN495" s="25">
        <v>0.0</v>
      </c>
      <c r="AO495" s="25">
        <v>0.0</v>
      </c>
      <c r="AP495" s="25">
        <v>0.0</v>
      </c>
      <c r="AQ495" s="25">
        <v>0.0</v>
      </c>
      <c r="AR495" s="25">
        <v>0.0</v>
      </c>
      <c r="AS495" s="25">
        <f t="shared" si="168"/>
        <v>3046</v>
      </c>
      <c r="AT495" s="16">
        <f t="shared" si="162"/>
        <v>45642.5</v>
      </c>
      <c r="AU495" s="18">
        <f t="shared" si="165"/>
        <v>384000.9</v>
      </c>
      <c r="AV495" s="18"/>
      <c r="AW495" s="18"/>
      <c r="AX495" s="12">
        <f t="shared" si="1"/>
        <v>45642.5</v>
      </c>
      <c r="AY495" s="12">
        <f t="shared" si="155"/>
        <v>384000.9</v>
      </c>
      <c r="AZ495" s="25">
        <v>2097.09</v>
      </c>
      <c r="BA495" s="18">
        <f t="shared" si="166"/>
        <v>23409.58</v>
      </c>
      <c r="BB495" s="10">
        <f t="shared" si="16"/>
        <v>768001.8</v>
      </c>
      <c r="BC495" s="16">
        <f t="shared" si="88"/>
        <v>120127.2682</v>
      </c>
      <c r="BD495" s="16"/>
      <c r="BE495" s="16"/>
      <c r="BF495" s="6"/>
      <c r="BG495" s="6"/>
      <c r="BH495" s="6"/>
      <c r="BI495" s="29">
        <f t="shared" si="163"/>
        <v>38297.69786</v>
      </c>
      <c r="BK495" s="15">
        <f t="shared" si="76"/>
        <v>1.191781819</v>
      </c>
      <c r="BN495" s="16">
        <f t="shared" si="14"/>
        <v>7344.802143</v>
      </c>
      <c r="BO495" s="16">
        <f t="shared" si="167"/>
        <v>-152166.87</v>
      </c>
      <c r="BY495" s="6">
        <f t="shared" si="2"/>
        <v>2025</v>
      </c>
      <c r="BZ495" s="6" t="str">
        <f t="shared" si="3"/>
        <v>febrero</v>
      </c>
      <c r="CA495" s="6" t="str">
        <f t="shared" si="4"/>
        <v>2</v>
      </c>
    </row>
    <row r="496">
      <c r="A496" s="8">
        <v>45703.0</v>
      </c>
      <c r="B496" s="31">
        <v>0.0</v>
      </c>
      <c r="C496" s="31">
        <v>0.0</v>
      </c>
      <c r="D496" s="31">
        <v>0.0</v>
      </c>
      <c r="E496" s="31">
        <v>0.0</v>
      </c>
      <c r="F496" s="31">
        <v>0.0</v>
      </c>
      <c r="G496" s="31">
        <v>0.0</v>
      </c>
      <c r="H496" s="31">
        <f t="shared" si="149"/>
        <v>0</v>
      </c>
      <c r="I496" s="31">
        <v>0.0</v>
      </c>
      <c r="J496" s="31">
        <v>0.0</v>
      </c>
      <c r="K496" s="31">
        <v>0.0</v>
      </c>
      <c r="L496" s="31">
        <v>0.0</v>
      </c>
      <c r="M496" s="31">
        <v>0.0</v>
      </c>
      <c r="N496" s="31">
        <v>0.0</v>
      </c>
      <c r="O496" s="31">
        <f t="shared" si="150"/>
        <v>0</v>
      </c>
      <c r="P496" s="31">
        <v>0.0</v>
      </c>
      <c r="Q496" s="31">
        <v>0.0</v>
      </c>
      <c r="R496" s="31">
        <v>0.0</v>
      </c>
      <c r="S496" s="31">
        <v>0.0</v>
      </c>
      <c r="T496" s="31">
        <v>0.0</v>
      </c>
      <c r="U496" s="31">
        <v>0.0</v>
      </c>
      <c r="V496" s="31">
        <f t="shared" si="151"/>
        <v>0</v>
      </c>
      <c r="W496" s="31">
        <v>0.0</v>
      </c>
      <c r="X496" s="31">
        <v>0.0</v>
      </c>
      <c r="Y496" s="31">
        <v>0.0</v>
      </c>
      <c r="Z496" s="31">
        <v>0.0</v>
      </c>
      <c r="AA496" s="31">
        <v>0.0</v>
      </c>
      <c r="AB496" s="31">
        <v>0.0</v>
      </c>
      <c r="AC496" s="31">
        <f t="shared" si="169"/>
        <v>0</v>
      </c>
      <c r="AD496" s="31"/>
      <c r="AE496" s="31"/>
      <c r="AF496" s="31">
        <v>0.0</v>
      </c>
      <c r="AG496" s="31">
        <v>0.0</v>
      </c>
      <c r="AH496" s="31">
        <v>0.0</v>
      </c>
      <c r="AI496" s="31">
        <v>0.0</v>
      </c>
      <c r="AJ496" s="31">
        <v>0.0</v>
      </c>
      <c r="AK496" s="31">
        <v>0.0</v>
      </c>
      <c r="AL496" s="31">
        <f t="shared" si="153"/>
        <v>0</v>
      </c>
      <c r="AM496" s="31">
        <v>0.0</v>
      </c>
      <c r="AN496" s="31">
        <v>0.0</v>
      </c>
      <c r="AO496" s="31">
        <v>0.0</v>
      </c>
      <c r="AP496" s="31">
        <v>0.0</v>
      </c>
      <c r="AQ496" s="31">
        <v>0.0</v>
      </c>
      <c r="AR496" s="31">
        <v>0.0</v>
      </c>
      <c r="AS496" s="31">
        <f t="shared" si="168"/>
        <v>0</v>
      </c>
      <c r="AT496" s="16">
        <f t="shared" si="162"/>
        <v>0</v>
      </c>
      <c r="AU496" s="18">
        <f t="shared" si="165"/>
        <v>384000.9</v>
      </c>
      <c r="AV496" s="18"/>
      <c r="AW496" s="18"/>
      <c r="AX496" s="12">
        <f t="shared" si="1"/>
        <v>0</v>
      </c>
      <c r="AY496" s="12">
        <f t="shared" si="155"/>
        <v>384000.9</v>
      </c>
      <c r="AZ496" s="30">
        <v>0.0</v>
      </c>
      <c r="BA496" s="18">
        <f t="shared" si="166"/>
        <v>23409.58</v>
      </c>
      <c r="BB496" s="10">
        <f t="shared" si="16"/>
        <v>716801.68</v>
      </c>
      <c r="BC496" s="16">
        <f t="shared" si="88"/>
        <v>129976.1125</v>
      </c>
      <c r="BD496" s="16"/>
      <c r="BE496" s="16"/>
      <c r="BF496" s="6"/>
      <c r="BG496" s="6"/>
      <c r="BH496" s="6"/>
      <c r="BI496" s="29">
        <f t="shared" si="163"/>
        <v>38297.69786</v>
      </c>
      <c r="BJ496" s="6"/>
      <c r="BK496" s="15">
        <f t="shared" si="76"/>
        <v>0</v>
      </c>
      <c r="BN496" s="16">
        <f t="shared" si="14"/>
        <v>-38297.69786</v>
      </c>
      <c r="BO496" s="16">
        <f t="shared" si="167"/>
        <v>-190464.5679</v>
      </c>
      <c r="BY496" s="6">
        <f t="shared" si="2"/>
        <v>2025</v>
      </c>
      <c r="BZ496" s="6" t="str">
        <f t="shared" si="3"/>
        <v>febrero</v>
      </c>
      <c r="CA496" s="6" t="str">
        <f t="shared" si="4"/>
        <v>2</v>
      </c>
    </row>
    <row r="497">
      <c r="A497" s="8">
        <v>45704.0</v>
      </c>
      <c r="B497" s="31">
        <v>0.0</v>
      </c>
      <c r="C497" s="31">
        <v>0.0</v>
      </c>
      <c r="D497" s="31">
        <v>0.0</v>
      </c>
      <c r="E497" s="31">
        <v>0.0</v>
      </c>
      <c r="F497" s="31">
        <v>0.0</v>
      </c>
      <c r="G497" s="31">
        <v>0.0</v>
      </c>
      <c r="H497" s="31">
        <f t="shared" si="149"/>
        <v>0</v>
      </c>
      <c r="I497" s="31">
        <v>0.0</v>
      </c>
      <c r="J497" s="31">
        <v>0.0</v>
      </c>
      <c r="K497" s="31">
        <v>0.0</v>
      </c>
      <c r="L497" s="31">
        <v>0.0</v>
      </c>
      <c r="M497" s="31">
        <v>0.0</v>
      </c>
      <c r="N497" s="31">
        <v>0.0</v>
      </c>
      <c r="O497" s="31">
        <f t="shared" si="150"/>
        <v>0</v>
      </c>
      <c r="P497" s="31">
        <v>0.0</v>
      </c>
      <c r="Q497" s="31">
        <v>0.0</v>
      </c>
      <c r="R497" s="31">
        <v>0.0</v>
      </c>
      <c r="S497" s="31">
        <v>0.0</v>
      </c>
      <c r="T497" s="31">
        <v>0.0</v>
      </c>
      <c r="U497" s="31">
        <v>0.0</v>
      </c>
      <c r="V497" s="31">
        <f t="shared" si="151"/>
        <v>0</v>
      </c>
      <c r="W497" s="31">
        <v>0.0</v>
      </c>
      <c r="X497" s="31">
        <v>0.0</v>
      </c>
      <c r="Y497" s="31">
        <v>0.0</v>
      </c>
      <c r="Z497" s="31">
        <v>0.0</v>
      </c>
      <c r="AA497" s="31">
        <v>0.0</v>
      </c>
      <c r="AB497" s="31">
        <v>0.0</v>
      </c>
      <c r="AC497" s="31">
        <f t="shared" si="169"/>
        <v>0</v>
      </c>
      <c r="AD497" s="31"/>
      <c r="AE497" s="31"/>
      <c r="AF497" s="31">
        <v>0.0</v>
      </c>
      <c r="AG497" s="31">
        <v>0.0</v>
      </c>
      <c r="AH497" s="31">
        <v>0.0</v>
      </c>
      <c r="AI497" s="31">
        <v>0.0</v>
      </c>
      <c r="AJ497" s="31">
        <v>0.0</v>
      </c>
      <c r="AK497" s="31">
        <v>0.0</v>
      </c>
      <c r="AL497" s="31">
        <f t="shared" si="153"/>
        <v>0</v>
      </c>
      <c r="AM497" s="31">
        <v>0.0</v>
      </c>
      <c r="AN497" s="31">
        <v>0.0</v>
      </c>
      <c r="AO497" s="31">
        <v>0.0</v>
      </c>
      <c r="AP497" s="31">
        <v>0.0</v>
      </c>
      <c r="AQ497" s="31">
        <v>0.0</v>
      </c>
      <c r="AR497" s="31">
        <v>0.0</v>
      </c>
      <c r="AS497" s="31">
        <f t="shared" si="168"/>
        <v>0</v>
      </c>
      <c r="AT497" s="16">
        <f t="shared" si="162"/>
        <v>0</v>
      </c>
      <c r="AU497" s="18">
        <f t="shared" si="165"/>
        <v>384000.9</v>
      </c>
      <c r="AV497" s="18"/>
      <c r="AW497" s="18"/>
      <c r="AX497" s="12">
        <f t="shared" si="1"/>
        <v>0</v>
      </c>
      <c r="AY497" s="12">
        <f t="shared" si="155"/>
        <v>384000.9</v>
      </c>
      <c r="AZ497" s="30">
        <v>0.0</v>
      </c>
      <c r="BA497" s="18">
        <f t="shared" si="166"/>
        <v>23409.58</v>
      </c>
      <c r="BB497" s="10">
        <f t="shared" si="16"/>
        <v>672001.575</v>
      </c>
      <c r="BC497" s="16">
        <f t="shared" si="88"/>
        <v>130137.8462</v>
      </c>
      <c r="BD497" s="16"/>
      <c r="BE497" s="16"/>
      <c r="BF497" s="6"/>
      <c r="BG497" s="6"/>
      <c r="BH497" s="6"/>
      <c r="BI497" s="29">
        <f t="shared" si="163"/>
        <v>38297.69786</v>
      </c>
      <c r="BJ497" s="6"/>
      <c r="BK497" s="15">
        <f t="shared" si="76"/>
        <v>0</v>
      </c>
      <c r="BN497" s="16">
        <f t="shared" si="14"/>
        <v>-38297.69786</v>
      </c>
      <c r="BO497" s="16">
        <f t="shared" si="167"/>
        <v>-228762.2657</v>
      </c>
      <c r="BY497" s="6">
        <f t="shared" si="2"/>
        <v>2025</v>
      </c>
      <c r="BZ497" s="6" t="str">
        <f t="shared" si="3"/>
        <v>febrero</v>
      </c>
      <c r="CA497" s="6" t="str">
        <f t="shared" si="4"/>
        <v>2</v>
      </c>
    </row>
    <row r="498">
      <c r="A498" s="8">
        <v>45705.0</v>
      </c>
      <c r="B498" s="31">
        <v>28679.31</v>
      </c>
      <c r="C498" s="31">
        <v>1518.49</v>
      </c>
      <c r="D498" s="31">
        <v>2575.05</v>
      </c>
      <c r="E498" s="31">
        <v>0.0</v>
      </c>
      <c r="F498" s="31">
        <v>0.0</v>
      </c>
      <c r="G498" s="31">
        <v>0.0</v>
      </c>
      <c r="H498" s="31">
        <f t="shared" si="149"/>
        <v>32772.85</v>
      </c>
      <c r="I498" s="31">
        <v>12745.0</v>
      </c>
      <c r="J498" s="31">
        <v>1554.04</v>
      </c>
      <c r="K498" s="31">
        <v>0.0</v>
      </c>
      <c r="L498" s="31">
        <v>0.0</v>
      </c>
      <c r="M498" s="31">
        <v>0.0</v>
      </c>
      <c r="N498" s="31">
        <v>0.0</v>
      </c>
      <c r="O498" s="31">
        <f t="shared" si="150"/>
        <v>14299.04</v>
      </c>
      <c r="P498" s="31">
        <v>9848.41</v>
      </c>
      <c r="Q498" s="31">
        <v>620.11</v>
      </c>
      <c r="R498" s="31">
        <v>435.62</v>
      </c>
      <c r="S498" s="31">
        <v>0.0</v>
      </c>
      <c r="T498" s="31">
        <v>0.0</v>
      </c>
      <c r="U498" s="31">
        <v>0.0</v>
      </c>
      <c r="V498" s="31">
        <f t="shared" si="151"/>
        <v>10904.14</v>
      </c>
      <c r="W498" s="31">
        <v>950.86</v>
      </c>
      <c r="X498" s="31">
        <v>3.25</v>
      </c>
      <c r="Y498" s="31">
        <v>0.99</v>
      </c>
      <c r="Z498" s="31">
        <v>0.0</v>
      </c>
      <c r="AA498" s="31">
        <v>0.0</v>
      </c>
      <c r="AB498" s="31">
        <v>0.0</v>
      </c>
      <c r="AC498" s="31">
        <f t="shared" si="169"/>
        <v>955.1</v>
      </c>
      <c r="AD498" s="31"/>
      <c r="AE498" s="31"/>
      <c r="AF498" s="31">
        <v>2385.54</v>
      </c>
      <c r="AG498" s="31">
        <v>247.65</v>
      </c>
      <c r="AH498" s="31">
        <v>0.0</v>
      </c>
      <c r="AI498" s="31">
        <v>0.0</v>
      </c>
      <c r="AJ498" s="31">
        <v>0.0</v>
      </c>
      <c r="AK498" s="31">
        <v>0.0</v>
      </c>
      <c r="AL498" s="31">
        <f t="shared" si="153"/>
        <v>2633.19</v>
      </c>
      <c r="AM498" s="31">
        <v>0.0</v>
      </c>
      <c r="AN498" s="31">
        <v>0.0</v>
      </c>
      <c r="AO498" s="31">
        <v>0.0</v>
      </c>
      <c r="AP498" s="31">
        <v>0.0</v>
      </c>
      <c r="AQ498" s="31">
        <v>0.0</v>
      </c>
      <c r="AR498" s="31">
        <v>0.0</v>
      </c>
      <c r="AS498" s="31">
        <f t="shared" si="168"/>
        <v>0</v>
      </c>
      <c r="AT498" s="16">
        <f t="shared" si="162"/>
        <v>28791.47</v>
      </c>
      <c r="AU498" s="18">
        <f t="shared" si="165"/>
        <v>412792.37</v>
      </c>
      <c r="AV498" s="18"/>
      <c r="AW498" s="18"/>
      <c r="AX498" s="12">
        <f t="shared" si="1"/>
        <v>28791.47</v>
      </c>
      <c r="AY498" s="12">
        <f t="shared" si="155"/>
        <v>412792.37</v>
      </c>
      <c r="AZ498" s="31">
        <v>5113.83</v>
      </c>
      <c r="BA498" s="18">
        <f t="shared" si="166"/>
        <v>28523.41</v>
      </c>
      <c r="BB498" s="10">
        <f t="shared" si="16"/>
        <v>679893.3153</v>
      </c>
      <c r="BC498" s="16">
        <f t="shared" si="88"/>
        <v>137143.1786</v>
      </c>
      <c r="BD498" s="16"/>
      <c r="BE498" s="16"/>
      <c r="BF498" s="6"/>
      <c r="BG498" s="6"/>
      <c r="BH498" s="6"/>
      <c r="BI498" s="29">
        <f t="shared" si="163"/>
        <v>38297.69786</v>
      </c>
      <c r="BJ498" s="6"/>
      <c r="BK498" s="15">
        <f t="shared" si="76"/>
        <v>0.7517806973</v>
      </c>
      <c r="BN498" s="16">
        <f t="shared" si="14"/>
        <v>-9506.227857</v>
      </c>
      <c r="BO498" s="16">
        <f t="shared" si="167"/>
        <v>-238268.4936</v>
      </c>
      <c r="BY498" s="6">
        <f t="shared" si="2"/>
        <v>2025</v>
      </c>
      <c r="BZ498" s="6" t="str">
        <f t="shared" si="3"/>
        <v>febrero</v>
      </c>
      <c r="CA498" s="6" t="str">
        <f t="shared" si="4"/>
        <v>2</v>
      </c>
    </row>
    <row r="499">
      <c r="A499" s="8">
        <v>45706.0</v>
      </c>
      <c r="B499" s="25">
        <v>21802.93</v>
      </c>
      <c r="C499" s="25">
        <v>1020.38</v>
      </c>
      <c r="D499" s="25">
        <v>1666.43</v>
      </c>
      <c r="E499" s="25">
        <v>103.57</v>
      </c>
      <c r="F499" s="25">
        <v>0.0</v>
      </c>
      <c r="G499" s="25">
        <v>0.0</v>
      </c>
      <c r="H499" s="25">
        <f t="shared" si="149"/>
        <v>24593.31</v>
      </c>
      <c r="I499" s="25">
        <v>10245.0</v>
      </c>
      <c r="J499" s="25">
        <v>1425.0</v>
      </c>
      <c r="K499" s="25">
        <v>1265.0</v>
      </c>
      <c r="L499" s="25">
        <v>1277.29</v>
      </c>
      <c r="M499" s="25">
        <v>0.0</v>
      </c>
      <c r="N499" s="25">
        <v>0.0</v>
      </c>
      <c r="O499" s="25">
        <f t="shared" si="150"/>
        <v>14212.29</v>
      </c>
      <c r="P499" s="25">
        <v>8636.36</v>
      </c>
      <c r="Q499" s="25">
        <v>412.61</v>
      </c>
      <c r="R499" s="25">
        <v>435.62</v>
      </c>
      <c r="S499" s="25">
        <v>0.0</v>
      </c>
      <c r="T499" s="25">
        <v>0.0</v>
      </c>
      <c r="U499" s="25">
        <v>0.0</v>
      </c>
      <c r="V499" s="25">
        <f t="shared" si="151"/>
        <v>9484.59</v>
      </c>
      <c r="W499" s="25">
        <v>15448.59</v>
      </c>
      <c r="X499" s="25">
        <v>0.59</v>
      </c>
      <c r="Y499" s="25">
        <v>0.0</v>
      </c>
      <c r="Z499" s="25">
        <v>0.0</v>
      </c>
      <c r="AA499" s="25">
        <v>0.0</v>
      </c>
      <c r="AB499" s="25">
        <v>0.0</v>
      </c>
      <c r="AC499" s="25">
        <f t="shared" si="169"/>
        <v>15449.18</v>
      </c>
      <c r="AD499" s="25"/>
      <c r="AE499" s="25"/>
      <c r="AF499" s="25">
        <v>3518.55</v>
      </c>
      <c r="AG499" s="25">
        <v>461.59</v>
      </c>
      <c r="AH499" s="25">
        <v>0.0</v>
      </c>
      <c r="AI499" s="25">
        <v>0.0</v>
      </c>
      <c r="AJ499" s="25">
        <v>0.0</v>
      </c>
      <c r="AK499" s="25">
        <v>0.0</v>
      </c>
      <c r="AL499" s="25">
        <f t="shared" si="153"/>
        <v>3980.14</v>
      </c>
      <c r="AM499" s="25">
        <v>2602.0</v>
      </c>
      <c r="AN499" s="25">
        <v>0.0</v>
      </c>
      <c r="AO499" s="25">
        <v>0.0</v>
      </c>
      <c r="AP499" s="25">
        <v>0.0</v>
      </c>
      <c r="AQ499" s="25">
        <v>0.0</v>
      </c>
      <c r="AR499" s="25">
        <v>0.0</v>
      </c>
      <c r="AS499" s="25">
        <f t="shared" si="168"/>
        <v>2602</v>
      </c>
      <c r="AT499" s="16">
        <f t="shared" si="162"/>
        <v>45728.2</v>
      </c>
      <c r="AU499" s="18">
        <f t="shared" si="165"/>
        <v>458520.57</v>
      </c>
      <c r="AV499" s="18"/>
      <c r="AW499" s="18"/>
      <c r="AX499" s="12">
        <f t="shared" si="1"/>
        <v>45728.2</v>
      </c>
      <c r="AY499" s="12">
        <f t="shared" si="155"/>
        <v>458520.57</v>
      </c>
      <c r="AZ499" s="25">
        <v>11227.31</v>
      </c>
      <c r="BA499" s="18">
        <f t="shared" si="166"/>
        <v>39750.72</v>
      </c>
      <c r="BB499" s="10">
        <f t="shared" si="16"/>
        <v>713254.22</v>
      </c>
      <c r="BC499" s="16">
        <f t="shared" si="88"/>
        <v>128000.3</v>
      </c>
      <c r="BD499" s="16"/>
      <c r="BE499" s="16"/>
      <c r="BF499" s="6"/>
      <c r="BG499" s="6"/>
      <c r="BH499" s="6"/>
      <c r="BI499" s="29">
        <f t="shared" si="163"/>
        <v>38297.69786</v>
      </c>
      <c r="BK499" s="15">
        <f t="shared" si="76"/>
        <v>1.194019551</v>
      </c>
      <c r="BN499" s="16">
        <f t="shared" si="14"/>
        <v>7430.502143</v>
      </c>
      <c r="BO499" s="16">
        <f t="shared" si="167"/>
        <v>-230837.9914</v>
      </c>
      <c r="BY499" s="6">
        <f t="shared" si="2"/>
        <v>2025</v>
      </c>
      <c r="BZ499" s="6" t="str">
        <f t="shared" si="3"/>
        <v>febrero</v>
      </c>
      <c r="CA499" s="6" t="str">
        <f t="shared" si="4"/>
        <v>2</v>
      </c>
    </row>
    <row r="500">
      <c r="A500" s="8">
        <v>45707.0</v>
      </c>
      <c r="B500" s="31">
        <v>19929.11</v>
      </c>
      <c r="C500" s="31">
        <v>339.02</v>
      </c>
      <c r="D500" s="31">
        <v>1384.55</v>
      </c>
      <c r="E500" s="31">
        <v>0.0</v>
      </c>
      <c r="F500" s="31">
        <v>0.0</v>
      </c>
      <c r="G500" s="31">
        <v>0.0</v>
      </c>
      <c r="H500" s="31">
        <f t="shared" si="149"/>
        <v>21652.68</v>
      </c>
      <c r="I500" s="31">
        <v>16889.0</v>
      </c>
      <c r="J500" s="31">
        <v>1532.0</v>
      </c>
      <c r="K500" s="31">
        <v>605.13</v>
      </c>
      <c r="L500" s="31">
        <v>0.0</v>
      </c>
      <c r="M500" s="31">
        <v>0.0</v>
      </c>
      <c r="N500" s="31">
        <v>0.0</v>
      </c>
      <c r="O500" s="31">
        <f t="shared" si="150"/>
        <v>19026.13</v>
      </c>
      <c r="P500" s="31">
        <v>6319.66</v>
      </c>
      <c r="Q500" s="31">
        <v>542.64</v>
      </c>
      <c r="R500" s="31">
        <v>502.8</v>
      </c>
      <c r="S500" s="31">
        <v>0.0</v>
      </c>
      <c r="T500" s="31">
        <v>0.0</v>
      </c>
      <c r="U500" s="31">
        <v>0.0</v>
      </c>
      <c r="V500" s="31">
        <f t="shared" si="151"/>
        <v>7365.1</v>
      </c>
      <c r="W500" s="31">
        <v>3654.85</v>
      </c>
      <c r="X500" s="31">
        <v>0.1</v>
      </c>
      <c r="Y500" s="31">
        <v>1.25</v>
      </c>
      <c r="Z500" s="31">
        <v>0.0</v>
      </c>
      <c r="AA500" s="31">
        <v>0.0</v>
      </c>
      <c r="AB500" s="31">
        <v>0.0</v>
      </c>
      <c r="AC500" s="31">
        <f t="shared" si="169"/>
        <v>3656.2</v>
      </c>
      <c r="AD500" s="31"/>
      <c r="AE500" s="31"/>
      <c r="AF500" s="31">
        <v>2051.71</v>
      </c>
      <c r="AG500" s="31">
        <v>0.0</v>
      </c>
      <c r="AH500" s="31">
        <v>0.0</v>
      </c>
      <c r="AI500" s="31">
        <v>0.0</v>
      </c>
      <c r="AJ500" s="31">
        <v>0.0</v>
      </c>
      <c r="AK500" s="31">
        <v>0.0</v>
      </c>
      <c r="AL500" s="31">
        <f t="shared" si="153"/>
        <v>2051.71</v>
      </c>
      <c r="AM500" s="31">
        <v>5169.0</v>
      </c>
      <c r="AN500" s="31">
        <v>0.0</v>
      </c>
      <c r="AO500" s="31">
        <v>0.0</v>
      </c>
      <c r="AP500" s="31">
        <v>0.0</v>
      </c>
      <c r="AQ500" s="31">
        <v>0.0</v>
      </c>
      <c r="AR500" s="31">
        <v>0.0</v>
      </c>
      <c r="AS500" s="31">
        <f t="shared" si="168"/>
        <v>5169</v>
      </c>
      <c r="AT500" s="16">
        <f t="shared" si="162"/>
        <v>37268.14</v>
      </c>
      <c r="AU500" s="18">
        <f t="shared" si="165"/>
        <v>495788.71</v>
      </c>
      <c r="AV500" s="18"/>
      <c r="AW500" s="18"/>
      <c r="AX500" s="12">
        <f t="shared" si="1"/>
        <v>37268.14</v>
      </c>
      <c r="AY500" s="12">
        <f t="shared" si="155"/>
        <v>495788.71</v>
      </c>
      <c r="AZ500" s="31">
        <v>2265.51</v>
      </c>
      <c r="BA500" s="18">
        <f t="shared" si="166"/>
        <v>42016.23</v>
      </c>
      <c r="BB500" s="10">
        <f t="shared" si="16"/>
        <v>730635.9937</v>
      </c>
      <c r="BC500" s="16">
        <f t="shared" si="88"/>
        <v>120000.2813</v>
      </c>
      <c r="BD500" s="16"/>
      <c r="BE500" s="16"/>
      <c r="BF500" s="6"/>
      <c r="BG500" s="6"/>
      <c r="BH500" s="6"/>
      <c r="BI500" s="29">
        <f t="shared" si="163"/>
        <v>38297.69786</v>
      </c>
      <c r="BJ500" s="6"/>
      <c r="BK500" s="15">
        <f t="shared" si="76"/>
        <v>0.9731169779</v>
      </c>
      <c r="BN500" s="16">
        <f t="shared" si="14"/>
        <v>-1029.557857</v>
      </c>
      <c r="BO500" s="16">
        <f t="shared" si="167"/>
        <v>-231867.5493</v>
      </c>
      <c r="BY500" s="6">
        <f t="shared" si="2"/>
        <v>2025</v>
      </c>
      <c r="BZ500" s="6" t="str">
        <f t="shared" si="3"/>
        <v>febrero</v>
      </c>
      <c r="CA500" s="6" t="str">
        <f t="shared" si="4"/>
        <v>2</v>
      </c>
    </row>
    <row r="501">
      <c r="A501" s="8">
        <v>45708.0</v>
      </c>
      <c r="B501" s="25">
        <v>38895.17</v>
      </c>
      <c r="C501" s="25">
        <v>2318.14</v>
      </c>
      <c r="D501" s="25">
        <v>1761.63</v>
      </c>
      <c r="E501" s="25">
        <v>0.0</v>
      </c>
      <c r="F501" s="25">
        <v>0.0</v>
      </c>
      <c r="G501" s="25">
        <v>0.0</v>
      </c>
      <c r="H501" s="25">
        <f t="shared" si="149"/>
        <v>42974.94</v>
      </c>
      <c r="I501" s="25">
        <v>25476.0</v>
      </c>
      <c r="J501" s="25">
        <v>4856.0</v>
      </c>
      <c r="K501" s="25">
        <v>1563.0</v>
      </c>
      <c r="L501" s="25">
        <v>1841.04</v>
      </c>
      <c r="M501" s="25">
        <v>0.0</v>
      </c>
      <c r="N501" s="25">
        <v>0.0</v>
      </c>
      <c r="O501" s="25">
        <f t="shared" si="150"/>
        <v>33736.04</v>
      </c>
      <c r="P501" s="25">
        <v>10723.98</v>
      </c>
      <c r="Q501" s="25">
        <v>1084.98</v>
      </c>
      <c r="R501" s="25">
        <v>413.94</v>
      </c>
      <c r="S501" s="25">
        <v>0.0</v>
      </c>
      <c r="T501" s="25">
        <v>0.0</v>
      </c>
      <c r="U501" s="25">
        <v>0.0</v>
      </c>
      <c r="V501" s="25">
        <f t="shared" si="151"/>
        <v>12222.9</v>
      </c>
      <c r="W501" s="25">
        <v>3328.18</v>
      </c>
      <c r="X501" s="25">
        <v>426.25</v>
      </c>
      <c r="Y501" s="25">
        <v>0.05</v>
      </c>
      <c r="Z501" s="25">
        <v>0.0</v>
      </c>
      <c r="AA501" s="25">
        <v>0.0</v>
      </c>
      <c r="AB501" s="25">
        <v>0.0</v>
      </c>
      <c r="AC501" s="25">
        <f t="shared" si="169"/>
        <v>3754.48</v>
      </c>
      <c r="AD501" s="25"/>
      <c r="AE501" s="25"/>
      <c r="AF501" s="25">
        <v>5996.54</v>
      </c>
      <c r="AG501" s="25">
        <v>509.97</v>
      </c>
      <c r="AH501" s="25">
        <v>0.0</v>
      </c>
      <c r="AI501" s="25">
        <v>0.0</v>
      </c>
      <c r="AJ501" s="25">
        <v>0.0</v>
      </c>
      <c r="AK501" s="25">
        <v>0.0</v>
      </c>
      <c r="AL501" s="25">
        <f t="shared" si="153"/>
        <v>6506.51</v>
      </c>
      <c r="AM501" s="25">
        <v>3767.0</v>
      </c>
      <c r="AN501" s="25">
        <v>0.0</v>
      </c>
      <c r="AO501" s="25">
        <v>0.0</v>
      </c>
      <c r="AP501" s="25">
        <v>0.0</v>
      </c>
      <c r="AQ501" s="25">
        <v>0.0</v>
      </c>
      <c r="AR501" s="25">
        <v>0.0</v>
      </c>
      <c r="AS501" s="25">
        <f t="shared" si="168"/>
        <v>3767</v>
      </c>
      <c r="AT501" s="16">
        <f t="shared" si="162"/>
        <v>59986.93</v>
      </c>
      <c r="AU501" s="18">
        <f t="shared" si="165"/>
        <v>555775.64</v>
      </c>
      <c r="AV501" s="18"/>
      <c r="AW501" s="18"/>
      <c r="AX501" s="12">
        <f t="shared" si="1"/>
        <v>59986.93</v>
      </c>
      <c r="AY501" s="12">
        <f t="shared" si="155"/>
        <v>555775.64</v>
      </c>
      <c r="AZ501" s="25">
        <v>4897.13</v>
      </c>
      <c r="BA501" s="18">
        <f t="shared" si="166"/>
        <v>46913.36</v>
      </c>
      <c r="BB501" s="10">
        <f t="shared" si="16"/>
        <v>778085.896</v>
      </c>
      <c r="BC501" s="16">
        <f t="shared" si="88"/>
        <v>121409.5206</v>
      </c>
      <c r="BD501" s="16"/>
      <c r="BE501" s="16"/>
      <c r="BF501" s="6"/>
      <c r="BG501" s="6"/>
      <c r="BH501" s="6"/>
      <c r="BI501" s="29">
        <f t="shared" si="163"/>
        <v>38297.69786</v>
      </c>
      <c r="BK501" s="15">
        <f t="shared" si="76"/>
        <v>1.566332531</v>
      </c>
      <c r="BN501" s="16">
        <f t="shared" si="14"/>
        <v>21689.23214</v>
      </c>
      <c r="BO501" s="16">
        <f t="shared" si="167"/>
        <v>-210178.3171</v>
      </c>
      <c r="BY501" s="6">
        <f t="shared" si="2"/>
        <v>2025</v>
      </c>
      <c r="BZ501" s="6" t="str">
        <f t="shared" si="3"/>
        <v>febrero</v>
      </c>
      <c r="CA501" s="6" t="str">
        <f t="shared" si="4"/>
        <v>2</v>
      </c>
    </row>
    <row r="502">
      <c r="A502" s="8">
        <v>45709.0</v>
      </c>
      <c r="B502" s="31">
        <v>20188.01</v>
      </c>
      <c r="C502" s="31">
        <v>960.18</v>
      </c>
      <c r="D502" s="31">
        <v>0.0</v>
      </c>
      <c r="E502" s="31">
        <v>1148.1</v>
      </c>
      <c r="F502" s="31">
        <v>1148.1</v>
      </c>
      <c r="G502" s="31">
        <v>0.0</v>
      </c>
      <c r="H502" s="31">
        <f t="shared" si="149"/>
        <v>23444.39</v>
      </c>
      <c r="I502" s="31">
        <v>7548.0</v>
      </c>
      <c r="J502" s="31">
        <v>1111.3</v>
      </c>
      <c r="K502" s="31">
        <v>0.0</v>
      </c>
      <c r="L502" s="31">
        <v>971.39</v>
      </c>
      <c r="M502" s="31">
        <v>0.0</v>
      </c>
      <c r="N502" s="31">
        <v>0.0</v>
      </c>
      <c r="O502" s="31">
        <f t="shared" si="150"/>
        <v>9630.69</v>
      </c>
      <c r="P502" s="31">
        <v>5201.84</v>
      </c>
      <c r="Q502" s="31">
        <v>579.74</v>
      </c>
      <c r="R502" s="31">
        <v>0.0</v>
      </c>
      <c r="S502" s="31">
        <v>0.0</v>
      </c>
      <c r="T502" s="31">
        <v>0.0</v>
      </c>
      <c r="U502" s="31">
        <v>0.0</v>
      </c>
      <c r="V502" s="31">
        <f t="shared" si="151"/>
        <v>5781.58</v>
      </c>
      <c r="W502" s="31">
        <v>3871.69</v>
      </c>
      <c r="X502" s="31">
        <v>44.4</v>
      </c>
      <c r="Y502" s="31">
        <v>0.0</v>
      </c>
      <c r="Z502" s="31">
        <v>0.36</v>
      </c>
      <c r="AA502" s="31">
        <v>0.0</v>
      </c>
      <c r="AB502" s="31">
        <v>0.0</v>
      </c>
      <c r="AC502" s="31">
        <f t="shared" si="169"/>
        <v>3916.45</v>
      </c>
      <c r="AD502" s="31"/>
      <c r="AE502" s="31"/>
      <c r="AF502" s="31">
        <v>1232.24</v>
      </c>
      <c r="AG502" s="31">
        <v>0.0</v>
      </c>
      <c r="AH502" s="31">
        <v>0.0</v>
      </c>
      <c r="AI502" s="31">
        <v>0.0</v>
      </c>
      <c r="AJ502" s="31">
        <v>0.0</v>
      </c>
      <c r="AK502" s="31">
        <v>0.0</v>
      </c>
      <c r="AL502" s="31">
        <f t="shared" si="153"/>
        <v>1232.24</v>
      </c>
      <c r="AM502" s="31">
        <v>2758.0</v>
      </c>
      <c r="AN502" s="31">
        <v>0.0</v>
      </c>
      <c r="AO502" s="31">
        <v>0.0</v>
      </c>
      <c r="AP502" s="31">
        <v>0.0</v>
      </c>
      <c r="AQ502" s="31">
        <v>0.0</v>
      </c>
      <c r="AR502" s="31">
        <v>0.0</v>
      </c>
      <c r="AS502" s="31">
        <f t="shared" si="168"/>
        <v>2758</v>
      </c>
      <c r="AT502" s="16">
        <f t="shared" si="162"/>
        <v>23318.96</v>
      </c>
      <c r="AU502" s="18">
        <f t="shared" si="165"/>
        <v>579094.6</v>
      </c>
      <c r="AV502" s="18"/>
      <c r="AW502" s="10">
        <f t="shared" ref="AW502:AW540" si="170">IF(AT502="","",AW501+AV502)</f>
        <v>0</v>
      </c>
      <c r="AX502" s="12">
        <f t="shared" si="1"/>
        <v>23318.96</v>
      </c>
      <c r="AY502" s="12">
        <f t="shared" si="155"/>
        <v>579094.6</v>
      </c>
      <c r="AZ502" s="31">
        <v>2803.27</v>
      </c>
      <c r="BA502" s="18">
        <f t="shared" si="166"/>
        <v>49716.63</v>
      </c>
      <c r="BB502" s="10">
        <f t="shared" si="16"/>
        <v>772126.1333</v>
      </c>
      <c r="BC502" s="16">
        <f t="shared" si="88"/>
        <v>127366.825</v>
      </c>
      <c r="BD502" s="16"/>
      <c r="BE502" s="16"/>
      <c r="BF502" s="6"/>
      <c r="BG502" s="6"/>
      <c r="BH502" s="6"/>
      <c r="BI502" s="29">
        <f t="shared" si="163"/>
        <v>38297.69786</v>
      </c>
      <c r="BJ502" s="6"/>
      <c r="BK502" s="15">
        <f t="shared" si="76"/>
        <v>0.6088867296</v>
      </c>
      <c r="BN502" s="16">
        <f t="shared" si="14"/>
        <v>-14978.73786</v>
      </c>
      <c r="BO502" s="16">
        <f t="shared" si="167"/>
        <v>-225157.055</v>
      </c>
      <c r="BY502" s="6">
        <f t="shared" si="2"/>
        <v>2025</v>
      </c>
      <c r="BZ502" s="6" t="str">
        <f t="shared" si="3"/>
        <v>febrero</v>
      </c>
      <c r="CA502" s="6" t="str">
        <f t="shared" si="4"/>
        <v>2</v>
      </c>
    </row>
    <row r="503">
      <c r="A503" s="8">
        <v>45710.0</v>
      </c>
      <c r="B503" s="31">
        <v>0.0</v>
      </c>
      <c r="C503" s="31">
        <v>0.0</v>
      </c>
      <c r="D503" s="31">
        <v>0.0</v>
      </c>
      <c r="E503" s="31">
        <v>0.0</v>
      </c>
      <c r="F503" s="31">
        <v>0.0</v>
      </c>
      <c r="G503" s="31">
        <v>0.0</v>
      </c>
      <c r="H503" s="31">
        <f t="shared" si="149"/>
        <v>0</v>
      </c>
      <c r="I503" s="31">
        <v>0.0</v>
      </c>
      <c r="J503" s="31">
        <v>0.0</v>
      </c>
      <c r="K503" s="31">
        <v>0.0</v>
      </c>
      <c r="L503" s="31">
        <v>0.0</v>
      </c>
      <c r="M503" s="31">
        <v>0.0</v>
      </c>
      <c r="N503" s="31">
        <v>0.0</v>
      </c>
      <c r="O503" s="31">
        <f t="shared" si="150"/>
        <v>0</v>
      </c>
      <c r="P503" s="31">
        <v>0.0</v>
      </c>
      <c r="Q503" s="31">
        <v>0.0</v>
      </c>
      <c r="R503" s="31">
        <v>0.0</v>
      </c>
      <c r="S503" s="31">
        <v>0.0</v>
      </c>
      <c r="T503" s="31">
        <v>0.0</v>
      </c>
      <c r="U503" s="31">
        <v>0.0</v>
      </c>
      <c r="V503" s="31">
        <f t="shared" si="151"/>
        <v>0</v>
      </c>
      <c r="W503" s="31">
        <v>0.0</v>
      </c>
      <c r="X503" s="31">
        <v>0.0</v>
      </c>
      <c r="Y503" s="31">
        <v>0.0</v>
      </c>
      <c r="Z503" s="31">
        <v>0.0</v>
      </c>
      <c r="AA503" s="31">
        <v>0.0</v>
      </c>
      <c r="AB503" s="31">
        <v>0.0</v>
      </c>
      <c r="AC503" s="31">
        <f t="shared" si="169"/>
        <v>0</v>
      </c>
      <c r="AD503" s="31"/>
      <c r="AE503" s="31"/>
      <c r="AF503" s="31">
        <v>0.0</v>
      </c>
      <c r="AG503" s="31">
        <v>0.0</v>
      </c>
      <c r="AH503" s="31">
        <v>0.0</v>
      </c>
      <c r="AI503" s="31">
        <v>0.0</v>
      </c>
      <c r="AJ503" s="31">
        <v>0.0</v>
      </c>
      <c r="AK503" s="31">
        <v>0.0</v>
      </c>
      <c r="AL503" s="31">
        <f t="shared" si="153"/>
        <v>0</v>
      </c>
      <c r="AM503" s="31">
        <v>0.0</v>
      </c>
      <c r="AN503" s="31">
        <v>0.0</v>
      </c>
      <c r="AO503" s="31">
        <v>0.0</v>
      </c>
      <c r="AP503" s="31">
        <v>0.0</v>
      </c>
      <c r="AQ503" s="31">
        <v>0.0</v>
      </c>
      <c r="AR503" s="31">
        <v>0.0</v>
      </c>
      <c r="AS503" s="31">
        <f t="shared" si="168"/>
        <v>0</v>
      </c>
      <c r="AT503" s="16">
        <f t="shared" si="162"/>
        <v>0</v>
      </c>
      <c r="AU503" s="18">
        <f t="shared" si="165"/>
        <v>579094.6</v>
      </c>
      <c r="AV503" s="18"/>
      <c r="AW503" s="10">
        <f t="shared" si="170"/>
        <v>0</v>
      </c>
      <c r="AX503" s="12">
        <f t="shared" si="1"/>
        <v>0</v>
      </c>
      <c r="AY503" s="12">
        <f t="shared" si="155"/>
        <v>579094.6</v>
      </c>
      <c r="AZ503" s="31">
        <v>0.0</v>
      </c>
      <c r="BA503" s="18">
        <f t="shared" si="166"/>
        <v>49716.63</v>
      </c>
      <c r="BB503" s="10">
        <f t="shared" si="16"/>
        <v>737029.4909</v>
      </c>
      <c r="BC503" s="16">
        <f t="shared" si="88"/>
        <v>130470.7132</v>
      </c>
      <c r="BD503" s="16"/>
      <c r="BE503" s="16"/>
      <c r="BF503" s="6"/>
      <c r="BG503" s="6"/>
      <c r="BH503" s="6"/>
      <c r="BI503" s="29">
        <f t="shared" si="163"/>
        <v>38297.69786</v>
      </c>
      <c r="BJ503" s="6"/>
      <c r="BK503" s="15">
        <f t="shared" si="76"/>
        <v>0</v>
      </c>
      <c r="BN503" s="16">
        <f t="shared" si="14"/>
        <v>-38297.69786</v>
      </c>
      <c r="BO503" s="16">
        <f t="shared" si="167"/>
        <v>-263454.7529</v>
      </c>
      <c r="BY503" s="6">
        <f t="shared" si="2"/>
        <v>2025</v>
      </c>
      <c r="BZ503" s="6" t="str">
        <f t="shared" si="3"/>
        <v>febrero</v>
      </c>
      <c r="CA503" s="6" t="str">
        <f t="shared" si="4"/>
        <v>2</v>
      </c>
    </row>
    <row r="504">
      <c r="A504" s="8">
        <v>45711.0</v>
      </c>
      <c r="B504" s="31">
        <v>0.0</v>
      </c>
      <c r="C504" s="31">
        <v>0.0</v>
      </c>
      <c r="D504" s="31">
        <v>0.0</v>
      </c>
      <c r="E504" s="31">
        <v>0.0</v>
      </c>
      <c r="F504" s="31">
        <v>0.0</v>
      </c>
      <c r="G504" s="31">
        <v>0.0</v>
      </c>
      <c r="H504" s="31">
        <f t="shared" si="149"/>
        <v>0</v>
      </c>
      <c r="I504" s="31">
        <v>0.0</v>
      </c>
      <c r="J504" s="31">
        <v>0.0</v>
      </c>
      <c r="K504" s="31">
        <v>0.0</v>
      </c>
      <c r="L504" s="31">
        <v>0.0</v>
      </c>
      <c r="M504" s="31">
        <v>0.0</v>
      </c>
      <c r="N504" s="31">
        <v>0.0</v>
      </c>
      <c r="O504" s="31">
        <f t="shared" si="150"/>
        <v>0</v>
      </c>
      <c r="P504" s="31">
        <v>0.0</v>
      </c>
      <c r="Q504" s="31">
        <v>0.0</v>
      </c>
      <c r="R504" s="31">
        <v>0.0</v>
      </c>
      <c r="S504" s="31">
        <v>0.0</v>
      </c>
      <c r="T504" s="31">
        <v>0.0</v>
      </c>
      <c r="U504" s="31">
        <v>0.0</v>
      </c>
      <c r="V504" s="31">
        <f t="shared" si="151"/>
        <v>0</v>
      </c>
      <c r="W504" s="31">
        <v>0.0</v>
      </c>
      <c r="X504" s="31">
        <v>0.0</v>
      </c>
      <c r="Y504" s="31">
        <v>0.0</v>
      </c>
      <c r="Z504" s="31">
        <v>0.0</v>
      </c>
      <c r="AA504" s="31">
        <v>0.0</v>
      </c>
      <c r="AB504" s="31">
        <v>0.0</v>
      </c>
      <c r="AC504" s="31">
        <f t="shared" si="169"/>
        <v>0</v>
      </c>
      <c r="AD504" s="31"/>
      <c r="AE504" s="31"/>
      <c r="AF504" s="31">
        <v>0.0</v>
      </c>
      <c r="AG504" s="31">
        <v>0.0</v>
      </c>
      <c r="AH504" s="31">
        <v>0.0</v>
      </c>
      <c r="AI504" s="31">
        <v>0.0</v>
      </c>
      <c r="AJ504" s="31">
        <v>0.0</v>
      </c>
      <c r="AK504" s="31">
        <v>0.0</v>
      </c>
      <c r="AL504" s="31">
        <f t="shared" si="153"/>
        <v>0</v>
      </c>
      <c r="AM504" s="31">
        <v>0.0</v>
      </c>
      <c r="AN504" s="31">
        <v>0.0</v>
      </c>
      <c r="AO504" s="31">
        <v>0.0</v>
      </c>
      <c r="AP504" s="31">
        <v>0.0</v>
      </c>
      <c r="AQ504" s="31">
        <v>0.0</v>
      </c>
      <c r="AR504" s="31">
        <v>0.0</v>
      </c>
      <c r="AS504" s="31">
        <f t="shared" si="168"/>
        <v>0</v>
      </c>
      <c r="AT504" s="16">
        <f t="shared" si="162"/>
        <v>0</v>
      </c>
      <c r="AU504" s="18">
        <f t="shared" si="165"/>
        <v>579094.6</v>
      </c>
      <c r="AV504" s="18"/>
      <c r="AW504" s="10">
        <f t="shared" si="170"/>
        <v>0</v>
      </c>
      <c r="AX504" s="12">
        <f t="shared" si="1"/>
        <v>0</v>
      </c>
      <c r="AY504" s="12">
        <f t="shared" si="155"/>
        <v>579094.6</v>
      </c>
      <c r="AZ504" s="31">
        <v>0.0</v>
      </c>
      <c r="BA504" s="18">
        <f t="shared" si="166"/>
        <v>49716.63</v>
      </c>
      <c r="BB504" s="10">
        <f t="shared" si="16"/>
        <v>704984.7304</v>
      </c>
      <c r="BC504" s="16">
        <f t="shared" si="88"/>
        <v>138943.91</v>
      </c>
      <c r="BD504" s="16"/>
      <c r="BE504" s="16"/>
      <c r="BF504" s="6"/>
      <c r="BG504" s="6"/>
      <c r="BH504" s="6"/>
      <c r="BI504" s="29">
        <f t="shared" si="163"/>
        <v>38297.69786</v>
      </c>
      <c r="BJ504" s="6"/>
      <c r="BK504" s="15">
        <f t="shared" si="76"/>
        <v>0</v>
      </c>
      <c r="BN504" s="16">
        <f t="shared" si="14"/>
        <v>-38297.69786</v>
      </c>
      <c r="BO504" s="16">
        <f t="shared" si="167"/>
        <v>-301752.4507</v>
      </c>
      <c r="BY504" s="6">
        <f t="shared" si="2"/>
        <v>2025</v>
      </c>
      <c r="BZ504" s="6" t="str">
        <f t="shared" si="3"/>
        <v>febrero</v>
      </c>
      <c r="CA504" s="6" t="str">
        <f t="shared" si="4"/>
        <v>2</v>
      </c>
    </row>
    <row r="505">
      <c r="A505" s="8">
        <v>45712.0</v>
      </c>
      <c r="B505" s="25">
        <v>15722.29</v>
      </c>
      <c r="C505" s="25">
        <v>170.21</v>
      </c>
      <c r="D505" s="25">
        <v>2154.06</v>
      </c>
      <c r="E505" s="25">
        <v>3496.43</v>
      </c>
      <c r="F505" s="25">
        <v>0.0</v>
      </c>
      <c r="G505" s="25">
        <v>0.0</v>
      </c>
      <c r="H505" s="25">
        <f t="shared" si="149"/>
        <v>21542.99</v>
      </c>
      <c r="I505" s="25">
        <v>9754.0</v>
      </c>
      <c r="J505" s="25">
        <v>1363.23</v>
      </c>
      <c r="K505" s="25">
        <v>0.0</v>
      </c>
      <c r="L505" s="25">
        <v>0.0</v>
      </c>
      <c r="M505" s="25">
        <v>0.0</v>
      </c>
      <c r="N505" s="25">
        <v>0.0</v>
      </c>
      <c r="O505" s="25">
        <f t="shared" si="150"/>
        <v>11117.23</v>
      </c>
      <c r="P505" s="25">
        <v>3767.89</v>
      </c>
      <c r="Q505" s="25">
        <v>261.73</v>
      </c>
      <c r="R505" s="25">
        <v>823.66</v>
      </c>
      <c r="S505" s="25">
        <v>0.0</v>
      </c>
      <c r="T505" s="25">
        <v>0.0</v>
      </c>
      <c r="U505" s="25">
        <v>0.0</v>
      </c>
      <c r="V505" s="25">
        <f t="shared" si="151"/>
        <v>4853.28</v>
      </c>
      <c r="W505" s="25">
        <v>5.68</v>
      </c>
      <c r="X505" s="25">
        <v>850.0</v>
      </c>
      <c r="Y505" s="25">
        <v>0.0</v>
      </c>
      <c r="Z505" s="25">
        <v>0.0</v>
      </c>
      <c r="AA505" s="25">
        <v>0.0</v>
      </c>
      <c r="AB505" s="25">
        <v>0.0</v>
      </c>
      <c r="AC505" s="25">
        <f t="shared" si="169"/>
        <v>855.68</v>
      </c>
      <c r="AD505" s="25"/>
      <c r="AE505" s="25"/>
      <c r="AF505" s="25">
        <v>1455.45</v>
      </c>
      <c r="AG505" s="25">
        <v>0.0</v>
      </c>
      <c r="AH505" s="25">
        <v>897.57</v>
      </c>
      <c r="AI505" s="25">
        <v>0.0</v>
      </c>
      <c r="AJ505" s="25">
        <v>0.0</v>
      </c>
      <c r="AK505" s="25">
        <v>0.0</v>
      </c>
      <c r="AL505" s="25">
        <f t="shared" si="153"/>
        <v>2353.02</v>
      </c>
      <c r="AM505" s="25">
        <v>0.0</v>
      </c>
      <c r="AN505" s="25">
        <v>20755.11</v>
      </c>
      <c r="AO505" s="25">
        <v>0.0</v>
      </c>
      <c r="AP505" s="25">
        <v>0.0</v>
      </c>
      <c r="AQ505" s="25">
        <v>0.0</v>
      </c>
      <c r="AR505" s="25">
        <v>0.0</v>
      </c>
      <c r="AS505" s="25">
        <f t="shared" si="168"/>
        <v>20755.11</v>
      </c>
      <c r="AT505" s="16">
        <f t="shared" si="162"/>
        <v>39934.32</v>
      </c>
      <c r="AU505" s="18">
        <f t="shared" si="165"/>
        <v>619028.92</v>
      </c>
      <c r="AV505" s="10"/>
      <c r="AW505" s="10">
        <f t="shared" si="170"/>
        <v>0</v>
      </c>
      <c r="AX505" s="12">
        <f t="shared" si="1"/>
        <v>39934.32</v>
      </c>
      <c r="AY505" s="12">
        <f t="shared" si="155"/>
        <v>619028.92</v>
      </c>
      <c r="AZ505" s="25">
        <v>2804.66</v>
      </c>
      <c r="BA505" s="18">
        <f t="shared" si="166"/>
        <v>52521.29</v>
      </c>
      <c r="BB505" s="10">
        <f t="shared" si="16"/>
        <v>722200.4067</v>
      </c>
      <c r="BC505" s="16">
        <f t="shared" si="88"/>
        <v>137879.6667</v>
      </c>
      <c r="BD505" s="16"/>
      <c r="BE505" s="16"/>
      <c r="BF505" s="6"/>
      <c r="BG505" s="6"/>
      <c r="BH505" s="6"/>
      <c r="BI505" s="29">
        <f t="shared" si="163"/>
        <v>38297.69786</v>
      </c>
      <c r="BK505" s="15">
        <f t="shared" si="76"/>
        <v>1.042734217</v>
      </c>
      <c r="BN505" s="16">
        <f t="shared" si="14"/>
        <v>1636.622143</v>
      </c>
      <c r="BO505" s="16">
        <f t="shared" si="167"/>
        <v>-300115.8286</v>
      </c>
      <c r="BY505" s="6">
        <f t="shared" si="2"/>
        <v>2025</v>
      </c>
      <c r="BZ505" s="6" t="str">
        <f t="shared" si="3"/>
        <v>febrero</v>
      </c>
      <c r="CA505" s="6" t="str">
        <f t="shared" si="4"/>
        <v>2</v>
      </c>
    </row>
    <row r="506">
      <c r="A506" s="8">
        <v>45713.0</v>
      </c>
      <c r="B506" s="12">
        <v>10252.21</v>
      </c>
      <c r="C506" s="12">
        <v>0.0</v>
      </c>
      <c r="D506" s="12">
        <v>0.0</v>
      </c>
      <c r="E506" s="12">
        <v>0.0</v>
      </c>
      <c r="F506" s="12">
        <v>0.0</v>
      </c>
      <c r="G506" s="12">
        <v>0.0</v>
      </c>
      <c r="H506" s="12">
        <f t="shared" si="149"/>
        <v>10252.21</v>
      </c>
      <c r="I506" s="12">
        <v>3960.71</v>
      </c>
      <c r="J506" s="12">
        <v>0.0</v>
      </c>
      <c r="K506" s="12">
        <v>0.0</v>
      </c>
      <c r="L506" s="12">
        <v>0.0</v>
      </c>
      <c r="M506" s="12">
        <v>0.0</v>
      </c>
      <c r="N506" s="12">
        <v>0.0</v>
      </c>
      <c r="O506" s="16">
        <f t="shared" si="150"/>
        <v>3960.71</v>
      </c>
      <c r="P506" s="12">
        <v>2574.23</v>
      </c>
      <c r="Q506" s="12">
        <v>0.0</v>
      </c>
      <c r="R506" s="12">
        <v>0.0</v>
      </c>
      <c r="S506" s="12">
        <v>0.0</v>
      </c>
      <c r="T506" s="12">
        <v>0.0</v>
      </c>
      <c r="U506" s="12">
        <v>0.0</v>
      </c>
      <c r="V506" s="16">
        <f t="shared" si="151"/>
        <v>2574.23</v>
      </c>
      <c r="W506" s="12">
        <v>4689.96</v>
      </c>
      <c r="X506" s="12">
        <v>0.0</v>
      </c>
      <c r="Y506" s="12">
        <v>0.0</v>
      </c>
      <c r="Z506" s="12">
        <v>0.0</v>
      </c>
      <c r="AA506" s="12">
        <v>0.0</v>
      </c>
      <c r="AB506" s="12">
        <v>0.0</v>
      </c>
      <c r="AC506" s="16">
        <f t="shared" si="169"/>
        <v>4689.96</v>
      </c>
      <c r="AD506" s="12"/>
      <c r="AE506" s="12"/>
      <c r="AF506" s="12">
        <v>2884.8</v>
      </c>
      <c r="AG506" s="12">
        <v>0.0</v>
      </c>
      <c r="AH506" s="12">
        <v>0.0</v>
      </c>
      <c r="AI506" s="12">
        <v>0.0</v>
      </c>
      <c r="AJ506" s="12">
        <v>0.0</v>
      </c>
      <c r="AK506" s="12">
        <v>0.0</v>
      </c>
      <c r="AL506" s="12">
        <f t="shared" si="153"/>
        <v>2884.8</v>
      </c>
      <c r="AM506" s="12">
        <v>4343.0</v>
      </c>
      <c r="AN506" s="12">
        <v>0.0</v>
      </c>
      <c r="AO506" s="12">
        <v>0.0</v>
      </c>
      <c r="AP506" s="12">
        <v>0.0</v>
      </c>
      <c r="AQ506" s="12">
        <v>0.0</v>
      </c>
      <c r="AR506" s="12">
        <v>0.0</v>
      </c>
      <c r="AS506" s="12">
        <f t="shared" si="168"/>
        <v>4343</v>
      </c>
      <c r="AT506" s="16">
        <f t="shared" si="162"/>
        <v>18452.7</v>
      </c>
      <c r="AU506" s="18">
        <f t="shared" si="165"/>
        <v>637481.62</v>
      </c>
      <c r="AV506" s="10"/>
      <c r="AW506" s="10">
        <f t="shared" si="170"/>
        <v>0</v>
      </c>
      <c r="AX506" s="12">
        <f t="shared" si="1"/>
        <v>18452.7</v>
      </c>
      <c r="AY506" s="12">
        <f t="shared" si="155"/>
        <v>637481.62</v>
      </c>
      <c r="AZ506" s="12">
        <v>2003.58</v>
      </c>
      <c r="BA506" s="18">
        <f t="shared" si="166"/>
        <v>54524.87</v>
      </c>
      <c r="BB506" s="10">
        <f t="shared" si="16"/>
        <v>713979.4144</v>
      </c>
      <c r="BC506" s="16">
        <f t="shared" si="88"/>
        <v>131612.4091</v>
      </c>
      <c r="BD506" s="16"/>
      <c r="BE506" s="16"/>
      <c r="BF506" s="6"/>
      <c r="BG506" s="6"/>
      <c r="BH506" s="6"/>
      <c r="BI506" s="29">
        <f t="shared" si="163"/>
        <v>38297.69786</v>
      </c>
      <c r="BJ506" s="6"/>
      <c r="BK506" s="15">
        <f t="shared" si="76"/>
        <v>0.4818226952</v>
      </c>
      <c r="BN506" s="16">
        <f t="shared" si="14"/>
        <v>-19844.99786</v>
      </c>
      <c r="BO506" s="16">
        <f t="shared" si="167"/>
        <v>-319960.8264</v>
      </c>
      <c r="BY506" s="6">
        <f t="shared" si="2"/>
        <v>2025</v>
      </c>
      <c r="BZ506" s="6" t="str">
        <f t="shared" si="3"/>
        <v>febrero</v>
      </c>
      <c r="CA506" s="6" t="str">
        <f t="shared" si="4"/>
        <v>2</v>
      </c>
    </row>
    <row r="507">
      <c r="A507" s="8">
        <v>45714.0</v>
      </c>
      <c r="B507" s="12">
        <v>23793.74</v>
      </c>
      <c r="C507" s="12">
        <v>13789.63</v>
      </c>
      <c r="D507" s="12">
        <v>4594.27</v>
      </c>
      <c r="E507" s="12">
        <v>0.0</v>
      </c>
      <c r="F507" s="12">
        <v>0.0</v>
      </c>
      <c r="G507" s="12">
        <v>0.0</v>
      </c>
      <c r="H507" s="12">
        <f t="shared" si="149"/>
        <v>42177.64</v>
      </c>
      <c r="I507" s="12">
        <v>12745.0</v>
      </c>
      <c r="J507" s="12">
        <v>2381.16</v>
      </c>
      <c r="K507" s="12">
        <v>1462.0</v>
      </c>
      <c r="L507" s="12">
        <v>0.0</v>
      </c>
      <c r="M507" s="12">
        <v>0.0</v>
      </c>
      <c r="N507" s="12">
        <v>0.0</v>
      </c>
      <c r="O507" s="16">
        <f t="shared" si="150"/>
        <v>16588.16</v>
      </c>
      <c r="P507" s="12">
        <v>5641.46</v>
      </c>
      <c r="Q507" s="12">
        <v>626.88</v>
      </c>
      <c r="R507" s="12">
        <v>945.68</v>
      </c>
      <c r="S507" s="12">
        <v>0.0</v>
      </c>
      <c r="T507" s="12">
        <v>0.0</v>
      </c>
      <c r="U507" s="12">
        <v>0.0</v>
      </c>
      <c r="V507" s="16">
        <f t="shared" si="151"/>
        <v>7214.02</v>
      </c>
      <c r="W507" s="12">
        <v>20.8</v>
      </c>
      <c r="X507" s="12">
        <v>0.0</v>
      </c>
      <c r="Y507" s="12">
        <v>0.46</v>
      </c>
      <c r="Z507" s="12">
        <v>0.0</v>
      </c>
      <c r="AA507" s="12">
        <v>0.0</v>
      </c>
      <c r="AB507" s="12">
        <v>0.0</v>
      </c>
      <c r="AC507" s="16">
        <f t="shared" si="169"/>
        <v>21.26</v>
      </c>
      <c r="AD507" s="12"/>
      <c r="AE507" s="12"/>
      <c r="AF507" s="12">
        <v>1214.18</v>
      </c>
      <c r="AG507" s="12">
        <v>0.0</v>
      </c>
      <c r="AH507" s="12">
        <v>0.0</v>
      </c>
      <c r="AI507" s="12">
        <v>0.0</v>
      </c>
      <c r="AJ507" s="12">
        <v>0.0</v>
      </c>
      <c r="AK507" s="12">
        <v>0.0</v>
      </c>
      <c r="AL507" s="12">
        <f t="shared" si="153"/>
        <v>1214.18</v>
      </c>
      <c r="AM507" s="12">
        <v>0.0</v>
      </c>
      <c r="AN507" s="12">
        <v>0.0</v>
      </c>
      <c r="AO507" s="12">
        <v>0.0</v>
      </c>
      <c r="AP507" s="12">
        <v>0.0</v>
      </c>
      <c r="AQ507" s="12">
        <v>0.0</v>
      </c>
      <c r="AR507" s="12">
        <v>0.0</v>
      </c>
      <c r="AS507" s="12">
        <f t="shared" si="168"/>
        <v>0</v>
      </c>
      <c r="AT507" s="16">
        <f t="shared" si="162"/>
        <v>25037.62</v>
      </c>
      <c r="AU507" s="18">
        <f t="shared" si="165"/>
        <v>662519.24</v>
      </c>
      <c r="AV507" s="16"/>
      <c r="AW507" s="10">
        <f t="shared" si="170"/>
        <v>0</v>
      </c>
      <c r="AX507" s="12">
        <f t="shared" si="1"/>
        <v>25037.62</v>
      </c>
      <c r="AY507" s="12">
        <f t="shared" si="155"/>
        <v>662519.24</v>
      </c>
      <c r="AZ507" s="12">
        <v>2420.04</v>
      </c>
      <c r="BA507" s="18">
        <f t="shared" si="166"/>
        <v>56944.91</v>
      </c>
      <c r="BB507" s="10">
        <f t="shared" si="16"/>
        <v>713482.2585</v>
      </c>
      <c r="BC507" s="16">
        <f t="shared" si="88"/>
        <v>125890.1304</v>
      </c>
      <c r="BD507" s="16"/>
      <c r="BE507" s="16"/>
      <c r="BF507" s="6"/>
      <c r="BG507" s="6"/>
      <c r="BH507" s="6"/>
      <c r="BI507" s="29">
        <f t="shared" si="163"/>
        <v>38297.69786</v>
      </c>
      <c r="BJ507" s="6"/>
      <c r="BK507" s="15">
        <f t="shared" si="76"/>
        <v>0.6537630563</v>
      </c>
      <c r="BN507" s="16">
        <f t="shared" si="14"/>
        <v>-13260.07786</v>
      </c>
      <c r="BO507" s="16">
        <f t="shared" si="167"/>
        <v>-333220.9043</v>
      </c>
      <c r="BY507" s="6">
        <f t="shared" si="2"/>
        <v>2025</v>
      </c>
      <c r="BZ507" s="6" t="str">
        <f t="shared" si="3"/>
        <v>febrero</v>
      </c>
      <c r="CA507" s="6" t="str">
        <f t="shared" si="4"/>
        <v>2</v>
      </c>
    </row>
    <row r="508">
      <c r="A508" s="8">
        <v>45715.0</v>
      </c>
      <c r="B508" s="12">
        <v>17192.51</v>
      </c>
      <c r="C508" s="12">
        <v>212.15</v>
      </c>
      <c r="D508" s="12">
        <v>2417.46</v>
      </c>
      <c r="E508" s="12">
        <v>0.0</v>
      </c>
      <c r="F508" s="12">
        <v>0.0</v>
      </c>
      <c r="G508" s="12">
        <v>0.0</v>
      </c>
      <c r="H508" s="12">
        <f t="shared" si="149"/>
        <v>19822.12</v>
      </c>
      <c r="I508" s="12">
        <v>13491.0</v>
      </c>
      <c r="J508" s="12">
        <v>2164.78</v>
      </c>
      <c r="K508" s="12">
        <v>1265.0</v>
      </c>
      <c r="L508" s="12">
        <v>0.0</v>
      </c>
      <c r="M508" s="12">
        <v>0.0</v>
      </c>
      <c r="N508" s="12">
        <v>0.0</v>
      </c>
      <c r="O508" s="16">
        <f t="shared" si="150"/>
        <v>16920.78</v>
      </c>
      <c r="P508" s="12">
        <v>8814.81</v>
      </c>
      <c r="Q508" s="12">
        <v>161.73</v>
      </c>
      <c r="R508" s="12">
        <v>986.95</v>
      </c>
      <c r="S508" s="12">
        <v>0.0</v>
      </c>
      <c r="T508" s="12">
        <v>0.0</v>
      </c>
      <c r="U508" s="12">
        <v>0.0</v>
      </c>
      <c r="V508" s="16">
        <f t="shared" si="151"/>
        <v>9963.49</v>
      </c>
      <c r="W508" s="12">
        <v>402.91</v>
      </c>
      <c r="X508" s="12">
        <v>5.06</v>
      </c>
      <c r="Y508" s="12">
        <v>0.0</v>
      </c>
      <c r="Z508" s="12">
        <v>0.0</v>
      </c>
      <c r="AA508" s="12">
        <v>0.0</v>
      </c>
      <c r="AB508" s="12">
        <v>0.0</v>
      </c>
      <c r="AC508" s="16">
        <f t="shared" si="169"/>
        <v>407.97</v>
      </c>
      <c r="AD508" s="12"/>
      <c r="AE508" s="12"/>
      <c r="AF508" s="12">
        <v>0.0</v>
      </c>
      <c r="AG508" s="12">
        <v>0.0</v>
      </c>
      <c r="AH508" s="12">
        <v>0.0</v>
      </c>
      <c r="AI508" s="12">
        <v>0.0</v>
      </c>
      <c r="AJ508" s="12">
        <v>0.0</v>
      </c>
      <c r="AK508" s="12">
        <v>0.0</v>
      </c>
      <c r="AL508" s="12">
        <f t="shared" si="153"/>
        <v>0</v>
      </c>
      <c r="AM508" s="12">
        <v>0.0</v>
      </c>
      <c r="AN508" s="12">
        <v>0.0</v>
      </c>
      <c r="AO508" s="12">
        <v>0.0</v>
      </c>
      <c r="AP508" s="12">
        <v>0.0</v>
      </c>
      <c r="AQ508" s="12">
        <v>0.0</v>
      </c>
      <c r="AR508" s="12">
        <v>0.0</v>
      </c>
      <c r="AS508" s="12">
        <f t="shared" si="168"/>
        <v>0</v>
      </c>
      <c r="AT508" s="16">
        <f t="shared" si="162"/>
        <v>27292.24</v>
      </c>
      <c r="AU508" s="18">
        <f t="shared" si="165"/>
        <v>689811.48</v>
      </c>
      <c r="AV508" s="16"/>
      <c r="AW508" s="10">
        <f t="shared" si="170"/>
        <v>0</v>
      </c>
      <c r="AX508" s="12">
        <f t="shared" si="1"/>
        <v>27292.24</v>
      </c>
      <c r="AY508" s="12">
        <f t="shared" si="155"/>
        <v>689811.48</v>
      </c>
      <c r="AZ508" s="12">
        <v>645.22</v>
      </c>
      <c r="BA508" s="18">
        <f t="shared" si="166"/>
        <v>57590.13</v>
      </c>
      <c r="BB508" s="10">
        <f t="shared" si="16"/>
        <v>715360.0533</v>
      </c>
      <c r="BC508" s="16">
        <f t="shared" si="88"/>
        <v>128964.3583</v>
      </c>
      <c r="BD508" s="16"/>
      <c r="BE508" s="16"/>
      <c r="BF508" s="6"/>
      <c r="BG508" s="6"/>
      <c r="BH508" s="6"/>
      <c r="BI508" s="29">
        <f t="shared" si="163"/>
        <v>38297.69786</v>
      </c>
      <c r="BJ508" s="6"/>
      <c r="BK508" s="15">
        <f t="shared" si="76"/>
        <v>0.7126339578</v>
      </c>
      <c r="BN508" s="16">
        <f t="shared" si="14"/>
        <v>-11005.45786</v>
      </c>
      <c r="BO508" s="16">
        <f t="shared" si="167"/>
        <v>-344226.3621</v>
      </c>
      <c r="BY508" s="6">
        <f t="shared" si="2"/>
        <v>2025</v>
      </c>
      <c r="BZ508" s="6" t="str">
        <f t="shared" si="3"/>
        <v>febrero</v>
      </c>
      <c r="CA508" s="6" t="str">
        <f t="shared" si="4"/>
        <v>2</v>
      </c>
    </row>
    <row r="509">
      <c r="A509" s="8">
        <v>45716.0</v>
      </c>
      <c r="B509" s="12">
        <f>27175.07+34931.91+54493.3+309197.19</f>
        <v>425797.47</v>
      </c>
      <c r="C509" s="12">
        <f>4048.15+783.94+494.33+35334.97</f>
        <v>40661.39</v>
      </c>
      <c r="D509" s="12">
        <f>4378.17+6481.59+8253.62+2327.04</f>
        <v>21440.42</v>
      </c>
      <c r="E509" s="12">
        <v>517239.51</v>
      </c>
      <c r="F509" s="12">
        <v>0.0</v>
      </c>
      <c r="G509" s="12">
        <v>0.0</v>
      </c>
      <c r="H509" s="12">
        <f t="shared" si="149"/>
        <v>1005138.79</v>
      </c>
      <c r="I509" s="12">
        <f>20001+32412+45741+25741+2982</f>
        <v>126877</v>
      </c>
      <c r="J509" s="12">
        <f>7686.91+10423+5741+2845</f>
        <v>26695.91</v>
      </c>
      <c r="K509" s="12">
        <f>4512+4151.38+2051.59+1377.16</f>
        <v>12092.13</v>
      </c>
      <c r="L509" s="12">
        <v>2456.0</v>
      </c>
      <c r="M509" s="12">
        <v>0.0</v>
      </c>
      <c r="N509" s="12">
        <v>0.0</v>
      </c>
      <c r="O509" s="16">
        <f t="shared" si="150"/>
        <v>168121.04</v>
      </c>
      <c r="P509" s="12">
        <f>9004.13+11805.14+17719.27+17789.67</f>
        <v>56318.21</v>
      </c>
      <c r="Q509" s="12">
        <f>808.98+721.91+845.71+1176.02</f>
        <v>3552.62</v>
      </c>
      <c r="R509" s="12">
        <f>1070.06+2315.71+2301.26+2048.66</f>
        <v>7735.69</v>
      </c>
      <c r="S509" s="12">
        <v>0.0</v>
      </c>
      <c r="T509" s="12">
        <v>0.0</v>
      </c>
      <c r="U509" s="12">
        <v>0.0</v>
      </c>
      <c r="V509" s="16">
        <f t="shared" si="151"/>
        <v>67606.52</v>
      </c>
      <c r="W509" s="12">
        <f>16771.38+81.65+3934.99</f>
        <v>20788.02</v>
      </c>
      <c r="X509" s="12">
        <f>4451.7+72.37+0.18+7981.54</f>
        <v>12505.79</v>
      </c>
      <c r="Y509" s="12">
        <f>8674.05+112.61+30.27</f>
        <v>8816.93</v>
      </c>
      <c r="Z509" s="12">
        <v>310.0</v>
      </c>
      <c r="AA509" s="12">
        <v>0.0</v>
      </c>
      <c r="AB509" s="12">
        <v>0.0</v>
      </c>
      <c r="AC509" s="16">
        <f t="shared" si="169"/>
        <v>42420.74</v>
      </c>
      <c r="AD509" s="12"/>
      <c r="AE509" s="12"/>
      <c r="AF509" s="12">
        <f>1156.83+1348.5+3082.83+4203.97</f>
        <v>9792.13</v>
      </c>
      <c r="AG509" s="12">
        <v>885.02</v>
      </c>
      <c r="AH509" s="12">
        <v>0.0</v>
      </c>
      <c r="AI509" s="12">
        <v>0.0</v>
      </c>
      <c r="AJ509" s="12">
        <v>0.0</v>
      </c>
      <c r="AK509" s="12">
        <v>0.0</v>
      </c>
      <c r="AL509" s="12">
        <f t="shared" si="153"/>
        <v>10677.15</v>
      </c>
      <c r="AM509" s="12">
        <v>25667.0</v>
      </c>
      <c r="AN509" s="12">
        <v>3640.0</v>
      </c>
      <c r="AO509" s="12">
        <v>13152.0</v>
      </c>
      <c r="AP509" s="12">
        <v>0.0</v>
      </c>
      <c r="AQ509" s="12">
        <v>0.0</v>
      </c>
      <c r="AR509" s="12">
        <v>0.0</v>
      </c>
      <c r="AS509" s="12">
        <f t="shared" si="168"/>
        <v>42459</v>
      </c>
      <c r="AT509" s="16">
        <f t="shared" si="162"/>
        <v>331284.45</v>
      </c>
      <c r="AU509" s="18">
        <f t="shared" si="165"/>
        <v>1021095.93</v>
      </c>
      <c r="AV509" s="16"/>
      <c r="AW509" s="10">
        <f t="shared" si="170"/>
        <v>0</v>
      </c>
      <c r="AX509" s="12">
        <f t="shared" si="1"/>
        <v>331284.45</v>
      </c>
      <c r="AY509" s="12">
        <f t="shared" si="155"/>
        <v>1021095.93</v>
      </c>
      <c r="AZ509" s="12">
        <f>8220.21+1428.03+436.82</f>
        <v>10085.06</v>
      </c>
      <c r="BA509" s="18">
        <f t="shared" si="166"/>
        <v>67675.19</v>
      </c>
      <c r="BB509" s="10">
        <f t="shared" si="16"/>
        <v>1021095.93</v>
      </c>
      <c r="BC509" s="16">
        <f t="shared" si="88"/>
        <v>127496.324</v>
      </c>
      <c r="BD509" s="16"/>
      <c r="BE509" s="16"/>
      <c r="BF509" s="6"/>
      <c r="BG509" s="6"/>
      <c r="BH509" s="6"/>
      <c r="BI509" s="29">
        <f t="shared" si="163"/>
        <v>38297.69786</v>
      </c>
      <c r="BK509" s="15">
        <f t="shared" si="76"/>
        <v>8.650244493</v>
      </c>
      <c r="BN509" s="16">
        <f t="shared" si="14"/>
        <v>292986.7521</v>
      </c>
      <c r="BO509" s="16">
        <f t="shared" si="167"/>
        <v>-51239.61</v>
      </c>
      <c r="BY509" s="6">
        <f t="shared" si="2"/>
        <v>2025</v>
      </c>
      <c r="BZ509" s="6" t="str">
        <f t="shared" si="3"/>
        <v>febrero</v>
      </c>
      <c r="CA509" s="6" t="str">
        <f t="shared" si="4"/>
        <v>2</v>
      </c>
    </row>
    <row r="510">
      <c r="A510" s="8">
        <v>45717.0</v>
      </c>
      <c r="B510" s="12">
        <v>0.0</v>
      </c>
      <c r="C510" s="12">
        <v>0.0</v>
      </c>
      <c r="D510" s="12">
        <v>0.0</v>
      </c>
      <c r="E510" s="12">
        <v>0.0</v>
      </c>
      <c r="F510" s="12">
        <v>0.0</v>
      </c>
      <c r="G510" s="12">
        <v>0.0</v>
      </c>
      <c r="H510" s="12">
        <f t="shared" si="149"/>
        <v>0</v>
      </c>
      <c r="I510" s="12">
        <v>0.0</v>
      </c>
      <c r="J510" s="12">
        <v>0.0</v>
      </c>
      <c r="K510" s="12">
        <v>0.0</v>
      </c>
      <c r="L510" s="12">
        <v>0.0</v>
      </c>
      <c r="M510" s="12">
        <v>0.0</v>
      </c>
      <c r="N510" s="12">
        <v>0.0</v>
      </c>
      <c r="O510" s="16">
        <f t="shared" si="150"/>
        <v>0</v>
      </c>
      <c r="P510" s="12">
        <v>0.0</v>
      </c>
      <c r="Q510" s="12">
        <v>0.0</v>
      </c>
      <c r="R510" s="12">
        <v>0.0</v>
      </c>
      <c r="S510" s="12">
        <v>0.0</v>
      </c>
      <c r="T510" s="12">
        <v>0.0</v>
      </c>
      <c r="U510" s="12">
        <v>0.0</v>
      </c>
      <c r="V510" s="16">
        <f t="shared" si="151"/>
        <v>0</v>
      </c>
      <c r="W510" s="12">
        <v>0.0</v>
      </c>
      <c r="X510" s="12">
        <v>0.0</v>
      </c>
      <c r="Y510" s="12">
        <v>0.0</v>
      </c>
      <c r="Z510" s="12">
        <v>0.0</v>
      </c>
      <c r="AA510" s="12">
        <v>0.0</v>
      </c>
      <c r="AB510" s="12">
        <v>0.0</v>
      </c>
      <c r="AC510" s="16">
        <f t="shared" si="169"/>
        <v>0</v>
      </c>
      <c r="AD510" s="12"/>
      <c r="AE510" s="12"/>
      <c r="AF510" s="12">
        <v>0.0</v>
      </c>
      <c r="AG510" s="12">
        <v>0.0</v>
      </c>
      <c r="AH510" s="12">
        <v>0.0</v>
      </c>
      <c r="AI510" s="12">
        <v>0.0</v>
      </c>
      <c r="AJ510" s="12">
        <v>0.0</v>
      </c>
      <c r="AK510" s="12">
        <v>0.0</v>
      </c>
      <c r="AL510" s="12">
        <f t="shared" si="153"/>
        <v>0</v>
      </c>
      <c r="AM510" s="12">
        <v>0.0</v>
      </c>
      <c r="AN510" s="12">
        <v>0.0</v>
      </c>
      <c r="AO510" s="12">
        <v>0.0</v>
      </c>
      <c r="AP510" s="12">
        <v>0.0</v>
      </c>
      <c r="AQ510" s="12">
        <v>0.0</v>
      </c>
      <c r="AR510" s="12">
        <v>0.0</v>
      </c>
      <c r="AS510" s="12">
        <f t="shared" si="168"/>
        <v>0</v>
      </c>
      <c r="AT510" s="16">
        <f t="shared" si="162"/>
        <v>0</v>
      </c>
      <c r="AU510" s="18">
        <f>IF(AT510="","",AT510)</f>
        <v>0</v>
      </c>
      <c r="AV510" s="12">
        <v>0.0</v>
      </c>
      <c r="AW510" s="10">
        <f t="shared" si="170"/>
        <v>0</v>
      </c>
      <c r="AX510" s="12">
        <f t="shared" ref="AX510:AX706" si="171">IF(AT510="","",AT510+AV510)</f>
        <v>0</v>
      </c>
      <c r="AY510" s="12">
        <f t="shared" si="155"/>
        <v>0</v>
      </c>
      <c r="AZ510" s="12">
        <v>0.0</v>
      </c>
      <c r="BA510" s="18">
        <f>IF(AZ510="","",AZ510)</f>
        <v>0</v>
      </c>
      <c r="BB510" s="10">
        <f t="shared" si="16"/>
        <v>0</v>
      </c>
      <c r="BC510" s="16">
        <f t="shared" si="88"/>
        <v>127407.5462</v>
      </c>
      <c r="BD510" s="16"/>
      <c r="BE510" s="16"/>
      <c r="BF510" s="6"/>
      <c r="BG510" s="12">
        <v>1120270.13</v>
      </c>
      <c r="BH510" s="6"/>
      <c r="BI510" s="29">
        <f t="shared" ref="BI510:BI540" si="172">IF(AT510="","",$BG$510/DAY(EOMONTH(A510,0)))</f>
        <v>36137.74613</v>
      </c>
      <c r="BJ510" s="6"/>
      <c r="BK510" s="15">
        <f t="shared" si="76"/>
        <v>0</v>
      </c>
      <c r="BN510" s="16">
        <f t="shared" si="14"/>
        <v>-36137.74613</v>
      </c>
      <c r="BO510" s="16">
        <f>IF(AT510="","",BN510)</f>
        <v>-36137.74613</v>
      </c>
      <c r="BY510" s="6">
        <f t="shared" si="2"/>
        <v>2025</v>
      </c>
      <c r="BZ510" s="6" t="str">
        <f t="shared" si="3"/>
        <v>marzo</v>
      </c>
      <c r="CA510" s="6" t="str">
        <f t="shared" si="4"/>
        <v>3</v>
      </c>
    </row>
    <row r="511">
      <c r="A511" s="8">
        <v>45718.0</v>
      </c>
      <c r="B511" s="12">
        <v>0.0</v>
      </c>
      <c r="C511" s="12">
        <v>0.0</v>
      </c>
      <c r="D511" s="12">
        <v>0.0</v>
      </c>
      <c r="E511" s="12">
        <v>0.0</v>
      </c>
      <c r="F511" s="12">
        <v>0.0</v>
      </c>
      <c r="G511" s="12">
        <v>0.0</v>
      </c>
      <c r="H511" s="12">
        <f t="shared" si="149"/>
        <v>0</v>
      </c>
      <c r="I511" s="12">
        <v>0.0</v>
      </c>
      <c r="J511" s="12">
        <v>0.0</v>
      </c>
      <c r="K511" s="12">
        <v>0.0</v>
      </c>
      <c r="L511" s="12">
        <v>0.0</v>
      </c>
      <c r="M511" s="12">
        <v>0.0</v>
      </c>
      <c r="N511" s="12">
        <v>0.0</v>
      </c>
      <c r="O511" s="16">
        <f t="shared" si="150"/>
        <v>0</v>
      </c>
      <c r="P511" s="12">
        <v>0.0</v>
      </c>
      <c r="Q511" s="12">
        <v>0.0</v>
      </c>
      <c r="R511" s="12">
        <v>0.0</v>
      </c>
      <c r="S511" s="12">
        <v>0.0</v>
      </c>
      <c r="T511" s="12">
        <v>0.0</v>
      </c>
      <c r="U511" s="12">
        <v>0.0</v>
      </c>
      <c r="V511" s="16">
        <f t="shared" si="151"/>
        <v>0</v>
      </c>
      <c r="W511" s="12">
        <v>0.0</v>
      </c>
      <c r="X511" s="12">
        <v>0.0</v>
      </c>
      <c r="Y511" s="12">
        <v>0.0</v>
      </c>
      <c r="Z511" s="12">
        <v>0.0</v>
      </c>
      <c r="AA511" s="12">
        <v>0.0</v>
      </c>
      <c r="AB511" s="12">
        <v>0.0</v>
      </c>
      <c r="AC511" s="16">
        <f t="shared" si="169"/>
        <v>0</v>
      </c>
      <c r="AD511" s="12"/>
      <c r="AE511" s="12"/>
      <c r="AF511" s="12">
        <v>0.0</v>
      </c>
      <c r="AG511" s="12">
        <v>0.0</v>
      </c>
      <c r="AH511" s="12">
        <v>0.0</v>
      </c>
      <c r="AI511" s="12">
        <v>0.0</v>
      </c>
      <c r="AJ511" s="12">
        <v>0.0</v>
      </c>
      <c r="AK511" s="12">
        <v>0.0</v>
      </c>
      <c r="AL511" s="12">
        <f t="shared" si="153"/>
        <v>0</v>
      </c>
      <c r="AM511" s="12">
        <v>0.0</v>
      </c>
      <c r="AN511" s="12">
        <v>0.0</v>
      </c>
      <c r="AO511" s="12">
        <v>0.0</v>
      </c>
      <c r="AP511" s="12">
        <v>0.0</v>
      </c>
      <c r="AQ511" s="12">
        <v>0.0</v>
      </c>
      <c r="AR511" s="12">
        <v>0.0</v>
      </c>
      <c r="AS511" s="12">
        <f t="shared" si="168"/>
        <v>0</v>
      </c>
      <c r="AT511" s="16">
        <f t="shared" si="162"/>
        <v>0</v>
      </c>
      <c r="AU511" s="18">
        <f t="shared" ref="AU511:AU540" si="173">IF(AT511="","",AT511+AU510)</f>
        <v>0</v>
      </c>
      <c r="AV511" s="12">
        <v>0.0</v>
      </c>
      <c r="AW511" s="10">
        <f t="shared" si="170"/>
        <v>0</v>
      </c>
      <c r="AX511" s="12">
        <f t="shared" si="171"/>
        <v>0</v>
      </c>
      <c r="AY511" s="12">
        <f t="shared" si="155"/>
        <v>0</v>
      </c>
      <c r="AZ511" s="12">
        <v>0.0</v>
      </c>
      <c r="BA511" s="18">
        <f t="shared" ref="BA511:BA540" si="174">IF(AZ511="","",AZ511+BA510)</f>
        <v>0</v>
      </c>
      <c r="BB511" s="10">
        <f t="shared" si="16"/>
        <v>0</v>
      </c>
      <c r="BC511" s="16">
        <f t="shared" si="88"/>
        <v>127742.8667</v>
      </c>
      <c r="BD511" s="16"/>
      <c r="BE511" s="16"/>
      <c r="BF511" s="6"/>
      <c r="BG511" s="12">
        <v>1521106.36</v>
      </c>
      <c r="BH511" s="6"/>
      <c r="BI511" s="29">
        <f t="shared" si="172"/>
        <v>36137.74613</v>
      </c>
      <c r="BJ511" s="6"/>
      <c r="BK511" s="15">
        <f t="shared" si="76"/>
        <v>0</v>
      </c>
      <c r="BN511" s="16">
        <f t="shared" si="14"/>
        <v>-36137.74613</v>
      </c>
      <c r="BO511" s="16">
        <f t="shared" ref="BO511:BO540" si="175">IF(AT511="","",BN511+BO510)</f>
        <v>-72275.49226</v>
      </c>
      <c r="BY511" s="6">
        <f t="shared" si="2"/>
        <v>2025</v>
      </c>
      <c r="BZ511" s="6" t="str">
        <f t="shared" si="3"/>
        <v>marzo</v>
      </c>
      <c r="CA511" s="6" t="str">
        <f t="shared" si="4"/>
        <v>3</v>
      </c>
    </row>
    <row r="512">
      <c r="A512" s="8">
        <v>45719.0</v>
      </c>
      <c r="B512" s="12">
        <v>10236.0</v>
      </c>
      <c r="C512" s="12">
        <v>1420.0</v>
      </c>
      <c r="D512" s="12">
        <v>0.0</v>
      </c>
      <c r="E512" s="12">
        <v>0.0</v>
      </c>
      <c r="F512" s="12">
        <v>0.0</v>
      </c>
      <c r="G512" s="12">
        <v>0.0</v>
      </c>
      <c r="H512" s="12">
        <f t="shared" si="149"/>
        <v>11656</v>
      </c>
      <c r="I512" s="12">
        <v>1425.0</v>
      </c>
      <c r="J512" s="12">
        <v>1236.0</v>
      </c>
      <c r="K512" s="12">
        <v>0.0</v>
      </c>
      <c r="L512" s="12">
        <v>0.0</v>
      </c>
      <c r="M512" s="12">
        <v>0.0</v>
      </c>
      <c r="N512" s="12">
        <v>0.0</v>
      </c>
      <c r="O512" s="16">
        <f t="shared" si="150"/>
        <v>2661</v>
      </c>
      <c r="P512" s="12">
        <v>2412.0</v>
      </c>
      <c r="Q512" s="12">
        <v>1423.0</v>
      </c>
      <c r="R512" s="12">
        <v>0.0</v>
      </c>
      <c r="S512" s="12">
        <v>0.0</v>
      </c>
      <c r="T512" s="12">
        <v>0.0</v>
      </c>
      <c r="U512" s="12">
        <v>0.0</v>
      </c>
      <c r="V512" s="16">
        <f t="shared" si="151"/>
        <v>3835</v>
      </c>
      <c r="W512" s="12">
        <v>0.0</v>
      </c>
      <c r="X512" s="12">
        <v>0.0</v>
      </c>
      <c r="Y512" s="12">
        <v>0.0</v>
      </c>
      <c r="Z512" s="12">
        <v>0.0</v>
      </c>
      <c r="AA512" s="12">
        <v>0.0</v>
      </c>
      <c r="AB512" s="12">
        <v>0.0</v>
      </c>
      <c r="AC512" s="16">
        <f t="shared" si="169"/>
        <v>0</v>
      </c>
      <c r="AD512" s="12"/>
      <c r="AE512" s="12"/>
      <c r="AF512" s="12">
        <v>0.0</v>
      </c>
      <c r="AG512" s="12">
        <v>0.0</v>
      </c>
      <c r="AH512" s="12">
        <v>0.0</v>
      </c>
      <c r="AI512" s="12">
        <v>0.0</v>
      </c>
      <c r="AJ512" s="12">
        <v>0.0</v>
      </c>
      <c r="AK512" s="12">
        <v>0.0</v>
      </c>
      <c r="AL512" s="12">
        <f t="shared" si="153"/>
        <v>0</v>
      </c>
      <c r="AM512" s="12">
        <v>0.0</v>
      </c>
      <c r="AN512" s="12">
        <v>0.0</v>
      </c>
      <c r="AO512" s="12">
        <v>0.0</v>
      </c>
      <c r="AP512" s="12">
        <v>0.0</v>
      </c>
      <c r="AQ512" s="12">
        <v>0.0</v>
      </c>
      <c r="AR512" s="12">
        <v>0.0</v>
      </c>
      <c r="AS512" s="12">
        <f t="shared" si="168"/>
        <v>0</v>
      </c>
      <c r="AT512" s="16">
        <f t="shared" si="162"/>
        <v>6496</v>
      </c>
      <c r="AU512" s="18">
        <f t="shared" si="173"/>
        <v>6496</v>
      </c>
      <c r="AV512" s="12">
        <v>0.0</v>
      </c>
      <c r="AW512" s="10">
        <f t="shared" si="170"/>
        <v>0</v>
      </c>
      <c r="AX512" s="12">
        <f t="shared" si="171"/>
        <v>6496</v>
      </c>
      <c r="AY512" s="12">
        <f t="shared" si="155"/>
        <v>6496</v>
      </c>
      <c r="AZ512" s="12">
        <v>153.0</v>
      </c>
      <c r="BA512" s="18">
        <f t="shared" si="174"/>
        <v>153</v>
      </c>
      <c r="BB512" s="10">
        <f t="shared" si="16"/>
        <v>67125.33333</v>
      </c>
      <c r="BC512" s="16">
        <f t="shared" si="88"/>
        <v>182338.5589</v>
      </c>
      <c r="BD512" s="16"/>
      <c r="BE512" s="16"/>
      <c r="BF512" s="6"/>
      <c r="BG512" s="6"/>
      <c r="BH512" s="6"/>
      <c r="BI512" s="29">
        <f t="shared" si="172"/>
        <v>36137.74613</v>
      </c>
      <c r="BJ512" s="6"/>
      <c r="BK512" s="15">
        <f t="shared" si="76"/>
        <v>0.1797566449</v>
      </c>
      <c r="BN512" s="16">
        <f t="shared" si="14"/>
        <v>-29641.74613</v>
      </c>
      <c r="BO512" s="16">
        <f t="shared" si="175"/>
        <v>-101917.2384</v>
      </c>
      <c r="BQ512" s="12">
        <v>42197.44</v>
      </c>
      <c r="BR512" s="12">
        <v>40814.03</v>
      </c>
      <c r="BS512" s="12">
        <v>14842.76</v>
      </c>
      <c r="BT512" s="12">
        <v>9993.69</v>
      </c>
      <c r="BU512" s="12">
        <v>1348.5</v>
      </c>
      <c r="BV512" s="12">
        <v>9703.0</v>
      </c>
      <c r="BW512" s="16">
        <f t="shared" ref="BW512:BW514" si="176">BV512+BU512+BT512+BS512+BR512</f>
        <v>76701.98</v>
      </c>
      <c r="BY512" s="6">
        <f t="shared" si="2"/>
        <v>2025</v>
      </c>
      <c r="BZ512" s="6" t="str">
        <f t="shared" si="3"/>
        <v>marzo</v>
      </c>
      <c r="CA512" s="6" t="str">
        <f t="shared" si="4"/>
        <v>3</v>
      </c>
    </row>
    <row r="513">
      <c r="A513" s="8">
        <v>45720.0</v>
      </c>
      <c r="B513" s="12">
        <v>4125.0</v>
      </c>
      <c r="C513" s="12">
        <v>1200.0</v>
      </c>
      <c r="D513" s="12">
        <v>0.0</v>
      </c>
      <c r="E513" s="12">
        <v>0.0</v>
      </c>
      <c r="F513" s="12">
        <v>0.0</v>
      </c>
      <c r="G513" s="12">
        <v>0.0</v>
      </c>
      <c r="H513" s="12">
        <f t="shared" si="149"/>
        <v>5325</v>
      </c>
      <c r="I513" s="12">
        <v>1251.0</v>
      </c>
      <c r="J513" s="12">
        <v>1633.0</v>
      </c>
      <c r="K513" s="12">
        <v>0.0</v>
      </c>
      <c r="L513" s="12">
        <v>0.0</v>
      </c>
      <c r="M513" s="12">
        <v>0.0</v>
      </c>
      <c r="N513" s="12">
        <v>0.0</v>
      </c>
      <c r="O513" s="16">
        <f t="shared" si="150"/>
        <v>2884</v>
      </c>
      <c r="P513" s="12">
        <v>1653.0</v>
      </c>
      <c r="Q513" s="12">
        <v>500.0</v>
      </c>
      <c r="R513" s="12">
        <v>0.0</v>
      </c>
      <c r="S513" s="12">
        <v>0.0</v>
      </c>
      <c r="T513" s="12">
        <v>0.0</v>
      </c>
      <c r="U513" s="12">
        <v>0.0</v>
      </c>
      <c r="V513" s="16">
        <f t="shared" si="151"/>
        <v>2153</v>
      </c>
      <c r="W513" s="12">
        <v>0.0</v>
      </c>
      <c r="X513" s="12">
        <v>0.0</v>
      </c>
      <c r="Y513" s="12">
        <v>0.0</v>
      </c>
      <c r="Z513" s="12">
        <v>0.0</v>
      </c>
      <c r="AA513" s="12">
        <v>0.0</v>
      </c>
      <c r="AB513" s="12">
        <v>0.0</v>
      </c>
      <c r="AC513" s="16">
        <f t="shared" si="169"/>
        <v>0</v>
      </c>
      <c r="AD513" s="12"/>
      <c r="AE513" s="12"/>
      <c r="AF513" s="12">
        <v>0.0</v>
      </c>
      <c r="AG513" s="12">
        <v>0.0</v>
      </c>
      <c r="AH513" s="12">
        <v>0.0</v>
      </c>
      <c r="AI513" s="12">
        <v>0.0</v>
      </c>
      <c r="AJ513" s="12">
        <v>0.0</v>
      </c>
      <c r="AK513" s="12">
        <v>0.0</v>
      </c>
      <c r="AL513" s="12">
        <f t="shared" si="153"/>
        <v>0</v>
      </c>
      <c r="AM513" s="12">
        <v>0.0</v>
      </c>
      <c r="AN513" s="12">
        <v>0.0</v>
      </c>
      <c r="AO513" s="12">
        <v>0.0</v>
      </c>
      <c r="AP513" s="12">
        <v>0.0</v>
      </c>
      <c r="AQ513" s="12">
        <v>0.0</v>
      </c>
      <c r="AR513" s="12">
        <v>0.0</v>
      </c>
      <c r="AS513" s="12">
        <f t="shared" si="168"/>
        <v>0</v>
      </c>
      <c r="AT513" s="16">
        <f t="shared" si="162"/>
        <v>5037</v>
      </c>
      <c r="AU513" s="18">
        <f t="shared" si="173"/>
        <v>11533</v>
      </c>
      <c r="AV513" s="12">
        <v>0.0</v>
      </c>
      <c r="AW513" s="10">
        <f t="shared" si="170"/>
        <v>0</v>
      </c>
      <c r="AX513" s="12">
        <f t="shared" si="171"/>
        <v>5037</v>
      </c>
      <c r="AY513" s="12">
        <f t="shared" si="155"/>
        <v>11533</v>
      </c>
      <c r="AZ513" s="12">
        <v>128.0</v>
      </c>
      <c r="BA513" s="18">
        <f t="shared" si="174"/>
        <v>281</v>
      </c>
      <c r="BB513" s="10">
        <f t="shared" si="16"/>
        <v>89380.75</v>
      </c>
      <c r="BC513" s="16">
        <f t="shared" si="88"/>
        <v>0</v>
      </c>
      <c r="BD513" s="16"/>
      <c r="BE513" s="16"/>
      <c r="BF513" s="6"/>
      <c r="BG513" s="6"/>
      <c r="BH513" s="6"/>
      <c r="BI513" s="29">
        <f t="shared" si="172"/>
        <v>36137.74613</v>
      </c>
      <c r="BJ513" s="6"/>
      <c r="BK513" s="15">
        <f t="shared" si="76"/>
        <v>0.1393833468</v>
      </c>
      <c r="BN513" s="16">
        <f t="shared" si="14"/>
        <v>-31100.74613</v>
      </c>
      <c r="BO513" s="16">
        <f t="shared" si="175"/>
        <v>-133017.9845</v>
      </c>
      <c r="BQ513" s="12">
        <v>63241.25</v>
      </c>
      <c r="BR513" s="12">
        <f>53533.59+2982</f>
        <v>56515.59</v>
      </c>
      <c r="BS513" s="12">
        <v>20866.24</v>
      </c>
      <c r="BT513" s="12">
        <v>194.44</v>
      </c>
      <c r="BU513" s="12">
        <v>3082.83</v>
      </c>
      <c r="BV513" s="12">
        <v>0.0</v>
      </c>
      <c r="BW513" s="16">
        <f t="shared" si="176"/>
        <v>80659.1</v>
      </c>
      <c r="BY513" s="6">
        <f t="shared" si="2"/>
        <v>2025</v>
      </c>
      <c r="BZ513" s="6" t="str">
        <f t="shared" si="3"/>
        <v>marzo</v>
      </c>
      <c r="CA513" s="6" t="str">
        <f t="shared" si="4"/>
        <v>3</v>
      </c>
    </row>
    <row r="514">
      <c r="A514" s="8">
        <v>45721.0</v>
      </c>
      <c r="B514" s="12">
        <v>1400.0</v>
      </c>
      <c r="C514" s="12">
        <v>1300.0</v>
      </c>
      <c r="D514" s="12">
        <v>0.0</v>
      </c>
      <c r="E514" s="12">
        <v>0.0</v>
      </c>
      <c r="F514" s="12">
        <v>0.0</v>
      </c>
      <c r="G514" s="12">
        <v>0.0</v>
      </c>
      <c r="H514" s="12">
        <f t="shared" si="149"/>
        <v>2700</v>
      </c>
      <c r="I514" s="12">
        <v>1110.0</v>
      </c>
      <c r="J514" s="12">
        <v>1300.0</v>
      </c>
      <c r="K514" s="12">
        <v>0.0</v>
      </c>
      <c r="L514" s="12">
        <v>0.0</v>
      </c>
      <c r="M514" s="12">
        <v>0.0</v>
      </c>
      <c r="N514" s="12">
        <v>0.0</v>
      </c>
      <c r="O514" s="16">
        <f t="shared" si="150"/>
        <v>2410</v>
      </c>
      <c r="P514" s="12">
        <v>1100.0</v>
      </c>
      <c r="Q514" s="12">
        <v>1111.0</v>
      </c>
      <c r="R514" s="12">
        <v>0.0</v>
      </c>
      <c r="S514" s="12">
        <v>0.0</v>
      </c>
      <c r="T514" s="12">
        <v>0.0</v>
      </c>
      <c r="U514" s="12">
        <v>0.0</v>
      </c>
      <c r="V514" s="16">
        <f t="shared" si="151"/>
        <v>2211</v>
      </c>
      <c r="W514" s="12">
        <v>0.0</v>
      </c>
      <c r="X514" s="12">
        <v>0.0</v>
      </c>
      <c r="Y514" s="12">
        <v>0.0</v>
      </c>
      <c r="Z514" s="12">
        <v>0.0</v>
      </c>
      <c r="AA514" s="12">
        <v>0.0</v>
      </c>
      <c r="AB514" s="12">
        <v>0.0</v>
      </c>
      <c r="AC514" s="16">
        <f t="shared" si="169"/>
        <v>0</v>
      </c>
      <c r="AD514" s="12"/>
      <c r="AE514" s="12"/>
      <c r="AF514" s="12">
        <v>0.0</v>
      </c>
      <c r="AG514" s="12">
        <v>0.0</v>
      </c>
      <c r="AH514" s="12">
        <v>0.0</v>
      </c>
      <c r="AI514" s="12">
        <v>0.0</v>
      </c>
      <c r="AJ514" s="12">
        <v>0.0</v>
      </c>
      <c r="AK514" s="12">
        <v>0.0</v>
      </c>
      <c r="AL514" s="12">
        <f t="shared" si="153"/>
        <v>0</v>
      </c>
      <c r="AM514" s="12">
        <v>0.0</v>
      </c>
      <c r="AN514" s="12">
        <v>0.0</v>
      </c>
      <c r="AO514" s="12">
        <v>0.0</v>
      </c>
      <c r="AP514" s="12">
        <v>0.0</v>
      </c>
      <c r="AQ514" s="12">
        <v>0.0</v>
      </c>
      <c r="AR514" s="12">
        <v>0.0</v>
      </c>
      <c r="AS514" s="12">
        <f t="shared" si="168"/>
        <v>0</v>
      </c>
      <c r="AT514" s="16">
        <f t="shared" si="162"/>
        <v>4621</v>
      </c>
      <c r="AU514" s="18">
        <f t="shared" si="173"/>
        <v>16154</v>
      </c>
      <c r="AV514" s="12">
        <v>0.0</v>
      </c>
      <c r="AW514" s="10">
        <f t="shared" si="170"/>
        <v>0</v>
      </c>
      <c r="AX514" s="12">
        <f t="shared" si="171"/>
        <v>4621</v>
      </c>
      <c r="AY514" s="12">
        <f t="shared" si="155"/>
        <v>16999</v>
      </c>
      <c r="AZ514" s="12">
        <v>100.0</v>
      </c>
      <c r="BA514" s="18">
        <f t="shared" si="174"/>
        <v>381</v>
      </c>
      <c r="BB514" s="10">
        <f t="shared" si="16"/>
        <v>100154.8</v>
      </c>
      <c r="BC514" s="16">
        <f t="shared" si="88"/>
        <v>0</v>
      </c>
      <c r="BD514" s="12">
        <f>600+245</f>
        <v>845</v>
      </c>
      <c r="BE514" s="16">
        <f t="shared" ref="BE514:BE540" si="177">IF(AT514="","",BD514+BE513)</f>
        <v>845</v>
      </c>
      <c r="BF514" s="6"/>
      <c r="BG514" s="6"/>
      <c r="BH514" s="6"/>
      <c r="BI514" s="29">
        <f t="shared" si="172"/>
        <v>36137.74613</v>
      </c>
      <c r="BJ514" s="6"/>
      <c r="BK514" s="15">
        <f t="shared" si="76"/>
        <v>0.1278718375</v>
      </c>
      <c r="BN514" s="16">
        <f t="shared" si="14"/>
        <v>-31516.74613</v>
      </c>
      <c r="BO514" s="16">
        <f t="shared" si="175"/>
        <v>-164534.7306</v>
      </c>
      <c r="BQ514" s="12">
        <v>864098.71</v>
      </c>
      <c r="BR514" s="12">
        <v>32419.16</v>
      </c>
      <c r="BS514" s="12">
        <v>21014.35</v>
      </c>
      <c r="BT514" s="12">
        <v>12256.8</v>
      </c>
      <c r="BU514" s="12">
        <v>4203.97</v>
      </c>
      <c r="BV514" s="12">
        <v>0.0</v>
      </c>
      <c r="BW514" s="16">
        <f t="shared" si="176"/>
        <v>69894.28</v>
      </c>
      <c r="BY514" s="6">
        <f t="shared" si="2"/>
        <v>2025</v>
      </c>
      <c r="BZ514" s="6" t="str">
        <f t="shared" si="3"/>
        <v>marzo</v>
      </c>
      <c r="CA514" s="6" t="str">
        <f t="shared" si="4"/>
        <v>3</v>
      </c>
    </row>
    <row r="515">
      <c r="A515" s="8">
        <v>45722.0</v>
      </c>
      <c r="B515" s="12">
        <v>14893.02</v>
      </c>
      <c r="C515" s="12">
        <v>691.17</v>
      </c>
      <c r="D515" s="12">
        <v>808.71</v>
      </c>
      <c r="E515" s="12">
        <v>0.0</v>
      </c>
      <c r="F515" s="12">
        <v>0.0</v>
      </c>
      <c r="G515" s="12">
        <v>0.0</v>
      </c>
      <c r="H515" s="12">
        <f t="shared" si="149"/>
        <v>16392.9</v>
      </c>
      <c r="I515" s="12">
        <v>14477.0</v>
      </c>
      <c r="J515" s="12">
        <v>849.52</v>
      </c>
      <c r="K515" s="12">
        <v>0.0</v>
      </c>
      <c r="L515" s="12">
        <v>0.0</v>
      </c>
      <c r="M515" s="12">
        <v>0.0</v>
      </c>
      <c r="N515" s="12">
        <v>0.0</v>
      </c>
      <c r="O515" s="16">
        <f t="shared" si="150"/>
        <v>15326.52</v>
      </c>
      <c r="P515" s="12">
        <v>1948.74</v>
      </c>
      <c r="Q515" s="12">
        <v>483.36</v>
      </c>
      <c r="R515" s="12">
        <v>483.6</v>
      </c>
      <c r="S515" s="12">
        <v>0.0</v>
      </c>
      <c r="T515" s="12">
        <v>0.0</v>
      </c>
      <c r="U515" s="12">
        <v>0.0</v>
      </c>
      <c r="V515" s="16">
        <f t="shared" si="151"/>
        <v>2915.7</v>
      </c>
      <c r="W515" s="12">
        <v>11.44</v>
      </c>
      <c r="X515" s="12">
        <v>2266.61</v>
      </c>
      <c r="Y515" s="12">
        <v>0.0</v>
      </c>
      <c r="Z515" s="12">
        <v>0.0</v>
      </c>
      <c r="AA515" s="12">
        <v>0.0</v>
      </c>
      <c r="AB515" s="12">
        <v>0.0</v>
      </c>
      <c r="AC515" s="16">
        <f t="shared" si="169"/>
        <v>2278.05</v>
      </c>
      <c r="AD515" s="12"/>
      <c r="AE515" s="12"/>
      <c r="AF515" s="12">
        <v>2673.88</v>
      </c>
      <c r="AG515" s="12">
        <v>0.0</v>
      </c>
      <c r="AH515" s="12">
        <v>0.0</v>
      </c>
      <c r="AI515" s="12">
        <v>0.0</v>
      </c>
      <c r="AJ515" s="12">
        <v>0.0</v>
      </c>
      <c r="AK515" s="12">
        <v>0.0</v>
      </c>
      <c r="AL515" s="12">
        <f t="shared" si="153"/>
        <v>2673.88</v>
      </c>
      <c r="AM515" s="12">
        <v>0.0</v>
      </c>
      <c r="AN515" s="12">
        <v>1032.0</v>
      </c>
      <c r="AO515" s="12">
        <v>0.0</v>
      </c>
      <c r="AP515" s="12">
        <v>0.0</v>
      </c>
      <c r="AQ515" s="12">
        <v>0.0</v>
      </c>
      <c r="AR515" s="12">
        <v>0.0</v>
      </c>
      <c r="AS515" s="12">
        <f t="shared" si="168"/>
        <v>1032</v>
      </c>
      <c r="AT515" s="16">
        <f t="shared" si="162"/>
        <v>24226.15</v>
      </c>
      <c r="AU515" s="18">
        <f t="shared" si="173"/>
        <v>40380.15</v>
      </c>
      <c r="AV515" s="12">
        <v>14842.67</v>
      </c>
      <c r="AW515" s="10">
        <f t="shared" si="170"/>
        <v>14842.67</v>
      </c>
      <c r="AX515" s="12">
        <f t="shared" si="171"/>
        <v>39068.82</v>
      </c>
      <c r="AY515" s="12">
        <f t="shared" si="155"/>
        <v>56067.82</v>
      </c>
      <c r="AZ515" s="12">
        <v>1990.73</v>
      </c>
      <c r="BA515" s="18">
        <f t="shared" si="174"/>
        <v>2371.73</v>
      </c>
      <c r="BB515" s="10">
        <f t="shared" si="16"/>
        <v>208630.775</v>
      </c>
      <c r="BC515" s="16">
        <f t="shared" si="88"/>
        <v>10826.66667</v>
      </c>
      <c r="BD515" s="16"/>
      <c r="BE515" s="16">
        <f t="shared" si="177"/>
        <v>845</v>
      </c>
      <c r="BF515" s="6"/>
      <c r="BG515" s="6"/>
      <c r="BH515" s="6"/>
      <c r="BI515" s="29">
        <f t="shared" si="172"/>
        <v>36137.74613</v>
      </c>
      <c r="BJ515" s="6"/>
      <c r="BK515" s="15">
        <f t="shared" si="76"/>
        <v>0.6703835351</v>
      </c>
      <c r="BN515" s="16">
        <f t="shared" si="14"/>
        <v>-11911.59613</v>
      </c>
      <c r="BO515" s="16">
        <f t="shared" si="175"/>
        <v>-176446.3268</v>
      </c>
      <c r="BY515" s="6">
        <f t="shared" si="2"/>
        <v>2025</v>
      </c>
      <c r="BZ515" s="6" t="str">
        <f t="shared" si="3"/>
        <v>marzo</v>
      </c>
      <c r="CA515" s="6" t="str">
        <f t="shared" si="4"/>
        <v>3</v>
      </c>
    </row>
    <row r="516">
      <c r="A516" s="8">
        <v>45723.0</v>
      </c>
      <c r="B516" s="12">
        <v>26281.05</v>
      </c>
      <c r="C516" s="12">
        <v>817.76</v>
      </c>
      <c r="D516" s="12">
        <v>0.0</v>
      </c>
      <c r="E516" s="12">
        <v>0.0</v>
      </c>
      <c r="F516" s="12">
        <v>0.0</v>
      </c>
      <c r="G516" s="12">
        <v>0.0</v>
      </c>
      <c r="H516" s="12">
        <f t="shared" si="149"/>
        <v>27098.81</v>
      </c>
      <c r="I516" s="12">
        <v>20742.0</v>
      </c>
      <c r="J516" s="12">
        <v>2504.31</v>
      </c>
      <c r="K516" s="12">
        <v>0.0</v>
      </c>
      <c r="L516" s="12">
        <v>0.0</v>
      </c>
      <c r="M516" s="12">
        <v>0.0</v>
      </c>
      <c r="N516" s="12">
        <v>0.0</v>
      </c>
      <c r="O516" s="16">
        <f t="shared" si="150"/>
        <v>23246.31</v>
      </c>
      <c r="P516" s="12">
        <v>8055.4</v>
      </c>
      <c r="Q516" s="12">
        <v>442.43</v>
      </c>
      <c r="R516" s="12">
        <v>0.0</v>
      </c>
      <c r="S516" s="12">
        <v>0.0</v>
      </c>
      <c r="T516" s="12">
        <v>0.0</v>
      </c>
      <c r="U516" s="12">
        <v>0.0</v>
      </c>
      <c r="V516" s="16">
        <f t="shared" si="151"/>
        <v>8497.83</v>
      </c>
      <c r="W516" s="12">
        <v>4069.97</v>
      </c>
      <c r="X516" s="12">
        <v>0.0</v>
      </c>
      <c r="Y516" s="12">
        <v>0.0</v>
      </c>
      <c r="Z516" s="12">
        <v>0.0</v>
      </c>
      <c r="AA516" s="12">
        <v>0.0</v>
      </c>
      <c r="AB516" s="12">
        <v>0.0</v>
      </c>
      <c r="AC516" s="16">
        <f t="shared" si="169"/>
        <v>4069.97</v>
      </c>
      <c r="AD516" s="12"/>
      <c r="AE516" s="12"/>
      <c r="AF516" s="12">
        <v>400.56</v>
      </c>
      <c r="AG516" s="12">
        <v>0.0</v>
      </c>
      <c r="AH516" s="12">
        <v>0.0</v>
      </c>
      <c r="AI516" s="12">
        <v>0.0</v>
      </c>
      <c r="AJ516" s="12">
        <v>0.0</v>
      </c>
      <c r="AK516" s="12">
        <v>0.0</v>
      </c>
      <c r="AL516" s="12">
        <f t="shared" si="153"/>
        <v>400.56</v>
      </c>
      <c r="AM516" s="12">
        <v>6580.0</v>
      </c>
      <c r="AN516" s="12">
        <v>0.0</v>
      </c>
      <c r="AO516" s="12">
        <v>0.0</v>
      </c>
      <c r="AP516" s="12">
        <v>0.0</v>
      </c>
      <c r="AQ516" s="12">
        <v>0.0</v>
      </c>
      <c r="AR516" s="12">
        <v>0.0</v>
      </c>
      <c r="AS516" s="12">
        <f t="shared" si="168"/>
        <v>6580</v>
      </c>
      <c r="AT516" s="16">
        <f t="shared" si="162"/>
        <v>42794.67</v>
      </c>
      <c r="AU516" s="18">
        <f t="shared" si="173"/>
        <v>83174.82</v>
      </c>
      <c r="AV516" s="12">
        <v>14290.46</v>
      </c>
      <c r="AW516" s="10">
        <f t="shared" si="170"/>
        <v>29133.13</v>
      </c>
      <c r="AX516" s="12">
        <f t="shared" si="171"/>
        <v>57085.13</v>
      </c>
      <c r="AY516" s="12">
        <f t="shared" si="155"/>
        <v>114805.47</v>
      </c>
      <c r="AZ516" s="12">
        <v>2891.59</v>
      </c>
      <c r="BA516" s="18">
        <f t="shared" si="174"/>
        <v>5263.32</v>
      </c>
      <c r="BB516" s="10">
        <f t="shared" si="16"/>
        <v>368345.6314</v>
      </c>
      <c r="BC516" s="16">
        <f t="shared" si="88"/>
        <v>14416.25</v>
      </c>
      <c r="BD516" s="12">
        <v>1652.52</v>
      </c>
      <c r="BE516" s="16">
        <f t="shared" si="177"/>
        <v>2497.52</v>
      </c>
      <c r="BF516" s="6"/>
      <c r="BG516" s="6"/>
      <c r="BH516" s="6"/>
      <c r="BI516" s="29">
        <f t="shared" si="172"/>
        <v>36137.74613</v>
      </c>
      <c r="BK516" s="15">
        <f t="shared" si="76"/>
        <v>1.184209714</v>
      </c>
      <c r="BN516" s="16">
        <f t="shared" si="14"/>
        <v>6656.923871</v>
      </c>
      <c r="BO516" s="16">
        <f t="shared" si="175"/>
        <v>-169789.4029</v>
      </c>
      <c r="BY516" s="6">
        <f t="shared" si="2"/>
        <v>2025</v>
      </c>
      <c r="BZ516" s="6" t="str">
        <f t="shared" si="3"/>
        <v>marzo</v>
      </c>
      <c r="CA516" s="6" t="str">
        <f t="shared" si="4"/>
        <v>3</v>
      </c>
    </row>
    <row r="517">
      <c r="A517" s="8">
        <v>45724.0</v>
      </c>
      <c r="B517" s="12">
        <v>0.0</v>
      </c>
      <c r="C517" s="12">
        <v>0.0</v>
      </c>
      <c r="D517" s="12">
        <v>0.0</v>
      </c>
      <c r="E517" s="12">
        <v>0.0</v>
      </c>
      <c r="F517" s="12">
        <v>0.0</v>
      </c>
      <c r="G517" s="12">
        <v>0.0</v>
      </c>
      <c r="H517" s="12">
        <f t="shared" si="149"/>
        <v>0</v>
      </c>
      <c r="I517" s="12">
        <v>0.0</v>
      </c>
      <c r="J517" s="12">
        <v>0.0</v>
      </c>
      <c r="K517" s="12">
        <v>0.0</v>
      </c>
      <c r="L517" s="12">
        <v>0.0</v>
      </c>
      <c r="M517" s="12">
        <v>0.0</v>
      </c>
      <c r="N517" s="12">
        <v>0.0</v>
      </c>
      <c r="O517" s="16">
        <f t="shared" si="150"/>
        <v>0</v>
      </c>
      <c r="P517" s="12">
        <v>0.0</v>
      </c>
      <c r="Q517" s="12">
        <v>0.0</v>
      </c>
      <c r="R517" s="12">
        <v>0.0</v>
      </c>
      <c r="S517" s="12">
        <v>0.0</v>
      </c>
      <c r="T517" s="12">
        <v>0.0</v>
      </c>
      <c r="U517" s="12">
        <v>0.0</v>
      </c>
      <c r="V517" s="16">
        <f t="shared" si="151"/>
        <v>0</v>
      </c>
      <c r="W517" s="12">
        <v>0.0</v>
      </c>
      <c r="X517" s="12">
        <v>0.0</v>
      </c>
      <c r="Y517" s="12">
        <v>0.0</v>
      </c>
      <c r="Z517" s="12">
        <v>0.0</v>
      </c>
      <c r="AA517" s="12">
        <v>0.0</v>
      </c>
      <c r="AB517" s="12">
        <v>0.0</v>
      </c>
      <c r="AC517" s="16">
        <f t="shared" si="169"/>
        <v>0</v>
      </c>
      <c r="AD517" s="12"/>
      <c r="AE517" s="12"/>
      <c r="AF517" s="12">
        <v>0.0</v>
      </c>
      <c r="AG517" s="12">
        <v>0.0</v>
      </c>
      <c r="AH517" s="12">
        <v>0.0</v>
      </c>
      <c r="AI517" s="12">
        <v>0.0</v>
      </c>
      <c r="AJ517" s="12">
        <v>0.0</v>
      </c>
      <c r="AK517" s="12">
        <v>0.0</v>
      </c>
      <c r="AL517" s="12">
        <f t="shared" si="153"/>
        <v>0</v>
      </c>
      <c r="AM517" s="12">
        <v>0.0</v>
      </c>
      <c r="AN517" s="12">
        <v>0.0</v>
      </c>
      <c r="AO517" s="12">
        <v>0.0</v>
      </c>
      <c r="AP517" s="12">
        <v>0.0</v>
      </c>
      <c r="AQ517" s="12">
        <v>0.0</v>
      </c>
      <c r="AR517" s="12">
        <v>0.0</v>
      </c>
      <c r="AS517" s="12">
        <f t="shared" si="168"/>
        <v>0</v>
      </c>
      <c r="AT517" s="16">
        <f t="shared" si="162"/>
        <v>0</v>
      </c>
      <c r="AU517" s="18">
        <f t="shared" si="173"/>
        <v>83174.82</v>
      </c>
      <c r="AV517" s="12">
        <v>0.0</v>
      </c>
      <c r="AW517" s="10">
        <f t="shared" si="170"/>
        <v>29133.13</v>
      </c>
      <c r="AX517" s="12">
        <f t="shared" si="171"/>
        <v>0</v>
      </c>
      <c r="AY517" s="12">
        <f t="shared" si="155"/>
        <v>114805.47</v>
      </c>
      <c r="AZ517" s="12">
        <v>0.0</v>
      </c>
      <c r="BA517" s="18">
        <f t="shared" si="174"/>
        <v>5263.32</v>
      </c>
      <c r="BB517" s="10">
        <f t="shared" si="16"/>
        <v>322302.4275</v>
      </c>
      <c r="BC517" s="16">
        <f t="shared" si="88"/>
        <v>16154</v>
      </c>
      <c r="BD517" s="16"/>
      <c r="BE517" s="16">
        <f t="shared" si="177"/>
        <v>2497.52</v>
      </c>
      <c r="BF517" s="6"/>
      <c r="BG517" s="6"/>
      <c r="BH517" s="6"/>
      <c r="BI517" s="29">
        <f t="shared" si="172"/>
        <v>36137.74613</v>
      </c>
      <c r="BJ517" s="6"/>
      <c r="BK517" s="15">
        <f t="shared" si="76"/>
        <v>0</v>
      </c>
      <c r="BN517" s="16">
        <f t="shared" si="14"/>
        <v>-36137.74613</v>
      </c>
      <c r="BO517" s="16">
        <f t="shared" si="175"/>
        <v>-205927.149</v>
      </c>
      <c r="BY517" s="6">
        <f t="shared" si="2"/>
        <v>2025</v>
      </c>
      <c r="BZ517" s="6" t="str">
        <f t="shared" si="3"/>
        <v>marzo</v>
      </c>
      <c r="CA517" s="6" t="str">
        <f t="shared" si="4"/>
        <v>3</v>
      </c>
    </row>
    <row r="518">
      <c r="A518" s="8">
        <v>45725.0</v>
      </c>
      <c r="B518" s="12">
        <v>0.0</v>
      </c>
      <c r="C518" s="12">
        <v>0.0</v>
      </c>
      <c r="D518" s="12">
        <v>0.0</v>
      </c>
      <c r="E518" s="12">
        <v>0.0</v>
      </c>
      <c r="F518" s="12">
        <v>0.0</v>
      </c>
      <c r="G518" s="12">
        <v>0.0</v>
      </c>
      <c r="H518" s="12">
        <f t="shared" si="149"/>
        <v>0</v>
      </c>
      <c r="I518" s="12">
        <v>0.0</v>
      </c>
      <c r="J518" s="12">
        <v>0.0</v>
      </c>
      <c r="K518" s="12">
        <v>0.0</v>
      </c>
      <c r="L518" s="12">
        <v>0.0</v>
      </c>
      <c r="M518" s="12">
        <v>0.0</v>
      </c>
      <c r="N518" s="12">
        <v>0.0</v>
      </c>
      <c r="O518" s="16">
        <f t="shared" si="150"/>
        <v>0</v>
      </c>
      <c r="P518" s="12">
        <v>0.0</v>
      </c>
      <c r="Q518" s="12">
        <v>0.0</v>
      </c>
      <c r="R518" s="12">
        <v>0.0</v>
      </c>
      <c r="S518" s="12">
        <v>0.0</v>
      </c>
      <c r="T518" s="12">
        <v>0.0</v>
      </c>
      <c r="U518" s="12">
        <v>0.0</v>
      </c>
      <c r="V518" s="16">
        <f t="shared" si="151"/>
        <v>0</v>
      </c>
      <c r="W518" s="12">
        <v>0.0</v>
      </c>
      <c r="X518" s="12">
        <v>0.0</v>
      </c>
      <c r="Y518" s="12">
        <v>0.0</v>
      </c>
      <c r="Z518" s="12">
        <v>0.0</v>
      </c>
      <c r="AA518" s="12">
        <v>0.0</v>
      </c>
      <c r="AB518" s="12">
        <v>0.0</v>
      </c>
      <c r="AC518" s="16">
        <f t="shared" si="169"/>
        <v>0</v>
      </c>
      <c r="AD518" s="12"/>
      <c r="AE518" s="12"/>
      <c r="AF518" s="12">
        <v>0.0</v>
      </c>
      <c r="AG518" s="12">
        <v>0.0</v>
      </c>
      <c r="AH518" s="12">
        <v>0.0</v>
      </c>
      <c r="AI518" s="12">
        <v>0.0</v>
      </c>
      <c r="AJ518" s="12">
        <v>0.0</v>
      </c>
      <c r="AK518" s="12">
        <v>0.0</v>
      </c>
      <c r="AL518" s="12">
        <f t="shared" si="153"/>
        <v>0</v>
      </c>
      <c r="AM518" s="12">
        <v>0.0</v>
      </c>
      <c r="AN518" s="12">
        <v>0.0</v>
      </c>
      <c r="AO518" s="12">
        <v>0.0</v>
      </c>
      <c r="AP518" s="12">
        <v>0.0</v>
      </c>
      <c r="AQ518" s="12">
        <v>0.0</v>
      </c>
      <c r="AR518" s="12">
        <v>0.0</v>
      </c>
      <c r="AS518" s="12">
        <f t="shared" si="168"/>
        <v>0</v>
      </c>
      <c r="AT518" s="16">
        <f t="shared" si="162"/>
        <v>0</v>
      </c>
      <c r="AU518" s="18">
        <f t="shared" si="173"/>
        <v>83174.82</v>
      </c>
      <c r="AV518" s="12">
        <v>0.0</v>
      </c>
      <c r="AW518" s="10">
        <f t="shared" si="170"/>
        <v>29133.13</v>
      </c>
      <c r="AX518" s="12">
        <f t="shared" si="171"/>
        <v>0</v>
      </c>
      <c r="AY518" s="12">
        <f t="shared" si="155"/>
        <v>114805.47</v>
      </c>
      <c r="AZ518" s="12">
        <v>0.0</v>
      </c>
      <c r="BA518" s="18">
        <f t="shared" si="174"/>
        <v>5263.32</v>
      </c>
      <c r="BB518" s="10">
        <f t="shared" si="16"/>
        <v>286491.0467</v>
      </c>
      <c r="BC518" s="16">
        <f t="shared" si="88"/>
        <v>33650.125</v>
      </c>
      <c r="BD518" s="16"/>
      <c r="BE518" s="16">
        <f t="shared" si="177"/>
        <v>2497.52</v>
      </c>
      <c r="BF518" s="6"/>
      <c r="BG518" s="6"/>
      <c r="BH518" s="6"/>
      <c r="BI518" s="29">
        <f t="shared" si="172"/>
        <v>36137.74613</v>
      </c>
      <c r="BJ518" s="6"/>
      <c r="BK518" s="15">
        <f t="shared" si="76"/>
        <v>0</v>
      </c>
      <c r="BN518" s="16">
        <f t="shared" si="14"/>
        <v>-36137.74613</v>
      </c>
      <c r="BO518" s="16">
        <f t="shared" si="175"/>
        <v>-242064.8952</v>
      </c>
      <c r="BY518" s="6">
        <f t="shared" si="2"/>
        <v>2025</v>
      </c>
      <c r="BZ518" s="6" t="str">
        <f t="shared" si="3"/>
        <v>marzo</v>
      </c>
      <c r="CA518" s="6" t="str">
        <f t="shared" si="4"/>
        <v>3</v>
      </c>
    </row>
    <row r="519">
      <c r="A519" s="8">
        <v>45726.0</v>
      </c>
      <c r="B519" s="12">
        <v>33688.88</v>
      </c>
      <c r="C519" s="12">
        <v>355.0</v>
      </c>
      <c r="D519" s="12">
        <v>0.0</v>
      </c>
      <c r="E519" s="12">
        <v>0.0</v>
      </c>
      <c r="F519" s="12">
        <v>0.0</v>
      </c>
      <c r="G519" s="12">
        <v>0.0</v>
      </c>
      <c r="H519" s="12">
        <f t="shared" si="149"/>
        <v>34043.88</v>
      </c>
      <c r="I519" s="12">
        <v>17456.0</v>
      </c>
      <c r="J519" s="12">
        <v>2116.58</v>
      </c>
      <c r="K519" s="12">
        <v>0.0</v>
      </c>
      <c r="L519" s="12">
        <v>0.0</v>
      </c>
      <c r="M519" s="12">
        <v>0.0</v>
      </c>
      <c r="N519" s="12">
        <v>0.0</v>
      </c>
      <c r="O519" s="16">
        <f t="shared" si="150"/>
        <v>19572.58</v>
      </c>
      <c r="P519" s="12">
        <v>9240.9</v>
      </c>
      <c r="Q519" s="12">
        <v>285.29</v>
      </c>
      <c r="R519" s="12">
        <v>0.0</v>
      </c>
      <c r="S519" s="12">
        <v>0.0</v>
      </c>
      <c r="T519" s="12">
        <v>0.0</v>
      </c>
      <c r="U519" s="12">
        <v>0.0</v>
      </c>
      <c r="V519" s="16">
        <f t="shared" si="151"/>
        <v>9526.19</v>
      </c>
      <c r="W519" s="12">
        <v>2298.56</v>
      </c>
      <c r="X519" s="12">
        <v>9.27</v>
      </c>
      <c r="Y519" s="12">
        <v>0.0</v>
      </c>
      <c r="Z519" s="12">
        <v>0.0</v>
      </c>
      <c r="AA519" s="12">
        <v>0.0</v>
      </c>
      <c r="AB519" s="12">
        <v>0.0</v>
      </c>
      <c r="AC519" s="16">
        <f t="shared" si="169"/>
        <v>2307.83</v>
      </c>
      <c r="AD519" s="12"/>
      <c r="AE519" s="12"/>
      <c r="AF519" s="12">
        <v>5834.47</v>
      </c>
      <c r="AG519" s="12">
        <v>0.0</v>
      </c>
      <c r="AH519" s="12">
        <v>0.0</v>
      </c>
      <c r="AI519" s="12">
        <v>0.0</v>
      </c>
      <c r="AJ519" s="12">
        <v>0.0</v>
      </c>
      <c r="AK519" s="12">
        <v>0.0</v>
      </c>
      <c r="AL519" s="12">
        <f t="shared" si="153"/>
        <v>5834.47</v>
      </c>
      <c r="AM519" s="12">
        <v>1959.0</v>
      </c>
      <c r="AN519" s="12">
        <v>0.0</v>
      </c>
      <c r="AO519" s="12">
        <v>0.0</v>
      </c>
      <c r="AP519" s="12">
        <v>0.0</v>
      </c>
      <c r="AQ519" s="12">
        <v>0.0</v>
      </c>
      <c r="AR519" s="12">
        <v>0.0</v>
      </c>
      <c r="AS519" s="12">
        <f t="shared" si="168"/>
        <v>1959</v>
      </c>
      <c r="AT519" s="16">
        <f t="shared" si="162"/>
        <v>39200.07</v>
      </c>
      <c r="AU519" s="18">
        <f t="shared" si="173"/>
        <v>122374.89</v>
      </c>
      <c r="AV519" s="12">
        <v>12266.22</v>
      </c>
      <c r="AW519" s="10">
        <f t="shared" si="170"/>
        <v>41399.35</v>
      </c>
      <c r="AX519" s="12">
        <f t="shared" si="171"/>
        <v>51466.29</v>
      </c>
      <c r="AY519" s="12">
        <f t="shared" si="155"/>
        <v>167116.76</v>
      </c>
      <c r="AZ519" s="12">
        <v>2102.66</v>
      </c>
      <c r="BA519" s="18">
        <f t="shared" si="174"/>
        <v>7365.98</v>
      </c>
      <c r="BB519" s="10">
        <f t="shared" si="16"/>
        <v>379362.159</v>
      </c>
      <c r="BC519" s="16">
        <f t="shared" si="88"/>
        <v>59410.58571</v>
      </c>
      <c r="BD519" s="12">
        <v>845.0</v>
      </c>
      <c r="BE519" s="16">
        <f t="shared" si="177"/>
        <v>3342.52</v>
      </c>
      <c r="BF519" s="6"/>
      <c r="BG519" s="6"/>
      <c r="BH519" s="6"/>
      <c r="BI519" s="29">
        <f t="shared" si="172"/>
        <v>36137.74613</v>
      </c>
      <c r="BK519" s="15">
        <f t="shared" si="76"/>
        <v>1.084740312</v>
      </c>
      <c r="BN519" s="16">
        <f t="shared" si="14"/>
        <v>3062.323871</v>
      </c>
      <c r="BO519" s="16">
        <f t="shared" si="175"/>
        <v>-239002.5713</v>
      </c>
      <c r="BY519" s="6">
        <f t="shared" si="2"/>
        <v>2025</v>
      </c>
      <c r="BZ519" s="6" t="str">
        <f t="shared" si="3"/>
        <v>marzo</v>
      </c>
      <c r="CA519" s="6" t="str">
        <f t="shared" si="4"/>
        <v>3</v>
      </c>
    </row>
    <row r="520">
      <c r="A520" s="8">
        <v>45727.0</v>
      </c>
      <c r="B520" s="12">
        <v>21202.7</v>
      </c>
      <c r="C520" s="12">
        <v>357.0</v>
      </c>
      <c r="D520" s="12">
        <v>0.0</v>
      </c>
      <c r="E520" s="12">
        <v>0.0</v>
      </c>
      <c r="F520" s="12">
        <v>0.0</v>
      </c>
      <c r="G520" s="12">
        <v>0.0</v>
      </c>
      <c r="H520" s="12">
        <f t="shared" si="149"/>
        <v>21559.7</v>
      </c>
      <c r="I520" s="12">
        <v>9456.0</v>
      </c>
      <c r="J520" s="12">
        <v>2161.12</v>
      </c>
      <c r="K520" s="12">
        <v>0.0</v>
      </c>
      <c r="L520" s="12">
        <v>0.0</v>
      </c>
      <c r="M520" s="12">
        <v>0.0</v>
      </c>
      <c r="N520" s="12">
        <v>0.0</v>
      </c>
      <c r="O520" s="16">
        <f t="shared" si="150"/>
        <v>11617.12</v>
      </c>
      <c r="P520" s="12">
        <v>6391.6</v>
      </c>
      <c r="Q520" s="12">
        <v>210.64</v>
      </c>
      <c r="R520" s="12">
        <v>0.0</v>
      </c>
      <c r="S520" s="12">
        <v>0.0</v>
      </c>
      <c r="T520" s="12">
        <v>0.0</v>
      </c>
      <c r="U520" s="12">
        <v>0.0</v>
      </c>
      <c r="V520" s="16">
        <f t="shared" si="151"/>
        <v>6602.24</v>
      </c>
      <c r="W520" s="12">
        <v>5.01</v>
      </c>
      <c r="X520" s="12">
        <v>0.0</v>
      </c>
      <c r="Y520" s="12">
        <v>0.0</v>
      </c>
      <c r="Z520" s="12">
        <v>0.0</v>
      </c>
      <c r="AA520" s="12">
        <v>0.0</v>
      </c>
      <c r="AB520" s="12">
        <v>0.0</v>
      </c>
      <c r="AC520" s="16">
        <f t="shared" si="169"/>
        <v>5.01</v>
      </c>
      <c r="AD520" s="12"/>
      <c r="AE520" s="12"/>
      <c r="AF520" s="12">
        <v>496.28</v>
      </c>
      <c r="AG520" s="12">
        <v>0.0</v>
      </c>
      <c r="AH520" s="12">
        <v>0.0</v>
      </c>
      <c r="AI520" s="12">
        <v>0.0</v>
      </c>
      <c r="AJ520" s="12">
        <v>0.0</v>
      </c>
      <c r="AK520" s="12">
        <v>0.0</v>
      </c>
      <c r="AL520" s="12">
        <f t="shared" si="153"/>
        <v>496.28</v>
      </c>
      <c r="AM520" s="12">
        <v>0.0</v>
      </c>
      <c r="AN520" s="12">
        <v>0.0</v>
      </c>
      <c r="AO520" s="12">
        <v>0.0</v>
      </c>
      <c r="AP520" s="12">
        <v>0.0</v>
      </c>
      <c r="AQ520" s="12">
        <v>0.0</v>
      </c>
      <c r="AR520" s="12">
        <v>0.0</v>
      </c>
      <c r="AS520" s="12">
        <f t="shared" si="168"/>
        <v>0</v>
      </c>
      <c r="AT520" s="16">
        <f t="shared" si="162"/>
        <v>18720.65</v>
      </c>
      <c r="AU520" s="18">
        <f t="shared" si="173"/>
        <v>141095.54</v>
      </c>
      <c r="AV520" s="12">
        <v>9014.79</v>
      </c>
      <c r="AW520" s="10">
        <f t="shared" si="170"/>
        <v>50414.14</v>
      </c>
      <c r="AX520" s="12">
        <f t="shared" si="171"/>
        <v>27735.44</v>
      </c>
      <c r="AY520" s="12">
        <f t="shared" si="155"/>
        <v>194852.2</v>
      </c>
      <c r="AZ520" s="12">
        <v>398.06</v>
      </c>
      <c r="BA520" s="18">
        <f t="shared" si="174"/>
        <v>7764.04</v>
      </c>
      <c r="BB520" s="10">
        <f t="shared" si="16"/>
        <v>397632.8855</v>
      </c>
      <c r="BC520" s="16">
        <f t="shared" si="88"/>
        <v>51984.2625</v>
      </c>
      <c r="BD520" s="16"/>
      <c r="BE520" s="16">
        <f t="shared" si="177"/>
        <v>3342.52</v>
      </c>
      <c r="BF520" s="6"/>
      <c r="BG520" s="6"/>
      <c r="BH520" s="6"/>
      <c r="BI520" s="29">
        <f t="shared" si="172"/>
        <v>36137.74613</v>
      </c>
      <c r="BJ520" s="6"/>
      <c r="BK520" s="15">
        <f t="shared" si="76"/>
        <v>0.5180359044</v>
      </c>
      <c r="BN520" s="16">
        <f t="shared" si="14"/>
        <v>-17417.09613</v>
      </c>
      <c r="BO520" s="16">
        <f t="shared" si="175"/>
        <v>-256419.6674</v>
      </c>
      <c r="BY520" s="6">
        <f t="shared" si="2"/>
        <v>2025</v>
      </c>
      <c r="BZ520" s="6" t="str">
        <f t="shared" si="3"/>
        <v>marzo</v>
      </c>
      <c r="CA520" s="6" t="str">
        <f t="shared" si="4"/>
        <v>3</v>
      </c>
    </row>
    <row r="521">
      <c r="A521" s="8">
        <v>45728.0</v>
      </c>
      <c r="B521" s="12">
        <v>13633.13</v>
      </c>
      <c r="C521" s="12">
        <v>1630.44</v>
      </c>
      <c r="D521" s="12">
        <v>0.0</v>
      </c>
      <c r="E521" s="12">
        <v>0.0</v>
      </c>
      <c r="F521" s="12">
        <v>0.0</v>
      </c>
      <c r="G521" s="12">
        <v>0.0</v>
      </c>
      <c r="H521" s="12">
        <f t="shared" si="149"/>
        <v>15263.57</v>
      </c>
      <c r="I521" s="12">
        <v>23745.0</v>
      </c>
      <c r="J521" s="12">
        <v>1200.0</v>
      </c>
      <c r="K521" s="12">
        <v>836.11</v>
      </c>
      <c r="L521" s="12">
        <v>0.0</v>
      </c>
      <c r="M521" s="12">
        <v>0.0</v>
      </c>
      <c r="N521" s="12">
        <v>0.0</v>
      </c>
      <c r="O521" s="16">
        <f t="shared" si="150"/>
        <v>25781.11</v>
      </c>
      <c r="P521" s="12">
        <f>4935.397+1027.76</f>
        <v>5963.157</v>
      </c>
      <c r="Q521" s="12">
        <v>2229.6</v>
      </c>
      <c r="R521" s="12">
        <v>523.12</v>
      </c>
      <c r="S521" s="12">
        <v>0.0</v>
      </c>
      <c r="T521" s="12">
        <v>0.0</v>
      </c>
      <c r="U521" s="12">
        <v>0.0</v>
      </c>
      <c r="V521" s="16">
        <f t="shared" si="151"/>
        <v>8715.877</v>
      </c>
      <c r="W521" s="12">
        <v>2038.48</v>
      </c>
      <c r="X521" s="12">
        <v>0.0</v>
      </c>
      <c r="Y521" s="12">
        <v>500.0</v>
      </c>
      <c r="Z521" s="12">
        <v>0.0</v>
      </c>
      <c r="AA521" s="12">
        <v>0.0</v>
      </c>
      <c r="AB521" s="12">
        <v>0.0</v>
      </c>
      <c r="AC521" s="16">
        <f t="shared" si="169"/>
        <v>2538.48</v>
      </c>
      <c r="AD521" s="12"/>
      <c r="AE521" s="12"/>
      <c r="AF521" s="12">
        <v>2969.33</v>
      </c>
      <c r="AG521" s="12">
        <v>7246.5</v>
      </c>
      <c r="AH521" s="12">
        <v>0.0</v>
      </c>
      <c r="AI521" s="12">
        <v>0.0</v>
      </c>
      <c r="AJ521" s="12">
        <v>0.0</v>
      </c>
      <c r="AK521" s="12">
        <v>0.0</v>
      </c>
      <c r="AL521" s="12">
        <f t="shared" si="153"/>
        <v>10215.83</v>
      </c>
      <c r="AM521" s="12">
        <v>6876.0</v>
      </c>
      <c r="AN521" s="12">
        <v>0.0</v>
      </c>
      <c r="AO521" s="12">
        <v>3592.0</v>
      </c>
      <c r="AP521" s="12">
        <v>0.0</v>
      </c>
      <c r="AQ521" s="12">
        <v>0.0</v>
      </c>
      <c r="AR521" s="12">
        <v>0.0</v>
      </c>
      <c r="AS521" s="12">
        <f t="shared" si="168"/>
        <v>10468</v>
      </c>
      <c r="AT521" s="16">
        <f t="shared" ref="AT521:AT523" si="178">IF(AS521+AL521+AC521+V521+O521=0,"",AS521+AL521+AC521+V521+O521)</f>
        <v>57719.297</v>
      </c>
      <c r="AU521" s="18">
        <f t="shared" si="173"/>
        <v>198814.837</v>
      </c>
      <c r="AV521" s="12">
        <v>7597.08</v>
      </c>
      <c r="AW521" s="10">
        <f t="shared" si="170"/>
        <v>58011.22</v>
      </c>
      <c r="AX521" s="12">
        <f t="shared" si="171"/>
        <v>65316.377</v>
      </c>
      <c r="AY521" s="12">
        <f t="shared" si="155"/>
        <v>263132.237</v>
      </c>
      <c r="AZ521" s="12">
        <v>4722.4</v>
      </c>
      <c r="BA521" s="18">
        <f t="shared" si="174"/>
        <v>12486.44</v>
      </c>
      <c r="BB521" s="10">
        <f t="shared" si="16"/>
        <v>513604.9956</v>
      </c>
      <c r="BC521" s="16">
        <f t="shared" si="88"/>
        <v>46208.23333</v>
      </c>
      <c r="BD521" s="12">
        <v>2963.66</v>
      </c>
      <c r="BE521" s="16">
        <f t="shared" si="177"/>
        <v>6306.18</v>
      </c>
      <c r="BF521" s="6"/>
      <c r="BG521" s="6"/>
      <c r="BH521" s="6"/>
      <c r="BI521" s="29">
        <f t="shared" si="172"/>
        <v>36137.74613</v>
      </c>
      <c r="BK521" s="15">
        <f t="shared" si="76"/>
        <v>1.59720246</v>
      </c>
      <c r="BN521" s="16">
        <f t="shared" si="14"/>
        <v>21581.55087</v>
      </c>
      <c r="BO521" s="16">
        <f t="shared" si="175"/>
        <v>-234838.1165</v>
      </c>
      <c r="BY521" s="6">
        <f t="shared" si="2"/>
        <v>2025</v>
      </c>
      <c r="BZ521" s="6" t="str">
        <f t="shared" si="3"/>
        <v>marzo</v>
      </c>
      <c r="CA521" s="6" t="str">
        <f t="shared" si="4"/>
        <v>3</v>
      </c>
    </row>
    <row r="522">
      <c r="A522" s="8">
        <v>45729.0</v>
      </c>
      <c r="B522" s="12">
        <v>33067.12</v>
      </c>
      <c r="C522" s="12">
        <v>639.16</v>
      </c>
      <c r="D522" s="12">
        <v>1362.65</v>
      </c>
      <c r="E522" s="12">
        <v>0.0</v>
      </c>
      <c r="F522" s="12">
        <v>0.0</v>
      </c>
      <c r="G522" s="12">
        <v>0.0</v>
      </c>
      <c r="H522" s="12">
        <f t="shared" si="149"/>
        <v>35068.93</v>
      </c>
      <c r="I522" s="12">
        <v>18745.0</v>
      </c>
      <c r="J522" s="12">
        <v>1232.16</v>
      </c>
      <c r="K522" s="12">
        <v>1456.0</v>
      </c>
      <c r="L522" s="12">
        <v>0.0</v>
      </c>
      <c r="M522" s="12">
        <v>0.0</v>
      </c>
      <c r="N522" s="12">
        <v>0.0</v>
      </c>
      <c r="O522" s="16">
        <f t="shared" si="150"/>
        <v>21433.16</v>
      </c>
      <c r="P522" s="12">
        <v>6225.57</v>
      </c>
      <c r="Q522" s="12">
        <v>475.17</v>
      </c>
      <c r="R522" s="12">
        <v>435.62</v>
      </c>
      <c r="S522" s="12">
        <v>0.0</v>
      </c>
      <c r="T522" s="12">
        <v>0.0</v>
      </c>
      <c r="U522" s="12">
        <v>0.0</v>
      </c>
      <c r="V522" s="16">
        <f t="shared" si="151"/>
        <v>7136.36</v>
      </c>
      <c r="W522" s="12">
        <v>553.5</v>
      </c>
      <c r="X522" s="12">
        <v>0.0</v>
      </c>
      <c r="Y522" s="12">
        <v>2450.0</v>
      </c>
      <c r="Z522" s="12">
        <v>0.0</v>
      </c>
      <c r="AA522" s="12">
        <v>0.0</v>
      </c>
      <c r="AB522" s="12">
        <v>0.0</v>
      </c>
      <c r="AC522" s="16">
        <f t="shared" si="169"/>
        <v>3003.5</v>
      </c>
      <c r="AD522" s="12"/>
      <c r="AE522" s="12"/>
      <c r="AF522" s="12">
        <v>2607.7</v>
      </c>
      <c r="AG522" s="12">
        <v>385.28</v>
      </c>
      <c r="AH522" s="12">
        <v>0.0</v>
      </c>
      <c r="AI522" s="12">
        <v>0.0</v>
      </c>
      <c r="AJ522" s="12">
        <v>0.0</v>
      </c>
      <c r="AK522" s="12">
        <v>0.0</v>
      </c>
      <c r="AL522" s="12">
        <f t="shared" si="153"/>
        <v>2992.98</v>
      </c>
      <c r="AM522" s="12">
        <v>0.0</v>
      </c>
      <c r="AN522" s="12">
        <v>0.0</v>
      </c>
      <c r="AO522" s="12">
        <v>24654.0</v>
      </c>
      <c r="AP522" s="12">
        <v>0.0</v>
      </c>
      <c r="AQ522" s="12">
        <v>0.0</v>
      </c>
      <c r="AR522" s="12">
        <v>0.0</v>
      </c>
      <c r="AS522" s="12">
        <f t="shared" si="168"/>
        <v>24654</v>
      </c>
      <c r="AT522" s="16">
        <f t="shared" si="178"/>
        <v>59220</v>
      </c>
      <c r="AU522" s="18">
        <f t="shared" si="173"/>
        <v>258034.837</v>
      </c>
      <c r="AV522" s="12">
        <v>12963.03</v>
      </c>
      <c r="AW522" s="10">
        <f t="shared" si="170"/>
        <v>70974.25</v>
      </c>
      <c r="AX522" s="12">
        <f t="shared" si="171"/>
        <v>72183.03</v>
      </c>
      <c r="AY522" s="12">
        <f t="shared" si="155"/>
        <v>340964.847</v>
      </c>
      <c r="AZ522" s="12">
        <v>2260.21</v>
      </c>
      <c r="BA522" s="18">
        <f t="shared" si="174"/>
        <v>14746.65</v>
      </c>
      <c r="BB522" s="10">
        <f t="shared" si="16"/>
        <v>615313.8421</v>
      </c>
      <c r="BC522" s="16">
        <f t="shared" si="88"/>
        <v>61187.445</v>
      </c>
      <c r="BD522" s="12">
        <v>5649.58</v>
      </c>
      <c r="BE522" s="16">
        <f t="shared" si="177"/>
        <v>11955.76</v>
      </c>
      <c r="BF522" s="6"/>
      <c r="BG522" s="6"/>
      <c r="BH522" s="6"/>
      <c r="BI522" s="29">
        <f t="shared" si="172"/>
        <v>36137.74613</v>
      </c>
      <c r="BK522" s="15">
        <f t="shared" si="76"/>
        <v>1.638729759</v>
      </c>
      <c r="BN522" s="16">
        <f t="shared" si="14"/>
        <v>23082.25387</v>
      </c>
      <c r="BO522" s="16">
        <f t="shared" si="175"/>
        <v>-211755.8627</v>
      </c>
      <c r="BY522" s="6">
        <f t="shared" si="2"/>
        <v>2025</v>
      </c>
      <c r="BZ522" s="6" t="str">
        <f t="shared" si="3"/>
        <v>marzo</v>
      </c>
      <c r="CA522" s="6" t="str">
        <f t="shared" si="4"/>
        <v>3</v>
      </c>
    </row>
    <row r="523">
      <c r="A523" s="8">
        <v>45730.0</v>
      </c>
      <c r="B523" s="12">
        <v>32804.07</v>
      </c>
      <c r="C523" s="12">
        <v>5057.18</v>
      </c>
      <c r="D523" s="12">
        <v>0.0</v>
      </c>
      <c r="E523" s="12">
        <v>1930.05</v>
      </c>
      <c r="F523" s="12">
        <v>0.0</v>
      </c>
      <c r="G523" s="12">
        <v>0.0</v>
      </c>
      <c r="H523" s="12">
        <f t="shared" si="149"/>
        <v>39791.3</v>
      </c>
      <c r="I523" s="12">
        <v>20456.0</v>
      </c>
      <c r="J523" s="12">
        <v>3456.0</v>
      </c>
      <c r="K523" s="12">
        <v>0.0</v>
      </c>
      <c r="L523" s="12">
        <v>3179.96</v>
      </c>
      <c r="M523" s="12">
        <v>0.0</v>
      </c>
      <c r="N523" s="12">
        <v>0.0</v>
      </c>
      <c r="O523" s="16">
        <f t="shared" si="150"/>
        <v>27091.96</v>
      </c>
      <c r="P523" s="12">
        <v>8464.34</v>
      </c>
      <c r="Q523" s="12">
        <v>1306.16</v>
      </c>
      <c r="R523" s="12">
        <v>0.0</v>
      </c>
      <c r="S523" s="12">
        <v>0.0</v>
      </c>
      <c r="T523" s="12">
        <v>0.0</v>
      </c>
      <c r="U523" s="12">
        <v>0.0</v>
      </c>
      <c r="V523" s="16">
        <f t="shared" si="151"/>
        <v>9770.5</v>
      </c>
      <c r="W523" s="12">
        <v>2896.69</v>
      </c>
      <c r="X523" s="12">
        <v>0.0</v>
      </c>
      <c r="Y523" s="12">
        <v>0.0</v>
      </c>
      <c r="Z523" s="12">
        <v>0.0</v>
      </c>
      <c r="AA523" s="12">
        <v>0.0</v>
      </c>
      <c r="AB523" s="12">
        <v>0.0</v>
      </c>
      <c r="AC523" s="16">
        <f t="shared" si="169"/>
        <v>2896.69</v>
      </c>
      <c r="AD523" s="12"/>
      <c r="AE523" s="12"/>
      <c r="AF523" s="12">
        <v>4294.34</v>
      </c>
      <c r="AG523" s="12">
        <v>799.96</v>
      </c>
      <c r="AH523" s="12">
        <v>0.0</v>
      </c>
      <c r="AI523" s="12">
        <v>0.0</v>
      </c>
      <c r="AJ523" s="12">
        <v>0.0</v>
      </c>
      <c r="AK523" s="12">
        <v>0.0</v>
      </c>
      <c r="AL523" s="12">
        <f t="shared" si="153"/>
        <v>5094.3</v>
      </c>
      <c r="AM523" s="12">
        <v>9879.0</v>
      </c>
      <c r="AN523" s="12">
        <v>0.0</v>
      </c>
      <c r="AO523" s="12">
        <v>0.0</v>
      </c>
      <c r="AP523" s="12">
        <v>0.0</v>
      </c>
      <c r="AQ523" s="12">
        <v>0.0</v>
      </c>
      <c r="AR523" s="12">
        <v>0.0</v>
      </c>
      <c r="AS523" s="12">
        <f t="shared" si="168"/>
        <v>9879</v>
      </c>
      <c r="AT523" s="16">
        <f t="shared" si="178"/>
        <v>54732.45</v>
      </c>
      <c r="AU523" s="18">
        <f t="shared" si="173"/>
        <v>312767.287</v>
      </c>
      <c r="AV523" s="12">
        <v>17306.31</v>
      </c>
      <c r="AW523" s="10">
        <f t="shared" si="170"/>
        <v>88280.56</v>
      </c>
      <c r="AX523" s="12">
        <f t="shared" si="171"/>
        <v>72038.76</v>
      </c>
      <c r="AY523" s="12">
        <f t="shared" si="155"/>
        <v>415752.447</v>
      </c>
      <c r="AZ523" s="12">
        <v>3660.99</v>
      </c>
      <c r="BA523" s="18">
        <f t="shared" si="174"/>
        <v>18407.64</v>
      </c>
      <c r="BB523" s="10">
        <f t="shared" si="16"/>
        <v>692556.1355</v>
      </c>
      <c r="BC523" s="16">
        <f t="shared" si="88"/>
        <v>64134.33636</v>
      </c>
      <c r="BD523" s="12">
        <v>2748.84</v>
      </c>
      <c r="BE523" s="16">
        <f t="shared" si="177"/>
        <v>14704.6</v>
      </c>
      <c r="BF523" s="6"/>
      <c r="BG523" s="6"/>
      <c r="BH523" s="6"/>
      <c r="BI523" s="29">
        <f t="shared" si="172"/>
        <v>36137.74613</v>
      </c>
      <c r="BK523" s="15">
        <f t="shared" si="76"/>
        <v>1.514550736</v>
      </c>
      <c r="BN523" s="16">
        <f t="shared" si="14"/>
        <v>18594.70387</v>
      </c>
      <c r="BO523" s="16">
        <f t="shared" si="175"/>
        <v>-193161.1588</v>
      </c>
      <c r="BY523" s="6">
        <f t="shared" si="2"/>
        <v>2025</v>
      </c>
      <c r="BZ523" s="6" t="str">
        <f t="shared" si="3"/>
        <v>marzo</v>
      </c>
      <c r="CA523" s="6" t="str">
        <f t="shared" si="4"/>
        <v>3</v>
      </c>
    </row>
    <row r="524">
      <c r="A524" s="8">
        <v>45731.0</v>
      </c>
      <c r="B524" s="12">
        <v>0.0</v>
      </c>
      <c r="C524" s="12">
        <v>0.0</v>
      </c>
      <c r="D524" s="12">
        <v>0.0</v>
      </c>
      <c r="E524" s="12">
        <v>0.0</v>
      </c>
      <c r="F524" s="12">
        <v>0.0</v>
      </c>
      <c r="G524" s="12">
        <v>0.0</v>
      </c>
      <c r="H524" s="12">
        <f t="shared" si="149"/>
        <v>0</v>
      </c>
      <c r="I524" s="12">
        <v>0.0</v>
      </c>
      <c r="J524" s="12">
        <v>0.0</v>
      </c>
      <c r="K524" s="12">
        <v>0.0</v>
      </c>
      <c r="L524" s="12">
        <v>0.0</v>
      </c>
      <c r="M524" s="12">
        <v>0.0</v>
      </c>
      <c r="N524" s="12">
        <v>0.0</v>
      </c>
      <c r="O524" s="16">
        <f t="shared" si="150"/>
        <v>0</v>
      </c>
      <c r="P524" s="12">
        <v>0.0</v>
      </c>
      <c r="Q524" s="12">
        <v>0.0</v>
      </c>
      <c r="R524" s="12">
        <v>0.0</v>
      </c>
      <c r="S524" s="12">
        <v>0.0</v>
      </c>
      <c r="T524" s="12">
        <v>0.0</v>
      </c>
      <c r="U524" s="12">
        <v>0.0</v>
      </c>
      <c r="V524" s="16">
        <f t="shared" si="151"/>
        <v>0</v>
      </c>
      <c r="W524" s="12">
        <v>0.0</v>
      </c>
      <c r="X524" s="12">
        <v>0.0</v>
      </c>
      <c r="Y524" s="12">
        <v>0.0</v>
      </c>
      <c r="Z524" s="12">
        <v>0.0</v>
      </c>
      <c r="AA524" s="12">
        <v>0.0</v>
      </c>
      <c r="AB524" s="12">
        <v>0.0</v>
      </c>
      <c r="AC524" s="16">
        <f t="shared" si="169"/>
        <v>0</v>
      </c>
      <c r="AD524" s="12"/>
      <c r="AE524" s="12"/>
      <c r="AF524" s="12">
        <v>0.0</v>
      </c>
      <c r="AG524" s="12">
        <v>0.0</v>
      </c>
      <c r="AH524" s="12">
        <v>0.0</v>
      </c>
      <c r="AI524" s="12">
        <v>0.0</v>
      </c>
      <c r="AJ524" s="12">
        <v>0.0</v>
      </c>
      <c r="AK524" s="12">
        <v>0.0</v>
      </c>
      <c r="AL524" s="12">
        <f t="shared" si="153"/>
        <v>0</v>
      </c>
      <c r="AM524" s="12">
        <v>0.0</v>
      </c>
      <c r="AN524" s="12">
        <v>0.0</v>
      </c>
      <c r="AO524" s="12">
        <v>0.0</v>
      </c>
      <c r="AP524" s="12">
        <v>0.0</v>
      </c>
      <c r="AQ524" s="12">
        <v>0.0</v>
      </c>
      <c r="AR524" s="12">
        <v>0.0</v>
      </c>
      <c r="AS524" s="12">
        <f t="shared" si="168"/>
        <v>0</v>
      </c>
      <c r="AT524" s="16">
        <f t="shared" ref="AT524:AT525" si="179">IF(AS524+AL524+AC524+V524+O524="","",AS524+AL524+AC524+V524+O524)</f>
        <v>0</v>
      </c>
      <c r="AU524" s="18">
        <f t="shared" si="173"/>
        <v>312767.287</v>
      </c>
      <c r="AV524" s="12">
        <v>0.0</v>
      </c>
      <c r="AW524" s="10">
        <f t="shared" si="170"/>
        <v>88280.56</v>
      </c>
      <c r="AX524" s="12">
        <f t="shared" si="171"/>
        <v>0</v>
      </c>
      <c r="AY524" s="12">
        <f t="shared" si="155"/>
        <v>415752.447</v>
      </c>
      <c r="AZ524" s="12">
        <v>0.0</v>
      </c>
      <c r="BA524" s="18">
        <f t="shared" si="174"/>
        <v>18407.64</v>
      </c>
      <c r="BB524" s="10">
        <f t="shared" si="16"/>
        <v>646385.7265</v>
      </c>
      <c r="BC524" s="16">
        <f t="shared" si="88"/>
        <v>82839.51542</v>
      </c>
      <c r="BD524" s="16"/>
      <c r="BE524" s="16">
        <f t="shared" si="177"/>
        <v>14704.6</v>
      </c>
      <c r="BF524" s="6"/>
      <c r="BG524" s="6"/>
      <c r="BH524" s="6"/>
      <c r="BI524" s="29">
        <f t="shared" si="172"/>
        <v>36137.74613</v>
      </c>
      <c r="BJ524" s="6"/>
      <c r="BK524" s="15">
        <f t="shared" si="76"/>
        <v>0</v>
      </c>
      <c r="BN524" s="16">
        <f t="shared" si="14"/>
        <v>-36137.74613</v>
      </c>
      <c r="BO524" s="16">
        <f t="shared" si="175"/>
        <v>-229298.9049</v>
      </c>
      <c r="BY524" s="6">
        <f t="shared" si="2"/>
        <v>2025</v>
      </c>
      <c r="BZ524" s="6" t="str">
        <f t="shared" si="3"/>
        <v>marzo</v>
      </c>
      <c r="CA524" s="6" t="str">
        <f t="shared" si="4"/>
        <v>3</v>
      </c>
    </row>
    <row r="525">
      <c r="A525" s="8">
        <v>45732.0</v>
      </c>
      <c r="B525" s="12">
        <v>0.0</v>
      </c>
      <c r="C525" s="12">
        <v>0.0</v>
      </c>
      <c r="D525" s="12">
        <v>0.0</v>
      </c>
      <c r="E525" s="12">
        <v>0.0</v>
      </c>
      <c r="F525" s="12">
        <v>0.0</v>
      </c>
      <c r="G525" s="12">
        <v>0.0</v>
      </c>
      <c r="H525" s="12">
        <f t="shared" si="149"/>
        <v>0</v>
      </c>
      <c r="I525" s="12">
        <v>0.0</v>
      </c>
      <c r="J525" s="12">
        <v>0.0</v>
      </c>
      <c r="K525" s="12">
        <v>0.0</v>
      </c>
      <c r="L525" s="12">
        <v>0.0</v>
      </c>
      <c r="M525" s="12">
        <v>0.0</v>
      </c>
      <c r="N525" s="12">
        <v>0.0</v>
      </c>
      <c r="O525" s="16">
        <f t="shared" si="150"/>
        <v>0</v>
      </c>
      <c r="P525" s="12">
        <v>0.0</v>
      </c>
      <c r="Q525" s="12">
        <v>0.0</v>
      </c>
      <c r="R525" s="12">
        <v>0.0</v>
      </c>
      <c r="S525" s="12">
        <v>0.0</v>
      </c>
      <c r="T525" s="12">
        <v>0.0</v>
      </c>
      <c r="U525" s="12">
        <v>0.0</v>
      </c>
      <c r="V525" s="16">
        <f t="shared" si="151"/>
        <v>0</v>
      </c>
      <c r="W525" s="12">
        <v>0.0</v>
      </c>
      <c r="X525" s="12">
        <v>0.0</v>
      </c>
      <c r="Y525" s="12">
        <v>0.0</v>
      </c>
      <c r="Z525" s="12">
        <v>0.0</v>
      </c>
      <c r="AA525" s="12">
        <v>0.0</v>
      </c>
      <c r="AB525" s="12">
        <v>0.0</v>
      </c>
      <c r="AC525" s="16">
        <f t="shared" si="169"/>
        <v>0</v>
      </c>
      <c r="AD525" s="12"/>
      <c r="AE525" s="12"/>
      <c r="AF525" s="12">
        <v>0.0</v>
      </c>
      <c r="AG525" s="12">
        <v>0.0</v>
      </c>
      <c r="AH525" s="12">
        <v>0.0</v>
      </c>
      <c r="AI525" s="12">
        <v>0.0</v>
      </c>
      <c r="AJ525" s="12">
        <v>0.0</v>
      </c>
      <c r="AK525" s="12">
        <v>0.0</v>
      </c>
      <c r="AL525" s="12">
        <f t="shared" si="153"/>
        <v>0</v>
      </c>
      <c r="AM525" s="12">
        <v>0.0</v>
      </c>
      <c r="AN525" s="12">
        <v>0.0</v>
      </c>
      <c r="AO525" s="12">
        <v>0.0</v>
      </c>
      <c r="AP525" s="12">
        <v>0.0</v>
      </c>
      <c r="AQ525" s="12">
        <v>0.0</v>
      </c>
      <c r="AR525" s="12">
        <v>0.0</v>
      </c>
      <c r="AS525" s="12">
        <f t="shared" si="168"/>
        <v>0</v>
      </c>
      <c r="AT525" s="16">
        <f t="shared" si="179"/>
        <v>0</v>
      </c>
      <c r="AU525" s="18">
        <f t="shared" si="173"/>
        <v>312767.287</v>
      </c>
      <c r="AV525" s="12">
        <v>0.0</v>
      </c>
      <c r="AW525" s="10">
        <f t="shared" si="170"/>
        <v>88280.56</v>
      </c>
      <c r="AX525" s="12">
        <f t="shared" si="171"/>
        <v>0</v>
      </c>
      <c r="AY525" s="12">
        <f t="shared" si="155"/>
        <v>415752.447</v>
      </c>
      <c r="AZ525" s="12">
        <v>0.0</v>
      </c>
      <c r="BA525" s="18">
        <f t="shared" si="174"/>
        <v>18407.64</v>
      </c>
      <c r="BB525" s="10">
        <f t="shared" si="16"/>
        <v>605986.6186</v>
      </c>
      <c r="BC525" s="16">
        <f t="shared" si="88"/>
        <v>99244.16808</v>
      </c>
      <c r="BD525" s="16"/>
      <c r="BE525" s="16">
        <f t="shared" si="177"/>
        <v>14704.6</v>
      </c>
      <c r="BF525" s="6"/>
      <c r="BG525" s="6"/>
      <c r="BH525" s="6"/>
      <c r="BI525" s="29">
        <f t="shared" si="172"/>
        <v>36137.74613</v>
      </c>
      <c r="BJ525" s="6"/>
      <c r="BK525" s="15">
        <f t="shared" si="76"/>
        <v>0</v>
      </c>
      <c r="BN525" s="16">
        <f t="shared" si="14"/>
        <v>-36137.74613</v>
      </c>
      <c r="BO525" s="16">
        <f t="shared" si="175"/>
        <v>-265436.6511</v>
      </c>
      <c r="BY525" s="6">
        <f t="shared" si="2"/>
        <v>2025</v>
      </c>
      <c r="BZ525" s="6" t="str">
        <f t="shared" si="3"/>
        <v>marzo</v>
      </c>
      <c r="CA525" s="6" t="str">
        <f t="shared" si="4"/>
        <v>3</v>
      </c>
    </row>
    <row r="526">
      <c r="A526" s="8">
        <v>45733.0</v>
      </c>
      <c r="B526" s="12">
        <v>30188.94</v>
      </c>
      <c r="C526" s="12">
        <v>2688.93</v>
      </c>
      <c r="D526" s="12">
        <v>1059.16</v>
      </c>
      <c r="E526" s="12">
        <v>3678.22</v>
      </c>
      <c r="F526" s="12">
        <v>0.0</v>
      </c>
      <c r="G526" s="12">
        <v>0.0</v>
      </c>
      <c r="H526" s="12">
        <f t="shared" si="149"/>
        <v>37615.25</v>
      </c>
      <c r="I526" s="12">
        <v>17456.0</v>
      </c>
      <c r="J526" s="12">
        <v>2461.0</v>
      </c>
      <c r="K526" s="12">
        <v>2076.014</v>
      </c>
      <c r="L526" s="12">
        <v>1262.0</v>
      </c>
      <c r="M526" s="12">
        <v>0.0</v>
      </c>
      <c r="N526" s="12">
        <v>0.0</v>
      </c>
      <c r="O526" s="16">
        <f t="shared" si="150"/>
        <v>23255.014</v>
      </c>
      <c r="P526" s="12">
        <v>9169.61</v>
      </c>
      <c r="Q526" s="12">
        <v>1732.88</v>
      </c>
      <c r="R526" s="12">
        <v>402.75</v>
      </c>
      <c r="S526" s="12">
        <v>0.0</v>
      </c>
      <c r="T526" s="12">
        <v>0.0</v>
      </c>
      <c r="U526" s="12">
        <v>0.0</v>
      </c>
      <c r="V526" s="16">
        <f t="shared" si="151"/>
        <v>11305.24</v>
      </c>
      <c r="W526" s="12">
        <v>1048.78</v>
      </c>
      <c r="X526" s="12">
        <v>0.02</v>
      </c>
      <c r="Y526" s="12">
        <v>0.0</v>
      </c>
      <c r="Z526" s="12">
        <v>0.0</v>
      </c>
      <c r="AA526" s="12">
        <v>0.0</v>
      </c>
      <c r="AB526" s="12">
        <v>0.0</v>
      </c>
      <c r="AC526" s="16">
        <f t="shared" si="169"/>
        <v>1048.8</v>
      </c>
      <c r="AD526" s="12"/>
      <c r="AE526" s="12"/>
      <c r="AF526" s="12">
        <v>3773.46</v>
      </c>
      <c r="AG526" s="12">
        <v>1181.48</v>
      </c>
      <c r="AH526" s="12">
        <v>0.0</v>
      </c>
      <c r="AI526" s="12">
        <v>0.0</v>
      </c>
      <c r="AJ526" s="12">
        <v>0.0</v>
      </c>
      <c r="AK526" s="12">
        <v>0.0</v>
      </c>
      <c r="AL526" s="12">
        <f t="shared" si="153"/>
        <v>4954.94</v>
      </c>
      <c r="AM526" s="12">
        <v>2965.0</v>
      </c>
      <c r="AN526" s="12">
        <v>0.0</v>
      </c>
      <c r="AO526" s="12">
        <v>0.0</v>
      </c>
      <c r="AP526" s="12">
        <v>0.0</v>
      </c>
      <c r="AQ526" s="12">
        <v>0.0</v>
      </c>
      <c r="AR526" s="12">
        <v>0.0</v>
      </c>
      <c r="AS526" s="12">
        <f t="shared" si="168"/>
        <v>2965</v>
      </c>
      <c r="AT526" s="16">
        <f t="shared" ref="AT526:AT530" si="180">IF(AS526+AL526+AC526+V526+O526=0,"",AS526+AL526+AC526+V526+O526)</f>
        <v>43528.994</v>
      </c>
      <c r="AU526" s="18">
        <f t="shared" si="173"/>
        <v>356296.281</v>
      </c>
      <c r="AV526" s="12">
        <v>16401.9</v>
      </c>
      <c r="AW526" s="10">
        <f t="shared" si="170"/>
        <v>104682.46</v>
      </c>
      <c r="AX526" s="12">
        <f t="shared" si="171"/>
        <v>59930.894</v>
      </c>
      <c r="AY526" s="12">
        <f t="shared" si="155"/>
        <v>476561.171</v>
      </c>
      <c r="AZ526" s="12">
        <v>4729.04</v>
      </c>
      <c r="BA526" s="18">
        <f t="shared" si="174"/>
        <v>23136.68</v>
      </c>
      <c r="BB526" s="10">
        <f t="shared" si="16"/>
        <v>649716.7477</v>
      </c>
      <c r="BC526" s="16">
        <f t="shared" si="88"/>
        <v>111702.6025</v>
      </c>
      <c r="BD526" s="12">
        <v>877.83</v>
      </c>
      <c r="BE526" s="16">
        <f t="shared" si="177"/>
        <v>15582.43</v>
      </c>
      <c r="BF526" s="6"/>
      <c r="BG526" s="6"/>
      <c r="BH526" s="6"/>
      <c r="BI526" s="29">
        <f t="shared" si="172"/>
        <v>36137.74613</v>
      </c>
      <c r="BK526" s="15">
        <f t="shared" si="76"/>
        <v>1.204529852</v>
      </c>
      <c r="BN526" s="16">
        <f t="shared" si="14"/>
        <v>7391.247871</v>
      </c>
      <c r="BO526" s="16">
        <f t="shared" si="175"/>
        <v>-258045.4032</v>
      </c>
      <c r="BY526" s="6">
        <f t="shared" si="2"/>
        <v>2025</v>
      </c>
      <c r="BZ526" s="6" t="str">
        <f t="shared" si="3"/>
        <v>marzo</v>
      </c>
      <c r="CA526" s="6" t="str">
        <f t="shared" si="4"/>
        <v>3</v>
      </c>
    </row>
    <row r="527">
      <c r="A527" s="8">
        <v>45734.0</v>
      </c>
      <c r="B527" s="12">
        <v>30131.74</v>
      </c>
      <c r="C527" s="12">
        <v>438.33</v>
      </c>
      <c r="D527" s="12">
        <v>2618.31</v>
      </c>
      <c r="E527" s="12">
        <v>50750.0</v>
      </c>
      <c r="F527" s="12">
        <v>0.0</v>
      </c>
      <c r="G527" s="12">
        <v>0.0</v>
      </c>
      <c r="H527" s="12">
        <f t="shared" si="149"/>
        <v>83938.38</v>
      </c>
      <c r="I527" s="12">
        <v>35745.0</v>
      </c>
      <c r="J527" s="12">
        <v>2313.43</v>
      </c>
      <c r="K527" s="12">
        <v>1496.0</v>
      </c>
      <c r="L527" s="12">
        <v>4756.0</v>
      </c>
      <c r="M527" s="12">
        <v>0.0</v>
      </c>
      <c r="N527" s="12">
        <v>0.0</v>
      </c>
      <c r="O527" s="16">
        <f t="shared" si="150"/>
        <v>44310.43</v>
      </c>
      <c r="P527" s="12">
        <v>11076.86</v>
      </c>
      <c r="Q527" s="12">
        <v>187.08</v>
      </c>
      <c r="R527" s="12">
        <v>435.62</v>
      </c>
      <c r="S527" s="12">
        <v>0.0</v>
      </c>
      <c r="T527" s="12">
        <v>0.0</v>
      </c>
      <c r="U527" s="12">
        <v>0.0</v>
      </c>
      <c r="V527" s="16">
        <f t="shared" si="151"/>
        <v>11699.56</v>
      </c>
      <c r="W527" s="12">
        <v>930.11</v>
      </c>
      <c r="X527" s="12">
        <v>0.0</v>
      </c>
      <c r="Y527" s="12">
        <v>0.99</v>
      </c>
      <c r="Z527" s="12">
        <v>0.0</v>
      </c>
      <c r="AA527" s="12">
        <v>0.0</v>
      </c>
      <c r="AB527" s="12">
        <v>0.0</v>
      </c>
      <c r="AC527" s="16">
        <f t="shared" si="169"/>
        <v>931.1</v>
      </c>
      <c r="AD527" s="12"/>
      <c r="AE527" s="12"/>
      <c r="AF527" s="12">
        <v>3015.95</v>
      </c>
      <c r="AG527" s="12">
        <v>0.0</v>
      </c>
      <c r="AH527" s="12">
        <v>0.0</v>
      </c>
      <c r="AI527" s="12">
        <v>0.0</v>
      </c>
      <c r="AJ527" s="12">
        <v>0.0</v>
      </c>
      <c r="AK527" s="12">
        <v>0.0</v>
      </c>
      <c r="AL527" s="12">
        <f t="shared" si="153"/>
        <v>3015.95</v>
      </c>
      <c r="AM527" s="12">
        <v>0.0</v>
      </c>
      <c r="AN527" s="12">
        <v>0.0</v>
      </c>
      <c r="AO527" s="12">
        <v>0.0</v>
      </c>
      <c r="AP527" s="12">
        <v>0.0</v>
      </c>
      <c r="AQ527" s="12">
        <v>0.0</v>
      </c>
      <c r="AR527" s="12">
        <v>0.0</v>
      </c>
      <c r="AS527" s="12">
        <f t="shared" si="168"/>
        <v>0</v>
      </c>
      <c r="AT527" s="16">
        <f t="shared" si="180"/>
        <v>59957.04</v>
      </c>
      <c r="AU527" s="18">
        <f t="shared" si="173"/>
        <v>416253.321</v>
      </c>
      <c r="AV527" s="12">
        <v>12815.22</v>
      </c>
      <c r="AW527" s="10">
        <f t="shared" si="170"/>
        <v>117497.68</v>
      </c>
      <c r="AX527" s="12">
        <f t="shared" si="171"/>
        <v>72772.26</v>
      </c>
      <c r="AY527" s="12">
        <f t="shared" si="155"/>
        <v>550444.991</v>
      </c>
      <c r="AZ527" s="12">
        <v>45332.89</v>
      </c>
      <c r="BA527" s="18">
        <f t="shared" si="174"/>
        <v>68469.57</v>
      </c>
      <c r="BB527" s="10">
        <f t="shared" si="16"/>
        <v>716880.7195</v>
      </c>
      <c r="BC527" s="16">
        <f t="shared" si="88"/>
        <v>104255.7623</v>
      </c>
      <c r="BD527" s="46">
        <v>1111.56</v>
      </c>
      <c r="BE527" s="16">
        <f t="shared" si="177"/>
        <v>16693.99</v>
      </c>
      <c r="BF527" s="6"/>
      <c r="BG527" s="6"/>
      <c r="BH527" s="6"/>
      <c r="BI527" s="29">
        <f t="shared" si="172"/>
        <v>36137.74613</v>
      </c>
      <c r="BK527" s="15">
        <f t="shared" si="76"/>
        <v>1.659125054</v>
      </c>
      <c r="BN527" s="16">
        <f t="shared" si="14"/>
        <v>23819.29387</v>
      </c>
      <c r="BO527" s="16">
        <f t="shared" si="175"/>
        <v>-234226.1093</v>
      </c>
      <c r="BY527" s="6">
        <f t="shared" si="2"/>
        <v>2025</v>
      </c>
      <c r="BZ527" s="6" t="str">
        <f t="shared" si="3"/>
        <v>marzo</v>
      </c>
      <c r="CA527" s="6" t="str">
        <f t="shared" si="4"/>
        <v>3</v>
      </c>
    </row>
    <row r="528">
      <c r="A528" s="8">
        <v>45735.0</v>
      </c>
      <c r="B528" s="12">
        <v>13037.83</v>
      </c>
      <c r="C528" s="12">
        <v>0.0</v>
      </c>
      <c r="D528" s="12">
        <v>0.0</v>
      </c>
      <c r="E528" s="12">
        <v>0.0</v>
      </c>
      <c r="F528" s="12">
        <v>0.0</v>
      </c>
      <c r="G528" s="12">
        <v>0.0</v>
      </c>
      <c r="H528" s="12">
        <f t="shared" si="149"/>
        <v>13037.83</v>
      </c>
      <c r="I528" s="12">
        <v>15730.72</v>
      </c>
      <c r="J528" s="12">
        <v>0.0</v>
      </c>
      <c r="K528" s="12">
        <v>0.0</v>
      </c>
      <c r="L528" s="12">
        <v>0.0</v>
      </c>
      <c r="M528" s="12">
        <v>0.0</v>
      </c>
      <c r="N528" s="12">
        <v>0.0</v>
      </c>
      <c r="O528" s="16">
        <f t="shared" si="150"/>
        <v>15730.72</v>
      </c>
      <c r="P528" s="12">
        <v>5826.19</v>
      </c>
      <c r="Q528" s="12">
        <v>0.0</v>
      </c>
      <c r="R528" s="12">
        <v>0.0</v>
      </c>
      <c r="S528" s="12">
        <v>0.0</v>
      </c>
      <c r="T528" s="12">
        <v>0.0</v>
      </c>
      <c r="U528" s="12">
        <v>0.0</v>
      </c>
      <c r="V528" s="16">
        <f t="shared" si="151"/>
        <v>5826.19</v>
      </c>
      <c r="W528" s="12">
        <v>866.63</v>
      </c>
      <c r="X528" s="12">
        <v>0.0</v>
      </c>
      <c r="Y528" s="12">
        <v>1150.0</v>
      </c>
      <c r="Z528" s="12">
        <v>0.0</v>
      </c>
      <c r="AA528" s="12">
        <v>0.0</v>
      </c>
      <c r="AB528" s="12">
        <v>0.0</v>
      </c>
      <c r="AC528" s="16">
        <f t="shared" si="169"/>
        <v>2016.63</v>
      </c>
      <c r="AD528" s="12"/>
      <c r="AE528" s="12"/>
      <c r="AF528" s="12">
        <v>1757.97</v>
      </c>
      <c r="AG528" s="12">
        <v>0.0</v>
      </c>
      <c r="AH528" s="12">
        <v>0.0</v>
      </c>
      <c r="AI528" s="12">
        <v>0.0</v>
      </c>
      <c r="AJ528" s="12">
        <v>0.0</v>
      </c>
      <c r="AK528" s="12">
        <v>0.0</v>
      </c>
      <c r="AL528" s="12">
        <f t="shared" si="153"/>
        <v>1757.97</v>
      </c>
      <c r="AM528" s="12"/>
      <c r="AN528" s="12">
        <v>0.0</v>
      </c>
      <c r="AO528" s="12">
        <v>10566.0</v>
      </c>
      <c r="AP528" s="12">
        <v>0.0</v>
      </c>
      <c r="AQ528" s="12">
        <v>0.0</v>
      </c>
      <c r="AR528" s="12">
        <v>0.0</v>
      </c>
      <c r="AS528" s="12">
        <f t="shared" si="168"/>
        <v>10566</v>
      </c>
      <c r="AT528" s="16">
        <f t="shared" si="180"/>
        <v>35897.51</v>
      </c>
      <c r="AU528" s="18">
        <f t="shared" si="173"/>
        <v>452150.831</v>
      </c>
      <c r="AV528" s="12">
        <v>5893.11</v>
      </c>
      <c r="AW528" s="10">
        <f t="shared" si="170"/>
        <v>123390.79</v>
      </c>
      <c r="AX528" s="12">
        <f t="shared" si="171"/>
        <v>41790.62</v>
      </c>
      <c r="AY528" s="12">
        <f t="shared" si="155"/>
        <v>603488.761</v>
      </c>
      <c r="AZ528" s="12">
        <v>1188.24</v>
      </c>
      <c r="BA528" s="18">
        <f t="shared" si="174"/>
        <v>69657.81</v>
      </c>
      <c r="BB528" s="10">
        <f t="shared" si="16"/>
        <v>737719.7769</v>
      </c>
      <c r="BC528" s="16">
        <f t="shared" si="88"/>
        <v>97739.77719</v>
      </c>
      <c r="BD528" s="12">
        <f>3453.85+7799.3</f>
        <v>11253.15</v>
      </c>
      <c r="BE528" s="16">
        <f t="shared" si="177"/>
        <v>27947.14</v>
      </c>
      <c r="BF528" s="6"/>
      <c r="BG528" s="6"/>
      <c r="BH528" s="6"/>
      <c r="BI528" s="29">
        <f t="shared" si="172"/>
        <v>36137.74613</v>
      </c>
      <c r="BJ528" s="6"/>
      <c r="BK528" s="15">
        <f t="shared" si="76"/>
        <v>0.9933522105</v>
      </c>
      <c r="BN528" s="16">
        <f t="shared" si="14"/>
        <v>-240.236129</v>
      </c>
      <c r="BO528" s="16">
        <f t="shared" si="175"/>
        <v>-234466.3455</v>
      </c>
      <c r="BY528" s="6">
        <f t="shared" si="2"/>
        <v>2025</v>
      </c>
      <c r="BZ528" s="6" t="str">
        <f t="shared" si="3"/>
        <v>marzo</v>
      </c>
      <c r="CA528" s="6" t="str">
        <f t="shared" si="4"/>
        <v>3</v>
      </c>
    </row>
    <row r="529">
      <c r="A529" s="8">
        <v>45736.0</v>
      </c>
      <c r="B529" s="12">
        <v>25290.3</v>
      </c>
      <c r="C529" s="12">
        <v>1388.12</v>
      </c>
      <c r="D529" s="12">
        <v>0.0</v>
      </c>
      <c r="E529" s="12">
        <v>105.31</v>
      </c>
      <c r="F529" s="12">
        <v>0.0</v>
      </c>
      <c r="G529" s="12">
        <v>0.0</v>
      </c>
      <c r="H529" s="12">
        <f t="shared" si="149"/>
        <v>26783.73</v>
      </c>
      <c r="I529" s="12">
        <v>16796.0</v>
      </c>
      <c r="J529" s="12">
        <v>1166.17</v>
      </c>
      <c r="K529" s="12">
        <v>0.0</v>
      </c>
      <c r="L529" s="12">
        <v>3412.0</v>
      </c>
      <c r="M529" s="12">
        <v>0.0</v>
      </c>
      <c r="N529" s="12">
        <v>0.0</v>
      </c>
      <c r="O529" s="16">
        <f t="shared" si="150"/>
        <v>21374.17</v>
      </c>
      <c r="P529" s="12">
        <v>9723.14</v>
      </c>
      <c r="Q529" s="12">
        <v>793.58</v>
      </c>
      <c r="R529" s="12">
        <v>0.0</v>
      </c>
      <c r="S529" s="12">
        <v>0.0</v>
      </c>
      <c r="T529" s="12">
        <v>0.0</v>
      </c>
      <c r="U529" s="12">
        <v>0.0</v>
      </c>
      <c r="V529" s="16">
        <f t="shared" si="151"/>
        <v>10516.72</v>
      </c>
      <c r="W529" s="12">
        <v>907.08</v>
      </c>
      <c r="X529" s="12">
        <v>0.0</v>
      </c>
      <c r="Y529" s="12">
        <v>1300.0</v>
      </c>
      <c r="Z529" s="12">
        <v>0.0</v>
      </c>
      <c r="AA529" s="12">
        <v>0.0</v>
      </c>
      <c r="AB529" s="12">
        <v>0.0</v>
      </c>
      <c r="AC529" s="16">
        <f t="shared" si="169"/>
        <v>2207.08</v>
      </c>
      <c r="AD529" s="12"/>
      <c r="AE529" s="12"/>
      <c r="AF529" s="12">
        <v>567.94</v>
      </c>
      <c r="AG529" s="12">
        <v>285.89</v>
      </c>
      <c r="AH529" s="12">
        <v>0.0</v>
      </c>
      <c r="AI529" s="12">
        <v>0.0</v>
      </c>
      <c r="AJ529" s="12">
        <v>0.0</v>
      </c>
      <c r="AK529" s="12">
        <v>0.0</v>
      </c>
      <c r="AL529" s="12">
        <f t="shared" si="153"/>
        <v>853.83</v>
      </c>
      <c r="AM529" s="12">
        <v>2248.0</v>
      </c>
      <c r="AN529" s="12">
        <v>0.0</v>
      </c>
      <c r="AO529" s="12">
        <v>7690.0</v>
      </c>
      <c r="AP529" s="12">
        <v>0.0</v>
      </c>
      <c r="AQ529" s="12">
        <v>0.0</v>
      </c>
      <c r="AR529" s="12">
        <v>0.0</v>
      </c>
      <c r="AS529" s="12">
        <f t="shared" si="168"/>
        <v>9938</v>
      </c>
      <c r="AT529" s="16">
        <f t="shared" si="180"/>
        <v>44889.8</v>
      </c>
      <c r="AU529" s="18">
        <f t="shared" si="173"/>
        <v>497040.631</v>
      </c>
      <c r="AV529" s="12">
        <v>12030.68</v>
      </c>
      <c r="AW529" s="10">
        <f t="shared" si="170"/>
        <v>135421.47</v>
      </c>
      <c r="AX529" s="12">
        <f t="shared" si="171"/>
        <v>56920.48</v>
      </c>
      <c r="AY529" s="12">
        <f t="shared" si="155"/>
        <v>664265.281</v>
      </c>
      <c r="AZ529" s="12">
        <v>10508.89</v>
      </c>
      <c r="BA529" s="18">
        <f t="shared" si="174"/>
        <v>80166.7</v>
      </c>
      <c r="BB529" s="10">
        <f t="shared" si="16"/>
        <v>770412.9781</v>
      </c>
      <c r="BC529" s="16">
        <f t="shared" si="88"/>
        <v>104793.0238</v>
      </c>
      <c r="BD529" s="12">
        <v>3856.04</v>
      </c>
      <c r="BE529" s="16">
        <f t="shared" si="177"/>
        <v>31803.18</v>
      </c>
      <c r="BF529" s="6"/>
      <c r="BG529" s="6"/>
      <c r="BH529" s="6"/>
      <c r="BI529" s="29">
        <f t="shared" si="172"/>
        <v>36137.74613</v>
      </c>
      <c r="BK529" s="15">
        <f t="shared" si="76"/>
        <v>1.242185936</v>
      </c>
      <c r="BN529" s="16">
        <f t="shared" si="14"/>
        <v>8752.053871</v>
      </c>
      <c r="BO529" s="16">
        <f t="shared" si="175"/>
        <v>-225714.2916</v>
      </c>
      <c r="BY529" s="6">
        <f t="shared" si="2"/>
        <v>2025</v>
      </c>
      <c r="BZ529" s="6" t="str">
        <f t="shared" si="3"/>
        <v>marzo</v>
      </c>
      <c r="CA529" s="6" t="str">
        <f t="shared" si="4"/>
        <v>3</v>
      </c>
    </row>
    <row r="530">
      <c r="A530" s="8">
        <v>45737.0</v>
      </c>
      <c r="B530" s="12">
        <v>16734.68</v>
      </c>
      <c r="C530" s="12">
        <v>1975.51</v>
      </c>
      <c r="D530" s="12">
        <v>0.0</v>
      </c>
      <c r="E530" s="12">
        <v>0.0</v>
      </c>
      <c r="F530" s="12">
        <v>0.0</v>
      </c>
      <c r="G530" s="12">
        <v>0.0</v>
      </c>
      <c r="H530" s="12">
        <f t="shared" si="149"/>
        <v>18710.19</v>
      </c>
      <c r="I530" s="12">
        <v>14986.0</v>
      </c>
      <c r="J530" s="12">
        <v>1287.41</v>
      </c>
      <c r="K530" s="12">
        <v>0.0</v>
      </c>
      <c r="L530" s="12">
        <v>0.0</v>
      </c>
      <c r="M530" s="12">
        <v>0.0</v>
      </c>
      <c r="N530" s="12">
        <v>0.0</v>
      </c>
      <c r="O530" s="16">
        <f t="shared" si="150"/>
        <v>16273.41</v>
      </c>
      <c r="P530" s="12">
        <v>6447.41</v>
      </c>
      <c r="Q530" s="12">
        <v>752.72</v>
      </c>
      <c r="R530" s="12">
        <v>0.0</v>
      </c>
      <c r="S530" s="12">
        <v>0.0</v>
      </c>
      <c r="T530" s="12">
        <v>0.0</v>
      </c>
      <c r="U530" s="12">
        <v>0.0</v>
      </c>
      <c r="V530" s="16">
        <f t="shared" si="151"/>
        <v>7200.13</v>
      </c>
      <c r="W530" s="12">
        <v>14.38</v>
      </c>
      <c r="X530" s="12">
        <v>0.56</v>
      </c>
      <c r="Y530" s="12">
        <v>0.0</v>
      </c>
      <c r="Z530" s="12">
        <v>0.0</v>
      </c>
      <c r="AA530" s="12">
        <v>0.0</v>
      </c>
      <c r="AB530" s="12">
        <v>0.0</v>
      </c>
      <c r="AC530" s="16">
        <f t="shared" si="169"/>
        <v>14.94</v>
      </c>
      <c r="AD530" s="12"/>
      <c r="AE530" s="12"/>
      <c r="AF530" s="12">
        <v>1200.68</v>
      </c>
      <c r="AG530" s="12">
        <v>650.66</v>
      </c>
      <c r="AH530" s="12">
        <v>0.0</v>
      </c>
      <c r="AI530" s="12">
        <v>0.0</v>
      </c>
      <c r="AJ530" s="12">
        <v>0.0</v>
      </c>
      <c r="AK530" s="12">
        <v>0.0</v>
      </c>
      <c r="AL530" s="12">
        <f t="shared" si="153"/>
        <v>1851.34</v>
      </c>
      <c r="AM530" s="12">
        <v>0.0</v>
      </c>
      <c r="AN530" s="12">
        <v>0.0</v>
      </c>
      <c r="AO530" s="12">
        <v>0.0</v>
      </c>
      <c r="AP530" s="12">
        <v>0.0</v>
      </c>
      <c r="AQ530" s="12">
        <v>0.0</v>
      </c>
      <c r="AR530" s="12">
        <v>0.0</v>
      </c>
      <c r="AS530" s="12">
        <f t="shared" si="168"/>
        <v>0</v>
      </c>
      <c r="AT530" s="16">
        <f t="shared" si="180"/>
        <v>25339.82</v>
      </c>
      <c r="AU530" s="18">
        <f t="shared" si="173"/>
        <v>522380.451</v>
      </c>
      <c r="AV530" s="12">
        <v>8388.84</v>
      </c>
      <c r="AW530" s="10">
        <f t="shared" si="170"/>
        <v>143810.31</v>
      </c>
      <c r="AX530" s="12">
        <f t="shared" si="171"/>
        <v>33728.66</v>
      </c>
      <c r="AY530" s="12">
        <f t="shared" si="155"/>
        <v>710494.441</v>
      </c>
      <c r="AZ530" s="12">
        <v>2385.53</v>
      </c>
      <c r="BA530" s="18">
        <f t="shared" si="174"/>
        <v>82552.23</v>
      </c>
      <c r="BB530" s="10">
        <f t="shared" si="16"/>
        <v>771133.0467</v>
      </c>
      <c r="BC530" s="16">
        <f t="shared" si="88"/>
        <v>115625.9225</v>
      </c>
      <c r="BD530" s="12">
        <v>12500.5</v>
      </c>
      <c r="BE530" s="16">
        <f t="shared" si="177"/>
        <v>44303.68</v>
      </c>
      <c r="BF530" s="6"/>
      <c r="BG530" s="6"/>
      <c r="BH530" s="6"/>
      <c r="BI530" s="29">
        <f t="shared" si="172"/>
        <v>36137.74613</v>
      </c>
      <c r="BJ530" s="6"/>
      <c r="BK530" s="15">
        <f t="shared" si="76"/>
        <v>0.701200897</v>
      </c>
      <c r="BN530" s="16">
        <f t="shared" si="14"/>
        <v>-10797.92613</v>
      </c>
      <c r="BO530" s="16">
        <f t="shared" si="175"/>
        <v>-236512.2177</v>
      </c>
      <c r="BY530" s="6">
        <f t="shared" si="2"/>
        <v>2025</v>
      </c>
      <c r="BZ530" s="6" t="str">
        <f t="shared" si="3"/>
        <v>marzo</v>
      </c>
      <c r="CA530" s="6" t="str">
        <f t="shared" si="4"/>
        <v>3</v>
      </c>
    </row>
    <row r="531">
      <c r="A531" s="8">
        <v>45738.0</v>
      </c>
      <c r="B531" s="12">
        <v>0.0</v>
      </c>
      <c r="C531" s="12">
        <v>0.0</v>
      </c>
      <c r="D531" s="12">
        <v>0.0</v>
      </c>
      <c r="E531" s="12">
        <v>0.0</v>
      </c>
      <c r="F531" s="12">
        <v>0.0</v>
      </c>
      <c r="G531" s="12">
        <v>0.0</v>
      </c>
      <c r="H531" s="12">
        <f t="shared" si="149"/>
        <v>0</v>
      </c>
      <c r="I531" s="12">
        <v>0.0</v>
      </c>
      <c r="J531" s="12">
        <v>0.0</v>
      </c>
      <c r="K531" s="12">
        <v>0.0</v>
      </c>
      <c r="L531" s="12">
        <v>0.0</v>
      </c>
      <c r="M531" s="12">
        <v>0.0</v>
      </c>
      <c r="N531" s="12">
        <v>0.0</v>
      </c>
      <c r="O531" s="16">
        <f t="shared" si="150"/>
        <v>0</v>
      </c>
      <c r="P531" s="12">
        <v>0.0</v>
      </c>
      <c r="Q531" s="12">
        <v>0.0</v>
      </c>
      <c r="R531" s="12">
        <v>0.0</v>
      </c>
      <c r="S531" s="12">
        <v>0.0</v>
      </c>
      <c r="T531" s="12">
        <v>0.0</v>
      </c>
      <c r="U531" s="12">
        <v>0.0</v>
      </c>
      <c r="V531" s="16">
        <f t="shared" si="151"/>
        <v>0</v>
      </c>
      <c r="W531" s="12">
        <v>0.0</v>
      </c>
      <c r="X531" s="12">
        <v>0.0</v>
      </c>
      <c r="Y531" s="12">
        <v>0.0</v>
      </c>
      <c r="Z531" s="12">
        <v>0.0</v>
      </c>
      <c r="AA531" s="12">
        <v>0.0</v>
      </c>
      <c r="AB531" s="12">
        <v>0.0</v>
      </c>
      <c r="AC531" s="16">
        <f t="shared" si="169"/>
        <v>0</v>
      </c>
      <c r="AD531" s="12"/>
      <c r="AE531" s="12"/>
      <c r="AF531" s="12">
        <v>0.0</v>
      </c>
      <c r="AG531" s="12">
        <v>0.0</v>
      </c>
      <c r="AH531" s="12">
        <v>0.0</v>
      </c>
      <c r="AI531" s="12">
        <v>0.0</v>
      </c>
      <c r="AJ531" s="12">
        <v>0.0</v>
      </c>
      <c r="AK531" s="12">
        <v>0.0</v>
      </c>
      <c r="AL531" s="12">
        <f t="shared" si="153"/>
        <v>0</v>
      </c>
      <c r="AM531" s="12">
        <v>0.0</v>
      </c>
      <c r="AN531" s="12">
        <v>0.0</v>
      </c>
      <c r="AO531" s="12">
        <v>0.0</v>
      </c>
      <c r="AP531" s="12">
        <v>0.0</v>
      </c>
      <c r="AQ531" s="12">
        <v>0.0</v>
      </c>
      <c r="AR531" s="12">
        <v>0.0</v>
      </c>
      <c r="AS531" s="12">
        <f t="shared" si="168"/>
        <v>0</v>
      </c>
      <c r="AT531" s="16">
        <f t="shared" ref="AT531:AT533" si="181">IF(AS531+AL531+AC531+V531+O531="","",AS531+AL531+AC531+V531+O531)</f>
        <v>0</v>
      </c>
      <c r="AU531" s="18">
        <f t="shared" si="173"/>
        <v>522380.451</v>
      </c>
      <c r="AV531" s="12">
        <v>0.0</v>
      </c>
      <c r="AW531" s="10">
        <f t="shared" si="170"/>
        <v>143810.31</v>
      </c>
      <c r="AX531" s="12">
        <f t="shared" si="171"/>
        <v>0</v>
      </c>
      <c r="AY531" s="12">
        <f t="shared" si="155"/>
        <v>710494.441</v>
      </c>
      <c r="AZ531" s="12">
        <v>0.0</v>
      </c>
      <c r="BA531" s="18">
        <f t="shared" si="174"/>
        <v>82552.23</v>
      </c>
      <c r="BB531" s="10">
        <f t="shared" si="16"/>
        <v>736081.5446</v>
      </c>
      <c r="BC531" s="16">
        <f t="shared" si="88"/>
        <v>118987.0608</v>
      </c>
      <c r="BD531" s="12"/>
      <c r="BE531" s="16">
        <f t="shared" si="177"/>
        <v>44303.68</v>
      </c>
      <c r="BF531" s="6"/>
      <c r="BG531" s="6"/>
      <c r="BH531" s="6"/>
      <c r="BI531" s="29">
        <f t="shared" si="172"/>
        <v>36137.74613</v>
      </c>
      <c r="BJ531" s="6"/>
      <c r="BK531" s="15">
        <f t="shared" si="76"/>
        <v>0</v>
      </c>
      <c r="BN531" s="16">
        <f t="shared" si="14"/>
        <v>-36137.74613</v>
      </c>
      <c r="BO531" s="16">
        <f t="shared" si="175"/>
        <v>-272649.9638</v>
      </c>
      <c r="BY531" s="6">
        <f t="shared" si="2"/>
        <v>2025</v>
      </c>
      <c r="BZ531" s="6" t="str">
        <f t="shared" si="3"/>
        <v>marzo</v>
      </c>
      <c r="CA531" s="6" t="str">
        <f t="shared" si="4"/>
        <v>3</v>
      </c>
    </row>
    <row r="532">
      <c r="A532" s="8">
        <v>45739.0</v>
      </c>
      <c r="B532" s="12">
        <v>0.0</v>
      </c>
      <c r="C532" s="12">
        <v>0.0</v>
      </c>
      <c r="D532" s="12">
        <v>0.0</v>
      </c>
      <c r="E532" s="12">
        <v>0.0</v>
      </c>
      <c r="F532" s="12">
        <v>0.0</v>
      </c>
      <c r="G532" s="12">
        <v>0.0</v>
      </c>
      <c r="H532" s="12">
        <f t="shared" si="149"/>
        <v>0</v>
      </c>
      <c r="I532" s="12">
        <v>0.0</v>
      </c>
      <c r="J532" s="12">
        <v>0.0</v>
      </c>
      <c r="K532" s="12">
        <v>0.0</v>
      </c>
      <c r="L532" s="12">
        <v>0.0</v>
      </c>
      <c r="M532" s="12">
        <v>0.0</v>
      </c>
      <c r="N532" s="12">
        <v>0.0</v>
      </c>
      <c r="O532" s="16">
        <f t="shared" si="150"/>
        <v>0</v>
      </c>
      <c r="P532" s="12">
        <v>0.0</v>
      </c>
      <c r="Q532" s="12">
        <v>0.0</v>
      </c>
      <c r="R532" s="12">
        <v>0.0</v>
      </c>
      <c r="S532" s="12">
        <v>0.0</v>
      </c>
      <c r="T532" s="12">
        <v>0.0</v>
      </c>
      <c r="U532" s="12">
        <v>0.0</v>
      </c>
      <c r="V532" s="16">
        <f t="shared" si="151"/>
        <v>0</v>
      </c>
      <c r="W532" s="12">
        <v>0.0</v>
      </c>
      <c r="X532" s="12">
        <v>0.0</v>
      </c>
      <c r="Y532" s="12">
        <v>0.0</v>
      </c>
      <c r="Z532" s="12">
        <v>0.0</v>
      </c>
      <c r="AA532" s="12">
        <v>0.0</v>
      </c>
      <c r="AB532" s="12">
        <v>0.0</v>
      </c>
      <c r="AC532" s="16">
        <f t="shared" si="169"/>
        <v>0</v>
      </c>
      <c r="AD532" s="12"/>
      <c r="AE532" s="12"/>
      <c r="AF532" s="12">
        <v>0.0</v>
      </c>
      <c r="AG532" s="12">
        <v>0.0</v>
      </c>
      <c r="AH532" s="12">
        <v>0.0</v>
      </c>
      <c r="AI532" s="12">
        <v>0.0</v>
      </c>
      <c r="AJ532" s="12">
        <v>0.0</v>
      </c>
      <c r="AK532" s="12">
        <v>0.0</v>
      </c>
      <c r="AL532" s="12">
        <f t="shared" si="153"/>
        <v>0</v>
      </c>
      <c r="AM532" s="12">
        <v>0.0</v>
      </c>
      <c r="AN532" s="12">
        <v>0.0</v>
      </c>
      <c r="AO532" s="12">
        <v>0.0</v>
      </c>
      <c r="AP532" s="12">
        <v>0.0</v>
      </c>
      <c r="AQ532" s="12">
        <v>0.0</v>
      </c>
      <c r="AR532" s="12">
        <v>0.0</v>
      </c>
      <c r="AS532" s="12">
        <f t="shared" si="168"/>
        <v>0</v>
      </c>
      <c r="AT532" s="16">
        <f t="shared" si="181"/>
        <v>0</v>
      </c>
      <c r="AU532" s="18">
        <f t="shared" si="173"/>
        <v>522380.451</v>
      </c>
      <c r="AV532" s="12">
        <v>0.0</v>
      </c>
      <c r="AW532" s="10">
        <f t="shared" si="170"/>
        <v>143810.31</v>
      </c>
      <c r="AX532" s="12">
        <f t="shared" si="171"/>
        <v>0</v>
      </c>
      <c r="AY532" s="12">
        <f t="shared" si="155"/>
        <v>710494.441</v>
      </c>
      <c r="AZ532" s="12">
        <v>0.0</v>
      </c>
      <c r="BA532" s="18">
        <f t="shared" si="174"/>
        <v>82552.23</v>
      </c>
      <c r="BB532" s="10">
        <f t="shared" si="16"/>
        <v>704077.9992</v>
      </c>
      <c r="BC532" s="16">
        <f t="shared" si="88"/>
        <v>124260.1578</v>
      </c>
      <c r="BD532" s="12"/>
      <c r="BE532" s="16">
        <f t="shared" si="177"/>
        <v>44303.68</v>
      </c>
      <c r="BF532" s="6"/>
      <c r="BG532" s="6"/>
      <c r="BH532" s="6"/>
      <c r="BI532" s="29">
        <f t="shared" si="172"/>
        <v>36137.74613</v>
      </c>
      <c r="BJ532" s="6"/>
      <c r="BK532" s="15">
        <f t="shared" si="76"/>
        <v>0</v>
      </c>
      <c r="BN532" s="16">
        <f t="shared" si="14"/>
        <v>-36137.74613</v>
      </c>
      <c r="BO532" s="16">
        <f t="shared" si="175"/>
        <v>-308787.71</v>
      </c>
      <c r="BY532" s="6">
        <f t="shared" si="2"/>
        <v>2025</v>
      </c>
      <c r="BZ532" s="6" t="str">
        <f t="shared" si="3"/>
        <v>marzo</v>
      </c>
      <c r="CA532" s="6" t="str">
        <f t="shared" si="4"/>
        <v>3</v>
      </c>
    </row>
    <row r="533">
      <c r="A533" s="8">
        <v>45740.0</v>
      </c>
      <c r="B533" s="12">
        <v>26384.52</v>
      </c>
      <c r="C533" s="12">
        <v>240.67</v>
      </c>
      <c r="D533" s="12">
        <v>0.0</v>
      </c>
      <c r="E533" s="12">
        <v>0.0</v>
      </c>
      <c r="F533" s="12">
        <v>0.0</v>
      </c>
      <c r="G533" s="12">
        <v>0.0</v>
      </c>
      <c r="H533" s="12">
        <f t="shared" si="149"/>
        <v>26625.19</v>
      </c>
      <c r="I533" s="12">
        <v>15020.9</v>
      </c>
      <c r="J533" s="12">
        <v>1060.0</v>
      </c>
      <c r="K533" s="12">
        <v>1200.0</v>
      </c>
      <c r="L533" s="12">
        <v>0.0</v>
      </c>
      <c r="M533" s="12">
        <v>0.0</v>
      </c>
      <c r="N533" s="12">
        <v>0.0</v>
      </c>
      <c r="O533" s="16">
        <f t="shared" si="150"/>
        <v>17280.9</v>
      </c>
      <c r="P533" s="12">
        <v>6145.94</v>
      </c>
      <c r="Q533" s="12">
        <v>9.4</v>
      </c>
      <c r="R533" s="12">
        <v>0.0</v>
      </c>
      <c r="S533" s="12">
        <v>0.0</v>
      </c>
      <c r="T533" s="12">
        <v>0.0</v>
      </c>
      <c r="U533" s="12">
        <v>0.0</v>
      </c>
      <c r="V533" s="16">
        <f t="shared" si="151"/>
        <v>6155.34</v>
      </c>
      <c r="W533" s="12">
        <v>3023.54</v>
      </c>
      <c r="X533" s="12">
        <v>1.16</v>
      </c>
      <c r="Y533" s="12">
        <v>0.0</v>
      </c>
      <c r="Z533" s="12">
        <v>0.0</v>
      </c>
      <c r="AA533" s="12">
        <v>0.0</v>
      </c>
      <c r="AB533" s="12">
        <v>0.0</v>
      </c>
      <c r="AC533" s="16">
        <f t="shared" si="169"/>
        <v>3024.7</v>
      </c>
      <c r="AD533" s="12"/>
      <c r="AE533" s="12"/>
      <c r="AF533" s="12">
        <v>67.06</v>
      </c>
      <c r="AG533" s="12">
        <v>0.0</v>
      </c>
      <c r="AH533" s="12">
        <v>0.0</v>
      </c>
      <c r="AI533" s="12">
        <v>0.0</v>
      </c>
      <c r="AJ533" s="12">
        <v>0.0</v>
      </c>
      <c r="AK533" s="12">
        <v>0.0</v>
      </c>
      <c r="AL533" s="12">
        <f t="shared" si="153"/>
        <v>67.06</v>
      </c>
      <c r="AM533" s="12">
        <v>9808.0</v>
      </c>
      <c r="AN533" s="12">
        <v>0.0</v>
      </c>
      <c r="AO533" s="12">
        <v>0.0</v>
      </c>
      <c r="AP533" s="12">
        <v>0.0</v>
      </c>
      <c r="AQ533" s="12">
        <v>0.0</v>
      </c>
      <c r="AR533" s="12">
        <v>0.0</v>
      </c>
      <c r="AS533" s="12">
        <f t="shared" si="168"/>
        <v>9808</v>
      </c>
      <c r="AT533" s="16">
        <f t="shared" si="181"/>
        <v>36336</v>
      </c>
      <c r="AU533" s="18">
        <f t="shared" si="173"/>
        <v>558716.451</v>
      </c>
      <c r="AV533" s="12">
        <v>10814.25</v>
      </c>
      <c r="AW533" s="10">
        <f t="shared" si="170"/>
        <v>154624.56</v>
      </c>
      <c r="AX533" s="12">
        <f t="shared" si="171"/>
        <v>47150.25</v>
      </c>
      <c r="AY533" s="12">
        <f t="shared" si="155"/>
        <v>766307.801</v>
      </c>
      <c r="AZ533" s="12">
        <v>4759.56</v>
      </c>
      <c r="BA533" s="18">
        <f t="shared" si="174"/>
        <v>87311.79</v>
      </c>
      <c r="BB533" s="10">
        <f t="shared" si="16"/>
        <v>721675.4159</v>
      </c>
      <c r="BC533" s="16">
        <f t="shared" si="88"/>
        <v>124376.2979</v>
      </c>
      <c r="BD533" s="12">
        <f>4175.62+4487.49</f>
        <v>8663.11</v>
      </c>
      <c r="BE533" s="16">
        <f t="shared" si="177"/>
        <v>52966.79</v>
      </c>
      <c r="BF533" s="6"/>
      <c r="BG533" s="6"/>
      <c r="BH533" s="6"/>
      <c r="BI533" s="29">
        <f t="shared" si="172"/>
        <v>36137.74613</v>
      </c>
      <c r="BK533" s="15">
        <f t="shared" si="76"/>
        <v>1.005486061</v>
      </c>
      <c r="BN533" s="16">
        <f t="shared" si="14"/>
        <v>198.253871</v>
      </c>
      <c r="BO533" s="16">
        <f t="shared" si="175"/>
        <v>-308589.4561</v>
      </c>
      <c r="BY533" s="6">
        <f t="shared" si="2"/>
        <v>2025</v>
      </c>
      <c r="BZ533" s="6" t="str">
        <f t="shared" si="3"/>
        <v>marzo</v>
      </c>
      <c r="CA533" s="6" t="str">
        <f t="shared" si="4"/>
        <v>3</v>
      </c>
    </row>
    <row r="534">
      <c r="A534" s="8">
        <v>45741.0</v>
      </c>
      <c r="B534" s="12">
        <v>21084.66</v>
      </c>
      <c r="C534" s="12">
        <v>9452.64</v>
      </c>
      <c r="D534" s="12">
        <v>1407.81</v>
      </c>
      <c r="E534" s="12">
        <v>0.0</v>
      </c>
      <c r="F534" s="12">
        <v>0.0</v>
      </c>
      <c r="G534" s="12">
        <v>0.0</v>
      </c>
      <c r="H534" s="12">
        <f t="shared" si="149"/>
        <v>31945.11</v>
      </c>
      <c r="I534" s="12">
        <v>35746.0</v>
      </c>
      <c r="J534" s="12">
        <v>5410.0</v>
      </c>
      <c r="K534" s="12">
        <v>3685.11</v>
      </c>
      <c r="L534" s="12">
        <v>0.0</v>
      </c>
      <c r="M534" s="12">
        <v>0.0</v>
      </c>
      <c r="N534" s="12">
        <v>0.0</v>
      </c>
      <c r="O534" s="16">
        <f t="shared" si="150"/>
        <v>44841.11</v>
      </c>
      <c r="P534" s="12">
        <v>7148.8</v>
      </c>
      <c r="Q534" s="12">
        <v>1428.36</v>
      </c>
      <c r="R534" s="12">
        <v>502.8</v>
      </c>
      <c r="S534" s="12">
        <v>0.0</v>
      </c>
      <c r="T534" s="12">
        <v>0.0</v>
      </c>
      <c r="U534" s="12">
        <v>0.0</v>
      </c>
      <c r="V534" s="16">
        <f t="shared" si="151"/>
        <v>9079.96</v>
      </c>
      <c r="W534" s="12">
        <v>962.71</v>
      </c>
      <c r="X534" s="12">
        <v>395.22</v>
      </c>
      <c r="Y534" s="12">
        <v>1.25</v>
      </c>
      <c r="Z534" s="12">
        <v>0.0</v>
      </c>
      <c r="AA534" s="12">
        <v>0.0</v>
      </c>
      <c r="AB534" s="12">
        <v>0.0</v>
      </c>
      <c r="AC534" s="16">
        <f t="shared" si="169"/>
        <v>1359.18</v>
      </c>
      <c r="AD534" s="12"/>
      <c r="AE534" s="12"/>
      <c r="AF534" s="12">
        <v>11020.68</v>
      </c>
      <c r="AG534" s="12">
        <v>8334.88</v>
      </c>
      <c r="AH534" s="12">
        <v>0.0</v>
      </c>
      <c r="AI534" s="12">
        <v>0.0</v>
      </c>
      <c r="AJ534" s="12">
        <v>0.0</v>
      </c>
      <c r="AK534" s="12">
        <v>0.0</v>
      </c>
      <c r="AL534" s="12">
        <f t="shared" si="153"/>
        <v>19355.56</v>
      </c>
      <c r="AM534" s="12">
        <v>0.0</v>
      </c>
      <c r="AN534" s="12">
        <v>0.0</v>
      </c>
      <c r="AO534" s="12">
        <v>0.0</v>
      </c>
      <c r="AP534" s="12">
        <v>0.0</v>
      </c>
      <c r="AQ534" s="12">
        <v>0.0</v>
      </c>
      <c r="AR534" s="12">
        <v>0.0</v>
      </c>
      <c r="AS534" s="12">
        <f t="shared" si="168"/>
        <v>0</v>
      </c>
      <c r="AT534" s="16">
        <f t="shared" ref="AT534:AT537" si="182">IF(AS534+AL534+AC534+V534+O534=0,"",AS534+AL534+AC534+V534+O534)</f>
        <v>74635.81</v>
      </c>
      <c r="AU534" s="18">
        <f t="shared" si="173"/>
        <v>633352.261</v>
      </c>
      <c r="AV534" s="12">
        <v>16443.44</v>
      </c>
      <c r="AW534" s="10">
        <f t="shared" si="170"/>
        <v>171068</v>
      </c>
      <c r="AX534" s="12">
        <f t="shared" si="171"/>
        <v>91079.25</v>
      </c>
      <c r="AY534" s="12">
        <f t="shared" si="155"/>
        <v>857387.051</v>
      </c>
      <c r="AZ534" s="12">
        <v>3665.08</v>
      </c>
      <c r="BA534" s="18">
        <f t="shared" si="174"/>
        <v>90976.87</v>
      </c>
      <c r="BB534" s="10">
        <f t="shared" si="16"/>
        <v>785356.8036</v>
      </c>
      <c r="BC534" s="16">
        <f t="shared" si="88"/>
        <v>118722.8298</v>
      </c>
      <c r="BD534" s="16"/>
      <c r="BE534" s="16">
        <f t="shared" si="177"/>
        <v>52966.79</v>
      </c>
      <c r="BF534" s="6"/>
      <c r="BG534" s="6"/>
      <c r="BH534" s="6"/>
      <c r="BI534" s="29">
        <f t="shared" si="172"/>
        <v>36137.74613</v>
      </c>
      <c r="BK534" s="15">
        <f t="shared" si="76"/>
        <v>2.06531447</v>
      </c>
      <c r="BN534" s="16">
        <f t="shared" si="14"/>
        <v>38498.06387</v>
      </c>
      <c r="BO534" s="16">
        <f t="shared" si="175"/>
        <v>-270091.3922</v>
      </c>
      <c r="BY534" s="6">
        <f t="shared" si="2"/>
        <v>2025</v>
      </c>
      <c r="BZ534" s="6" t="str">
        <f t="shared" si="3"/>
        <v>marzo</v>
      </c>
      <c r="CA534" s="6" t="str">
        <f t="shared" si="4"/>
        <v>3</v>
      </c>
    </row>
    <row r="535">
      <c r="A535" s="8">
        <v>45742.0</v>
      </c>
      <c r="B535" s="12">
        <v>53587.8</v>
      </c>
      <c r="C535" s="12">
        <v>2221.99</v>
      </c>
      <c r="D535" s="12">
        <v>3251.03</v>
      </c>
      <c r="E535" s="12">
        <v>3555.17</v>
      </c>
      <c r="F535" s="12">
        <v>0.0</v>
      </c>
      <c r="G535" s="12">
        <v>0.0</v>
      </c>
      <c r="H535" s="12">
        <f t="shared" si="149"/>
        <v>62615.99</v>
      </c>
      <c r="I535" s="12">
        <v>25746.0</v>
      </c>
      <c r="J535" s="12">
        <v>1200.0</v>
      </c>
      <c r="K535" s="12">
        <v>1600.0</v>
      </c>
      <c r="L535" s="12">
        <v>1089.24</v>
      </c>
      <c r="M535" s="12">
        <v>0.0</v>
      </c>
      <c r="N535" s="12">
        <v>0.0</v>
      </c>
      <c r="O535" s="16">
        <f t="shared" si="150"/>
        <v>29635.24</v>
      </c>
      <c r="P535" s="12">
        <v>11676.09</v>
      </c>
      <c r="Q535" s="12">
        <v>852.05</v>
      </c>
      <c r="R535" s="12">
        <v>1261.78</v>
      </c>
      <c r="S535" s="12">
        <v>0.0</v>
      </c>
      <c r="T535" s="12">
        <v>0.0</v>
      </c>
      <c r="U535" s="12">
        <v>0.0</v>
      </c>
      <c r="V535" s="16">
        <f t="shared" si="151"/>
        <v>13789.92</v>
      </c>
      <c r="W535" s="12">
        <v>42.7</v>
      </c>
      <c r="X535" s="12">
        <v>88.47</v>
      </c>
      <c r="Y535" s="12">
        <v>0.0</v>
      </c>
      <c r="Z535" s="12">
        <v>0.0</v>
      </c>
      <c r="AA535" s="12">
        <v>0.0</v>
      </c>
      <c r="AB535" s="12">
        <v>0.0</v>
      </c>
      <c r="AC535" s="16">
        <f t="shared" si="169"/>
        <v>131.17</v>
      </c>
      <c r="AD535" s="12"/>
      <c r="AE535" s="12"/>
      <c r="AF535" s="12">
        <v>9273.42</v>
      </c>
      <c r="AG535" s="12">
        <v>821.34</v>
      </c>
      <c r="AH535" s="12">
        <v>897.57</v>
      </c>
      <c r="AI535" s="12">
        <v>0.0</v>
      </c>
      <c r="AJ535" s="12">
        <v>0.0</v>
      </c>
      <c r="AK535" s="12">
        <v>0.0</v>
      </c>
      <c r="AL535" s="12">
        <f t="shared" si="153"/>
        <v>10992.33</v>
      </c>
      <c r="AM535" s="12">
        <v>0.0</v>
      </c>
      <c r="AN535" s="12">
        <v>0.0</v>
      </c>
      <c r="AO535" s="12">
        <v>0.0</v>
      </c>
      <c r="AP535" s="12">
        <v>0.0</v>
      </c>
      <c r="AQ535" s="12">
        <v>0.0</v>
      </c>
      <c r="AR535" s="12">
        <v>0.0</v>
      </c>
      <c r="AS535" s="12">
        <f t="shared" si="168"/>
        <v>0</v>
      </c>
      <c r="AT535" s="16">
        <f t="shared" si="182"/>
        <v>54548.66</v>
      </c>
      <c r="AU535" s="18">
        <f t="shared" si="173"/>
        <v>687900.921</v>
      </c>
      <c r="AV535" s="12">
        <v>23520.13</v>
      </c>
      <c r="AW535" s="10">
        <f t="shared" si="170"/>
        <v>194588.13</v>
      </c>
      <c r="AX535" s="12">
        <f t="shared" si="171"/>
        <v>78068.79</v>
      </c>
      <c r="AY535" s="12">
        <f t="shared" si="155"/>
        <v>935455.841</v>
      </c>
      <c r="AZ535" s="12">
        <v>4975.13</v>
      </c>
      <c r="BA535" s="18">
        <f t="shared" si="174"/>
        <v>95952</v>
      </c>
      <c r="BB535" s="10">
        <f t="shared" si="16"/>
        <v>820189.5597</v>
      </c>
      <c r="BC535" s="16">
        <f t="shared" si="88"/>
        <v>113560.9676</v>
      </c>
      <c r="BD535" s="16"/>
      <c r="BE535" s="16">
        <f t="shared" si="177"/>
        <v>52966.79</v>
      </c>
      <c r="BF535" s="6"/>
      <c r="BG535" s="6"/>
      <c r="BH535" s="6"/>
      <c r="BI535" s="29">
        <f t="shared" si="172"/>
        <v>36137.74613</v>
      </c>
      <c r="BK535" s="15">
        <f t="shared" si="76"/>
        <v>1.509464918</v>
      </c>
      <c r="BN535" s="16">
        <f t="shared" si="14"/>
        <v>18410.91387</v>
      </c>
      <c r="BO535" s="16">
        <f t="shared" si="175"/>
        <v>-251680.4784</v>
      </c>
      <c r="BY535" s="6">
        <f t="shared" si="2"/>
        <v>2025</v>
      </c>
      <c r="BZ535" s="6" t="str">
        <f t="shared" si="3"/>
        <v>marzo</v>
      </c>
      <c r="CA535" s="6" t="str">
        <f t="shared" si="4"/>
        <v>3</v>
      </c>
    </row>
    <row r="536">
      <c r="A536" s="8">
        <v>45743.0</v>
      </c>
      <c r="B536" s="12">
        <v>13548.72</v>
      </c>
      <c r="C536" s="12">
        <v>95.37</v>
      </c>
      <c r="D536" s="12">
        <v>0.0</v>
      </c>
      <c r="E536" s="12">
        <v>0.0</v>
      </c>
      <c r="F536" s="12">
        <v>0.0</v>
      </c>
      <c r="G536" s="12">
        <v>0.0</v>
      </c>
      <c r="H536" s="12">
        <f t="shared" si="149"/>
        <v>13644.09</v>
      </c>
      <c r="I536" s="12">
        <v>20451.0</v>
      </c>
      <c r="J536" s="12">
        <v>4947.95</v>
      </c>
      <c r="K536" s="12">
        <v>0.0</v>
      </c>
      <c r="L536" s="12">
        <v>0.0</v>
      </c>
      <c r="M536" s="12">
        <v>0.0</v>
      </c>
      <c r="N536" s="12">
        <v>0.0</v>
      </c>
      <c r="O536" s="16">
        <f t="shared" si="150"/>
        <v>25398.95</v>
      </c>
      <c r="P536" s="12">
        <v>3872.16</v>
      </c>
      <c r="Q536" s="12">
        <v>399.73</v>
      </c>
      <c r="R536" s="12">
        <v>0.0</v>
      </c>
      <c r="S536" s="12">
        <v>0.0</v>
      </c>
      <c r="T536" s="12">
        <v>0.0</v>
      </c>
      <c r="U536" s="12">
        <v>0.0</v>
      </c>
      <c r="V536" s="16">
        <f t="shared" si="151"/>
        <v>4271.89</v>
      </c>
      <c r="W536" s="12">
        <v>7.32</v>
      </c>
      <c r="X536" s="12">
        <v>850.08</v>
      </c>
      <c r="Y536" s="12">
        <v>0.0</v>
      </c>
      <c r="Z536" s="12">
        <v>0.0</v>
      </c>
      <c r="AA536" s="12">
        <v>0.0</v>
      </c>
      <c r="AB536" s="12">
        <v>0.0</v>
      </c>
      <c r="AC536" s="16">
        <f t="shared" si="169"/>
        <v>857.4</v>
      </c>
      <c r="AD536" s="12"/>
      <c r="AE536" s="12"/>
      <c r="AF536" s="12">
        <v>1520.43</v>
      </c>
      <c r="AG536" s="12">
        <v>0.0</v>
      </c>
      <c r="AH536" s="12">
        <v>0.0</v>
      </c>
      <c r="AI536" s="12">
        <v>0.0</v>
      </c>
      <c r="AJ536" s="12">
        <v>0.0</v>
      </c>
      <c r="AK536" s="12">
        <v>0.0</v>
      </c>
      <c r="AL536" s="12">
        <f t="shared" si="153"/>
        <v>1520.43</v>
      </c>
      <c r="AM536" s="12">
        <v>0.0</v>
      </c>
      <c r="AN536" s="12">
        <v>2120.0</v>
      </c>
      <c r="AO536" s="12">
        <v>0.0</v>
      </c>
      <c r="AP536" s="12">
        <v>0.0</v>
      </c>
      <c r="AQ536" s="12">
        <v>0.0</v>
      </c>
      <c r="AR536" s="12">
        <v>0.0</v>
      </c>
      <c r="AS536" s="12">
        <f t="shared" si="168"/>
        <v>2120</v>
      </c>
      <c r="AT536" s="16">
        <f t="shared" si="182"/>
        <v>34168.67</v>
      </c>
      <c r="AU536" s="18">
        <f t="shared" si="173"/>
        <v>722069.591</v>
      </c>
      <c r="AV536" s="12">
        <v>5601.72</v>
      </c>
      <c r="AW536" s="10">
        <f t="shared" si="170"/>
        <v>200189.85</v>
      </c>
      <c r="AX536" s="12">
        <f t="shared" si="171"/>
        <v>39770.39</v>
      </c>
      <c r="AY536" s="12">
        <f t="shared" si="155"/>
        <v>997986.231</v>
      </c>
      <c r="AZ536" s="12">
        <v>1266.01</v>
      </c>
      <c r="BA536" s="18">
        <f t="shared" si="174"/>
        <v>97218.01</v>
      </c>
      <c r="BB536" s="10">
        <f t="shared" si="16"/>
        <v>829042.8637</v>
      </c>
      <c r="BC536" s="16">
        <f t="shared" si="88"/>
        <v>116399.2606</v>
      </c>
      <c r="BD536" s="12">
        <v>22760.0</v>
      </c>
      <c r="BE536" s="16">
        <f t="shared" si="177"/>
        <v>75726.79</v>
      </c>
      <c r="BF536" s="6"/>
      <c r="BG536" s="6"/>
      <c r="BH536" s="6"/>
      <c r="BI536" s="29">
        <f t="shared" si="172"/>
        <v>36137.74613</v>
      </c>
      <c r="BJ536" s="6"/>
      <c r="BK536" s="15">
        <f t="shared" si="76"/>
        <v>0.9455119276</v>
      </c>
      <c r="BN536" s="16">
        <f t="shared" si="14"/>
        <v>-1969.076129</v>
      </c>
      <c r="BO536" s="16">
        <f t="shared" si="175"/>
        <v>-253649.5545</v>
      </c>
      <c r="BY536" s="6">
        <f t="shared" si="2"/>
        <v>2025</v>
      </c>
      <c r="BZ536" s="6" t="str">
        <f t="shared" si="3"/>
        <v>marzo</v>
      </c>
      <c r="CA536" s="6" t="str">
        <f t="shared" si="4"/>
        <v>3</v>
      </c>
    </row>
    <row r="537">
      <c r="A537" s="8">
        <v>45744.0</v>
      </c>
      <c r="B537" s="12">
        <v>102725.0</v>
      </c>
      <c r="C537" s="12">
        <v>488.16</v>
      </c>
      <c r="D537" s="12">
        <v>3127.15</v>
      </c>
      <c r="E537" s="12">
        <v>0.0</v>
      </c>
      <c r="F537" s="12">
        <v>0.0</v>
      </c>
      <c r="G537" s="12">
        <v>0.0</v>
      </c>
      <c r="H537" s="12">
        <f t="shared" si="149"/>
        <v>106340.31</v>
      </c>
      <c r="I537" s="12">
        <v>11400.0</v>
      </c>
      <c r="J537" s="12">
        <v>1300.0</v>
      </c>
      <c r="K537" s="12">
        <v>1839.36</v>
      </c>
      <c r="L537" s="12">
        <v>0.0</v>
      </c>
      <c r="M537" s="12">
        <v>0.0</v>
      </c>
      <c r="N537" s="12">
        <v>0.0</v>
      </c>
      <c r="O537" s="16">
        <f t="shared" si="150"/>
        <v>14539.36</v>
      </c>
      <c r="P537" s="12">
        <v>7432.79</v>
      </c>
      <c r="Q537" s="12">
        <v>544.1</v>
      </c>
      <c r="R537" s="12">
        <v>997.09</v>
      </c>
      <c r="S537" s="12">
        <v>0.0</v>
      </c>
      <c r="T537" s="12">
        <v>0.0</v>
      </c>
      <c r="U537" s="12">
        <v>0.0</v>
      </c>
      <c r="V537" s="16">
        <f t="shared" si="151"/>
        <v>8973.98</v>
      </c>
      <c r="W537" s="12">
        <v>0.59</v>
      </c>
      <c r="X537" s="12">
        <v>0.0</v>
      </c>
      <c r="Y537" s="12">
        <v>3380.94</v>
      </c>
      <c r="Z537" s="12">
        <v>0.0</v>
      </c>
      <c r="AA537" s="12">
        <v>0.0</v>
      </c>
      <c r="AB537" s="12">
        <v>0.0</v>
      </c>
      <c r="AC537" s="16">
        <f t="shared" si="169"/>
        <v>3381.53</v>
      </c>
      <c r="AD537" s="12"/>
      <c r="AE537" s="12"/>
      <c r="AF537" s="12">
        <v>1096.48</v>
      </c>
      <c r="AG537" s="12">
        <v>0.0</v>
      </c>
      <c r="AH537" s="12">
        <v>0.0</v>
      </c>
      <c r="AI537" s="12">
        <v>0.0</v>
      </c>
      <c r="AJ537" s="12">
        <v>0.0</v>
      </c>
      <c r="AK537" s="12">
        <v>0.0</v>
      </c>
      <c r="AL537" s="12">
        <f t="shared" si="153"/>
        <v>1096.48</v>
      </c>
      <c r="AM537" s="12">
        <v>0.0</v>
      </c>
      <c r="AN537" s="12">
        <v>0.0</v>
      </c>
      <c r="AO537" s="12">
        <v>5046.0</v>
      </c>
      <c r="AP537" s="12">
        <v>0.0</v>
      </c>
      <c r="AQ537" s="12">
        <v>0.0</v>
      </c>
      <c r="AR537" s="12">
        <v>0.0</v>
      </c>
      <c r="AS537" s="12">
        <f t="shared" si="168"/>
        <v>5046</v>
      </c>
      <c r="AT537" s="16">
        <f t="shared" si="182"/>
        <v>33037.35</v>
      </c>
      <c r="AU537" s="18">
        <f t="shared" si="173"/>
        <v>755106.941</v>
      </c>
      <c r="AV537" s="12">
        <v>20782.97</v>
      </c>
      <c r="AW537" s="10">
        <f t="shared" si="170"/>
        <v>220972.82</v>
      </c>
      <c r="AX537" s="12">
        <f t="shared" si="171"/>
        <v>53820.32</v>
      </c>
      <c r="AY537" s="12">
        <f t="shared" si="155"/>
        <v>1064195.031</v>
      </c>
      <c r="AZ537" s="12">
        <v>1966.8</v>
      </c>
      <c r="BA537" s="18">
        <f t="shared" si="174"/>
        <v>99184.81</v>
      </c>
      <c r="BB537" s="10">
        <f t="shared" si="16"/>
        <v>836011.2561</v>
      </c>
      <c r="BC537" s="16">
        <f t="shared" si="88"/>
        <v>126670.4522</v>
      </c>
      <c r="BD537" s="12">
        <f>3416.32+2660.74+476.14+4435.83+1399.45</f>
        <v>12388.48</v>
      </c>
      <c r="BE537" s="16">
        <f t="shared" si="177"/>
        <v>88115.27</v>
      </c>
      <c r="BF537" s="6"/>
      <c r="BG537" s="6"/>
      <c r="BH537" s="6"/>
      <c r="BI537" s="29">
        <f t="shared" si="172"/>
        <v>36137.74613</v>
      </c>
      <c r="BJ537" s="6"/>
      <c r="BK537" s="15">
        <f t="shared" si="76"/>
        <v>0.9142061567</v>
      </c>
      <c r="BN537" s="16">
        <f t="shared" si="14"/>
        <v>-3100.396129</v>
      </c>
      <c r="BO537" s="16">
        <f t="shared" si="175"/>
        <v>-256749.9506</v>
      </c>
      <c r="BY537" s="6">
        <f t="shared" si="2"/>
        <v>2025</v>
      </c>
      <c r="BZ537" s="6" t="str">
        <f t="shared" si="3"/>
        <v>marzo</v>
      </c>
      <c r="CA537" s="6" t="str">
        <f t="shared" si="4"/>
        <v>3</v>
      </c>
    </row>
    <row r="538">
      <c r="A538" s="8">
        <v>45745.0</v>
      </c>
      <c r="B538" s="12">
        <v>0.0</v>
      </c>
      <c r="C538" s="12">
        <v>0.0</v>
      </c>
      <c r="D538" s="12">
        <v>0.0</v>
      </c>
      <c r="E538" s="12">
        <v>0.0</v>
      </c>
      <c r="F538" s="12">
        <v>0.0</v>
      </c>
      <c r="G538" s="12">
        <v>0.0</v>
      </c>
      <c r="H538" s="12">
        <f t="shared" si="149"/>
        <v>0</v>
      </c>
      <c r="I538" s="12">
        <v>0.0</v>
      </c>
      <c r="J538" s="12">
        <v>0.0</v>
      </c>
      <c r="K538" s="12">
        <v>0.0</v>
      </c>
      <c r="L538" s="12">
        <v>0.0</v>
      </c>
      <c r="M538" s="12">
        <v>0.0</v>
      </c>
      <c r="N538" s="12">
        <v>0.0</v>
      </c>
      <c r="O538" s="16">
        <f t="shared" si="150"/>
        <v>0</v>
      </c>
      <c r="P538" s="12">
        <v>0.0</v>
      </c>
      <c r="Q538" s="12">
        <v>0.0</v>
      </c>
      <c r="R538" s="12">
        <v>0.0</v>
      </c>
      <c r="S538" s="12">
        <v>0.0</v>
      </c>
      <c r="T538" s="12">
        <v>0.0</v>
      </c>
      <c r="U538" s="12">
        <v>0.0</v>
      </c>
      <c r="V538" s="16">
        <f t="shared" si="151"/>
        <v>0</v>
      </c>
      <c r="W538" s="12">
        <v>0.0</v>
      </c>
      <c r="X538" s="12">
        <v>0.0</v>
      </c>
      <c r="Y538" s="12">
        <v>0.0</v>
      </c>
      <c r="Z538" s="12">
        <v>0.0</v>
      </c>
      <c r="AA538" s="12">
        <v>0.0</v>
      </c>
      <c r="AB538" s="12">
        <v>0.0</v>
      </c>
      <c r="AC538" s="16">
        <f t="shared" si="169"/>
        <v>0</v>
      </c>
      <c r="AD538" s="12"/>
      <c r="AE538" s="12"/>
      <c r="AF538" s="12">
        <v>0.0</v>
      </c>
      <c r="AG538" s="12">
        <v>0.0</v>
      </c>
      <c r="AH538" s="12">
        <v>0.0</v>
      </c>
      <c r="AI538" s="12">
        <v>0.0</v>
      </c>
      <c r="AJ538" s="12">
        <v>0.0</v>
      </c>
      <c r="AK538" s="12">
        <v>0.0</v>
      </c>
      <c r="AL538" s="12">
        <f t="shared" si="153"/>
        <v>0</v>
      </c>
      <c r="AM538" s="12">
        <v>0.0</v>
      </c>
      <c r="AN538" s="12">
        <v>0.0</v>
      </c>
      <c r="AO538" s="12">
        <v>0.0</v>
      </c>
      <c r="AP538" s="12">
        <v>0.0</v>
      </c>
      <c r="AQ538" s="12">
        <v>0.0</v>
      </c>
      <c r="AR538" s="12">
        <v>0.0</v>
      </c>
      <c r="AS538" s="12">
        <f t="shared" si="168"/>
        <v>0</v>
      </c>
      <c r="AT538" s="16">
        <f t="shared" ref="AT538:AT539" si="183">IF(AS538+AL538+AC538+V538+O538="","",AS538+AL538+AC538+V538+O538)</f>
        <v>0</v>
      </c>
      <c r="AU538" s="18">
        <f t="shared" si="173"/>
        <v>755106.941</v>
      </c>
      <c r="AV538" s="12">
        <v>0.0</v>
      </c>
      <c r="AW538" s="10">
        <f t="shared" si="170"/>
        <v>220972.82</v>
      </c>
      <c r="AX538" s="12">
        <f t="shared" si="171"/>
        <v>0</v>
      </c>
      <c r="AY538" s="12">
        <f t="shared" si="155"/>
        <v>1064195.031</v>
      </c>
      <c r="AZ538" s="12">
        <v>0.0</v>
      </c>
      <c r="BA538" s="18">
        <f t="shared" si="174"/>
        <v>99184.81</v>
      </c>
      <c r="BB538" s="10">
        <f t="shared" si="16"/>
        <v>807183.2818</v>
      </c>
      <c r="BC538" s="16">
        <f t="shared" si="88"/>
        <v>132288.6387</v>
      </c>
      <c r="BD538" s="16"/>
      <c r="BE538" s="16">
        <f t="shared" si="177"/>
        <v>88115.27</v>
      </c>
      <c r="BF538" s="6"/>
      <c r="BG538" s="6"/>
      <c r="BH538" s="6"/>
      <c r="BI538" s="29">
        <f t="shared" si="172"/>
        <v>36137.74613</v>
      </c>
      <c r="BJ538" s="6"/>
      <c r="BK538" s="15">
        <f t="shared" si="76"/>
        <v>0</v>
      </c>
      <c r="BN538" s="16">
        <f t="shared" si="14"/>
        <v>-36137.74613</v>
      </c>
      <c r="BO538" s="16">
        <f t="shared" si="175"/>
        <v>-292887.6967</v>
      </c>
      <c r="BY538" s="6">
        <f t="shared" si="2"/>
        <v>2025</v>
      </c>
      <c r="BZ538" s="6" t="str">
        <f t="shared" si="3"/>
        <v>marzo</v>
      </c>
      <c r="CA538" s="6" t="str">
        <f t="shared" si="4"/>
        <v>3</v>
      </c>
    </row>
    <row r="539">
      <c r="A539" s="8">
        <v>45746.0</v>
      </c>
      <c r="B539" s="12">
        <v>0.0</v>
      </c>
      <c r="C539" s="12">
        <v>0.0</v>
      </c>
      <c r="D539" s="12">
        <v>0.0</v>
      </c>
      <c r="E539" s="12">
        <v>0.0</v>
      </c>
      <c r="F539" s="12">
        <v>0.0</v>
      </c>
      <c r="G539" s="12">
        <v>0.0</v>
      </c>
      <c r="H539" s="12">
        <f t="shared" si="149"/>
        <v>0</v>
      </c>
      <c r="I539" s="12">
        <v>0.0</v>
      </c>
      <c r="J539" s="12">
        <v>0.0</v>
      </c>
      <c r="K539" s="12">
        <v>0.0</v>
      </c>
      <c r="L539" s="12">
        <v>0.0</v>
      </c>
      <c r="M539" s="12">
        <v>0.0</v>
      </c>
      <c r="N539" s="12">
        <v>0.0</v>
      </c>
      <c r="O539" s="16">
        <f t="shared" si="150"/>
        <v>0</v>
      </c>
      <c r="P539" s="12">
        <v>0.0</v>
      </c>
      <c r="Q539" s="12">
        <v>0.0</v>
      </c>
      <c r="R539" s="12">
        <v>0.0</v>
      </c>
      <c r="S539" s="12">
        <v>0.0</v>
      </c>
      <c r="T539" s="12">
        <v>0.0</v>
      </c>
      <c r="U539" s="12">
        <v>0.0</v>
      </c>
      <c r="V539" s="16">
        <f t="shared" si="151"/>
        <v>0</v>
      </c>
      <c r="W539" s="12">
        <v>0.0</v>
      </c>
      <c r="X539" s="12">
        <v>0.0</v>
      </c>
      <c r="Y539" s="12">
        <v>0.0</v>
      </c>
      <c r="Z539" s="12">
        <v>0.0</v>
      </c>
      <c r="AA539" s="12">
        <v>0.0</v>
      </c>
      <c r="AB539" s="12">
        <v>0.0</v>
      </c>
      <c r="AC539" s="16">
        <f t="shared" si="169"/>
        <v>0</v>
      </c>
      <c r="AD539" s="12"/>
      <c r="AE539" s="12"/>
      <c r="AF539" s="12">
        <v>0.0</v>
      </c>
      <c r="AG539" s="12">
        <v>0.0</v>
      </c>
      <c r="AH539" s="12">
        <v>0.0</v>
      </c>
      <c r="AI539" s="12">
        <v>0.0</v>
      </c>
      <c r="AJ539" s="12">
        <v>0.0</v>
      </c>
      <c r="AK539" s="12">
        <v>0.0</v>
      </c>
      <c r="AL539" s="12">
        <f t="shared" si="153"/>
        <v>0</v>
      </c>
      <c r="AM539" s="12">
        <v>0.0</v>
      </c>
      <c r="AN539" s="12">
        <v>0.0</v>
      </c>
      <c r="AO539" s="12">
        <v>0.0</v>
      </c>
      <c r="AP539" s="12">
        <v>0.0</v>
      </c>
      <c r="AQ539" s="12">
        <v>0.0</v>
      </c>
      <c r="AR539" s="12">
        <v>0.0</v>
      </c>
      <c r="AS539" s="12">
        <f t="shared" si="168"/>
        <v>0</v>
      </c>
      <c r="AT539" s="16">
        <f t="shared" si="183"/>
        <v>0</v>
      </c>
      <c r="AU539" s="18">
        <f t="shared" si="173"/>
        <v>755106.941</v>
      </c>
      <c r="AV539" s="12">
        <v>0.0</v>
      </c>
      <c r="AW539" s="10">
        <f t="shared" si="170"/>
        <v>220972.82</v>
      </c>
      <c r="AX539" s="12">
        <f t="shared" si="171"/>
        <v>0</v>
      </c>
      <c r="AY539" s="12">
        <f t="shared" si="155"/>
        <v>1064195.031</v>
      </c>
      <c r="AZ539" s="12">
        <v>0.0</v>
      </c>
      <c r="BA539" s="18">
        <f t="shared" si="174"/>
        <v>99184.81</v>
      </c>
      <c r="BB539" s="10">
        <f t="shared" si="16"/>
        <v>780277.1724</v>
      </c>
      <c r="BC539" s="16">
        <f t="shared" si="88"/>
        <v>133716.5909</v>
      </c>
      <c r="BD539" s="16"/>
      <c r="BE539" s="16">
        <f t="shared" si="177"/>
        <v>88115.27</v>
      </c>
      <c r="BF539" s="6"/>
      <c r="BG539" s="6"/>
      <c r="BH539" s="6"/>
      <c r="BI539" s="29">
        <f t="shared" si="172"/>
        <v>36137.74613</v>
      </c>
      <c r="BJ539" s="6"/>
      <c r="BK539" s="15">
        <f t="shared" si="76"/>
        <v>0</v>
      </c>
      <c r="BN539" s="16">
        <f t="shared" si="14"/>
        <v>-36137.74613</v>
      </c>
      <c r="BO539" s="16">
        <f t="shared" si="175"/>
        <v>-329025.4429</v>
      </c>
      <c r="BY539" s="6">
        <f t="shared" si="2"/>
        <v>2025</v>
      </c>
      <c r="BZ539" s="6" t="str">
        <f t="shared" si="3"/>
        <v>marzo</v>
      </c>
      <c r="CA539" s="6" t="str">
        <f t="shared" si="4"/>
        <v>3</v>
      </c>
    </row>
    <row r="540">
      <c r="A540" s="8">
        <v>45747.0</v>
      </c>
      <c r="B540" s="12">
        <f>88390.52+31794.29+193099.46+1019418.91+12639.17+3357.85</f>
        <v>1348700.2</v>
      </c>
      <c r="C540" s="12">
        <f>50239.78+2008.7+51352.1+127504.46</f>
        <v>231105.04</v>
      </c>
      <c r="D540" s="12">
        <f>1397+4730.25+2700.15+3160.17+2934.02</f>
        <v>14921.59</v>
      </c>
      <c r="E540" s="12">
        <v>43.97</v>
      </c>
      <c r="F540" s="12">
        <v>0.0</v>
      </c>
      <c r="G540" s="12">
        <v>0.0</v>
      </c>
      <c r="H540" s="12">
        <f t="shared" si="149"/>
        <v>1594770.8</v>
      </c>
      <c r="I540" s="12">
        <f>15746+25463+14221+28787.94+9745+15756+1890.08</f>
        <v>111609.02</v>
      </c>
      <c r="J540" s="12">
        <f>2546.89+3312+5541+1200</f>
        <v>12599.89</v>
      </c>
      <c r="K540" s="12">
        <f>1400+3416.75+4112+945.48+1546.71</f>
        <v>11420.94</v>
      </c>
      <c r="L540" s="12">
        <v>0.0</v>
      </c>
      <c r="M540" s="12">
        <v>0.0</v>
      </c>
      <c r="N540" s="12">
        <v>0.0</v>
      </c>
      <c r="O540" s="16">
        <f t="shared" si="150"/>
        <v>135629.85</v>
      </c>
      <c r="P540" s="12">
        <f>7198.3+14206.72+15947.16+8848.21+4930.09+1080.93</f>
        <v>52211.41</v>
      </c>
      <c r="Q540" s="12">
        <f>175.25+364.88+597.36+2259.76</f>
        <v>3397.25</v>
      </c>
      <c r="R540" s="12">
        <f>1013.65+1875.6+1315.38+851.52+429.3</f>
        <v>5485.45</v>
      </c>
      <c r="S540" s="12">
        <v>0.0</v>
      </c>
      <c r="T540" s="12">
        <v>0.0</v>
      </c>
      <c r="U540" s="12">
        <v>0.0</v>
      </c>
      <c r="V540" s="16">
        <f t="shared" si="151"/>
        <v>61094.11</v>
      </c>
      <c r="W540" s="12">
        <f>1.35+2041.48+64.37+1009.31+11.08+0.1</f>
        <v>3127.69</v>
      </c>
      <c r="X540" s="12">
        <f>2800.09+0.16+1130.18</f>
        <v>3930.43</v>
      </c>
      <c r="Y540" s="12">
        <f>740.8+1.77</f>
        <v>742.57</v>
      </c>
      <c r="Z540" s="12">
        <v>0.0</v>
      </c>
      <c r="AA540" s="12">
        <v>0.0</v>
      </c>
      <c r="AB540" s="12">
        <v>0.0</v>
      </c>
      <c r="AC540" s="16">
        <f t="shared" si="169"/>
        <v>7800.69</v>
      </c>
      <c r="AD540" s="12"/>
      <c r="AE540" s="12"/>
      <c r="AF540" s="12">
        <f>602.75+2283.42+3359.87+3064.41</f>
        <v>9310.45</v>
      </c>
      <c r="AG540" s="12">
        <v>763.0</v>
      </c>
      <c r="AH540" s="12">
        <v>0.0</v>
      </c>
      <c r="AI540" s="12">
        <v>838.5</v>
      </c>
      <c r="AJ540" s="12">
        <v>0.0</v>
      </c>
      <c r="AK540" s="12">
        <v>0.0</v>
      </c>
      <c r="AL540" s="12">
        <f t="shared" si="153"/>
        <v>10911.95</v>
      </c>
      <c r="AM540" s="12">
        <v>7553.0</v>
      </c>
      <c r="AN540" s="12"/>
      <c r="AO540" s="12">
        <v>5046.0</v>
      </c>
      <c r="AP540" s="12">
        <v>0.0</v>
      </c>
      <c r="AQ540" s="12">
        <v>0.0</v>
      </c>
      <c r="AR540" s="12">
        <v>0.0</v>
      </c>
      <c r="AS540" s="12">
        <f t="shared" si="168"/>
        <v>12599</v>
      </c>
      <c r="AT540" s="16">
        <f t="shared" ref="AT540:AT544" si="184">IF(AS540+AL540+AC540+V540+O540=0,"",AS540+AL540+AC540+V540+O540)</f>
        <v>228035.6</v>
      </c>
      <c r="AU540" s="18">
        <f t="shared" si="173"/>
        <v>983142.541</v>
      </c>
      <c r="AV540" s="12">
        <f>8387.8+17217.71+33043.21+77950.19+6072.98+1643.8</f>
        <v>144315.69</v>
      </c>
      <c r="AW540" s="10">
        <f t="shared" si="170"/>
        <v>365288.51</v>
      </c>
      <c r="AX540" s="12">
        <f t="shared" si="171"/>
        <v>372351.29</v>
      </c>
      <c r="AY540" s="12">
        <f t="shared" si="155"/>
        <v>1440138.641</v>
      </c>
      <c r="AZ540" s="12">
        <f>1653.64+3549.48+8534.2+6040.54+21.4+1048.44</f>
        <v>20847.7</v>
      </c>
      <c r="BA540" s="18">
        <f t="shared" si="174"/>
        <v>120032.51</v>
      </c>
      <c r="BB540" s="10">
        <f t="shared" si="16"/>
        <v>983142.541</v>
      </c>
      <c r="BC540" s="16">
        <f t="shared" si="88"/>
        <v>134840.5252</v>
      </c>
      <c r="BD540" s="12">
        <v>3592.32</v>
      </c>
      <c r="BE540" s="16">
        <f t="shared" si="177"/>
        <v>91707.59</v>
      </c>
      <c r="BF540" s="6"/>
      <c r="BG540" s="6"/>
      <c r="BH540" s="6"/>
      <c r="BI540" s="29">
        <f t="shared" si="172"/>
        <v>36137.74613</v>
      </c>
      <c r="BK540" s="15">
        <f t="shared" si="76"/>
        <v>6.310177707</v>
      </c>
      <c r="BN540" s="16">
        <f t="shared" si="14"/>
        <v>191897.8539</v>
      </c>
      <c r="BO540" s="16">
        <f t="shared" si="175"/>
        <v>-137127.589</v>
      </c>
      <c r="BQ540" s="12">
        <v>38533.24</v>
      </c>
      <c r="BR540" s="12">
        <v>32191.75</v>
      </c>
      <c r="BS540" s="12">
        <v>16447.2</v>
      </c>
      <c r="BT540" s="12">
        <v>2782.28</v>
      </c>
      <c r="BU540" s="12">
        <v>602.75</v>
      </c>
      <c r="BV540" s="12">
        <v>12599.0</v>
      </c>
      <c r="BW540" s="16">
        <f t="shared" ref="BW540:BW544" si="185">BV540+BU540+BT540+BS540+BR540</f>
        <v>64622.98</v>
      </c>
      <c r="BY540" s="6">
        <f t="shared" si="2"/>
        <v>2025</v>
      </c>
      <c r="BZ540" s="6" t="str">
        <f t="shared" si="3"/>
        <v>marzo</v>
      </c>
      <c r="CA540" s="6" t="str">
        <f t="shared" si="4"/>
        <v>3</v>
      </c>
    </row>
    <row r="541">
      <c r="A541" s="8">
        <v>45748.0</v>
      </c>
      <c r="B541" s="12">
        <v>1200.0</v>
      </c>
      <c r="C541" s="12">
        <v>1110.0</v>
      </c>
      <c r="D541" s="12">
        <v>0.0</v>
      </c>
      <c r="E541" s="12">
        <v>0.0</v>
      </c>
      <c r="F541" s="12">
        <v>0.0</v>
      </c>
      <c r="G541" s="12">
        <v>0.0</v>
      </c>
      <c r="H541" s="12">
        <f t="shared" si="149"/>
        <v>2310</v>
      </c>
      <c r="I541" s="12">
        <v>1100.0</v>
      </c>
      <c r="J541" s="12">
        <v>1111.0</v>
      </c>
      <c r="K541" s="12">
        <v>0.0</v>
      </c>
      <c r="L541" s="12">
        <v>0.0</v>
      </c>
      <c r="M541" s="12">
        <v>0.0</v>
      </c>
      <c r="N541" s="12">
        <v>0.0</v>
      </c>
      <c r="O541" s="16">
        <f t="shared" si="150"/>
        <v>2211</v>
      </c>
      <c r="P541" s="12">
        <v>145.0</v>
      </c>
      <c r="Q541" s="12">
        <v>236.0</v>
      </c>
      <c r="R541" s="12">
        <v>0.0</v>
      </c>
      <c r="S541" s="12">
        <v>0.0</v>
      </c>
      <c r="T541" s="12">
        <v>0.0</v>
      </c>
      <c r="U541" s="12">
        <v>0.0</v>
      </c>
      <c r="V541" s="16">
        <f t="shared" si="151"/>
        <v>381</v>
      </c>
      <c r="W541" s="12">
        <v>0.0</v>
      </c>
      <c r="X541" s="12">
        <v>0.0</v>
      </c>
      <c r="Y541" s="12">
        <v>0.0</v>
      </c>
      <c r="Z541" s="12">
        <v>0.0</v>
      </c>
      <c r="AA541" s="12">
        <v>0.0</v>
      </c>
      <c r="AB541" s="12">
        <v>0.0</v>
      </c>
      <c r="AC541" s="16">
        <f t="shared" si="169"/>
        <v>0</v>
      </c>
      <c r="AD541" s="12">
        <v>0.0</v>
      </c>
      <c r="AE541" s="12">
        <v>0.0</v>
      </c>
      <c r="AF541" s="12">
        <v>0.0</v>
      </c>
      <c r="AG541" s="12">
        <v>0.0</v>
      </c>
      <c r="AH541" s="12">
        <v>0.0</v>
      </c>
      <c r="AI541" s="12">
        <v>0.0</v>
      </c>
      <c r="AJ541" s="12">
        <v>0.0</v>
      </c>
      <c r="AK541" s="12">
        <v>0.0</v>
      </c>
      <c r="AL541" s="12">
        <f t="shared" si="153"/>
        <v>0</v>
      </c>
      <c r="AM541" s="12">
        <v>3387.0</v>
      </c>
      <c r="AN541" s="12">
        <v>0.0</v>
      </c>
      <c r="AO541" s="12">
        <v>32096.0</v>
      </c>
      <c r="AP541" s="12">
        <v>0.0</v>
      </c>
      <c r="AQ541" s="12">
        <v>0.0</v>
      </c>
      <c r="AR541" s="12">
        <v>0.0</v>
      </c>
      <c r="AS541" s="12">
        <f t="shared" si="168"/>
        <v>35483</v>
      </c>
      <c r="AT541" s="16">
        <f t="shared" si="184"/>
        <v>38075</v>
      </c>
      <c r="AU541" s="18">
        <f>IF(AT541="","",AT541)</f>
        <v>38075</v>
      </c>
      <c r="AV541" s="12">
        <v>0.0</v>
      </c>
      <c r="AW541" s="10">
        <v>0.0</v>
      </c>
      <c r="AX541" s="12">
        <f t="shared" si="171"/>
        <v>38075</v>
      </c>
      <c r="AY541" s="12">
        <f t="shared" si="155"/>
        <v>43579.46</v>
      </c>
      <c r="AZ541" s="12">
        <v>300.0</v>
      </c>
      <c r="BA541" s="21">
        <v>300.0</v>
      </c>
      <c r="BB541" s="10">
        <f t="shared" si="16"/>
        <v>1142250</v>
      </c>
      <c r="BC541" s="16">
        <f t="shared" si="88"/>
        <v>130190.8519</v>
      </c>
      <c r="BD541" s="12">
        <v>5504.46</v>
      </c>
      <c r="BE541" s="16">
        <f>IF(AT541="","",BD541)</f>
        <v>5504.46</v>
      </c>
      <c r="BF541" s="6"/>
      <c r="BG541" s="12">
        <v>1149608.7</v>
      </c>
      <c r="BH541" s="6"/>
      <c r="BI541" s="29">
        <f t="shared" ref="BI541:BI570" si="186">IF(AT541="","",$BG$542/DAY(EOMONTH(A541,0)))</f>
        <v>54109.83667</v>
      </c>
      <c r="BJ541" s="6"/>
      <c r="BK541" s="15">
        <f t="shared" si="76"/>
        <v>0.7036613367</v>
      </c>
      <c r="BN541" s="16">
        <f t="shared" ref="BN541:BN699" si="187">IF(AT541="","",AX541+BD541-BI541)</f>
        <v>-10530.37667</v>
      </c>
      <c r="BO541" s="16">
        <f>IF(AT541="","",BN541)</f>
        <v>-10530.37667</v>
      </c>
      <c r="BQ541" s="12">
        <v>247195.68</v>
      </c>
      <c r="BR541" s="12">
        <v>45210.94</v>
      </c>
      <c r="BS541" s="12">
        <v>17859.9</v>
      </c>
      <c r="BT541" s="12">
        <v>64.53</v>
      </c>
      <c r="BU541" s="12">
        <v>3121.92</v>
      </c>
      <c r="BV541" s="12">
        <v>0.0</v>
      </c>
      <c r="BW541" s="16">
        <f t="shared" si="185"/>
        <v>66257.29</v>
      </c>
      <c r="BY541" s="6">
        <f t="shared" si="2"/>
        <v>2025</v>
      </c>
      <c r="BZ541" s="6" t="str">
        <f t="shared" si="3"/>
        <v>abril</v>
      </c>
      <c r="CA541" s="6" t="str">
        <f t="shared" si="4"/>
        <v>4</v>
      </c>
    </row>
    <row r="542">
      <c r="A542" s="8">
        <v>45749.0</v>
      </c>
      <c r="B542" s="12">
        <v>1500.0</v>
      </c>
      <c r="C542" s="12">
        <v>1111.0</v>
      </c>
      <c r="D542" s="12">
        <v>0.0</v>
      </c>
      <c r="E542" s="12">
        <v>0.0</v>
      </c>
      <c r="F542" s="12">
        <v>0.0</v>
      </c>
      <c r="G542" s="12">
        <v>0.0</v>
      </c>
      <c r="H542" s="12">
        <f t="shared" si="149"/>
        <v>2611</v>
      </c>
      <c r="I542" s="12">
        <v>2001.0</v>
      </c>
      <c r="J542" s="12">
        <v>1844.0</v>
      </c>
      <c r="K542" s="12">
        <v>0.0</v>
      </c>
      <c r="L542" s="12">
        <v>0.0</v>
      </c>
      <c r="M542" s="12">
        <v>0.0</v>
      </c>
      <c r="N542" s="12">
        <v>0.0</v>
      </c>
      <c r="O542" s="16">
        <f t="shared" si="150"/>
        <v>3845</v>
      </c>
      <c r="P542" s="12">
        <v>127.0</v>
      </c>
      <c r="Q542" s="12">
        <v>112.0</v>
      </c>
      <c r="R542" s="12">
        <v>0.0</v>
      </c>
      <c r="S542" s="12">
        <v>0.0</v>
      </c>
      <c r="T542" s="12">
        <v>0.0</v>
      </c>
      <c r="U542" s="12">
        <v>0.0</v>
      </c>
      <c r="V542" s="16">
        <f t="shared" si="151"/>
        <v>239</v>
      </c>
      <c r="W542" s="12">
        <v>0.0</v>
      </c>
      <c r="X542" s="12">
        <v>0.0</v>
      </c>
      <c r="Y542" s="12">
        <v>0.0</v>
      </c>
      <c r="Z542" s="12">
        <v>0.0</v>
      </c>
      <c r="AA542" s="12">
        <v>0.0</v>
      </c>
      <c r="AB542" s="12">
        <v>0.0</v>
      </c>
      <c r="AC542" s="16">
        <f t="shared" si="169"/>
        <v>0</v>
      </c>
      <c r="AD542" s="12">
        <v>0.0</v>
      </c>
      <c r="AE542" s="12">
        <v>0.0</v>
      </c>
      <c r="AF542" s="12">
        <v>0.0</v>
      </c>
      <c r="AG542" s="12">
        <v>0.0</v>
      </c>
      <c r="AH542" s="12">
        <v>0.0</v>
      </c>
      <c r="AI542" s="12">
        <v>0.0</v>
      </c>
      <c r="AJ542" s="12">
        <v>0.0</v>
      </c>
      <c r="AK542" s="12">
        <v>0.0</v>
      </c>
      <c r="AL542" s="12">
        <f t="shared" si="153"/>
        <v>0</v>
      </c>
      <c r="AM542" s="12">
        <v>27593.0</v>
      </c>
      <c r="AN542" s="12">
        <v>0.0</v>
      </c>
      <c r="AO542" s="12">
        <v>25190.0</v>
      </c>
      <c r="AP542" s="12">
        <v>0.0</v>
      </c>
      <c r="AQ542" s="12">
        <v>0.0</v>
      </c>
      <c r="AR542" s="12">
        <v>0.0</v>
      </c>
      <c r="AS542" s="12">
        <f t="shared" si="168"/>
        <v>52783</v>
      </c>
      <c r="AT542" s="16">
        <f t="shared" si="184"/>
        <v>56867</v>
      </c>
      <c r="AU542" s="18">
        <f t="shared" ref="AU542:AU570" si="188">IF(AT542="","",AT542+AU541)</f>
        <v>94942</v>
      </c>
      <c r="AV542" s="12">
        <v>0.0</v>
      </c>
      <c r="AW542" s="10">
        <v>0.0</v>
      </c>
      <c r="AX542" s="12">
        <f t="shared" si="171"/>
        <v>56867</v>
      </c>
      <c r="AY542" s="12">
        <f t="shared" si="155"/>
        <v>115903.39</v>
      </c>
      <c r="AZ542" s="12">
        <v>285.0</v>
      </c>
      <c r="BA542" s="18">
        <f t="shared" ref="BA542:BA570" si="189">IF(AZ542="","",AZ542+BA541)</f>
        <v>585</v>
      </c>
      <c r="BB542" s="10">
        <f t="shared" si="16"/>
        <v>1424130</v>
      </c>
      <c r="BC542" s="16">
        <f t="shared" si="88"/>
        <v>125851.1568</v>
      </c>
      <c r="BD542" s="12">
        <v>15456.93</v>
      </c>
      <c r="BE542" s="16">
        <f t="shared" ref="BE542:BE570" si="190">IF(AT542="","",BD542+BE541)</f>
        <v>20961.39</v>
      </c>
      <c r="BF542" s="6"/>
      <c r="BG542" s="12">
        <v>1623295.1</v>
      </c>
      <c r="BH542" s="6"/>
      <c r="BI542" s="29">
        <f t="shared" si="186"/>
        <v>54109.83667</v>
      </c>
      <c r="BK542" s="15">
        <f t="shared" si="76"/>
        <v>1.050954937</v>
      </c>
      <c r="BN542" s="16">
        <f t="shared" si="187"/>
        <v>18214.09333</v>
      </c>
      <c r="BO542" s="16">
        <f t="shared" ref="BO542:BO570" si="191">IF(AT542="","",BN542+BO541)</f>
        <v>7683.716667</v>
      </c>
      <c r="BQ542" s="12">
        <v>1150080.54</v>
      </c>
      <c r="BR542" s="12">
        <v>11890.48</v>
      </c>
      <c r="BS542" s="12">
        <v>11959.49</v>
      </c>
      <c r="BT542" s="12">
        <v>2141.26</v>
      </c>
      <c r="BU542" s="12">
        <v>4122.87</v>
      </c>
      <c r="BV542" s="12">
        <v>0.0</v>
      </c>
      <c r="BW542" s="16">
        <f t="shared" si="185"/>
        <v>30114.1</v>
      </c>
      <c r="BY542" s="6">
        <f t="shared" si="2"/>
        <v>2025</v>
      </c>
      <c r="BZ542" s="6" t="str">
        <f t="shared" si="3"/>
        <v>abril</v>
      </c>
      <c r="CA542" s="6" t="str">
        <f t="shared" si="4"/>
        <v>4</v>
      </c>
    </row>
    <row r="543">
      <c r="A543" s="8">
        <v>45750.0</v>
      </c>
      <c r="B543" s="12">
        <v>14652.0</v>
      </c>
      <c r="C543" s="12">
        <v>300.0</v>
      </c>
      <c r="D543" s="12">
        <v>0.0</v>
      </c>
      <c r="E543" s="12">
        <v>0.0</v>
      </c>
      <c r="F543" s="12">
        <v>0.0</v>
      </c>
      <c r="G543" s="12">
        <v>0.0</v>
      </c>
      <c r="H543" s="12">
        <f t="shared" si="149"/>
        <v>14952</v>
      </c>
      <c r="I543" s="12">
        <v>1570.0</v>
      </c>
      <c r="J543" s="12">
        <v>1000.0</v>
      </c>
      <c r="K543" s="12">
        <v>0.0</v>
      </c>
      <c r="L543" s="12">
        <v>0.0</v>
      </c>
      <c r="M543" s="12">
        <v>0.0</v>
      </c>
      <c r="N543" s="12">
        <v>0.0</v>
      </c>
      <c r="O543" s="16">
        <f t="shared" si="150"/>
        <v>2570</v>
      </c>
      <c r="P543" s="12">
        <v>241.0</v>
      </c>
      <c r="Q543" s="12">
        <v>410.0</v>
      </c>
      <c r="R543" s="12">
        <v>0.0</v>
      </c>
      <c r="S543" s="12">
        <v>0.0</v>
      </c>
      <c r="T543" s="12">
        <v>0.0</v>
      </c>
      <c r="U543" s="12">
        <v>0.0</v>
      </c>
      <c r="V543" s="16">
        <f t="shared" si="151"/>
        <v>651</v>
      </c>
      <c r="W543" s="12">
        <v>0.0</v>
      </c>
      <c r="X543" s="12">
        <v>0.0</v>
      </c>
      <c r="Y543" s="12">
        <v>0.0</v>
      </c>
      <c r="Z543" s="12">
        <v>0.0</v>
      </c>
      <c r="AA543" s="12">
        <v>0.0</v>
      </c>
      <c r="AB543" s="12">
        <v>0.0</v>
      </c>
      <c r="AC543" s="16">
        <f t="shared" si="169"/>
        <v>0</v>
      </c>
      <c r="AD543" s="12">
        <v>0.0</v>
      </c>
      <c r="AE543" s="12">
        <v>0.0</v>
      </c>
      <c r="AF543" s="12">
        <v>0.0</v>
      </c>
      <c r="AG543" s="12">
        <v>0.0</v>
      </c>
      <c r="AH543" s="12">
        <v>0.0</v>
      </c>
      <c r="AI543" s="12">
        <v>0.0</v>
      </c>
      <c r="AJ543" s="12">
        <v>0.0</v>
      </c>
      <c r="AK543" s="12">
        <v>0.0</v>
      </c>
      <c r="AL543" s="12">
        <v>0.0</v>
      </c>
      <c r="AM543" s="12">
        <v>22051.0</v>
      </c>
      <c r="AN543" s="12">
        <v>0.0</v>
      </c>
      <c r="AO543" s="12">
        <v>13836.0</v>
      </c>
      <c r="AP543" s="12">
        <v>0.0</v>
      </c>
      <c r="AQ543" s="12">
        <v>0.0</v>
      </c>
      <c r="AR543" s="12">
        <v>0.0</v>
      </c>
      <c r="AS543" s="12">
        <f t="shared" si="168"/>
        <v>35887</v>
      </c>
      <c r="AT543" s="16">
        <f t="shared" si="184"/>
        <v>39108</v>
      </c>
      <c r="AU543" s="18">
        <f t="shared" si="188"/>
        <v>134050</v>
      </c>
      <c r="AV543" s="12">
        <v>0.0</v>
      </c>
      <c r="AW543" s="10">
        <v>0.0</v>
      </c>
      <c r="AX543" s="12">
        <f t="shared" si="171"/>
        <v>39108</v>
      </c>
      <c r="AY543" s="12">
        <f t="shared" si="155"/>
        <v>164288.26</v>
      </c>
      <c r="AZ543" s="12">
        <v>463.0</v>
      </c>
      <c r="BA543" s="18">
        <f t="shared" si="189"/>
        <v>1048</v>
      </c>
      <c r="BB543" s="10">
        <f t="shared" si="16"/>
        <v>1340500</v>
      </c>
      <c r="BC543" s="16">
        <f t="shared" si="88"/>
        <v>158571.3776</v>
      </c>
      <c r="BD543" s="12">
        <v>9276.87</v>
      </c>
      <c r="BE543" s="16">
        <f t="shared" si="190"/>
        <v>30238.26</v>
      </c>
      <c r="BF543" s="6"/>
      <c r="BG543" s="6"/>
      <c r="BH543" s="6"/>
      <c r="BI543" s="29">
        <f t="shared" si="186"/>
        <v>54109.83667</v>
      </c>
      <c r="BJ543" s="6"/>
      <c r="BK543" s="15">
        <f t="shared" si="76"/>
        <v>0.7227521355</v>
      </c>
      <c r="BN543" s="16">
        <f t="shared" si="187"/>
        <v>-5724.966667</v>
      </c>
      <c r="BO543" s="16">
        <f t="shared" si="191"/>
        <v>1958.75</v>
      </c>
      <c r="BQ543" s="12">
        <v>15573.19</v>
      </c>
      <c r="BR543" s="12">
        <v>17302.71</v>
      </c>
      <c r="BS543" s="12">
        <v>5359.39</v>
      </c>
      <c r="BT543" s="12">
        <v>11.08</v>
      </c>
      <c r="BU543" s="12">
        <v>3064.41</v>
      </c>
      <c r="BV543" s="12">
        <v>0.0</v>
      </c>
      <c r="BW543" s="16">
        <f t="shared" si="185"/>
        <v>25737.59</v>
      </c>
      <c r="BY543" s="6">
        <f t="shared" si="2"/>
        <v>2025</v>
      </c>
      <c r="BZ543" s="6" t="str">
        <f t="shared" si="3"/>
        <v>abril</v>
      </c>
      <c r="CA543" s="6" t="str">
        <f t="shared" si="4"/>
        <v>4</v>
      </c>
    </row>
    <row r="544">
      <c r="A544" s="8">
        <v>45751.0</v>
      </c>
      <c r="B544" s="12">
        <v>1234.0</v>
      </c>
      <c r="C544" s="12">
        <v>1562.0</v>
      </c>
      <c r="D544" s="12">
        <v>0.0</v>
      </c>
      <c r="E544" s="12">
        <v>0.0</v>
      </c>
      <c r="F544" s="12">
        <v>0.0</v>
      </c>
      <c r="G544" s="12">
        <v>0.0</v>
      </c>
      <c r="H544" s="12">
        <f t="shared" si="149"/>
        <v>2796</v>
      </c>
      <c r="I544" s="12">
        <v>980.0</v>
      </c>
      <c r="J544" s="12">
        <v>2000.0</v>
      </c>
      <c r="K544" s="12">
        <v>0.0</v>
      </c>
      <c r="L544" s="12">
        <v>0.0</v>
      </c>
      <c r="M544" s="12">
        <v>0.0</v>
      </c>
      <c r="N544" s="12">
        <v>0.0</v>
      </c>
      <c r="O544" s="16">
        <f t="shared" si="150"/>
        <v>2980</v>
      </c>
      <c r="P544" s="12">
        <v>259.0</v>
      </c>
      <c r="Q544" s="12">
        <v>291.0</v>
      </c>
      <c r="R544" s="12">
        <v>0.0</v>
      </c>
      <c r="S544" s="12">
        <v>0.0</v>
      </c>
      <c r="T544" s="12">
        <v>0.0</v>
      </c>
      <c r="U544" s="12">
        <v>0.0</v>
      </c>
      <c r="V544" s="16">
        <f t="shared" si="151"/>
        <v>550</v>
      </c>
      <c r="W544" s="12">
        <v>0.0</v>
      </c>
      <c r="X544" s="12">
        <v>0.0</v>
      </c>
      <c r="Y544" s="12">
        <v>0.0</v>
      </c>
      <c r="Z544" s="12">
        <v>0.0</v>
      </c>
      <c r="AA544" s="12">
        <v>0.0</v>
      </c>
      <c r="AB544" s="12">
        <v>0.0</v>
      </c>
      <c r="AC544" s="16">
        <f t="shared" si="169"/>
        <v>0</v>
      </c>
      <c r="AD544" s="12">
        <v>0.0</v>
      </c>
      <c r="AE544" s="12">
        <v>0.0</v>
      </c>
      <c r="AF544" s="12">
        <v>0.0</v>
      </c>
      <c r="AG544" s="12">
        <v>0.0</v>
      </c>
      <c r="AH544" s="12">
        <v>0.0</v>
      </c>
      <c r="AI544" s="12">
        <v>0.0</v>
      </c>
      <c r="AJ544" s="12">
        <v>0.0</v>
      </c>
      <c r="AK544" s="12">
        <v>0.0</v>
      </c>
      <c r="AL544" s="12">
        <f t="shared" ref="AL544:AL815" si="192">AK544+AJ544+AI544+AG544+AF544+AH544</f>
        <v>0</v>
      </c>
      <c r="AM544" s="12">
        <v>12366.0</v>
      </c>
      <c r="AN544" s="12">
        <v>0.0</v>
      </c>
      <c r="AO544" s="12">
        <v>9159.0</v>
      </c>
      <c r="AP544" s="12">
        <v>0.0</v>
      </c>
      <c r="AQ544" s="12">
        <v>0.0</v>
      </c>
      <c r="AR544" s="12">
        <v>0.0</v>
      </c>
      <c r="AS544" s="12">
        <f t="shared" si="168"/>
        <v>21525</v>
      </c>
      <c r="AT544" s="16">
        <f t="shared" si="184"/>
        <v>25055</v>
      </c>
      <c r="AU544" s="18">
        <f t="shared" si="188"/>
        <v>159105</v>
      </c>
      <c r="AV544" s="12">
        <v>0.0</v>
      </c>
      <c r="AW544" s="10">
        <v>0.0</v>
      </c>
      <c r="AX544" s="12">
        <f t="shared" si="171"/>
        <v>25055</v>
      </c>
      <c r="AY544" s="12">
        <f t="shared" si="155"/>
        <v>195089.61</v>
      </c>
      <c r="AZ544" s="12">
        <v>1200.0</v>
      </c>
      <c r="BA544" s="18">
        <f t="shared" si="189"/>
        <v>2248</v>
      </c>
      <c r="BB544" s="10">
        <f t="shared" si="16"/>
        <v>1193287.5</v>
      </c>
      <c r="BC544" s="16">
        <f t="shared" si="88"/>
        <v>190375</v>
      </c>
      <c r="BD544" s="12">
        <v>5746.35</v>
      </c>
      <c r="BE544" s="16">
        <f t="shared" si="190"/>
        <v>35984.61</v>
      </c>
      <c r="BF544" s="6"/>
      <c r="BG544" s="6"/>
      <c r="BH544" s="6"/>
      <c r="BI544" s="29">
        <f t="shared" si="186"/>
        <v>54109.83667</v>
      </c>
      <c r="BJ544" s="6"/>
      <c r="BK544" s="15">
        <f t="shared" si="76"/>
        <v>0.4630396531</v>
      </c>
      <c r="BN544" s="16">
        <f t="shared" si="187"/>
        <v>-23308.48667</v>
      </c>
      <c r="BO544" s="16">
        <f t="shared" si="191"/>
        <v>-21349.73667</v>
      </c>
      <c r="BQ544" s="12">
        <v>3357.85</v>
      </c>
      <c r="BR544" s="12">
        <v>1890.08</v>
      </c>
      <c r="BS544" s="12">
        <v>1080.93</v>
      </c>
      <c r="BT544" s="12">
        <v>0.1</v>
      </c>
      <c r="BU544" s="12">
        <v>0.0</v>
      </c>
      <c r="BV544" s="12">
        <v>0.0</v>
      </c>
      <c r="BW544" s="16">
        <f t="shared" si="185"/>
        <v>2971.11</v>
      </c>
      <c r="BY544" s="6">
        <f t="shared" si="2"/>
        <v>2025</v>
      </c>
      <c r="BZ544" s="6" t="str">
        <f t="shared" si="3"/>
        <v>abril</v>
      </c>
      <c r="CA544" s="6" t="str">
        <f t="shared" si="4"/>
        <v>4</v>
      </c>
    </row>
    <row r="545">
      <c r="A545" s="8">
        <v>45752.0</v>
      </c>
      <c r="B545" s="12">
        <v>1278.0</v>
      </c>
      <c r="C545" s="12">
        <v>1189.0</v>
      </c>
      <c r="D545" s="12">
        <v>0.0</v>
      </c>
      <c r="E545" s="12">
        <v>0.0</v>
      </c>
      <c r="F545" s="12">
        <v>0.0</v>
      </c>
      <c r="G545" s="12">
        <v>0.0</v>
      </c>
      <c r="H545" s="12">
        <f t="shared" si="149"/>
        <v>2467</v>
      </c>
      <c r="I545" s="12">
        <v>0.0</v>
      </c>
      <c r="J545" s="12">
        <v>0.0</v>
      </c>
      <c r="K545" s="12">
        <v>0.0</v>
      </c>
      <c r="L545" s="12">
        <v>0.0</v>
      </c>
      <c r="M545" s="12">
        <v>0.0</v>
      </c>
      <c r="N545" s="12">
        <v>0.0</v>
      </c>
      <c r="O545" s="16">
        <f t="shared" si="150"/>
        <v>0</v>
      </c>
      <c r="P545" s="12">
        <v>0.0</v>
      </c>
      <c r="Q545" s="12">
        <v>0.0</v>
      </c>
      <c r="R545" s="12">
        <v>0.0</v>
      </c>
      <c r="S545" s="12">
        <v>0.0</v>
      </c>
      <c r="T545" s="12">
        <v>0.0</v>
      </c>
      <c r="U545" s="12">
        <v>0.0</v>
      </c>
      <c r="V545" s="16">
        <f t="shared" si="151"/>
        <v>0</v>
      </c>
      <c r="W545" s="12">
        <v>0.0</v>
      </c>
      <c r="X545" s="12">
        <v>0.0</v>
      </c>
      <c r="Y545" s="12">
        <v>0.0</v>
      </c>
      <c r="Z545" s="12">
        <v>0.0</v>
      </c>
      <c r="AA545" s="12">
        <v>0.0</v>
      </c>
      <c r="AB545" s="12">
        <v>0.0</v>
      </c>
      <c r="AC545" s="16">
        <f t="shared" si="169"/>
        <v>0</v>
      </c>
      <c r="AD545" s="12">
        <v>0.0</v>
      </c>
      <c r="AE545" s="12">
        <v>0.0</v>
      </c>
      <c r="AF545" s="12">
        <v>0.0</v>
      </c>
      <c r="AG545" s="12">
        <v>0.0</v>
      </c>
      <c r="AH545" s="12">
        <v>0.0</v>
      </c>
      <c r="AI545" s="12">
        <v>0.0</v>
      </c>
      <c r="AJ545" s="12">
        <v>0.0</v>
      </c>
      <c r="AK545" s="12">
        <v>0.0</v>
      </c>
      <c r="AL545" s="12">
        <f t="shared" si="192"/>
        <v>0</v>
      </c>
      <c r="AM545" s="12">
        <v>0.0</v>
      </c>
      <c r="AN545" s="12">
        <v>0.0</v>
      </c>
      <c r="AO545" s="12">
        <v>0.0</v>
      </c>
      <c r="AP545" s="12">
        <v>0.0</v>
      </c>
      <c r="AQ545" s="12">
        <v>0.0</v>
      </c>
      <c r="AR545" s="12">
        <v>0.0</v>
      </c>
      <c r="AS545" s="12">
        <f t="shared" si="168"/>
        <v>0</v>
      </c>
      <c r="AT545" s="16">
        <f t="shared" ref="AT545:AT546" si="193">IF(AS545+AL545+AC545+V545+O545="","",AS545+AL545+AC545+V545+O545)</f>
        <v>0</v>
      </c>
      <c r="AU545" s="18">
        <f t="shared" si="188"/>
        <v>159105</v>
      </c>
      <c r="AV545" s="12">
        <v>0.0</v>
      </c>
      <c r="AW545" s="10">
        <v>0.0</v>
      </c>
      <c r="AX545" s="12">
        <f t="shared" si="171"/>
        <v>0</v>
      </c>
      <c r="AY545" s="12">
        <f t="shared" si="155"/>
        <v>195089.61</v>
      </c>
      <c r="AZ545" s="12">
        <v>8.97</v>
      </c>
      <c r="BA545" s="18">
        <f t="shared" si="189"/>
        <v>2256.97</v>
      </c>
      <c r="BB545" s="10">
        <f t="shared" si="16"/>
        <v>954630</v>
      </c>
      <c r="BC545" s="16">
        <f t="shared" si="88"/>
        <v>237355</v>
      </c>
      <c r="BD545" s="12">
        <v>0.0</v>
      </c>
      <c r="BE545" s="16">
        <f t="shared" si="190"/>
        <v>35984.61</v>
      </c>
      <c r="BF545" s="6"/>
      <c r="BG545" s="6"/>
      <c r="BH545" s="6"/>
      <c r="BI545" s="29">
        <f t="shared" si="186"/>
        <v>54109.83667</v>
      </c>
      <c r="BJ545" s="6"/>
      <c r="BK545" s="15">
        <f t="shared" si="76"/>
        <v>0</v>
      </c>
      <c r="BN545" s="16">
        <f t="shared" si="187"/>
        <v>-54109.83667</v>
      </c>
      <c r="BO545" s="16">
        <f t="shared" si="191"/>
        <v>-75459.57333</v>
      </c>
      <c r="BY545" s="6">
        <f t="shared" si="2"/>
        <v>2025</v>
      </c>
      <c r="BZ545" s="6" t="str">
        <f t="shared" si="3"/>
        <v>abril</v>
      </c>
      <c r="CA545" s="6" t="str">
        <f t="shared" si="4"/>
        <v>4</v>
      </c>
    </row>
    <row r="546">
      <c r="A546" s="8">
        <v>45753.0</v>
      </c>
      <c r="B546" s="12">
        <v>0.0</v>
      </c>
      <c r="C546" s="12">
        <v>0.0</v>
      </c>
      <c r="D546" s="12">
        <v>0.0</v>
      </c>
      <c r="E546" s="12">
        <v>0.0</v>
      </c>
      <c r="F546" s="12">
        <v>0.0</v>
      </c>
      <c r="G546" s="12">
        <v>0.0</v>
      </c>
      <c r="H546" s="12">
        <f t="shared" si="149"/>
        <v>0</v>
      </c>
      <c r="I546" s="12">
        <v>0.0</v>
      </c>
      <c r="J546" s="12">
        <v>0.0</v>
      </c>
      <c r="K546" s="12">
        <v>0.0</v>
      </c>
      <c r="L546" s="12">
        <v>0.0</v>
      </c>
      <c r="M546" s="12">
        <v>0.0</v>
      </c>
      <c r="N546" s="12">
        <v>0.0</v>
      </c>
      <c r="O546" s="16">
        <f t="shared" si="150"/>
        <v>0</v>
      </c>
      <c r="P546" s="12">
        <v>0.0</v>
      </c>
      <c r="Q546" s="12">
        <v>0.0</v>
      </c>
      <c r="R546" s="12">
        <v>0.0</v>
      </c>
      <c r="S546" s="12">
        <v>0.0</v>
      </c>
      <c r="T546" s="12">
        <v>0.0</v>
      </c>
      <c r="U546" s="12">
        <v>0.0</v>
      </c>
      <c r="V546" s="16">
        <f t="shared" si="151"/>
        <v>0</v>
      </c>
      <c r="W546" s="12">
        <v>0.0</v>
      </c>
      <c r="X546" s="12">
        <v>0.0</v>
      </c>
      <c r="Y546" s="12">
        <v>0.0</v>
      </c>
      <c r="Z546" s="12">
        <v>0.0</v>
      </c>
      <c r="AA546" s="12">
        <v>0.0</v>
      </c>
      <c r="AB546" s="12">
        <v>0.0</v>
      </c>
      <c r="AC546" s="16">
        <f t="shared" si="169"/>
        <v>0</v>
      </c>
      <c r="AD546" s="12">
        <v>0.0</v>
      </c>
      <c r="AE546" s="12">
        <v>0.0</v>
      </c>
      <c r="AF546" s="12">
        <v>0.0</v>
      </c>
      <c r="AG546" s="12">
        <v>0.0</v>
      </c>
      <c r="AH546" s="12">
        <v>0.0</v>
      </c>
      <c r="AI546" s="12">
        <v>0.0</v>
      </c>
      <c r="AJ546" s="12">
        <v>0.0</v>
      </c>
      <c r="AK546" s="12">
        <v>0.0</v>
      </c>
      <c r="AL546" s="12">
        <f t="shared" si="192"/>
        <v>0</v>
      </c>
      <c r="AM546" s="12">
        <v>0.0</v>
      </c>
      <c r="AN546" s="12">
        <v>0.0</v>
      </c>
      <c r="AO546" s="12">
        <v>0.0</v>
      </c>
      <c r="AP546" s="12">
        <v>0.0</v>
      </c>
      <c r="AQ546" s="12">
        <v>0.0</v>
      </c>
      <c r="AR546" s="12">
        <v>0.0</v>
      </c>
      <c r="AS546" s="12">
        <f t="shared" si="168"/>
        <v>0</v>
      </c>
      <c r="AT546" s="16">
        <f t="shared" si="193"/>
        <v>0</v>
      </c>
      <c r="AU546" s="18">
        <f t="shared" si="188"/>
        <v>159105</v>
      </c>
      <c r="AV546" s="12">
        <v>0.0</v>
      </c>
      <c r="AW546" s="10">
        <v>0.0</v>
      </c>
      <c r="AX546" s="12">
        <f t="shared" si="171"/>
        <v>0</v>
      </c>
      <c r="AY546" s="12">
        <f t="shared" si="155"/>
        <v>195089.61</v>
      </c>
      <c r="AZ546" s="12">
        <v>0.0</v>
      </c>
      <c r="BA546" s="18">
        <f t="shared" si="189"/>
        <v>2256.97</v>
      </c>
      <c r="BB546" s="10">
        <f t="shared" si="16"/>
        <v>795525</v>
      </c>
      <c r="BC546" s="16">
        <f t="shared" si="88"/>
        <v>223416.6667</v>
      </c>
      <c r="BD546" s="12">
        <v>0.0</v>
      </c>
      <c r="BE546" s="16">
        <f t="shared" si="190"/>
        <v>35984.61</v>
      </c>
      <c r="BF546" s="6"/>
      <c r="BG546" s="6"/>
      <c r="BH546" s="6"/>
      <c r="BI546" s="29">
        <f t="shared" si="186"/>
        <v>54109.83667</v>
      </c>
      <c r="BJ546" s="6"/>
      <c r="BK546" s="15">
        <f t="shared" si="76"/>
        <v>0</v>
      </c>
      <c r="BN546" s="16">
        <f t="shared" si="187"/>
        <v>-54109.83667</v>
      </c>
      <c r="BO546" s="16">
        <f t="shared" si="191"/>
        <v>-129569.41</v>
      </c>
      <c r="BY546" s="6">
        <f t="shared" si="2"/>
        <v>2025</v>
      </c>
      <c r="BZ546" s="6" t="str">
        <f t="shared" si="3"/>
        <v>abril</v>
      </c>
      <c r="CA546" s="6" t="str">
        <f t="shared" si="4"/>
        <v>4</v>
      </c>
    </row>
    <row r="547">
      <c r="A547" s="8">
        <v>45754.0</v>
      </c>
      <c r="B547" s="12">
        <v>28820.29</v>
      </c>
      <c r="C547" s="12">
        <v>4123.0</v>
      </c>
      <c r="D547" s="12">
        <v>0.0</v>
      </c>
      <c r="E547" s="12">
        <v>0.0</v>
      </c>
      <c r="F547" s="12">
        <v>0.0</v>
      </c>
      <c r="G547" s="12">
        <v>0.0</v>
      </c>
      <c r="H547" s="12">
        <f t="shared" si="149"/>
        <v>32943.29</v>
      </c>
      <c r="I547" s="12">
        <v>4796.0</v>
      </c>
      <c r="J547" s="12">
        <v>0.0</v>
      </c>
      <c r="K547" s="12">
        <v>3166.41</v>
      </c>
      <c r="L547" s="12">
        <v>0.0</v>
      </c>
      <c r="M547" s="12">
        <v>0.0</v>
      </c>
      <c r="N547" s="12">
        <v>0.0</v>
      </c>
      <c r="O547" s="16">
        <f t="shared" si="150"/>
        <v>7962.41</v>
      </c>
      <c r="P547" s="12">
        <v>122.0</v>
      </c>
      <c r="Q547" s="12">
        <v>110.0</v>
      </c>
      <c r="R547" s="12">
        <v>0.0</v>
      </c>
      <c r="S547" s="12">
        <v>0.0</v>
      </c>
      <c r="T547" s="12">
        <v>0.0</v>
      </c>
      <c r="U547" s="12">
        <v>0.0</v>
      </c>
      <c r="V547" s="16">
        <f t="shared" si="151"/>
        <v>232</v>
      </c>
      <c r="W547" s="12">
        <v>64384.63</v>
      </c>
      <c r="X547" s="12">
        <v>0.0</v>
      </c>
      <c r="Y547" s="12">
        <v>47642.24</v>
      </c>
      <c r="Z547" s="12">
        <v>0.0</v>
      </c>
      <c r="AA547" s="12">
        <v>0.0</v>
      </c>
      <c r="AB547" s="12">
        <v>0.0</v>
      </c>
      <c r="AC547" s="16">
        <f t="shared" si="169"/>
        <v>112026.87</v>
      </c>
      <c r="AD547" s="12">
        <v>112026.87</v>
      </c>
      <c r="AE547" s="12">
        <v>0.0</v>
      </c>
      <c r="AF547" s="12">
        <v>0.0</v>
      </c>
      <c r="AG547" s="12">
        <v>0.0</v>
      </c>
      <c r="AH547" s="12">
        <v>0.0</v>
      </c>
      <c r="AI547" s="12">
        <v>0.0</v>
      </c>
      <c r="AJ547" s="12">
        <v>0.0</v>
      </c>
      <c r="AK547" s="12">
        <v>0.0</v>
      </c>
      <c r="AL547" s="12">
        <f t="shared" si="192"/>
        <v>0</v>
      </c>
      <c r="AM547" s="12">
        <v>2781.0</v>
      </c>
      <c r="AN547" s="12">
        <v>0.0</v>
      </c>
      <c r="AO547" s="12">
        <v>0.0</v>
      </c>
      <c r="AP547" s="12">
        <v>0.0</v>
      </c>
      <c r="AQ547" s="12">
        <v>0.0</v>
      </c>
      <c r="AR547" s="12">
        <v>0.0</v>
      </c>
      <c r="AS547" s="12">
        <f t="shared" si="168"/>
        <v>2781</v>
      </c>
      <c r="AT547" s="16">
        <f t="shared" ref="AT547:AT551" si="194">IF(AS547+AL547+AC547+V547+O547=0,"",AS547+AL547+AC547+V547+O547)</f>
        <v>123002.28</v>
      </c>
      <c r="AU547" s="18">
        <f t="shared" si="188"/>
        <v>282107.28</v>
      </c>
      <c r="AV547" s="12">
        <v>9923.75</v>
      </c>
      <c r="AW547" s="10">
        <f t="shared" ref="AW547:AW570" si="195">IF(AT547="","",AW546+AV547)</f>
        <v>9923.75</v>
      </c>
      <c r="AX547" s="12">
        <f t="shared" si="171"/>
        <v>132926.03</v>
      </c>
      <c r="AY547" s="12">
        <f t="shared" si="155"/>
        <v>328872.89</v>
      </c>
      <c r="AZ547" s="12">
        <v>0.0</v>
      </c>
      <c r="BA547" s="18">
        <f t="shared" si="189"/>
        <v>2256.97</v>
      </c>
      <c r="BB547" s="10">
        <f t="shared" si="16"/>
        <v>1209031.2</v>
      </c>
      <c r="BC547" s="16">
        <f t="shared" si="88"/>
        <v>198881.25</v>
      </c>
      <c r="BD547" s="12">
        <v>857.25</v>
      </c>
      <c r="BE547" s="16">
        <f t="shared" si="190"/>
        <v>36841.86</v>
      </c>
      <c r="BF547" s="6"/>
      <c r="BG547" s="6"/>
      <c r="BH547" s="6"/>
      <c r="BI547" s="29">
        <f t="shared" si="186"/>
        <v>54109.83667</v>
      </c>
      <c r="BK547" s="15">
        <f t="shared" si="76"/>
        <v>2.273196291</v>
      </c>
      <c r="BN547" s="16">
        <f t="shared" si="187"/>
        <v>79673.44333</v>
      </c>
      <c r="BO547" s="16">
        <f t="shared" si="191"/>
        <v>-49895.96667</v>
      </c>
      <c r="BY547" s="6">
        <f t="shared" si="2"/>
        <v>2025</v>
      </c>
      <c r="BZ547" s="6" t="str">
        <f t="shared" si="3"/>
        <v>abril</v>
      </c>
      <c r="CA547" s="6" t="str">
        <f t="shared" si="4"/>
        <v>4</v>
      </c>
    </row>
    <row r="548">
      <c r="A548" s="8">
        <v>45755.0</v>
      </c>
      <c r="B548" s="12">
        <v>43377.69</v>
      </c>
      <c r="C548" s="12">
        <v>911.26</v>
      </c>
      <c r="D548" s="12">
        <v>3396.66</v>
      </c>
      <c r="E548" s="12">
        <v>0.0</v>
      </c>
      <c r="F548" s="12">
        <v>0.0</v>
      </c>
      <c r="G548" s="12">
        <v>0.0</v>
      </c>
      <c r="H548" s="12">
        <f t="shared" si="149"/>
        <v>47685.61</v>
      </c>
      <c r="I548" s="12">
        <v>24796.0</v>
      </c>
      <c r="J548" s="12">
        <v>2785.0</v>
      </c>
      <c r="K548" s="12">
        <v>2618.07</v>
      </c>
      <c r="L548" s="12">
        <v>0.0</v>
      </c>
      <c r="M548" s="12">
        <v>0.0</v>
      </c>
      <c r="N548" s="12">
        <v>0.0</v>
      </c>
      <c r="O548" s="16">
        <f t="shared" si="150"/>
        <v>30199.07</v>
      </c>
      <c r="P548" s="12">
        <v>12214.69</v>
      </c>
      <c r="Q548" s="12">
        <v>825.71</v>
      </c>
      <c r="R548" s="12">
        <v>1333.67</v>
      </c>
      <c r="S548" s="12">
        <v>0.0</v>
      </c>
      <c r="T548" s="12">
        <v>0.0</v>
      </c>
      <c r="U548" s="12">
        <v>0.0</v>
      </c>
      <c r="V548" s="16">
        <f t="shared" si="151"/>
        <v>14374.07</v>
      </c>
      <c r="W548" s="12">
        <v>106.43</v>
      </c>
      <c r="X548" s="12">
        <v>77.27</v>
      </c>
      <c r="Y548" s="12">
        <v>0.27</v>
      </c>
      <c r="Z548" s="12">
        <v>0.0</v>
      </c>
      <c r="AA548" s="12">
        <v>0.0</v>
      </c>
      <c r="AB548" s="12">
        <v>0.0</v>
      </c>
      <c r="AC548" s="16">
        <f t="shared" si="169"/>
        <v>183.97</v>
      </c>
      <c r="AD548" s="12">
        <v>0.0</v>
      </c>
      <c r="AE548" s="12">
        <v>183.97</v>
      </c>
      <c r="AF548" s="12">
        <v>9068.68</v>
      </c>
      <c r="AG548" s="12">
        <v>44.4</v>
      </c>
      <c r="AH548" s="12">
        <v>0.0</v>
      </c>
      <c r="AI548" s="12">
        <v>0.0</v>
      </c>
      <c r="AJ548" s="12">
        <v>0.0</v>
      </c>
      <c r="AK548" s="12">
        <v>0.0</v>
      </c>
      <c r="AL548" s="12">
        <f t="shared" si="192"/>
        <v>9113.08</v>
      </c>
      <c r="AM548" s="12">
        <v>0.0</v>
      </c>
      <c r="AN548" s="12">
        <v>0.0</v>
      </c>
      <c r="AO548" s="12">
        <v>0.0</v>
      </c>
      <c r="AP548" s="12">
        <v>0.0</v>
      </c>
      <c r="AQ548" s="12">
        <v>0.0</v>
      </c>
      <c r="AR548" s="12">
        <v>0.0</v>
      </c>
      <c r="AS548" s="12">
        <f t="shared" si="168"/>
        <v>0</v>
      </c>
      <c r="AT548" s="16">
        <f t="shared" si="194"/>
        <v>53870.19</v>
      </c>
      <c r="AU548" s="18">
        <f t="shared" si="188"/>
        <v>335977.47</v>
      </c>
      <c r="AV548" s="12">
        <v>22886.47</v>
      </c>
      <c r="AW548" s="10">
        <f t="shared" si="195"/>
        <v>32810.22</v>
      </c>
      <c r="AX548" s="12">
        <f t="shared" si="171"/>
        <v>76756.66</v>
      </c>
      <c r="AY548" s="12">
        <f t="shared" si="155"/>
        <v>405629.55</v>
      </c>
      <c r="AZ548" s="12">
        <v>4963.39</v>
      </c>
      <c r="BA548" s="18">
        <f t="shared" si="189"/>
        <v>7220.36</v>
      </c>
      <c r="BB548" s="10">
        <f t="shared" si="16"/>
        <v>1259915.513</v>
      </c>
      <c r="BC548" s="16">
        <f t="shared" si="88"/>
        <v>159105</v>
      </c>
      <c r="BD548" s="12">
        <v>0.0</v>
      </c>
      <c r="BE548" s="16">
        <f t="shared" si="190"/>
        <v>36841.86</v>
      </c>
      <c r="BF548" s="6"/>
      <c r="BG548" s="6"/>
      <c r="BH548" s="6"/>
      <c r="BI548" s="29">
        <f t="shared" si="186"/>
        <v>54109.83667</v>
      </c>
      <c r="BJ548" s="6"/>
      <c r="BK548" s="15">
        <f t="shared" si="76"/>
        <v>0.9955711072</v>
      </c>
      <c r="BN548" s="16">
        <f t="shared" si="187"/>
        <v>22646.82333</v>
      </c>
      <c r="BO548" s="16">
        <f t="shared" si="191"/>
        <v>-27249.14333</v>
      </c>
      <c r="BY548" s="6">
        <f t="shared" si="2"/>
        <v>2025</v>
      </c>
      <c r="BZ548" s="6" t="str">
        <f t="shared" si="3"/>
        <v>abril</v>
      </c>
      <c r="CA548" s="6" t="str">
        <f t="shared" si="4"/>
        <v>4</v>
      </c>
    </row>
    <row r="549">
      <c r="A549" s="8">
        <v>45756.0</v>
      </c>
      <c r="B549" s="12">
        <v>13341.5</v>
      </c>
      <c r="C549" s="12">
        <v>0.0</v>
      </c>
      <c r="D549" s="12">
        <v>0.0</v>
      </c>
      <c r="E549" s="12">
        <v>0.0</v>
      </c>
      <c r="F549" s="12">
        <v>0.0</v>
      </c>
      <c r="G549" s="12">
        <v>0.0</v>
      </c>
      <c r="H549" s="12">
        <f t="shared" si="149"/>
        <v>13341.5</v>
      </c>
      <c r="I549" s="12">
        <v>9899.87</v>
      </c>
      <c r="J549" s="12">
        <v>0.0</v>
      </c>
      <c r="K549" s="12">
        <v>0.0</v>
      </c>
      <c r="L549" s="12">
        <v>0.0</v>
      </c>
      <c r="M549" s="12">
        <v>0.0</v>
      </c>
      <c r="N549" s="12">
        <v>0.0</v>
      </c>
      <c r="O549" s="16">
        <f t="shared" si="150"/>
        <v>9899.87</v>
      </c>
      <c r="P549" s="12">
        <v>5695.62</v>
      </c>
      <c r="Q549" s="12">
        <v>0.0</v>
      </c>
      <c r="R549" s="12">
        <v>0.0</v>
      </c>
      <c r="S549" s="12">
        <v>0.0</v>
      </c>
      <c r="T549" s="12">
        <v>0.0</v>
      </c>
      <c r="U549" s="12">
        <v>0.0</v>
      </c>
      <c r="V549" s="16">
        <f t="shared" si="151"/>
        <v>5695.62</v>
      </c>
      <c r="W549" s="12">
        <v>16541.31</v>
      </c>
      <c r="X549" s="12">
        <v>0.0</v>
      </c>
      <c r="Y549" s="12">
        <v>0.0</v>
      </c>
      <c r="Z549" s="12">
        <v>0.0</v>
      </c>
      <c r="AA549" s="12">
        <v>0.0</v>
      </c>
      <c r="AB549" s="12">
        <v>0.0</v>
      </c>
      <c r="AC549" s="16">
        <f t="shared" si="169"/>
        <v>16541.31</v>
      </c>
      <c r="AD549" s="12">
        <v>16476.23</v>
      </c>
      <c r="AE549" s="12">
        <v>65.08</v>
      </c>
      <c r="AF549" s="12">
        <v>506.31</v>
      </c>
      <c r="AG549" s="12">
        <v>0.0</v>
      </c>
      <c r="AH549" s="12">
        <v>0.0</v>
      </c>
      <c r="AI549" s="12">
        <v>0.0</v>
      </c>
      <c r="AJ549" s="12">
        <v>0.0</v>
      </c>
      <c r="AK549" s="12">
        <v>0.0</v>
      </c>
      <c r="AL549" s="12">
        <f t="shared" si="192"/>
        <v>506.31</v>
      </c>
      <c r="AM549" s="12">
        <v>20688.0</v>
      </c>
      <c r="AN549" s="12">
        <v>0.0</v>
      </c>
      <c r="AO549" s="12">
        <v>0.0</v>
      </c>
      <c r="AP549" s="12">
        <v>0.0</v>
      </c>
      <c r="AQ549" s="12">
        <v>0.0</v>
      </c>
      <c r="AR549" s="12">
        <v>0.0</v>
      </c>
      <c r="AS549" s="12">
        <f t="shared" si="168"/>
        <v>20688</v>
      </c>
      <c r="AT549" s="16">
        <f t="shared" si="194"/>
        <v>53331.11</v>
      </c>
      <c r="AU549" s="18">
        <f t="shared" si="188"/>
        <v>389308.58</v>
      </c>
      <c r="AV549" s="12">
        <v>5913.74</v>
      </c>
      <c r="AW549" s="10">
        <f t="shared" si="195"/>
        <v>38723.96</v>
      </c>
      <c r="AX549" s="12">
        <f t="shared" si="171"/>
        <v>59244.85</v>
      </c>
      <c r="AY549" s="12">
        <f t="shared" si="155"/>
        <v>469978.07</v>
      </c>
      <c r="AZ549" s="12">
        <v>1590.84</v>
      </c>
      <c r="BA549" s="18">
        <f t="shared" si="189"/>
        <v>8811.2</v>
      </c>
      <c r="BB549" s="10">
        <f t="shared" si="16"/>
        <v>1297695.267</v>
      </c>
      <c r="BC549" s="16">
        <f t="shared" si="88"/>
        <v>132587.5</v>
      </c>
      <c r="BD549" s="12">
        <v>5103.67</v>
      </c>
      <c r="BE549" s="16">
        <f t="shared" si="190"/>
        <v>41945.53</v>
      </c>
      <c r="BF549" s="6"/>
      <c r="BG549" s="6"/>
      <c r="BH549" s="6"/>
      <c r="BI549" s="29">
        <f t="shared" si="186"/>
        <v>54109.83667</v>
      </c>
      <c r="BJ549" s="6"/>
      <c r="BK549" s="15">
        <f t="shared" si="76"/>
        <v>0.9856084085</v>
      </c>
      <c r="BN549" s="16">
        <f t="shared" si="187"/>
        <v>10238.68333</v>
      </c>
      <c r="BO549" s="16">
        <f t="shared" si="191"/>
        <v>-17010.46</v>
      </c>
      <c r="BY549" s="6">
        <f t="shared" si="2"/>
        <v>2025</v>
      </c>
      <c r="BZ549" s="6" t="str">
        <f t="shared" si="3"/>
        <v>abril</v>
      </c>
      <c r="CA549" s="6" t="str">
        <f t="shared" si="4"/>
        <v>4</v>
      </c>
    </row>
    <row r="550">
      <c r="A550" s="8">
        <v>45757.0</v>
      </c>
      <c r="B550" s="12">
        <v>35127.59</v>
      </c>
      <c r="C550" s="12">
        <v>22702.74</v>
      </c>
      <c r="D550" s="12">
        <v>6363.5</v>
      </c>
      <c r="E550" s="12">
        <v>0.0</v>
      </c>
      <c r="F550" s="12">
        <v>0.0</v>
      </c>
      <c r="G550" s="12">
        <v>0.0</v>
      </c>
      <c r="H550" s="12">
        <f t="shared" si="149"/>
        <v>64193.83</v>
      </c>
      <c r="I550" s="12">
        <v>20745.0</v>
      </c>
      <c r="J550" s="12">
        <v>2876.09</v>
      </c>
      <c r="K550" s="12">
        <v>1789.0</v>
      </c>
      <c r="L550" s="12">
        <v>0.0</v>
      </c>
      <c r="M550" s="12">
        <v>0.0</v>
      </c>
      <c r="N550" s="12">
        <v>0.0</v>
      </c>
      <c r="O550" s="16">
        <f t="shared" si="150"/>
        <v>25410.09</v>
      </c>
      <c r="P550" s="12">
        <v>9015.05</v>
      </c>
      <c r="Q550" s="12">
        <v>444.45</v>
      </c>
      <c r="R550" s="12">
        <v>1518.28</v>
      </c>
      <c r="S550" s="12">
        <v>0.0</v>
      </c>
      <c r="T550" s="12">
        <v>0.0</v>
      </c>
      <c r="U550" s="12">
        <v>0.0</v>
      </c>
      <c r="V550" s="16">
        <f t="shared" si="151"/>
        <v>10977.78</v>
      </c>
      <c r="W550" s="12">
        <v>39.43</v>
      </c>
      <c r="X550" s="12">
        <v>350.0</v>
      </c>
      <c r="Y550" s="12">
        <v>21.8</v>
      </c>
      <c r="Z550" s="12">
        <v>0.0</v>
      </c>
      <c r="AA550" s="12">
        <v>0.0</v>
      </c>
      <c r="AB550" s="12">
        <v>0.0</v>
      </c>
      <c r="AC550" s="16">
        <f t="shared" si="169"/>
        <v>411.23</v>
      </c>
      <c r="AD550" s="12">
        <v>0.0</v>
      </c>
      <c r="AE550" s="12">
        <v>411.23</v>
      </c>
      <c r="AF550" s="12">
        <v>3290.77</v>
      </c>
      <c r="AG550" s="12">
        <v>0.0</v>
      </c>
      <c r="AH550" s="12">
        <v>0.0</v>
      </c>
      <c r="AI550" s="12">
        <v>0.0</v>
      </c>
      <c r="AJ550" s="12">
        <v>0.0</v>
      </c>
      <c r="AK550" s="12">
        <v>0.0</v>
      </c>
      <c r="AL550" s="12">
        <f t="shared" si="192"/>
        <v>3290.77</v>
      </c>
      <c r="AM550" s="12">
        <v>0.0</v>
      </c>
      <c r="AN550" s="12">
        <v>0.0</v>
      </c>
      <c r="AO550" s="12">
        <v>0.0</v>
      </c>
      <c r="AP550" s="12">
        <v>0.0</v>
      </c>
      <c r="AQ550" s="12">
        <v>0.0</v>
      </c>
      <c r="AR550" s="12">
        <v>0.0</v>
      </c>
      <c r="AS550" s="12">
        <f t="shared" si="168"/>
        <v>0</v>
      </c>
      <c r="AT550" s="16">
        <f t="shared" si="194"/>
        <v>40089.87</v>
      </c>
      <c r="AU550" s="18">
        <f t="shared" si="188"/>
        <v>429398.45</v>
      </c>
      <c r="AV550" s="12">
        <v>15846.02</v>
      </c>
      <c r="AW550" s="10">
        <f t="shared" si="195"/>
        <v>54569.98</v>
      </c>
      <c r="AX550" s="12">
        <f t="shared" si="171"/>
        <v>55935.89</v>
      </c>
      <c r="AY550" s="12">
        <f t="shared" si="155"/>
        <v>525913.96</v>
      </c>
      <c r="AZ550" s="12">
        <v>241.92</v>
      </c>
      <c r="BA550" s="18">
        <f t="shared" si="189"/>
        <v>9053.12</v>
      </c>
      <c r="BB550" s="10">
        <f t="shared" si="16"/>
        <v>1288195.35</v>
      </c>
      <c r="BC550" s="16">
        <f t="shared" si="88"/>
        <v>201505.2</v>
      </c>
      <c r="BD550" s="12">
        <v>0.0</v>
      </c>
      <c r="BE550" s="16">
        <f t="shared" si="190"/>
        <v>41945.53</v>
      </c>
      <c r="BF550" s="6"/>
      <c r="BG550" s="6"/>
      <c r="BH550" s="6"/>
      <c r="BI550" s="29">
        <f t="shared" si="186"/>
        <v>54109.83667</v>
      </c>
      <c r="BJ550" s="6"/>
      <c r="BK550" s="15">
        <f t="shared" si="76"/>
        <v>0.7408980043</v>
      </c>
      <c r="BN550" s="16">
        <f t="shared" si="187"/>
        <v>1826.053333</v>
      </c>
      <c r="BO550" s="16">
        <f t="shared" si="191"/>
        <v>-15184.40667</v>
      </c>
      <c r="BY550" s="6">
        <f t="shared" si="2"/>
        <v>2025</v>
      </c>
      <c r="BZ550" s="6" t="str">
        <f t="shared" si="3"/>
        <v>abril</v>
      </c>
      <c r="CA550" s="6" t="str">
        <f t="shared" si="4"/>
        <v>4</v>
      </c>
    </row>
    <row r="551">
      <c r="A551" s="8">
        <v>45758.0</v>
      </c>
      <c r="B551" s="12">
        <v>23889.91</v>
      </c>
      <c r="C551" s="12">
        <v>80337.2</v>
      </c>
      <c r="D551" s="12">
        <v>1385.54</v>
      </c>
      <c r="E551" s="12">
        <v>0.0</v>
      </c>
      <c r="F551" s="12">
        <v>0.0</v>
      </c>
      <c r="G551" s="12">
        <v>0.0</v>
      </c>
      <c r="H551" s="12">
        <f t="shared" si="149"/>
        <v>105612.65</v>
      </c>
      <c r="I551" s="12">
        <v>1579.03</v>
      </c>
      <c r="J551" s="12">
        <v>0.0</v>
      </c>
      <c r="K551" s="12">
        <v>1474.21</v>
      </c>
      <c r="L551" s="12">
        <v>0.0</v>
      </c>
      <c r="M551" s="12">
        <v>0.0</v>
      </c>
      <c r="N551" s="12">
        <v>0.0</v>
      </c>
      <c r="O551" s="16">
        <f t="shared" si="150"/>
        <v>3053.24</v>
      </c>
      <c r="P551" s="12">
        <v>6731.81</v>
      </c>
      <c r="Q551" s="12">
        <v>1666.88</v>
      </c>
      <c r="R551" s="12">
        <v>435.62</v>
      </c>
      <c r="S551" s="12">
        <v>0.0</v>
      </c>
      <c r="T551" s="12">
        <v>0.0</v>
      </c>
      <c r="U551" s="12">
        <v>0.0</v>
      </c>
      <c r="V551" s="16">
        <f t="shared" si="151"/>
        <v>8834.31</v>
      </c>
      <c r="W551" s="12">
        <v>11766.71</v>
      </c>
      <c r="X551" s="12">
        <v>551.24</v>
      </c>
      <c r="Y551" s="12">
        <v>3920.59</v>
      </c>
      <c r="Z551" s="12">
        <v>0.0</v>
      </c>
      <c r="AA551" s="12">
        <v>0.0</v>
      </c>
      <c r="AB551" s="12">
        <v>0.0</v>
      </c>
      <c r="AC551" s="16">
        <f t="shared" si="169"/>
        <v>16238.54</v>
      </c>
      <c r="AD551" s="12">
        <v>14833.29</v>
      </c>
      <c r="AE551" s="12">
        <v>1405.25</v>
      </c>
      <c r="AF551" s="12">
        <v>1442.61</v>
      </c>
      <c r="AG551" s="12">
        <v>0.0</v>
      </c>
      <c r="AH551" s="12">
        <v>0.0</v>
      </c>
      <c r="AI551" s="12">
        <v>0.0</v>
      </c>
      <c r="AJ551" s="12">
        <v>0.0</v>
      </c>
      <c r="AK551" s="12">
        <v>0.0</v>
      </c>
      <c r="AL551" s="12">
        <f t="shared" si="192"/>
        <v>1442.61</v>
      </c>
      <c r="AM551" s="12">
        <v>11553.0</v>
      </c>
      <c r="AN551" s="12">
        <v>0.0</v>
      </c>
      <c r="AO551" s="12">
        <v>6261.0</v>
      </c>
      <c r="AP551" s="12">
        <v>0.0</v>
      </c>
      <c r="AQ551" s="12">
        <v>0.0</v>
      </c>
      <c r="AR551" s="12">
        <v>0.0</v>
      </c>
      <c r="AS551" s="12">
        <f t="shared" si="168"/>
        <v>17814</v>
      </c>
      <c r="AT551" s="16">
        <f t="shared" si="194"/>
        <v>47382.7</v>
      </c>
      <c r="AU551" s="18">
        <f t="shared" si="188"/>
        <v>476781.15</v>
      </c>
      <c r="AV551" s="12">
        <v>9547.14</v>
      </c>
      <c r="AW551" s="10">
        <f t="shared" si="195"/>
        <v>64117.12</v>
      </c>
      <c r="AX551" s="12">
        <f t="shared" si="171"/>
        <v>56929.84</v>
      </c>
      <c r="AY551" s="12">
        <f t="shared" si="155"/>
        <v>601872.15</v>
      </c>
      <c r="AZ551" s="12">
        <v>1284.83</v>
      </c>
      <c r="BA551" s="18">
        <f t="shared" si="189"/>
        <v>10337.95</v>
      </c>
      <c r="BB551" s="10">
        <f t="shared" si="16"/>
        <v>1300312.227</v>
      </c>
      <c r="BC551" s="16">
        <f t="shared" si="88"/>
        <v>209985.9188</v>
      </c>
      <c r="BD551" s="12">
        <v>19028.35</v>
      </c>
      <c r="BE551" s="16">
        <f t="shared" si="190"/>
        <v>60973.88</v>
      </c>
      <c r="BF551" s="6"/>
      <c r="BG551" s="6"/>
      <c r="BH551" s="6"/>
      <c r="BI551" s="29">
        <f t="shared" si="186"/>
        <v>54109.83667</v>
      </c>
      <c r="BJ551" s="6"/>
      <c r="BK551" s="15">
        <f t="shared" si="76"/>
        <v>0.8756762711</v>
      </c>
      <c r="BN551" s="16">
        <f t="shared" si="187"/>
        <v>21848.35333</v>
      </c>
      <c r="BO551" s="16">
        <f t="shared" si="191"/>
        <v>6663.946667</v>
      </c>
      <c r="BY551" s="6">
        <f t="shared" si="2"/>
        <v>2025</v>
      </c>
      <c r="BZ551" s="6" t="str">
        <f t="shared" si="3"/>
        <v>abril</v>
      </c>
      <c r="CA551" s="6" t="str">
        <f t="shared" si="4"/>
        <v>4</v>
      </c>
    </row>
    <row r="552">
      <c r="A552" s="8">
        <v>45759.0</v>
      </c>
      <c r="B552" s="12">
        <v>0.0</v>
      </c>
      <c r="C552" s="12">
        <v>0.0</v>
      </c>
      <c r="D552" s="12">
        <v>0.0</v>
      </c>
      <c r="E552" s="12">
        <v>0.0</v>
      </c>
      <c r="F552" s="12">
        <v>0.0</v>
      </c>
      <c r="G552" s="12">
        <v>0.0</v>
      </c>
      <c r="H552" s="12">
        <f t="shared" si="149"/>
        <v>0</v>
      </c>
      <c r="I552" s="12">
        <v>0.0</v>
      </c>
      <c r="J552" s="12">
        <v>0.0</v>
      </c>
      <c r="K552" s="12">
        <v>0.0</v>
      </c>
      <c r="L552" s="12">
        <v>0.0</v>
      </c>
      <c r="M552" s="12">
        <v>0.0</v>
      </c>
      <c r="N552" s="12">
        <v>0.0</v>
      </c>
      <c r="O552" s="16">
        <f t="shared" si="150"/>
        <v>0</v>
      </c>
      <c r="P552" s="12">
        <v>0.0</v>
      </c>
      <c r="Q552" s="12">
        <v>0.0</v>
      </c>
      <c r="R552" s="12">
        <v>0.0</v>
      </c>
      <c r="S552" s="12">
        <v>0.0</v>
      </c>
      <c r="T552" s="12">
        <v>0.0</v>
      </c>
      <c r="U552" s="12">
        <v>0.0</v>
      </c>
      <c r="V552" s="16">
        <f t="shared" si="151"/>
        <v>0</v>
      </c>
      <c r="W552" s="12">
        <v>0.0</v>
      </c>
      <c r="X552" s="12">
        <v>0.0</v>
      </c>
      <c r="Y552" s="12">
        <v>0.0</v>
      </c>
      <c r="Z552" s="12">
        <v>0.0</v>
      </c>
      <c r="AA552" s="12">
        <v>0.0</v>
      </c>
      <c r="AB552" s="12">
        <v>0.0</v>
      </c>
      <c r="AC552" s="16">
        <f t="shared" si="169"/>
        <v>0</v>
      </c>
      <c r="AD552" s="12">
        <v>0.0</v>
      </c>
      <c r="AE552" s="12">
        <v>0.0</v>
      </c>
      <c r="AF552" s="12">
        <v>0.0</v>
      </c>
      <c r="AG552" s="12">
        <v>0.0</v>
      </c>
      <c r="AH552" s="12">
        <v>0.0</v>
      </c>
      <c r="AI552" s="12">
        <v>0.0</v>
      </c>
      <c r="AJ552" s="12">
        <v>0.0</v>
      </c>
      <c r="AK552" s="12">
        <v>0.0</v>
      </c>
      <c r="AL552" s="12">
        <f t="shared" si="192"/>
        <v>0</v>
      </c>
      <c r="AM552" s="12">
        <v>0.0</v>
      </c>
      <c r="AN552" s="12">
        <v>0.0</v>
      </c>
      <c r="AO552" s="12">
        <v>0.0</v>
      </c>
      <c r="AP552" s="12">
        <v>0.0</v>
      </c>
      <c r="AQ552" s="12">
        <v>0.0</v>
      </c>
      <c r="AR552" s="12">
        <v>0.0</v>
      </c>
      <c r="AS552" s="12">
        <f t="shared" si="168"/>
        <v>0</v>
      </c>
      <c r="AT552" s="5">
        <v>0.0</v>
      </c>
      <c r="AU552" s="18">
        <f t="shared" si="188"/>
        <v>476781.15</v>
      </c>
      <c r="AV552" s="12">
        <v>0.0</v>
      </c>
      <c r="AW552" s="10">
        <f t="shared" si="195"/>
        <v>64117.12</v>
      </c>
      <c r="AX552" s="12">
        <f t="shared" si="171"/>
        <v>0</v>
      </c>
      <c r="AY552" s="12">
        <f t="shared" si="155"/>
        <v>601872.15</v>
      </c>
      <c r="AZ552" s="12">
        <v>0.0</v>
      </c>
      <c r="BA552" s="18">
        <f t="shared" si="189"/>
        <v>10337.95</v>
      </c>
      <c r="BB552" s="10">
        <f t="shared" si="16"/>
        <v>1191952.875</v>
      </c>
      <c r="BC552" s="16">
        <f t="shared" si="88"/>
        <v>216282.5444</v>
      </c>
      <c r="BD552" s="12">
        <v>0.0</v>
      </c>
      <c r="BE552" s="16">
        <f t="shared" si="190"/>
        <v>60973.88</v>
      </c>
      <c r="BF552" s="6"/>
      <c r="BG552" s="6"/>
      <c r="BH552" s="6"/>
      <c r="BI552" s="29">
        <f t="shared" si="186"/>
        <v>54109.83667</v>
      </c>
      <c r="BJ552" s="6"/>
      <c r="BK552" s="15">
        <f t="shared" si="76"/>
        <v>0</v>
      </c>
      <c r="BN552" s="16">
        <f t="shared" si="187"/>
        <v>-54109.83667</v>
      </c>
      <c r="BO552" s="16">
        <f t="shared" si="191"/>
        <v>-47445.89</v>
      </c>
      <c r="BY552" s="6">
        <f t="shared" si="2"/>
        <v>2025</v>
      </c>
      <c r="BZ552" s="6" t="str">
        <f t="shared" si="3"/>
        <v>abril</v>
      </c>
      <c r="CA552" s="6" t="str">
        <f t="shared" si="4"/>
        <v>4</v>
      </c>
    </row>
    <row r="553">
      <c r="A553" s="8">
        <v>45760.0</v>
      </c>
      <c r="B553" s="12">
        <v>0.0</v>
      </c>
      <c r="C553" s="12">
        <v>0.0</v>
      </c>
      <c r="D553" s="12">
        <v>0.0</v>
      </c>
      <c r="E553" s="12">
        <v>0.0</v>
      </c>
      <c r="F553" s="12">
        <v>0.0</v>
      </c>
      <c r="G553" s="12">
        <v>0.0</v>
      </c>
      <c r="H553" s="12">
        <f t="shared" si="149"/>
        <v>0</v>
      </c>
      <c r="I553" s="12">
        <v>0.0</v>
      </c>
      <c r="J553" s="12">
        <v>0.0</v>
      </c>
      <c r="K553" s="12">
        <v>0.0</v>
      </c>
      <c r="L553" s="12">
        <v>0.0</v>
      </c>
      <c r="M553" s="12">
        <v>0.0</v>
      </c>
      <c r="N553" s="12">
        <v>0.0</v>
      </c>
      <c r="O553" s="16">
        <f t="shared" si="150"/>
        <v>0</v>
      </c>
      <c r="P553" s="12">
        <v>0.0</v>
      </c>
      <c r="Q553" s="12">
        <v>0.0</v>
      </c>
      <c r="R553" s="12">
        <v>0.0</v>
      </c>
      <c r="S553" s="12">
        <v>0.0</v>
      </c>
      <c r="T553" s="12">
        <v>0.0</v>
      </c>
      <c r="U553" s="12">
        <v>0.0</v>
      </c>
      <c r="V553" s="16">
        <f t="shared" si="151"/>
        <v>0</v>
      </c>
      <c r="W553" s="12">
        <v>0.0</v>
      </c>
      <c r="X553" s="12">
        <v>0.0</v>
      </c>
      <c r="Y553" s="12">
        <v>0.0</v>
      </c>
      <c r="Z553" s="12">
        <v>0.0</v>
      </c>
      <c r="AA553" s="12">
        <v>0.0</v>
      </c>
      <c r="AB553" s="12">
        <v>0.0</v>
      </c>
      <c r="AC553" s="16">
        <f t="shared" si="169"/>
        <v>0</v>
      </c>
      <c r="AD553" s="12">
        <v>0.0</v>
      </c>
      <c r="AE553" s="12">
        <v>0.0</v>
      </c>
      <c r="AF553" s="12">
        <v>0.0</v>
      </c>
      <c r="AG553" s="12">
        <v>0.0</v>
      </c>
      <c r="AH553" s="12">
        <v>0.0</v>
      </c>
      <c r="AI553" s="12">
        <v>0.0</v>
      </c>
      <c r="AJ553" s="12">
        <v>0.0</v>
      </c>
      <c r="AK553" s="12">
        <v>0.0</v>
      </c>
      <c r="AL553" s="12">
        <f t="shared" si="192"/>
        <v>0</v>
      </c>
      <c r="AM553" s="12">
        <v>0.0</v>
      </c>
      <c r="AN553" s="12">
        <v>0.0</v>
      </c>
      <c r="AO553" s="12">
        <v>0.0</v>
      </c>
      <c r="AP553" s="12">
        <v>0.0</v>
      </c>
      <c r="AQ553" s="12">
        <v>0.0</v>
      </c>
      <c r="AR553" s="12">
        <v>0.0</v>
      </c>
      <c r="AS553" s="12">
        <f t="shared" si="168"/>
        <v>0</v>
      </c>
      <c r="AT553" s="5">
        <v>0.0</v>
      </c>
      <c r="AU553" s="18">
        <f t="shared" si="188"/>
        <v>476781.15</v>
      </c>
      <c r="AV553" s="12">
        <v>0.0</v>
      </c>
      <c r="AW553" s="10">
        <f t="shared" si="195"/>
        <v>64117.12</v>
      </c>
      <c r="AX553" s="12">
        <f t="shared" si="171"/>
        <v>0</v>
      </c>
      <c r="AY553" s="12">
        <f t="shared" si="155"/>
        <v>601872.15</v>
      </c>
      <c r="AZ553" s="12">
        <v>0.0</v>
      </c>
      <c r="BA553" s="18">
        <f t="shared" si="189"/>
        <v>10337.95</v>
      </c>
      <c r="BB553" s="10">
        <f t="shared" si="16"/>
        <v>1100264.192</v>
      </c>
      <c r="BC553" s="16">
        <f t="shared" si="88"/>
        <v>214699.225</v>
      </c>
      <c r="BD553" s="12">
        <v>0.0</v>
      </c>
      <c r="BE553" s="16">
        <f t="shared" si="190"/>
        <v>60973.88</v>
      </c>
      <c r="BF553" s="6"/>
      <c r="BG553" s="6"/>
      <c r="BH553" s="6"/>
      <c r="BI553" s="29">
        <f t="shared" si="186"/>
        <v>54109.83667</v>
      </c>
      <c r="BJ553" s="6"/>
      <c r="BK553" s="15">
        <f t="shared" si="76"/>
        <v>0</v>
      </c>
      <c r="BN553" s="16">
        <f t="shared" si="187"/>
        <v>-54109.83667</v>
      </c>
      <c r="BO553" s="16">
        <f t="shared" si="191"/>
        <v>-101555.7267</v>
      </c>
      <c r="BY553" s="6">
        <f t="shared" si="2"/>
        <v>2025</v>
      </c>
      <c r="BZ553" s="6" t="str">
        <f t="shared" si="3"/>
        <v>abril</v>
      </c>
      <c r="CA553" s="6" t="str">
        <f t="shared" si="4"/>
        <v>4</v>
      </c>
    </row>
    <row r="554">
      <c r="A554" s="8">
        <v>45761.0</v>
      </c>
      <c r="B554" s="12">
        <v>128222.58</v>
      </c>
      <c r="C554" s="12">
        <v>2710.46</v>
      </c>
      <c r="D554" s="12">
        <v>1791.22</v>
      </c>
      <c r="E554" s="12">
        <v>0.0</v>
      </c>
      <c r="F554" s="12">
        <v>0.0</v>
      </c>
      <c r="G554" s="12">
        <v>0.0</v>
      </c>
      <c r="H554" s="12">
        <f t="shared" si="149"/>
        <v>132724.26</v>
      </c>
      <c r="I554" s="12">
        <v>20749.0</v>
      </c>
      <c r="J554" s="12">
        <v>3745.0</v>
      </c>
      <c r="K554" s="12">
        <v>1772.43</v>
      </c>
      <c r="L554" s="12">
        <v>0.0</v>
      </c>
      <c r="M554" s="12">
        <v>0.0</v>
      </c>
      <c r="N554" s="12">
        <v>0.0</v>
      </c>
      <c r="O554" s="16">
        <f t="shared" si="150"/>
        <v>26266.43</v>
      </c>
      <c r="P554" s="12">
        <v>9711.53</v>
      </c>
      <c r="Q554" s="12">
        <v>1095.78</v>
      </c>
      <c r="R554" s="12">
        <v>413.94</v>
      </c>
      <c r="S554" s="12">
        <v>0.0</v>
      </c>
      <c r="T554" s="12">
        <v>0.0</v>
      </c>
      <c r="U554" s="12">
        <v>0.0</v>
      </c>
      <c r="V554" s="16">
        <f t="shared" si="151"/>
        <v>11221.25</v>
      </c>
      <c r="W554" s="12">
        <v>5671.66</v>
      </c>
      <c r="X554" s="12">
        <v>395.96</v>
      </c>
      <c r="Y554" s="12">
        <v>0.0</v>
      </c>
      <c r="Z554" s="12">
        <v>0.0</v>
      </c>
      <c r="AA554" s="12">
        <v>0.0</v>
      </c>
      <c r="AB554" s="12">
        <v>0.0</v>
      </c>
      <c r="AC554" s="16">
        <f t="shared" si="169"/>
        <v>6067.62</v>
      </c>
      <c r="AD554" s="12">
        <v>5551.32</v>
      </c>
      <c r="AE554" s="12">
        <v>516.3</v>
      </c>
      <c r="AF554" s="12">
        <v>3985.41</v>
      </c>
      <c r="AG554" s="12">
        <v>986.34</v>
      </c>
      <c r="AH554" s="12">
        <v>0.0</v>
      </c>
      <c r="AI554" s="12">
        <v>0.0</v>
      </c>
      <c r="AJ554" s="12">
        <v>0.0</v>
      </c>
      <c r="AK554" s="12">
        <v>0.0</v>
      </c>
      <c r="AL554" s="12">
        <f t="shared" si="192"/>
        <v>4971.75</v>
      </c>
      <c r="AM554" s="12">
        <v>3962.0</v>
      </c>
      <c r="AN554" s="12">
        <v>0.0</v>
      </c>
      <c r="AO554" s="12">
        <v>0.0</v>
      </c>
      <c r="AP554" s="12">
        <v>0.0</v>
      </c>
      <c r="AQ554" s="12">
        <v>0.0</v>
      </c>
      <c r="AR554" s="12">
        <v>0.0</v>
      </c>
      <c r="AS554" s="12">
        <f t="shared" si="168"/>
        <v>3962</v>
      </c>
      <c r="AT554" s="16">
        <f t="shared" ref="AT554:AT555" si="196">IF(AS554+AL554+AC554+V554+O554=0,"",AS554+AL554+AC554+V554+O554)</f>
        <v>52489.05</v>
      </c>
      <c r="AU554" s="18">
        <f t="shared" si="188"/>
        <v>529270.2</v>
      </c>
      <c r="AV554" s="12">
        <v>24579.82</v>
      </c>
      <c r="AW554" s="10">
        <f t="shared" si="195"/>
        <v>88696.94</v>
      </c>
      <c r="AX554" s="12">
        <f t="shared" si="171"/>
        <v>77068.87</v>
      </c>
      <c r="AY554" s="12">
        <f t="shared" si="155"/>
        <v>680877.98</v>
      </c>
      <c r="AZ554" s="12">
        <v>4633.71</v>
      </c>
      <c r="BA554" s="18">
        <f t="shared" si="189"/>
        <v>14971.66</v>
      </c>
      <c r="BB554" s="10">
        <f t="shared" si="16"/>
        <v>1134150.429</v>
      </c>
      <c r="BC554" s="16">
        <f t="shared" si="88"/>
        <v>216718.7045</v>
      </c>
      <c r="BD554" s="12">
        <v>1936.96</v>
      </c>
      <c r="BE554" s="16">
        <f t="shared" si="190"/>
        <v>62910.84</v>
      </c>
      <c r="BF554" s="6"/>
      <c r="BG554" s="6"/>
      <c r="BH554" s="6"/>
      <c r="BI554" s="29">
        <f t="shared" si="186"/>
        <v>54109.83667</v>
      </c>
      <c r="BJ554" s="6"/>
      <c r="BK554" s="15">
        <f t="shared" si="76"/>
        <v>0.9700463582</v>
      </c>
      <c r="BN554" s="16">
        <f t="shared" si="187"/>
        <v>24895.99333</v>
      </c>
      <c r="BO554" s="16">
        <f t="shared" si="191"/>
        <v>-76659.73333</v>
      </c>
      <c r="BY554" s="6">
        <f t="shared" si="2"/>
        <v>2025</v>
      </c>
      <c r="BZ554" s="6" t="str">
        <f t="shared" si="3"/>
        <v>abril</v>
      </c>
      <c r="CA554" s="6" t="str">
        <f t="shared" si="4"/>
        <v>4</v>
      </c>
    </row>
    <row r="555">
      <c r="A555" s="8">
        <v>45762.0</v>
      </c>
      <c r="B555" s="12">
        <v>36723.82</v>
      </c>
      <c r="C555" s="12">
        <v>2627.25</v>
      </c>
      <c r="D555" s="12">
        <v>2755.89</v>
      </c>
      <c r="E555" s="12">
        <v>5566.25</v>
      </c>
      <c r="F555" s="12">
        <v>0.0</v>
      </c>
      <c r="G555" s="12">
        <v>0.0</v>
      </c>
      <c r="H555" s="12">
        <f t="shared" si="149"/>
        <v>47673.21</v>
      </c>
      <c r="I555" s="12">
        <v>48357.85</v>
      </c>
      <c r="J555" s="12">
        <v>1255.0</v>
      </c>
      <c r="K555" s="12">
        <v>1456.0</v>
      </c>
      <c r="L555" s="12">
        <v>1774.0</v>
      </c>
      <c r="M555" s="12">
        <v>0.0</v>
      </c>
      <c r="N555" s="12">
        <v>0.0</v>
      </c>
      <c r="O555" s="16">
        <f t="shared" si="150"/>
        <v>52842.85</v>
      </c>
      <c r="P555" s="12">
        <v>10470.4</v>
      </c>
      <c r="Q555" s="12">
        <v>2178.51</v>
      </c>
      <c r="R555" s="12">
        <v>956.65</v>
      </c>
      <c r="S555" s="12">
        <v>0.0</v>
      </c>
      <c r="T555" s="12">
        <v>0.0</v>
      </c>
      <c r="U555" s="12">
        <v>0.0</v>
      </c>
      <c r="V555" s="16">
        <f t="shared" si="151"/>
        <v>13605.56</v>
      </c>
      <c r="W555" s="12">
        <v>74.59</v>
      </c>
      <c r="X555" s="12">
        <v>0.0</v>
      </c>
      <c r="Y555" s="12">
        <v>0.0</v>
      </c>
      <c r="Z555" s="12">
        <v>0.0</v>
      </c>
      <c r="AA555" s="12">
        <v>0.0</v>
      </c>
      <c r="AB555" s="12">
        <v>0.0</v>
      </c>
      <c r="AC555" s="16">
        <f t="shared" si="169"/>
        <v>74.59</v>
      </c>
      <c r="AD555" s="12">
        <v>0.0</v>
      </c>
      <c r="AE555" s="12">
        <v>74.59</v>
      </c>
      <c r="AF555" s="12">
        <v>7688.77</v>
      </c>
      <c r="AG555" s="12">
        <v>4067.38</v>
      </c>
      <c r="AH555" s="12">
        <v>0.0</v>
      </c>
      <c r="AI555" s="12">
        <v>0.0</v>
      </c>
      <c r="AJ555" s="12">
        <v>0.0</v>
      </c>
      <c r="AK555" s="12">
        <v>0.0</v>
      </c>
      <c r="AL555" s="12">
        <f t="shared" si="192"/>
        <v>11756.15</v>
      </c>
      <c r="AM555" s="12">
        <v>0.0</v>
      </c>
      <c r="AN555" s="12">
        <v>0.0</v>
      </c>
      <c r="AO555" s="12">
        <v>0.0</v>
      </c>
      <c r="AP555" s="12">
        <v>0.0</v>
      </c>
      <c r="AQ555" s="12">
        <v>0.0</v>
      </c>
      <c r="AR555" s="12">
        <v>0.0</v>
      </c>
      <c r="AS555" s="12">
        <f t="shared" si="168"/>
        <v>0</v>
      </c>
      <c r="AT555" s="16">
        <f t="shared" si="196"/>
        <v>78279.15</v>
      </c>
      <c r="AU555" s="18">
        <f t="shared" si="188"/>
        <v>607549.35</v>
      </c>
      <c r="AV555" s="12">
        <v>20323.34</v>
      </c>
      <c r="AW555" s="10">
        <f t="shared" si="195"/>
        <v>109020.28</v>
      </c>
      <c r="AX555" s="12">
        <f t="shared" si="171"/>
        <v>98602.49</v>
      </c>
      <c r="AY555" s="12">
        <f t="shared" si="155"/>
        <v>779480.47</v>
      </c>
      <c r="AZ555" s="12">
        <v>1100.23</v>
      </c>
      <c r="BA555" s="18">
        <f t="shared" si="189"/>
        <v>16071.89</v>
      </c>
      <c r="BB555" s="10">
        <f t="shared" si="16"/>
        <v>1215098.7</v>
      </c>
      <c r="BC555" s="16">
        <f t="shared" si="88"/>
        <v>198658.8125</v>
      </c>
      <c r="BD555" s="12">
        <v>0.0</v>
      </c>
      <c r="BE555" s="16">
        <f t="shared" si="190"/>
        <v>62910.84</v>
      </c>
      <c r="BF555" s="6"/>
      <c r="BG555" s="6"/>
      <c r="BH555" s="6"/>
      <c r="BI555" s="29">
        <f t="shared" si="186"/>
        <v>54109.83667</v>
      </c>
      <c r="BK555" s="15">
        <f t="shared" si="76"/>
        <v>1.446671342</v>
      </c>
      <c r="BN555" s="16">
        <f t="shared" si="187"/>
        <v>44492.65333</v>
      </c>
      <c r="BO555" s="16">
        <f t="shared" si="191"/>
        <v>-32167.08</v>
      </c>
      <c r="BY555" s="6">
        <f t="shared" si="2"/>
        <v>2025</v>
      </c>
      <c r="BZ555" s="6" t="str">
        <f t="shared" si="3"/>
        <v>abril</v>
      </c>
      <c r="CA555" s="6" t="str">
        <f t="shared" si="4"/>
        <v>4</v>
      </c>
    </row>
    <row r="556">
      <c r="A556" s="8">
        <v>45763.0</v>
      </c>
      <c r="B556" s="12">
        <v>0.0</v>
      </c>
      <c r="C556" s="12">
        <v>0.0</v>
      </c>
      <c r="D556" s="12">
        <v>0.0</v>
      </c>
      <c r="E556" s="12">
        <v>0.0</v>
      </c>
      <c r="F556" s="12">
        <v>0.0</v>
      </c>
      <c r="G556" s="12">
        <v>0.0</v>
      </c>
      <c r="H556" s="12">
        <f t="shared" si="149"/>
        <v>0</v>
      </c>
      <c r="I556" s="12">
        <v>0.0</v>
      </c>
      <c r="J556" s="12">
        <v>0.0</v>
      </c>
      <c r="K556" s="12">
        <v>0.0</v>
      </c>
      <c r="L556" s="12">
        <v>0.0</v>
      </c>
      <c r="M556" s="12">
        <v>0.0</v>
      </c>
      <c r="N556" s="12">
        <v>0.0</v>
      </c>
      <c r="O556" s="16">
        <f t="shared" si="150"/>
        <v>0</v>
      </c>
      <c r="P556" s="12">
        <v>0.0</v>
      </c>
      <c r="Q556" s="12">
        <v>0.0</v>
      </c>
      <c r="R556" s="12">
        <v>0.0</v>
      </c>
      <c r="S556" s="12">
        <v>0.0</v>
      </c>
      <c r="T556" s="12">
        <v>0.0</v>
      </c>
      <c r="U556" s="12">
        <v>0.0</v>
      </c>
      <c r="V556" s="16">
        <f t="shared" si="151"/>
        <v>0</v>
      </c>
      <c r="W556" s="12">
        <v>0.0</v>
      </c>
      <c r="X556" s="12">
        <v>0.0</v>
      </c>
      <c r="Y556" s="12">
        <v>0.0</v>
      </c>
      <c r="Z556" s="12">
        <v>0.0</v>
      </c>
      <c r="AA556" s="12">
        <v>0.0</v>
      </c>
      <c r="AB556" s="12">
        <v>0.0</v>
      </c>
      <c r="AC556" s="16">
        <f t="shared" si="169"/>
        <v>0</v>
      </c>
      <c r="AD556" s="12">
        <v>0.0</v>
      </c>
      <c r="AE556" s="12">
        <v>0.0</v>
      </c>
      <c r="AF556" s="12">
        <v>0.0</v>
      </c>
      <c r="AG556" s="12">
        <v>0.0</v>
      </c>
      <c r="AH556" s="12">
        <v>0.0</v>
      </c>
      <c r="AI556" s="12">
        <v>0.0</v>
      </c>
      <c r="AJ556" s="12">
        <v>0.0</v>
      </c>
      <c r="AK556" s="12">
        <v>0.0</v>
      </c>
      <c r="AL556" s="12">
        <f t="shared" si="192"/>
        <v>0</v>
      </c>
      <c r="AM556" s="12">
        <v>0.0</v>
      </c>
      <c r="AN556" s="12">
        <v>0.0</v>
      </c>
      <c r="AO556" s="12">
        <v>0.0</v>
      </c>
      <c r="AP556" s="12">
        <v>0.0</v>
      </c>
      <c r="AQ556" s="12">
        <v>0.0</v>
      </c>
      <c r="AR556" s="12">
        <v>0.0</v>
      </c>
      <c r="AS556" s="12">
        <f t="shared" si="168"/>
        <v>0</v>
      </c>
      <c r="AT556" s="5">
        <v>0.0</v>
      </c>
      <c r="AU556" s="18">
        <f t="shared" si="188"/>
        <v>607549.35</v>
      </c>
      <c r="AV556" s="12">
        <v>0.0</v>
      </c>
      <c r="AW556" s="10">
        <f t="shared" si="195"/>
        <v>109020.28</v>
      </c>
      <c r="AX556" s="12">
        <f t="shared" si="171"/>
        <v>0</v>
      </c>
      <c r="AY556" s="12">
        <f t="shared" si="155"/>
        <v>779480.47</v>
      </c>
      <c r="AZ556" s="12">
        <v>0.0</v>
      </c>
      <c r="BA556" s="18">
        <f t="shared" si="189"/>
        <v>16071.89</v>
      </c>
      <c r="BB556" s="10">
        <f t="shared" si="16"/>
        <v>1139155.031</v>
      </c>
      <c r="BC556" s="16">
        <f t="shared" si="88"/>
        <v>183377.3654</v>
      </c>
      <c r="BD556" s="12">
        <v>0.0</v>
      </c>
      <c r="BE556" s="16">
        <f t="shared" si="190"/>
        <v>62910.84</v>
      </c>
      <c r="BF556" s="6"/>
      <c r="BG556" s="6"/>
      <c r="BH556" s="6"/>
      <c r="BI556" s="29">
        <f t="shared" si="186"/>
        <v>54109.83667</v>
      </c>
      <c r="BJ556" s="6"/>
      <c r="BK556" s="15">
        <f t="shared" si="76"/>
        <v>0</v>
      </c>
      <c r="BN556" s="16">
        <f t="shared" si="187"/>
        <v>-54109.83667</v>
      </c>
      <c r="BO556" s="16">
        <f t="shared" si="191"/>
        <v>-86276.91667</v>
      </c>
      <c r="BY556" s="6">
        <f t="shared" si="2"/>
        <v>2025</v>
      </c>
      <c r="BZ556" s="6" t="str">
        <f t="shared" si="3"/>
        <v>abril</v>
      </c>
      <c r="CA556" s="6" t="str">
        <f t="shared" si="4"/>
        <v>4</v>
      </c>
    </row>
    <row r="557">
      <c r="A557" s="8">
        <v>45764.0</v>
      </c>
      <c r="B557" s="12">
        <v>0.0</v>
      </c>
      <c r="C557" s="12">
        <v>0.0</v>
      </c>
      <c r="D557" s="12">
        <v>0.0</v>
      </c>
      <c r="E557" s="12">
        <v>0.0</v>
      </c>
      <c r="F557" s="12">
        <v>0.0</v>
      </c>
      <c r="G557" s="12">
        <v>0.0</v>
      </c>
      <c r="H557" s="12">
        <f t="shared" si="149"/>
        <v>0</v>
      </c>
      <c r="I557" s="12">
        <v>0.0</v>
      </c>
      <c r="J557" s="12">
        <v>0.0</v>
      </c>
      <c r="K557" s="12">
        <v>0.0</v>
      </c>
      <c r="L557" s="12">
        <v>0.0</v>
      </c>
      <c r="M557" s="12">
        <v>0.0</v>
      </c>
      <c r="N557" s="12">
        <v>0.0</v>
      </c>
      <c r="O557" s="16">
        <f t="shared" si="150"/>
        <v>0</v>
      </c>
      <c r="P557" s="12">
        <v>0.0</v>
      </c>
      <c r="Q557" s="12">
        <v>0.0</v>
      </c>
      <c r="R557" s="12">
        <v>0.0</v>
      </c>
      <c r="S557" s="12">
        <v>0.0</v>
      </c>
      <c r="T557" s="12">
        <v>0.0</v>
      </c>
      <c r="U557" s="12">
        <v>0.0</v>
      </c>
      <c r="V557" s="16">
        <f t="shared" si="151"/>
        <v>0</v>
      </c>
      <c r="W557" s="12">
        <v>0.0</v>
      </c>
      <c r="X557" s="12">
        <v>0.0</v>
      </c>
      <c r="Y557" s="12">
        <v>0.0</v>
      </c>
      <c r="Z557" s="12">
        <v>0.0</v>
      </c>
      <c r="AA557" s="12">
        <v>0.0</v>
      </c>
      <c r="AB557" s="12">
        <v>0.0</v>
      </c>
      <c r="AC557" s="16">
        <f t="shared" si="169"/>
        <v>0</v>
      </c>
      <c r="AD557" s="12">
        <v>0.0</v>
      </c>
      <c r="AE557" s="12">
        <v>0.0</v>
      </c>
      <c r="AF557" s="12">
        <v>0.0</v>
      </c>
      <c r="AG557" s="12">
        <v>0.0</v>
      </c>
      <c r="AH557" s="12">
        <v>0.0</v>
      </c>
      <c r="AI557" s="12">
        <v>0.0</v>
      </c>
      <c r="AJ557" s="12">
        <v>0.0</v>
      </c>
      <c r="AK557" s="12">
        <v>0.0</v>
      </c>
      <c r="AL557" s="12">
        <f t="shared" si="192"/>
        <v>0</v>
      </c>
      <c r="AM557" s="12">
        <v>0.0</v>
      </c>
      <c r="AN557" s="12">
        <v>0.0</v>
      </c>
      <c r="AO557" s="12">
        <v>0.0</v>
      </c>
      <c r="AP557" s="12">
        <v>0.0</v>
      </c>
      <c r="AQ557" s="12">
        <v>0.0</v>
      </c>
      <c r="AR557" s="12">
        <v>0.0</v>
      </c>
      <c r="AS557" s="12">
        <f t="shared" si="168"/>
        <v>0</v>
      </c>
      <c r="AT557" s="5">
        <v>0.0</v>
      </c>
      <c r="AU557" s="18">
        <f t="shared" si="188"/>
        <v>607549.35</v>
      </c>
      <c r="AV557" s="12">
        <v>0.0</v>
      </c>
      <c r="AW557" s="10">
        <f t="shared" si="195"/>
        <v>109020.28</v>
      </c>
      <c r="AX557" s="12">
        <f t="shared" si="171"/>
        <v>0</v>
      </c>
      <c r="AY557" s="12">
        <f t="shared" si="155"/>
        <v>779480.47</v>
      </c>
      <c r="AZ557" s="12">
        <v>0.0</v>
      </c>
      <c r="BA557" s="18">
        <f t="shared" si="189"/>
        <v>16071.89</v>
      </c>
      <c r="BB557" s="10">
        <f t="shared" si="16"/>
        <v>1072145.912</v>
      </c>
      <c r="BC557" s="16">
        <f t="shared" si="88"/>
        <v>189025.0714</v>
      </c>
      <c r="BD557" s="12">
        <v>0.0</v>
      </c>
      <c r="BE557" s="16">
        <f t="shared" si="190"/>
        <v>62910.84</v>
      </c>
      <c r="BF557" s="6"/>
      <c r="BG557" s="6"/>
      <c r="BH557" s="6"/>
      <c r="BI557" s="29">
        <f t="shared" si="186"/>
        <v>54109.83667</v>
      </c>
      <c r="BJ557" s="6"/>
      <c r="BK557" s="15">
        <f t="shared" si="76"/>
        <v>0</v>
      </c>
      <c r="BN557" s="16">
        <f t="shared" si="187"/>
        <v>-54109.83667</v>
      </c>
      <c r="BO557" s="16">
        <f t="shared" si="191"/>
        <v>-140386.7533</v>
      </c>
      <c r="BY557" s="6">
        <f t="shared" si="2"/>
        <v>2025</v>
      </c>
      <c r="BZ557" s="6" t="str">
        <f t="shared" si="3"/>
        <v>abril</v>
      </c>
      <c r="CA557" s="6" t="str">
        <f t="shared" si="4"/>
        <v>4</v>
      </c>
    </row>
    <row r="558">
      <c r="A558" s="8">
        <v>45765.0</v>
      </c>
      <c r="B558" s="12">
        <v>0.0</v>
      </c>
      <c r="C558" s="12">
        <v>0.0</v>
      </c>
      <c r="D558" s="12">
        <v>0.0</v>
      </c>
      <c r="E558" s="12">
        <v>0.0</v>
      </c>
      <c r="F558" s="12">
        <v>0.0</v>
      </c>
      <c r="G558" s="12">
        <v>0.0</v>
      </c>
      <c r="H558" s="12">
        <f t="shared" si="149"/>
        <v>0</v>
      </c>
      <c r="I558" s="12">
        <v>0.0</v>
      </c>
      <c r="J558" s="12">
        <v>0.0</v>
      </c>
      <c r="K558" s="12">
        <v>0.0</v>
      </c>
      <c r="L558" s="12">
        <v>0.0</v>
      </c>
      <c r="M558" s="12">
        <v>0.0</v>
      </c>
      <c r="N558" s="12">
        <v>0.0</v>
      </c>
      <c r="O558" s="16">
        <f t="shared" si="150"/>
        <v>0</v>
      </c>
      <c r="P558" s="12">
        <v>0.0</v>
      </c>
      <c r="Q558" s="12">
        <v>0.0</v>
      </c>
      <c r="R558" s="12">
        <v>0.0</v>
      </c>
      <c r="S558" s="12">
        <v>0.0</v>
      </c>
      <c r="T558" s="12">
        <v>0.0</v>
      </c>
      <c r="U558" s="12">
        <v>0.0</v>
      </c>
      <c r="V558" s="16">
        <f t="shared" si="151"/>
        <v>0</v>
      </c>
      <c r="W558" s="12">
        <v>0.0</v>
      </c>
      <c r="X558" s="12">
        <v>0.0</v>
      </c>
      <c r="Y558" s="12">
        <v>0.0</v>
      </c>
      <c r="Z558" s="12">
        <v>0.0</v>
      </c>
      <c r="AA558" s="12">
        <v>0.0</v>
      </c>
      <c r="AB558" s="12">
        <v>0.0</v>
      </c>
      <c r="AC558" s="16">
        <f t="shared" si="169"/>
        <v>0</v>
      </c>
      <c r="AD558" s="12">
        <v>0.0</v>
      </c>
      <c r="AE558" s="12">
        <v>0.0</v>
      </c>
      <c r="AF558" s="12">
        <v>0.0</v>
      </c>
      <c r="AG558" s="12">
        <v>0.0</v>
      </c>
      <c r="AH558" s="12">
        <v>0.0</v>
      </c>
      <c r="AI558" s="12">
        <v>0.0</v>
      </c>
      <c r="AJ558" s="12">
        <v>0.0</v>
      </c>
      <c r="AK558" s="12">
        <v>0.0</v>
      </c>
      <c r="AL558" s="12">
        <f t="shared" si="192"/>
        <v>0</v>
      </c>
      <c r="AM558" s="12">
        <v>0.0</v>
      </c>
      <c r="AN558" s="12">
        <v>0.0</v>
      </c>
      <c r="AO558" s="12">
        <v>0.0</v>
      </c>
      <c r="AP558" s="12">
        <v>0.0</v>
      </c>
      <c r="AQ558" s="12">
        <v>0.0</v>
      </c>
      <c r="AR558" s="12">
        <v>0.0</v>
      </c>
      <c r="AS558" s="12">
        <f t="shared" si="168"/>
        <v>0</v>
      </c>
      <c r="AT558" s="5">
        <v>0.0</v>
      </c>
      <c r="AU558" s="18">
        <f t="shared" si="188"/>
        <v>607549.35</v>
      </c>
      <c r="AV558" s="12">
        <v>0.0</v>
      </c>
      <c r="AW558" s="10">
        <f t="shared" si="195"/>
        <v>109020.28</v>
      </c>
      <c r="AX558" s="12">
        <f t="shared" si="171"/>
        <v>0</v>
      </c>
      <c r="AY558" s="12">
        <f t="shared" si="155"/>
        <v>779480.47</v>
      </c>
      <c r="AZ558" s="12">
        <v>0.0</v>
      </c>
      <c r="BA558" s="18">
        <f t="shared" si="189"/>
        <v>16071.89</v>
      </c>
      <c r="BB558" s="10">
        <f t="shared" si="16"/>
        <v>1012582.25</v>
      </c>
      <c r="BC558" s="16">
        <f t="shared" si="88"/>
        <v>202516.45</v>
      </c>
      <c r="BD558" s="12">
        <v>0.0</v>
      </c>
      <c r="BE558" s="16">
        <f t="shared" si="190"/>
        <v>62910.84</v>
      </c>
      <c r="BF558" s="6"/>
      <c r="BG558" s="6"/>
      <c r="BH558" s="6"/>
      <c r="BI558" s="29">
        <f t="shared" si="186"/>
        <v>54109.83667</v>
      </c>
      <c r="BJ558" s="6"/>
      <c r="BK558" s="15">
        <f t="shared" si="76"/>
        <v>0</v>
      </c>
      <c r="BN558" s="16">
        <f t="shared" si="187"/>
        <v>-54109.83667</v>
      </c>
      <c r="BO558" s="16">
        <f t="shared" si="191"/>
        <v>-194496.59</v>
      </c>
      <c r="BY558" s="6">
        <f t="shared" si="2"/>
        <v>2025</v>
      </c>
      <c r="BZ558" s="6" t="str">
        <f t="shared" si="3"/>
        <v>abril</v>
      </c>
      <c r="CA558" s="6" t="str">
        <f t="shared" si="4"/>
        <v>4</v>
      </c>
    </row>
    <row r="559">
      <c r="A559" s="8">
        <v>45766.0</v>
      </c>
      <c r="B559" s="12">
        <v>0.0</v>
      </c>
      <c r="C559" s="12">
        <v>0.0</v>
      </c>
      <c r="D559" s="12">
        <v>0.0</v>
      </c>
      <c r="E559" s="12">
        <v>0.0</v>
      </c>
      <c r="F559" s="12">
        <v>0.0</v>
      </c>
      <c r="G559" s="12">
        <v>0.0</v>
      </c>
      <c r="H559" s="12">
        <f t="shared" si="149"/>
        <v>0</v>
      </c>
      <c r="I559" s="12">
        <v>0.0</v>
      </c>
      <c r="J559" s="12">
        <v>0.0</v>
      </c>
      <c r="K559" s="12">
        <v>0.0</v>
      </c>
      <c r="L559" s="12">
        <v>0.0</v>
      </c>
      <c r="M559" s="12">
        <v>0.0</v>
      </c>
      <c r="N559" s="12">
        <v>0.0</v>
      </c>
      <c r="O559" s="16">
        <f t="shared" si="150"/>
        <v>0</v>
      </c>
      <c r="P559" s="12">
        <v>0.0</v>
      </c>
      <c r="Q559" s="12">
        <v>0.0</v>
      </c>
      <c r="R559" s="12">
        <v>0.0</v>
      </c>
      <c r="S559" s="12">
        <v>0.0</v>
      </c>
      <c r="T559" s="12">
        <v>0.0</v>
      </c>
      <c r="U559" s="12">
        <v>0.0</v>
      </c>
      <c r="V559" s="16">
        <f t="shared" si="151"/>
        <v>0</v>
      </c>
      <c r="W559" s="12">
        <v>0.0</v>
      </c>
      <c r="X559" s="12">
        <v>0.0</v>
      </c>
      <c r="Y559" s="12">
        <v>0.0</v>
      </c>
      <c r="Z559" s="12">
        <v>0.0</v>
      </c>
      <c r="AA559" s="12">
        <v>0.0</v>
      </c>
      <c r="AB559" s="12">
        <v>0.0</v>
      </c>
      <c r="AC559" s="16">
        <f t="shared" si="169"/>
        <v>0</v>
      </c>
      <c r="AD559" s="12">
        <v>0.0</v>
      </c>
      <c r="AE559" s="12">
        <v>0.0</v>
      </c>
      <c r="AF559" s="12">
        <v>0.0</v>
      </c>
      <c r="AG559" s="12">
        <v>0.0</v>
      </c>
      <c r="AH559" s="12">
        <v>0.0</v>
      </c>
      <c r="AI559" s="12">
        <v>0.0</v>
      </c>
      <c r="AJ559" s="12">
        <v>0.0</v>
      </c>
      <c r="AK559" s="12">
        <v>0.0</v>
      </c>
      <c r="AL559" s="12">
        <f t="shared" si="192"/>
        <v>0</v>
      </c>
      <c r="AM559" s="12">
        <v>0.0</v>
      </c>
      <c r="AN559" s="12">
        <v>0.0</v>
      </c>
      <c r="AO559" s="12">
        <v>0.0</v>
      </c>
      <c r="AP559" s="12">
        <v>0.0</v>
      </c>
      <c r="AQ559" s="12">
        <v>0.0</v>
      </c>
      <c r="AR559" s="12">
        <v>0.0</v>
      </c>
      <c r="AS559" s="12">
        <f t="shared" si="168"/>
        <v>0</v>
      </c>
      <c r="AT559" s="5">
        <v>0.0</v>
      </c>
      <c r="AU559" s="18">
        <f t="shared" si="188"/>
        <v>607549.35</v>
      </c>
      <c r="AV559" s="12">
        <v>0.0</v>
      </c>
      <c r="AW559" s="10">
        <f t="shared" si="195"/>
        <v>109020.28</v>
      </c>
      <c r="AX559" s="12">
        <f t="shared" si="171"/>
        <v>0</v>
      </c>
      <c r="AY559" s="12">
        <f t="shared" si="155"/>
        <v>779480.47</v>
      </c>
      <c r="AZ559" s="12">
        <v>0.0</v>
      </c>
      <c r="BA559" s="18">
        <f t="shared" si="189"/>
        <v>16071.89</v>
      </c>
      <c r="BB559" s="10">
        <f t="shared" si="16"/>
        <v>959288.4474</v>
      </c>
      <c r="BC559" s="16">
        <f t="shared" si="88"/>
        <v>189859.1719</v>
      </c>
      <c r="BD559" s="12">
        <v>0.0</v>
      </c>
      <c r="BE559" s="16">
        <f t="shared" si="190"/>
        <v>62910.84</v>
      </c>
      <c r="BF559" s="6"/>
      <c r="BG559" s="6"/>
      <c r="BH559" s="6"/>
      <c r="BI559" s="29">
        <f t="shared" si="186"/>
        <v>54109.83667</v>
      </c>
      <c r="BJ559" s="6"/>
      <c r="BK559" s="15">
        <f t="shared" si="76"/>
        <v>0</v>
      </c>
      <c r="BN559" s="16">
        <f t="shared" si="187"/>
        <v>-54109.83667</v>
      </c>
      <c r="BO559" s="16">
        <f t="shared" si="191"/>
        <v>-248606.4267</v>
      </c>
      <c r="BY559" s="6">
        <f t="shared" si="2"/>
        <v>2025</v>
      </c>
      <c r="BZ559" s="6" t="str">
        <f t="shared" si="3"/>
        <v>abril</v>
      </c>
      <c r="CA559" s="6" t="str">
        <f t="shared" si="4"/>
        <v>4</v>
      </c>
    </row>
    <row r="560">
      <c r="A560" s="8">
        <v>45767.0</v>
      </c>
      <c r="B560" s="12">
        <v>0.0</v>
      </c>
      <c r="C560" s="12">
        <v>0.0</v>
      </c>
      <c r="D560" s="12">
        <v>0.0</v>
      </c>
      <c r="E560" s="12">
        <v>0.0</v>
      </c>
      <c r="F560" s="12">
        <v>0.0</v>
      </c>
      <c r="G560" s="12">
        <v>0.0</v>
      </c>
      <c r="H560" s="12">
        <f t="shared" si="149"/>
        <v>0</v>
      </c>
      <c r="I560" s="12">
        <v>0.0</v>
      </c>
      <c r="J560" s="12">
        <v>0.0</v>
      </c>
      <c r="K560" s="12">
        <v>0.0</v>
      </c>
      <c r="L560" s="12">
        <v>0.0</v>
      </c>
      <c r="M560" s="12">
        <v>0.0</v>
      </c>
      <c r="N560" s="12">
        <v>0.0</v>
      </c>
      <c r="O560" s="16">
        <f t="shared" si="150"/>
        <v>0</v>
      </c>
      <c r="P560" s="12">
        <v>0.0</v>
      </c>
      <c r="Q560" s="12">
        <v>0.0</v>
      </c>
      <c r="R560" s="12">
        <v>0.0</v>
      </c>
      <c r="S560" s="12">
        <v>0.0</v>
      </c>
      <c r="T560" s="12">
        <v>0.0</v>
      </c>
      <c r="U560" s="12">
        <v>0.0</v>
      </c>
      <c r="V560" s="16">
        <f t="shared" si="151"/>
        <v>0</v>
      </c>
      <c r="W560" s="12">
        <v>0.0</v>
      </c>
      <c r="X560" s="12">
        <v>0.0</v>
      </c>
      <c r="Y560" s="12">
        <v>0.0</v>
      </c>
      <c r="Z560" s="12">
        <v>0.0</v>
      </c>
      <c r="AA560" s="12">
        <v>0.0</v>
      </c>
      <c r="AB560" s="12">
        <v>0.0</v>
      </c>
      <c r="AC560" s="16">
        <f t="shared" si="169"/>
        <v>0</v>
      </c>
      <c r="AD560" s="12">
        <v>0.0</v>
      </c>
      <c r="AE560" s="12">
        <v>0.0</v>
      </c>
      <c r="AF560" s="12">
        <v>0.0</v>
      </c>
      <c r="AG560" s="12">
        <v>0.0</v>
      </c>
      <c r="AH560" s="12">
        <v>0.0</v>
      </c>
      <c r="AI560" s="12">
        <v>0.0</v>
      </c>
      <c r="AJ560" s="12">
        <v>0.0</v>
      </c>
      <c r="AK560" s="12">
        <v>0.0</v>
      </c>
      <c r="AL560" s="12">
        <f t="shared" si="192"/>
        <v>0</v>
      </c>
      <c r="AM560" s="12">
        <v>0.0</v>
      </c>
      <c r="AN560" s="12">
        <v>0.0</v>
      </c>
      <c r="AO560" s="12">
        <v>0.0</v>
      </c>
      <c r="AP560" s="12">
        <v>0.0</v>
      </c>
      <c r="AQ560" s="12">
        <v>0.0</v>
      </c>
      <c r="AR560" s="12">
        <v>0.0</v>
      </c>
      <c r="AS560" s="12">
        <f t="shared" si="168"/>
        <v>0</v>
      </c>
      <c r="AT560" s="5">
        <v>0.0</v>
      </c>
      <c r="AU560" s="18">
        <f t="shared" si="188"/>
        <v>607549.35</v>
      </c>
      <c r="AV560" s="12">
        <v>0.0</v>
      </c>
      <c r="AW560" s="10">
        <f t="shared" si="195"/>
        <v>109020.28</v>
      </c>
      <c r="AX560" s="12">
        <f t="shared" si="171"/>
        <v>0</v>
      </c>
      <c r="AY560" s="12">
        <f t="shared" si="155"/>
        <v>779480.47</v>
      </c>
      <c r="AZ560" s="12">
        <v>0.0</v>
      </c>
      <c r="BA560" s="18">
        <f t="shared" si="189"/>
        <v>16071.89</v>
      </c>
      <c r="BB560" s="10">
        <f t="shared" si="16"/>
        <v>911324.025</v>
      </c>
      <c r="BC560" s="16">
        <f t="shared" si="88"/>
        <v>178690.9853</v>
      </c>
      <c r="BD560" s="12">
        <v>0.0</v>
      </c>
      <c r="BE560" s="16">
        <f t="shared" si="190"/>
        <v>62910.84</v>
      </c>
      <c r="BF560" s="6"/>
      <c r="BG560" s="6"/>
      <c r="BH560" s="6"/>
      <c r="BI560" s="29">
        <f t="shared" si="186"/>
        <v>54109.83667</v>
      </c>
      <c r="BJ560" s="6"/>
      <c r="BK560" s="15">
        <f t="shared" si="76"/>
        <v>0</v>
      </c>
      <c r="BN560" s="16">
        <f t="shared" si="187"/>
        <v>-54109.83667</v>
      </c>
      <c r="BO560" s="16">
        <f t="shared" si="191"/>
        <v>-302716.2633</v>
      </c>
      <c r="BY560" s="6">
        <f t="shared" si="2"/>
        <v>2025</v>
      </c>
      <c r="BZ560" s="6" t="str">
        <f t="shared" si="3"/>
        <v>abril</v>
      </c>
      <c r="CA560" s="6" t="str">
        <f t="shared" si="4"/>
        <v>4</v>
      </c>
    </row>
    <row r="561">
      <c r="A561" s="8">
        <v>45768.0</v>
      </c>
      <c r="B561" s="12">
        <v>48463.48</v>
      </c>
      <c r="C561" s="12">
        <v>3949.29</v>
      </c>
      <c r="D561" s="12">
        <v>790.34</v>
      </c>
      <c r="E561" s="12">
        <v>0.0</v>
      </c>
      <c r="F561" s="12">
        <v>0.0</v>
      </c>
      <c r="G561" s="12">
        <v>0.0</v>
      </c>
      <c r="H561" s="12">
        <f t="shared" si="149"/>
        <v>53203.11</v>
      </c>
      <c r="I561" s="12">
        <v>20554.0</v>
      </c>
      <c r="J561" s="12">
        <v>1500.22</v>
      </c>
      <c r="K561" s="12">
        <v>0.0</v>
      </c>
      <c r="L561" s="12">
        <v>0.0</v>
      </c>
      <c r="M561" s="12">
        <v>0.0</v>
      </c>
      <c r="N561" s="12">
        <v>0.0</v>
      </c>
      <c r="O561" s="16">
        <f t="shared" si="150"/>
        <v>22054.22</v>
      </c>
      <c r="P561" s="12">
        <v>13790.15</v>
      </c>
      <c r="Q561" s="12">
        <v>2017.93</v>
      </c>
      <c r="R561" s="12">
        <v>510.77</v>
      </c>
      <c r="S561" s="12">
        <v>0.0</v>
      </c>
      <c r="T561" s="12">
        <v>0.0</v>
      </c>
      <c r="U561" s="12">
        <v>0.0</v>
      </c>
      <c r="V561" s="16">
        <f t="shared" si="151"/>
        <v>16318.85</v>
      </c>
      <c r="W561" s="12">
        <v>7.22</v>
      </c>
      <c r="X561" s="12">
        <v>60.14</v>
      </c>
      <c r="Y561" s="12">
        <v>3920.59</v>
      </c>
      <c r="Z561" s="12">
        <v>0.0</v>
      </c>
      <c r="AA561" s="12">
        <v>0.0</v>
      </c>
      <c r="AB561" s="12">
        <v>0.0</v>
      </c>
      <c r="AC561" s="16">
        <f t="shared" si="169"/>
        <v>3987.95</v>
      </c>
      <c r="AD561" s="12">
        <v>0.0</v>
      </c>
      <c r="AE561" s="12">
        <v>3987.95</v>
      </c>
      <c r="AF561" s="12">
        <v>3708.44</v>
      </c>
      <c r="AG561" s="12">
        <v>2136.62</v>
      </c>
      <c r="AH561" s="12">
        <v>0.0</v>
      </c>
      <c r="AI561" s="12">
        <v>0.0</v>
      </c>
      <c r="AJ561" s="12">
        <v>0.0</v>
      </c>
      <c r="AK561" s="12">
        <v>0.0</v>
      </c>
      <c r="AL561" s="12">
        <f t="shared" si="192"/>
        <v>5845.06</v>
      </c>
      <c r="AM561" s="12">
        <v>0.0</v>
      </c>
      <c r="AN561" s="12">
        <v>0.0</v>
      </c>
      <c r="AO561" s="12">
        <v>0.0</v>
      </c>
      <c r="AP561" s="12">
        <v>0.0</v>
      </c>
      <c r="AQ561" s="12">
        <v>0.0</v>
      </c>
      <c r="AR561" s="12">
        <v>0.0</v>
      </c>
      <c r="AS561" s="12">
        <f t="shared" si="168"/>
        <v>0</v>
      </c>
      <c r="AT561" s="16">
        <f t="shared" ref="AT561:AT564" si="197">IF(AS561+AL561+AC561+V561+O561=0,"",AS561+AL561+AC561+V561+O561)</f>
        <v>48206.08</v>
      </c>
      <c r="AU561" s="18">
        <f t="shared" si="188"/>
        <v>655755.43</v>
      </c>
      <c r="AV561" s="12">
        <v>21704.35</v>
      </c>
      <c r="AW561" s="10">
        <f t="shared" si="195"/>
        <v>130724.63</v>
      </c>
      <c r="AX561" s="12">
        <f t="shared" si="171"/>
        <v>69910.43</v>
      </c>
      <c r="AY561" s="12">
        <f t="shared" si="155"/>
        <v>849390.9</v>
      </c>
      <c r="AZ561" s="12">
        <v>2883.13</v>
      </c>
      <c r="BA561" s="18">
        <f t="shared" si="189"/>
        <v>18955.02</v>
      </c>
      <c r="BB561" s="10">
        <f t="shared" si="16"/>
        <v>936793.4714</v>
      </c>
      <c r="BC561" s="16">
        <f t="shared" si="88"/>
        <v>168763.7083</v>
      </c>
      <c r="BD561" s="12">
        <v>0.0</v>
      </c>
      <c r="BE561" s="16">
        <f t="shared" si="190"/>
        <v>62910.84</v>
      </c>
      <c r="BF561" s="6"/>
      <c r="BG561" s="6"/>
      <c r="BH561" s="6"/>
      <c r="BI561" s="29">
        <f t="shared" si="186"/>
        <v>54109.83667</v>
      </c>
      <c r="BJ561" s="6"/>
      <c r="BK561" s="15">
        <f t="shared" si="76"/>
        <v>0.8908930976</v>
      </c>
      <c r="BN561" s="16">
        <f t="shared" si="187"/>
        <v>15800.59333</v>
      </c>
      <c r="BO561" s="16">
        <f t="shared" si="191"/>
        <v>-286915.67</v>
      </c>
      <c r="BY561" s="6">
        <f t="shared" si="2"/>
        <v>2025</v>
      </c>
      <c r="BZ561" s="6" t="str">
        <f t="shared" si="3"/>
        <v>abril</v>
      </c>
      <c r="CA561" s="6" t="str">
        <f t="shared" si="4"/>
        <v>4</v>
      </c>
    </row>
    <row r="562">
      <c r="A562" s="8">
        <v>45769.0</v>
      </c>
      <c r="B562" s="12">
        <v>47326.88</v>
      </c>
      <c r="C562" s="12">
        <v>406.48</v>
      </c>
      <c r="D562" s="12">
        <v>4129.25</v>
      </c>
      <c r="E562" s="12">
        <v>107.08</v>
      </c>
      <c r="F562" s="12">
        <v>0.0</v>
      </c>
      <c r="G562" s="12">
        <v>0.0</v>
      </c>
      <c r="H562" s="12">
        <f t="shared" si="149"/>
        <v>51969.69</v>
      </c>
      <c r="I562" s="12">
        <v>28456.0</v>
      </c>
      <c r="J562" s="12">
        <v>2416.0</v>
      </c>
      <c r="K562" s="12">
        <v>3796.69</v>
      </c>
      <c r="L562" s="12">
        <v>0.0</v>
      </c>
      <c r="M562" s="12">
        <v>0.0</v>
      </c>
      <c r="N562" s="12">
        <v>0.0</v>
      </c>
      <c r="O562" s="16">
        <f t="shared" si="150"/>
        <v>34668.69</v>
      </c>
      <c r="P562" s="12">
        <v>19078.56</v>
      </c>
      <c r="Q562" s="12">
        <v>832.76</v>
      </c>
      <c r="R562" s="12">
        <v>1469.51</v>
      </c>
      <c r="S562" s="12">
        <v>0.0</v>
      </c>
      <c r="T562" s="12">
        <v>0.0</v>
      </c>
      <c r="U562" s="12">
        <v>0.0</v>
      </c>
      <c r="V562" s="16">
        <f t="shared" si="151"/>
        <v>21380.83</v>
      </c>
      <c r="W562" s="12">
        <v>79.92</v>
      </c>
      <c r="X562" s="12">
        <v>0.0</v>
      </c>
      <c r="Y562" s="12">
        <v>1.38</v>
      </c>
      <c r="Z562" s="12">
        <v>0.0</v>
      </c>
      <c r="AA562" s="12">
        <v>0.0</v>
      </c>
      <c r="AB562" s="12">
        <v>0.0</v>
      </c>
      <c r="AC562" s="16">
        <f t="shared" si="169"/>
        <v>81.3</v>
      </c>
      <c r="AD562" s="12">
        <v>0.0</v>
      </c>
      <c r="AE562" s="12">
        <v>81.3</v>
      </c>
      <c r="AF562" s="12">
        <v>2244.67</v>
      </c>
      <c r="AG562" s="12">
        <v>244.63</v>
      </c>
      <c r="AH562" s="12">
        <v>0.0</v>
      </c>
      <c r="AI562" s="12">
        <v>78280.5</v>
      </c>
      <c r="AJ562" s="12">
        <v>0.0</v>
      </c>
      <c r="AK562" s="12">
        <v>0.0</v>
      </c>
      <c r="AL562" s="12">
        <f t="shared" si="192"/>
        <v>80769.8</v>
      </c>
      <c r="AM562" s="12">
        <v>0.0</v>
      </c>
      <c r="AN562" s="12">
        <v>0.0</v>
      </c>
      <c r="AO562" s="12">
        <v>0.0</v>
      </c>
      <c r="AP562" s="12">
        <v>0.0</v>
      </c>
      <c r="AQ562" s="12">
        <v>0.0</v>
      </c>
      <c r="AR562" s="12">
        <v>0.0</v>
      </c>
      <c r="AS562" s="12">
        <f t="shared" si="168"/>
        <v>0</v>
      </c>
      <c r="AT562" s="16">
        <f t="shared" si="197"/>
        <v>136900.62</v>
      </c>
      <c r="AU562" s="18">
        <f t="shared" si="188"/>
        <v>792656.05</v>
      </c>
      <c r="AV562" s="12">
        <v>21503.54</v>
      </c>
      <c r="AW562" s="10">
        <f t="shared" si="195"/>
        <v>152228.17</v>
      </c>
      <c r="AX562" s="12">
        <f t="shared" si="171"/>
        <v>158404.16</v>
      </c>
      <c r="AY562" s="12">
        <f t="shared" si="155"/>
        <v>1007795.06</v>
      </c>
      <c r="AZ562" s="12">
        <v>19916.34</v>
      </c>
      <c r="BA562" s="18">
        <f t="shared" si="189"/>
        <v>38871.36</v>
      </c>
      <c r="BB562" s="10">
        <f t="shared" si="16"/>
        <v>1080894.614</v>
      </c>
      <c r="BC562" s="16">
        <f t="shared" si="88"/>
        <v>159881.4079</v>
      </c>
      <c r="BD562" s="12">
        <v>0.0</v>
      </c>
      <c r="BE562" s="16">
        <f t="shared" si="190"/>
        <v>62910.84</v>
      </c>
      <c r="BF562" s="6"/>
      <c r="BG562" s="6"/>
      <c r="BH562" s="6"/>
      <c r="BI562" s="29">
        <f t="shared" si="186"/>
        <v>54109.83667</v>
      </c>
      <c r="BK562" s="15">
        <f t="shared" si="76"/>
        <v>2.530050513</v>
      </c>
      <c r="BN562" s="16">
        <f t="shared" si="187"/>
        <v>104294.3233</v>
      </c>
      <c r="BO562" s="16">
        <f t="shared" si="191"/>
        <v>-182621.3467</v>
      </c>
      <c r="BY562" s="6">
        <f t="shared" si="2"/>
        <v>2025</v>
      </c>
      <c r="BZ562" s="6" t="str">
        <f t="shared" si="3"/>
        <v>abril</v>
      </c>
      <c r="CA562" s="6" t="str">
        <f t="shared" si="4"/>
        <v>4</v>
      </c>
    </row>
    <row r="563">
      <c r="A563" s="8">
        <v>45770.0</v>
      </c>
      <c r="B563" s="12">
        <v>41408.21</v>
      </c>
      <c r="C563" s="12">
        <v>2275.91</v>
      </c>
      <c r="D563" s="12">
        <v>5169.14</v>
      </c>
      <c r="E563" s="12">
        <v>0.0</v>
      </c>
      <c r="F563" s="12">
        <v>0.0</v>
      </c>
      <c r="G563" s="12">
        <v>0.0</v>
      </c>
      <c r="H563" s="12">
        <f t="shared" si="149"/>
        <v>48853.26</v>
      </c>
      <c r="I563" s="12">
        <v>18999.0</v>
      </c>
      <c r="J563" s="12">
        <v>2745.0</v>
      </c>
      <c r="K563" s="12">
        <v>2133.0</v>
      </c>
      <c r="L563" s="12">
        <v>1987.84</v>
      </c>
      <c r="M563" s="12">
        <v>0.0</v>
      </c>
      <c r="N563" s="12">
        <v>0.0</v>
      </c>
      <c r="O563" s="16">
        <f t="shared" si="150"/>
        <v>25864.84</v>
      </c>
      <c r="P563" s="12">
        <v>13123.09</v>
      </c>
      <c r="Q563" s="12">
        <v>1523.54</v>
      </c>
      <c r="R563" s="12">
        <v>1306.86</v>
      </c>
      <c r="S563" s="12">
        <v>0.0</v>
      </c>
      <c r="T563" s="12">
        <v>0.0</v>
      </c>
      <c r="U563" s="12">
        <v>0.0</v>
      </c>
      <c r="V563" s="16">
        <f t="shared" si="151"/>
        <v>15953.49</v>
      </c>
      <c r="W563" s="12">
        <v>254.25</v>
      </c>
      <c r="X563" s="12">
        <v>4.68</v>
      </c>
      <c r="Y563" s="12">
        <v>0.0</v>
      </c>
      <c r="Z563" s="12">
        <v>0.0</v>
      </c>
      <c r="AA563" s="12">
        <v>0.0</v>
      </c>
      <c r="AB563" s="12">
        <v>0.0</v>
      </c>
      <c r="AC563" s="16">
        <f t="shared" si="169"/>
        <v>258.93</v>
      </c>
      <c r="AD563" s="12">
        <v>0.0</v>
      </c>
      <c r="AE563" s="12">
        <v>258.93</v>
      </c>
      <c r="AF563" s="12">
        <v>5669.82</v>
      </c>
      <c r="AG563" s="12">
        <v>500.62</v>
      </c>
      <c r="AH563" s="12">
        <v>1741.96</v>
      </c>
      <c r="AI563" s="12">
        <v>0.0</v>
      </c>
      <c r="AJ563" s="12">
        <v>0.0</v>
      </c>
      <c r="AK563" s="12">
        <v>0.0</v>
      </c>
      <c r="AL563" s="12">
        <f t="shared" si="192"/>
        <v>7912.4</v>
      </c>
      <c r="AM563" s="12">
        <v>0.0</v>
      </c>
      <c r="AN563" s="12">
        <v>0.0</v>
      </c>
      <c r="AO563" s="12">
        <v>0.0</v>
      </c>
      <c r="AP563" s="12">
        <v>0.0</v>
      </c>
      <c r="AQ563" s="12">
        <v>0.0</v>
      </c>
      <c r="AR563" s="12">
        <v>0.0</v>
      </c>
      <c r="AS563" s="12">
        <f t="shared" si="168"/>
        <v>0</v>
      </c>
      <c r="AT563" s="16">
        <f t="shared" si="197"/>
        <v>49989.66</v>
      </c>
      <c r="AU563" s="18">
        <f t="shared" si="188"/>
        <v>842645.71</v>
      </c>
      <c r="AV563" s="12">
        <v>21764.8</v>
      </c>
      <c r="AW563" s="10">
        <f t="shared" si="195"/>
        <v>173992.97</v>
      </c>
      <c r="AX563" s="12">
        <f t="shared" si="171"/>
        <v>71754.46</v>
      </c>
      <c r="AY563" s="12">
        <f t="shared" si="155"/>
        <v>1079549.52</v>
      </c>
      <c r="AZ563" s="12">
        <v>7654.28</v>
      </c>
      <c r="BA563" s="18">
        <f t="shared" si="189"/>
        <v>46525.64</v>
      </c>
      <c r="BB563" s="10">
        <f t="shared" si="16"/>
        <v>1099103.1</v>
      </c>
      <c r="BC563" s="16">
        <f t="shared" si="88"/>
        <v>151887.3375</v>
      </c>
      <c r="BD563" s="12">
        <v>0.0</v>
      </c>
      <c r="BE563" s="16">
        <f t="shared" si="190"/>
        <v>62910.84</v>
      </c>
      <c r="BF563" s="6"/>
      <c r="BG563" s="6"/>
      <c r="BH563" s="6"/>
      <c r="BI563" s="29">
        <f t="shared" si="186"/>
        <v>54109.83667</v>
      </c>
      <c r="BJ563" s="6"/>
      <c r="BK563" s="15">
        <f t="shared" si="76"/>
        <v>0.9238553113</v>
      </c>
      <c r="BN563" s="16">
        <f t="shared" si="187"/>
        <v>17644.62333</v>
      </c>
      <c r="BO563" s="16">
        <f t="shared" si="191"/>
        <v>-164976.7233</v>
      </c>
      <c r="BY563" s="6">
        <f t="shared" si="2"/>
        <v>2025</v>
      </c>
      <c r="BZ563" s="6" t="str">
        <f t="shared" si="3"/>
        <v>abril</v>
      </c>
      <c r="CA563" s="6" t="str">
        <f t="shared" si="4"/>
        <v>4</v>
      </c>
    </row>
    <row r="564">
      <c r="A564" s="8">
        <v>45771.0</v>
      </c>
      <c r="B564" s="12">
        <v>44833.81</v>
      </c>
      <c r="C564" s="12">
        <v>978.87</v>
      </c>
      <c r="D564" s="12">
        <v>3071.5</v>
      </c>
      <c r="E564" s="12">
        <v>3614.9</v>
      </c>
      <c r="F564" s="12">
        <v>0.0</v>
      </c>
      <c r="G564" s="12">
        <v>0.0</v>
      </c>
      <c r="H564" s="12">
        <f t="shared" si="149"/>
        <v>52499.08</v>
      </c>
      <c r="I564" s="12">
        <v>9455.0</v>
      </c>
      <c r="J564" s="12">
        <v>2114.0</v>
      </c>
      <c r="K564" s="12">
        <v>2031.34</v>
      </c>
      <c r="L564" s="12">
        <v>0.0</v>
      </c>
      <c r="M564" s="12">
        <v>0.0</v>
      </c>
      <c r="N564" s="12">
        <v>0.0</v>
      </c>
      <c r="O564" s="16">
        <f t="shared" si="150"/>
        <v>13600.34</v>
      </c>
      <c r="P564" s="12">
        <v>8017.51</v>
      </c>
      <c r="Q564" s="12">
        <v>831.95</v>
      </c>
      <c r="R564" s="12">
        <v>986.87</v>
      </c>
      <c r="S564" s="12">
        <v>0.0</v>
      </c>
      <c r="T564" s="12">
        <v>0.0</v>
      </c>
      <c r="U564" s="12">
        <v>0.0</v>
      </c>
      <c r="V564" s="16">
        <f t="shared" si="151"/>
        <v>9836.33</v>
      </c>
      <c r="W564" s="12">
        <v>9558.38</v>
      </c>
      <c r="X564" s="12">
        <v>41.26</v>
      </c>
      <c r="Y564" s="12">
        <v>0.0</v>
      </c>
      <c r="Z564" s="12">
        <v>0.0</v>
      </c>
      <c r="AA564" s="12">
        <v>0.0</v>
      </c>
      <c r="AB564" s="12">
        <v>0.0</v>
      </c>
      <c r="AC564" s="16">
        <f t="shared" si="169"/>
        <v>9599.64</v>
      </c>
      <c r="AD564" s="12">
        <v>8786.49</v>
      </c>
      <c r="AE564" s="12">
        <v>813.15</v>
      </c>
      <c r="AF564" s="12">
        <v>2323.87</v>
      </c>
      <c r="AG564" s="12">
        <v>7468.96</v>
      </c>
      <c r="AH564" s="12">
        <v>301.25</v>
      </c>
      <c r="AI564" s="12">
        <v>0.0</v>
      </c>
      <c r="AJ564" s="12">
        <v>0.0</v>
      </c>
      <c r="AK564" s="12">
        <v>0.0</v>
      </c>
      <c r="AL564" s="12">
        <f t="shared" si="192"/>
        <v>10094.08</v>
      </c>
      <c r="AM564" s="12">
        <v>10014.0</v>
      </c>
      <c r="AN564" s="12">
        <v>0.0</v>
      </c>
      <c r="AO564" s="12">
        <v>0.0</v>
      </c>
      <c r="AP564" s="12">
        <v>0.0</v>
      </c>
      <c r="AQ564" s="12">
        <v>0.0</v>
      </c>
      <c r="AR564" s="12">
        <v>0.0</v>
      </c>
      <c r="AS564" s="12">
        <f t="shared" si="168"/>
        <v>10014</v>
      </c>
      <c r="AT564" s="16">
        <f t="shared" si="197"/>
        <v>53144.39</v>
      </c>
      <c r="AU564" s="18">
        <f t="shared" si="188"/>
        <v>895790.1</v>
      </c>
      <c r="AV564" s="12">
        <v>16888.7</v>
      </c>
      <c r="AW564" s="10">
        <f t="shared" si="195"/>
        <v>190881.67</v>
      </c>
      <c r="AX564" s="12">
        <f t="shared" si="171"/>
        <v>70033.09</v>
      </c>
      <c r="AY564" s="12">
        <f t="shared" si="155"/>
        <v>1152278.09</v>
      </c>
      <c r="AZ564" s="12">
        <v>3335.33</v>
      </c>
      <c r="BA564" s="18">
        <f t="shared" si="189"/>
        <v>49860.97</v>
      </c>
      <c r="BB564" s="10">
        <f t="shared" si="16"/>
        <v>1119737.625</v>
      </c>
      <c r="BC564" s="16">
        <f t="shared" si="88"/>
        <v>156132.2452</v>
      </c>
      <c r="BD564" s="12">
        <v>2695.48</v>
      </c>
      <c r="BE564" s="16">
        <f t="shared" si="190"/>
        <v>65606.32</v>
      </c>
      <c r="BF564" s="6"/>
      <c r="BG564" s="6"/>
      <c r="BH564" s="6"/>
      <c r="BI564" s="29">
        <f t="shared" si="186"/>
        <v>54109.83667</v>
      </c>
      <c r="BJ564" s="6"/>
      <c r="BK564" s="15">
        <f t="shared" si="76"/>
        <v>0.9821576496</v>
      </c>
      <c r="BN564" s="16">
        <f t="shared" si="187"/>
        <v>18618.73333</v>
      </c>
      <c r="BO564" s="16">
        <f t="shared" si="191"/>
        <v>-146357.99</v>
      </c>
      <c r="BY564" s="6">
        <f t="shared" si="2"/>
        <v>2025</v>
      </c>
      <c r="BZ564" s="6" t="str">
        <f t="shared" si="3"/>
        <v>abril</v>
      </c>
      <c r="CA564" s="6" t="str">
        <f t="shared" si="4"/>
        <v>4</v>
      </c>
    </row>
    <row r="565">
      <c r="A565" s="8">
        <v>45772.0</v>
      </c>
      <c r="B565" s="12">
        <v>77282.17</v>
      </c>
      <c r="C565" s="12">
        <v>1617.3</v>
      </c>
      <c r="D565" s="12">
        <v>0.0</v>
      </c>
      <c r="E565" s="12">
        <v>90.17</v>
      </c>
      <c r="F565" s="12">
        <v>0.0</v>
      </c>
      <c r="G565" s="12">
        <v>0.0</v>
      </c>
      <c r="H565" s="12">
        <f t="shared" si="149"/>
        <v>78989.64</v>
      </c>
      <c r="I565" s="12">
        <v>23954.0</v>
      </c>
      <c r="J565" s="12">
        <v>1200.0</v>
      </c>
      <c r="K565" s="12">
        <v>1000.94</v>
      </c>
      <c r="L565" s="12">
        <v>0.0</v>
      </c>
      <c r="M565" s="12">
        <v>0.0</v>
      </c>
      <c r="N565" s="12">
        <v>0.0</v>
      </c>
      <c r="O565" s="16">
        <f t="shared" si="150"/>
        <v>26154.94</v>
      </c>
      <c r="P565" s="12">
        <v>10783.07</v>
      </c>
      <c r="Q565" s="12">
        <v>820.7</v>
      </c>
      <c r="R565" s="12">
        <v>0.0</v>
      </c>
      <c r="S565" s="12">
        <v>0.0</v>
      </c>
      <c r="T565" s="12">
        <v>0.0</v>
      </c>
      <c r="U565" s="12">
        <v>0.0</v>
      </c>
      <c r="V565" s="16">
        <f t="shared" si="151"/>
        <v>11603.77</v>
      </c>
      <c r="W565" s="12">
        <v>20196.27</v>
      </c>
      <c r="X565" s="12">
        <v>56.77</v>
      </c>
      <c r="Y565" s="12">
        <v>0.0</v>
      </c>
      <c r="Z565" s="12">
        <v>0.0</v>
      </c>
      <c r="AA565" s="12">
        <v>0.0</v>
      </c>
      <c r="AB565" s="12">
        <v>0.0</v>
      </c>
      <c r="AC565" s="16">
        <f t="shared" si="169"/>
        <v>20253.04</v>
      </c>
      <c r="AD565" s="12">
        <f>17283.62+2911.36</f>
        <v>20194.98</v>
      </c>
      <c r="AE565" s="12">
        <v>58.06</v>
      </c>
      <c r="AF565" s="12">
        <v>8924.02</v>
      </c>
      <c r="AG565" s="12">
        <v>987.63</v>
      </c>
      <c r="AH565" s="12">
        <v>0.0</v>
      </c>
      <c r="AI565" s="12">
        <v>838.24</v>
      </c>
      <c r="AJ565" s="12">
        <v>0.0</v>
      </c>
      <c r="AK565" s="12">
        <v>0.0</v>
      </c>
      <c r="AL565" s="12">
        <f t="shared" si="192"/>
        <v>10749.89</v>
      </c>
      <c r="AM565" s="12">
        <v>25418.0</v>
      </c>
      <c r="AN565" s="12">
        <v>0.0</v>
      </c>
      <c r="AO565" s="12">
        <v>0.0</v>
      </c>
      <c r="AP565" s="12">
        <v>0.0</v>
      </c>
      <c r="AQ565" s="12">
        <v>0.0</v>
      </c>
      <c r="AR565" s="12">
        <v>0.0</v>
      </c>
      <c r="AS565" s="12">
        <f t="shared" si="168"/>
        <v>25418</v>
      </c>
      <c r="AT565" s="16">
        <f t="shared" ref="AT565:AT567" si="198">IF(AS565+AL565+AC565+V565+O565="","",AS565+AL565+AC565+V565+O565)</f>
        <v>94179.64</v>
      </c>
      <c r="AU565" s="18">
        <f t="shared" si="188"/>
        <v>989969.74</v>
      </c>
      <c r="AV565" s="12">
        <v>14998.0</v>
      </c>
      <c r="AW565" s="10">
        <f t="shared" si="195"/>
        <v>205879.67</v>
      </c>
      <c r="AX565" s="12">
        <f t="shared" si="171"/>
        <v>109177.64</v>
      </c>
      <c r="AY565" s="12">
        <f t="shared" si="155"/>
        <v>1267253.9</v>
      </c>
      <c r="AZ565" s="12">
        <v>8664.42</v>
      </c>
      <c r="BA565" s="18">
        <f t="shared" si="189"/>
        <v>58525.39</v>
      </c>
      <c r="BB565" s="10">
        <f t="shared" si="16"/>
        <v>1187963.688</v>
      </c>
      <c r="BC565" s="10">
        <f t="shared" ref="BC565:BC567" si="199">IF(AT565="","",IFERROR(AU565/DAY(A565)*DAY(EOMONTH(A565,0)),0))</f>
        <v>1187963.688</v>
      </c>
      <c r="BD565" s="12">
        <v>5798.17</v>
      </c>
      <c r="BE565" s="16">
        <f t="shared" si="190"/>
        <v>71404.49</v>
      </c>
      <c r="BF565" s="6"/>
      <c r="BG565" s="6"/>
      <c r="BH565" s="6"/>
      <c r="BI565" s="29">
        <f t="shared" si="186"/>
        <v>54109.83667</v>
      </c>
      <c r="BK565" s="15">
        <f t="shared" si="76"/>
        <v>1.740527154</v>
      </c>
      <c r="BN565" s="16">
        <f t="shared" si="187"/>
        <v>60865.97333</v>
      </c>
      <c r="BO565" s="16">
        <f t="shared" si="191"/>
        <v>-85492.01667</v>
      </c>
      <c r="BY565" s="6">
        <f t="shared" si="2"/>
        <v>2025</v>
      </c>
      <c r="BZ565" s="6" t="str">
        <f t="shared" si="3"/>
        <v>abril</v>
      </c>
      <c r="CA565" s="6" t="str">
        <f t="shared" si="4"/>
        <v>4</v>
      </c>
    </row>
    <row r="566">
      <c r="A566" s="8">
        <v>45773.0</v>
      </c>
      <c r="B566" s="12">
        <v>0.0</v>
      </c>
      <c r="C566" s="12">
        <v>0.0</v>
      </c>
      <c r="D566" s="12">
        <v>0.0</v>
      </c>
      <c r="E566" s="12">
        <v>0.0</v>
      </c>
      <c r="F566" s="12">
        <v>0.0</v>
      </c>
      <c r="G566" s="12">
        <v>0.0</v>
      </c>
      <c r="H566" s="12">
        <f t="shared" si="149"/>
        <v>0</v>
      </c>
      <c r="I566" s="12">
        <v>0.0</v>
      </c>
      <c r="J566" s="12">
        <v>0.0</v>
      </c>
      <c r="K566" s="12">
        <v>0.0</v>
      </c>
      <c r="L566" s="12">
        <v>0.0</v>
      </c>
      <c r="M566" s="12">
        <v>0.0</v>
      </c>
      <c r="N566" s="12">
        <v>0.0</v>
      </c>
      <c r="O566" s="16">
        <f t="shared" si="150"/>
        <v>0</v>
      </c>
      <c r="P566" s="12">
        <v>0.0</v>
      </c>
      <c r="Q566" s="12">
        <v>0.0</v>
      </c>
      <c r="R566" s="12">
        <v>0.0</v>
      </c>
      <c r="S566" s="12">
        <v>0.0</v>
      </c>
      <c r="T566" s="12">
        <v>0.0</v>
      </c>
      <c r="U566" s="12">
        <v>0.0</v>
      </c>
      <c r="V566" s="16">
        <f t="shared" si="151"/>
        <v>0</v>
      </c>
      <c r="W566" s="12">
        <v>0.0</v>
      </c>
      <c r="X566" s="12">
        <v>0.0</v>
      </c>
      <c r="Y566" s="12">
        <v>0.0</v>
      </c>
      <c r="Z566" s="12">
        <v>0.0</v>
      </c>
      <c r="AA566" s="12">
        <v>0.0</v>
      </c>
      <c r="AB566" s="12">
        <v>0.0</v>
      </c>
      <c r="AC566" s="16">
        <f t="shared" si="169"/>
        <v>0</v>
      </c>
      <c r="AD566" s="12">
        <v>0.0</v>
      </c>
      <c r="AE566" s="12">
        <v>0.0</v>
      </c>
      <c r="AF566" s="12">
        <v>0.0</v>
      </c>
      <c r="AG566" s="12">
        <v>0.0</v>
      </c>
      <c r="AH566" s="12">
        <v>0.0</v>
      </c>
      <c r="AI566" s="12">
        <v>0.0</v>
      </c>
      <c r="AJ566" s="12">
        <v>0.0</v>
      </c>
      <c r="AK566" s="12">
        <v>0.0</v>
      </c>
      <c r="AL566" s="12">
        <f t="shared" si="192"/>
        <v>0</v>
      </c>
      <c r="AM566" s="12">
        <v>0.0</v>
      </c>
      <c r="AN566" s="12">
        <v>0.0</v>
      </c>
      <c r="AO566" s="12">
        <v>0.0</v>
      </c>
      <c r="AP566" s="12">
        <v>0.0</v>
      </c>
      <c r="AQ566" s="12">
        <v>0.0</v>
      </c>
      <c r="AR566" s="12">
        <v>0.0</v>
      </c>
      <c r="AS566" s="12">
        <f t="shared" si="168"/>
        <v>0</v>
      </c>
      <c r="AT566" s="16">
        <f t="shared" si="198"/>
        <v>0</v>
      </c>
      <c r="AU566" s="18">
        <f t="shared" si="188"/>
        <v>989969.74</v>
      </c>
      <c r="AV566" s="12">
        <v>0.0</v>
      </c>
      <c r="AW566" s="10">
        <f t="shared" si="195"/>
        <v>205879.67</v>
      </c>
      <c r="AX566" s="12">
        <f t="shared" si="171"/>
        <v>0</v>
      </c>
      <c r="AY566" s="12">
        <f t="shared" si="155"/>
        <v>1267253.9</v>
      </c>
      <c r="AZ566" s="12">
        <v>0.0</v>
      </c>
      <c r="BA566" s="18">
        <f t="shared" si="189"/>
        <v>58525.39</v>
      </c>
      <c r="BB566" s="10">
        <f t="shared" si="16"/>
        <v>1142272.777</v>
      </c>
      <c r="BC566" s="10">
        <f t="shared" si="199"/>
        <v>1142272.777</v>
      </c>
      <c r="BD566" s="12">
        <v>0.0</v>
      </c>
      <c r="BE566" s="16">
        <f t="shared" si="190"/>
        <v>71404.49</v>
      </c>
      <c r="BF566" s="6"/>
      <c r="BG566" s="6"/>
      <c r="BH566" s="6"/>
      <c r="BI566" s="29">
        <f t="shared" si="186"/>
        <v>54109.83667</v>
      </c>
      <c r="BJ566" s="6"/>
      <c r="BK566" s="15">
        <f t="shared" si="76"/>
        <v>0</v>
      </c>
      <c r="BN566" s="16">
        <f t="shared" si="187"/>
        <v>-54109.83667</v>
      </c>
      <c r="BO566" s="16">
        <f t="shared" si="191"/>
        <v>-139601.8533</v>
      </c>
      <c r="BY566" s="6">
        <f t="shared" si="2"/>
        <v>2025</v>
      </c>
      <c r="BZ566" s="6" t="str">
        <f t="shared" si="3"/>
        <v>abril</v>
      </c>
      <c r="CA566" s="6" t="str">
        <f t="shared" si="4"/>
        <v>4</v>
      </c>
    </row>
    <row r="567">
      <c r="A567" s="8">
        <v>45774.0</v>
      </c>
      <c r="B567" s="12">
        <v>0.0</v>
      </c>
      <c r="C567" s="12">
        <v>0.0</v>
      </c>
      <c r="D567" s="12">
        <v>0.0</v>
      </c>
      <c r="E567" s="12">
        <v>0.0</v>
      </c>
      <c r="F567" s="12">
        <v>0.0</v>
      </c>
      <c r="G567" s="12">
        <v>0.0</v>
      </c>
      <c r="H567" s="12">
        <f t="shared" si="149"/>
        <v>0</v>
      </c>
      <c r="I567" s="12">
        <v>0.0</v>
      </c>
      <c r="J567" s="12">
        <v>0.0</v>
      </c>
      <c r="K567" s="12">
        <v>0.0</v>
      </c>
      <c r="L567" s="12">
        <v>0.0</v>
      </c>
      <c r="M567" s="12">
        <v>0.0</v>
      </c>
      <c r="N567" s="12">
        <v>0.0</v>
      </c>
      <c r="O567" s="16">
        <f t="shared" si="150"/>
        <v>0</v>
      </c>
      <c r="P567" s="12">
        <v>0.0</v>
      </c>
      <c r="Q567" s="12">
        <v>0.0</v>
      </c>
      <c r="R567" s="12">
        <v>0.0</v>
      </c>
      <c r="S567" s="12">
        <v>0.0</v>
      </c>
      <c r="T567" s="12">
        <v>0.0</v>
      </c>
      <c r="U567" s="12">
        <v>0.0</v>
      </c>
      <c r="V567" s="16">
        <f t="shared" si="151"/>
        <v>0</v>
      </c>
      <c r="W567" s="12">
        <v>0.0</v>
      </c>
      <c r="X567" s="12">
        <v>0.0</v>
      </c>
      <c r="Y567" s="12">
        <v>0.0</v>
      </c>
      <c r="Z567" s="12">
        <v>0.0</v>
      </c>
      <c r="AA567" s="12">
        <v>0.0</v>
      </c>
      <c r="AB567" s="12">
        <v>0.0</v>
      </c>
      <c r="AC567" s="16">
        <f t="shared" si="169"/>
        <v>0</v>
      </c>
      <c r="AD567" s="12">
        <v>0.0</v>
      </c>
      <c r="AE567" s="12">
        <v>0.0</v>
      </c>
      <c r="AF567" s="12">
        <v>0.0</v>
      </c>
      <c r="AG567" s="12">
        <v>0.0</v>
      </c>
      <c r="AH567" s="12">
        <v>0.0</v>
      </c>
      <c r="AI567" s="12">
        <v>0.0</v>
      </c>
      <c r="AJ567" s="12">
        <v>0.0</v>
      </c>
      <c r="AK567" s="12">
        <v>0.0</v>
      </c>
      <c r="AL567" s="12">
        <f t="shared" si="192"/>
        <v>0</v>
      </c>
      <c r="AM567" s="12">
        <v>0.0</v>
      </c>
      <c r="AN567" s="12">
        <v>0.0</v>
      </c>
      <c r="AO567" s="12">
        <v>0.0</v>
      </c>
      <c r="AP567" s="12">
        <v>0.0</v>
      </c>
      <c r="AQ567" s="12">
        <v>0.0</v>
      </c>
      <c r="AR567" s="12">
        <v>0.0</v>
      </c>
      <c r="AS567" s="12">
        <f t="shared" si="168"/>
        <v>0</v>
      </c>
      <c r="AT567" s="16">
        <f t="shared" si="198"/>
        <v>0</v>
      </c>
      <c r="AU567" s="18">
        <f t="shared" si="188"/>
        <v>989969.74</v>
      </c>
      <c r="AV567" s="12">
        <v>0.0</v>
      </c>
      <c r="AW567" s="10">
        <f t="shared" si="195"/>
        <v>205879.67</v>
      </c>
      <c r="AX567" s="12">
        <f t="shared" si="171"/>
        <v>0</v>
      </c>
      <c r="AY567" s="12">
        <f t="shared" si="155"/>
        <v>1267253.9</v>
      </c>
      <c r="AZ567" s="12">
        <v>0.0</v>
      </c>
      <c r="BA567" s="18">
        <f t="shared" si="189"/>
        <v>58525.39</v>
      </c>
      <c r="BB567" s="10">
        <f t="shared" si="16"/>
        <v>1099966.378</v>
      </c>
      <c r="BC567" s="10">
        <f t="shared" si="199"/>
        <v>1099966.378</v>
      </c>
      <c r="BD567" s="12">
        <v>0.0</v>
      </c>
      <c r="BE567" s="16">
        <f t="shared" si="190"/>
        <v>71404.49</v>
      </c>
      <c r="BF567" s="6"/>
      <c r="BG567" s="6"/>
      <c r="BH567" s="6"/>
      <c r="BI567" s="29">
        <f t="shared" si="186"/>
        <v>54109.83667</v>
      </c>
      <c r="BJ567" s="6"/>
      <c r="BK567" s="15">
        <f t="shared" si="76"/>
        <v>0</v>
      </c>
      <c r="BN567" s="16">
        <f t="shared" si="187"/>
        <v>-54109.83667</v>
      </c>
      <c r="BO567" s="16">
        <f t="shared" si="191"/>
        <v>-193711.69</v>
      </c>
      <c r="BY567" s="6">
        <f t="shared" si="2"/>
        <v>2025</v>
      </c>
      <c r="BZ567" s="6" t="str">
        <f t="shared" si="3"/>
        <v>abril</v>
      </c>
      <c r="CA567" s="6" t="str">
        <f t="shared" si="4"/>
        <v>4</v>
      </c>
    </row>
    <row r="568">
      <c r="A568" s="8">
        <v>45775.0</v>
      </c>
      <c r="B568" s="12">
        <v>36556.19</v>
      </c>
      <c r="C568" s="12">
        <v>0.0</v>
      </c>
      <c r="D568" s="12">
        <v>3236.35</v>
      </c>
      <c r="E568" s="12">
        <v>0.0</v>
      </c>
      <c r="F568" s="12">
        <v>0.0</v>
      </c>
      <c r="G568" s="12">
        <v>0.0</v>
      </c>
      <c r="H568" s="12">
        <f t="shared" si="149"/>
        <v>39792.54</v>
      </c>
      <c r="I568" s="12">
        <v>14796.0</v>
      </c>
      <c r="J568" s="12">
        <v>0.0</v>
      </c>
      <c r="K568" s="12">
        <v>3185.03</v>
      </c>
      <c r="L568" s="12">
        <v>0.0</v>
      </c>
      <c r="M568" s="12">
        <v>0.0</v>
      </c>
      <c r="N568" s="12">
        <v>0.0</v>
      </c>
      <c r="O568" s="16">
        <f t="shared" si="150"/>
        <v>17981.03</v>
      </c>
      <c r="P568" s="12">
        <v>9239.54</v>
      </c>
      <c r="Q568" s="12">
        <v>0.0</v>
      </c>
      <c r="R568" s="12">
        <v>1285.64</v>
      </c>
      <c r="S568" s="12">
        <v>0.0</v>
      </c>
      <c r="T568" s="12">
        <v>0.0</v>
      </c>
      <c r="U568" s="12">
        <v>0.0</v>
      </c>
      <c r="V568" s="16">
        <f t="shared" si="151"/>
        <v>10525.18</v>
      </c>
      <c r="W568" s="12">
        <v>25242.35</v>
      </c>
      <c r="X568" s="12">
        <v>0.0</v>
      </c>
      <c r="Y568" s="12">
        <v>10734.34</v>
      </c>
      <c r="Z568" s="12">
        <v>0.0</v>
      </c>
      <c r="AA568" s="12">
        <v>0.0</v>
      </c>
      <c r="AB568" s="12">
        <v>0.0</v>
      </c>
      <c r="AC568" s="16">
        <f t="shared" si="169"/>
        <v>35976.69</v>
      </c>
      <c r="AD568" s="12">
        <v>35936.86</v>
      </c>
      <c r="AE568" s="12">
        <v>39.83</v>
      </c>
      <c r="AF568" s="12">
        <v>2050.39</v>
      </c>
      <c r="AG568" s="12">
        <v>0.0</v>
      </c>
      <c r="AH568" s="12">
        <v>0.0</v>
      </c>
      <c r="AI568" s="12">
        <v>0.0</v>
      </c>
      <c r="AJ568" s="12">
        <v>0.0</v>
      </c>
      <c r="AK568" s="12">
        <v>0.0</v>
      </c>
      <c r="AL568" s="12">
        <f t="shared" si="192"/>
        <v>2050.39</v>
      </c>
      <c r="AM568" s="12">
        <v>26998.0</v>
      </c>
      <c r="AN568" s="12">
        <v>0.0</v>
      </c>
      <c r="AO568" s="12">
        <v>16388.0</v>
      </c>
      <c r="AP568" s="12">
        <v>0.0</v>
      </c>
      <c r="AQ568" s="12">
        <v>0.0</v>
      </c>
      <c r="AR568" s="12">
        <v>0.0</v>
      </c>
      <c r="AS568" s="12">
        <f t="shared" si="168"/>
        <v>43386</v>
      </c>
      <c r="AT568" s="16">
        <f t="shared" ref="AT568:AT570" si="200">IF(AS568+AL568+AC568+V568+O568=0,"",AS568+AL568+AC568+V568+O568)</f>
        <v>109919.29</v>
      </c>
      <c r="AU568" s="18">
        <f t="shared" si="188"/>
        <v>1099889.03</v>
      </c>
      <c r="AV568" s="12">
        <v>14221.02</v>
      </c>
      <c r="AW568" s="10">
        <f t="shared" si="195"/>
        <v>220100.69</v>
      </c>
      <c r="AX568" s="12">
        <f t="shared" si="171"/>
        <v>124140.31</v>
      </c>
      <c r="AY568" s="12">
        <f t="shared" si="155"/>
        <v>1404024.42</v>
      </c>
      <c r="AZ568" s="12">
        <v>3445.79</v>
      </c>
      <c r="BA568" s="18">
        <f t="shared" si="189"/>
        <v>61971.18</v>
      </c>
      <c r="BB568" s="10">
        <f t="shared" si="16"/>
        <v>1178452.532</v>
      </c>
      <c r="BC568" s="16">
        <f t="shared" ref="BC568:BC708" si="201">IFERROR(AU565/DAY(A565)*5,0)</f>
        <v>197993.948</v>
      </c>
      <c r="BD568" s="12">
        <v>12630.21</v>
      </c>
      <c r="BE568" s="16">
        <f t="shared" si="190"/>
        <v>84034.7</v>
      </c>
      <c r="BF568" s="6"/>
      <c r="BG568" s="6"/>
      <c r="BH568" s="6"/>
      <c r="BI568" s="29">
        <f t="shared" si="186"/>
        <v>54109.83667</v>
      </c>
      <c r="BK568" s="15">
        <f t="shared" si="76"/>
        <v>2.031410493</v>
      </c>
      <c r="BN568" s="16">
        <f t="shared" si="187"/>
        <v>82660.68333</v>
      </c>
      <c r="BO568" s="16">
        <f t="shared" si="191"/>
        <v>-111051.0067</v>
      </c>
      <c r="BY568" s="6">
        <f t="shared" si="2"/>
        <v>2025</v>
      </c>
      <c r="BZ568" s="6" t="str">
        <f t="shared" si="3"/>
        <v>abril</v>
      </c>
      <c r="CA568" s="6" t="str">
        <f t="shared" si="4"/>
        <v>4</v>
      </c>
    </row>
    <row r="569">
      <c r="A569" s="8">
        <v>45776.0</v>
      </c>
      <c r="B569" s="12">
        <v>26012.3</v>
      </c>
      <c r="C569" s="12">
        <v>0.0</v>
      </c>
      <c r="D569" s="12">
        <v>9256.64</v>
      </c>
      <c r="E569" s="12">
        <v>0.0</v>
      </c>
      <c r="F569" s="12">
        <v>0.0</v>
      </c>
      <c r="G569" s="12">
        <v>0.0</v>
      </c>
      <c r="H569" s="12">
        <f t="shared" si="149"/>
        <v>35268.94</v>
      </c>
      <c r="I569" s="12">
        <v>16935.27</v>
      </c>
      <c r="J569" s="12">
        <v>0.0</v>
      </c>
      <c r="K569" s="12">
        <v>1679.44</v>
      </c>
      <c r="L569" s="12">
        <v>0.0</v>
      </c>
      <c r="M569" s="12">
        <v>0.0</v>
      </c>
      <c r="N569" s="12">
        <v>0.0</v>
      </c>
      <c r="O569" s="16">
        <f t="shared" si="150"/>
        <v>18614.71</v>
      </c>
      <c r="P569" s="12">
        <v>9557.08</v>
      </c>
      <c r="Q569" s="12">
        <v>0.0</v>
      </c>
      <c r="R569" s="12">
        <v>2539.41</v>
      </c>
      <c r="S569" s="12">
        <v>0.0</v>
      </c>
      <c r="T569" s="12">
        <v>0.0</v>
      </c>
      <c r="U569" s="12">
        <v>0.0</v>
      </c>
      <c r="V569" s="16">
        <f t="shared" si="151"/>
        <v>12096.49</v>
      </c>
      <c r="W569" s="12">
        <v>10356.91</v>
      </c>
      <c r="X569" s="12">
        <v>0.0</v>
      </c>
      <c r="Y569" s="12">
        <v>9100.07</v>
      </c>
      <c r="Z569" s="12">
        <v>0.0</v>
      </c>
      <c r="AA569" s="12">
        <v>0.0</v>
      </c>
      <c r="AB569" s="12">
        <v>0.0</v>
      </c>
      <c r="AC569" s="16">
        <f t="shared" si="169"/>
        <v>19456.98</v>
      </c>
      <c r="AD569" s="12">
        <v>19292.47</v>
      </c>
      <c r="AE569" s="12">
        <v>164.51</v>
      </c>
      <c r="AF569" s="12">
        <v>3336.84</v>
      </c>
      <c r="AG569" s="12">
        <v>0.0</v>
      </c>
      <c r="AH569" s="12">
        <v>0.0</v>
      </c>
      <c r="AI569" s="12">
        <v>0.0</v>
      </c>
      <c r="AJ569" s="12">
        <v>0.0</v>
      </c>
      <c r="AK569" s="12">
        <v>0.0</v>
      </c>
      <c r="AL569" s="12">
        <f t="shared" si="192"/>
        <v>3336.84</v>
      </c>
      <c r="AM569" s="12">
        <v>10408.0</v>
      </c>
      <c r="AN569" s="12">
        <v>0.0</v>
      </c>
      <c r="AO569" s="12">
        <v>14120.0</v>
      </c>
      <c r="AP569" s="12">
        <v>0.0</v>
      </c>
      <c r="AQ569" s="12">
        <v>0.0</v>
      </c>
      <c r="AR569" s="12">
        <v>0.0</v>
      </c>
      <c r="AS569" s="12">
        <f t="shared" si="168"/>
        <v>24528</v>
      </c>
      <c r="AT569" s="16">
        <f t="shared" si="200"/>
        <v>78033.02</v>
      </c>
      <c r="AU569" s="18">
        <f t="shared" si="188"/>
        <v>1177922.05</v>
      </c>
      <c r="AV569" s="12">
        <v>15294.44</v>
      </c>
      <c r="AW569" s="10">
        <f t="shared" si="195"/>
        <v>235395.13</v>
      </c>
      <c r="AX569" s="12">
        <f t="shared" si="171"/>
        <v>93327.46</v>
      </c>
      <c r="AY569" s="12">
        <f t="shared" si="155"/>
        <v>1511644.66</v>
      </c>
      <c r="AZ569" s="12">
        <v>1919.1</v>
      </c>
      <c r="BA569" s="18">
        <f t="shared" si="189"/>
        <v>63890.28</v>
      </c>
      <c r="BB569" s="10">
        <f t="shared" si="16"/>
        <v>1218540.052</v>
      </c>
      <c r="BC569" s="16">
        <f t="shared" si="201"/>
        <v>190378.7962</v>
      </c>
      <c r="BD569" s="12">
        <v>14292.78</v>
      </c>
      <c r="BE569" s="16">
        <f t="shared" si="190"/>
        <v>98327.48</v>
      </c>
      <c r="BF569" s="6"/>
      <c r="BG569" s="6"/>
      <c r="BH569" s="6"/>
      <c r="BI569" s="29">
        <f t="shared" si="186"/>
        <v>54109.83667</v>
      </c>
      <c r="BK569" s="15">
        <f t="shared" si="76"/>
        <v>1.442122631</v>
      </c>
      <c r="BN569" s="16">
        <f t="shared" si="187"/>
        <v>53510.40333</v>
      </c>
      <c r="BO569" s="16">
        <f t="shared" si="191"/>
        <v>-57540.60333</v>
      </c>
      <c r="BY569" s="6">
        <f t="shared" si="2"/>
        <v>2025</v>
      </c>
      <c r="BZ569" s="6" t="str">
        <f t="shared" si="3"/>
        <v>abril</v>
      </c>
      <c r="CA569" s="6" t="str">
        <f t="shared" si="4"/>
        <v>4</v>
      </c>
    </row>
    <row r="570">
      <c r="A570" s="8">
        <v>45777.0</v>
      </c>
      <c r="B570" s="12">
        <f>61489.54+45929.08+45807.74</f>
        <v>153226.36</v>
      </c>
      <c r="C570" s="12">
        <f>1190.2+2552.97+2172.79</f>
        <v>5915.96</v>
      </c>
      <c r="D570" s="12">
        <f>4578.25+11015.49+5016.56</f>
        <v>20610.3</v>
      </c>
      <c r="E570" s="12">
        <v>0.0</v>
      </c>
      <c r="F570" s="12">
        <v>0.0</v>
      </c>
      <c r="G570" s="12">
        <v>0.0</v>
      </c>
      <c r="H570" s="12">
        <f t="shared" si="149"/>
        <v>179752.62</v>
      </c>
      <c r="I570" s="12">
        <f>50945+49028.07+29765</f>
        <v>129738.07</v>
      </c>
      <c r="J570" s="12">
        <f>1433+2745</f>
        <v>4178</v>
      </c>
      <c r="K570" s="12">
        <f>3175.46+1858.11+2276.02</f>
        <v>7309.59</v>
      </c>
      <c r="L570" s="12">
        <v>0.0</v>
      </c>
      <c r="M570" s="12">
        <v>0.0</v>
      </c>
      <c r="N570" s="12">
        <v>0.0</v>
      </c>
      <c r="O570" s="16">
        <f t="shared" si="150"/>
        <v>141225.66</v>
      </c>
      <c r="P570" s="12">
        <f>20845.32+17838.87+11731.64</f>
        <v>50415.83</v>
      </c>
      <c r="Q570" s="12">
        <f>1665.17+504.07+573.01</f>
        <v>2742.25</v>
      </c>
      <c r="R570" s="12">
        <f>1664.7+3223.1+1470.94</f>
        <v>6358.74</v>
      </c>
      <c r="S570" s="12">
        <v>0.0</v>
      </c>
      <c r="T570" s="12">
        <v>0.0</v>
      </c>
      <c r="U570" s="12">
        <v>0.0</v>
      </c>
      <c r="V570" s="16">
        <f t="shared" si="151"/>
        <v>59516.82</v>
      </c>
      <c r="W570" s="12">
        <f>11885.74+22.42+581.24</f>
        <v>12489.4</v>
      </c>
      <c r="X570" s="12">
        <v>0.24</v>
      </c>
      <c r="Y570" s="12">
        <f>10656.45+90.96</f>
        <v>10747.41</v>
      </c>
      <c r="Z570" s="12">
        <v>0.0</v>
      </c>
      <c r="AA570" s="12">
        <v>0.0</v>
      </c>
      <c r="AB570" s="12">
        <v>0.0</v>
      </c>
      <c r="AC570" s="16">
        <f t="shared" si="169"/>
        <v>23237.05</v>
      </c>
      <c r="AD570" s="12">
        <f>22542.1+66.44</f>
        <v>22608.54</v>
      </c>
      <c r="AE570" s="12">
        <f>41.34+113.38</f>
        <v>154.72</v>
      </c>
      <c r="AF570" s="12">
        <f>1865.73+2483.72</f>
        <v>4349.45</v>
      </c>
      <c r="AG570" s="12">
        <v>31.95</v>
      </c>
      <c r="AH570" s="12">
        <v>0.0</v>
      </c>
      <c r="AI570" s="12">
        <v>0.0</v>
      </c>
      <c r="AJ570" s="12">
        <v>0.0</v>
      </c>
      <c r="AK570" s="12">
        <v>0.0</v>
      </c>
      <c r="AL570" s="12">
        <f t="shared" si="192"/>
        <v>4381.4</v>
      </c>
      <c r="AM570" s="12">
        <v>11144.0</v>
      </c>
      <c r="AN570" s="12">
        <v>0.0</v>
      </c>
      <c r="AO570" s="12">
        <v>17984.0</v>
      </c>
      <c r="AP570" s="12">
        <v>0.0</v>
      </c>
      <c r="AQ570" s="12">
        <v>0.0</v>
      </c>
      <c r="AR570" s="12">
        <v>0.0</v>
      </c>
      <c r="AS570" s="12">
        <f t="shared" si="168"/>
        <v>29128</v>
      </c>
      <c r="AT570" s="16">
        <f t="shared" si="200"/>
        <v>257488.93</v>
      </c>
      <c r="AU570" s="18">
        <f t="shared" si="188"/>
        <v>1435410.98</v>
      </c>
      <c r="AV570" s="12">
        <f>48948.67+19355.03</f>
        <v>68303.7</v>
      </c>
      <c r="AW570" s="10">
        <f t="shared" si="195"/>
        <v>303698.83</v>
      </c>
      <c r="AX570" s="12">
        <f t="shared" si="171"/>
        <v>325792.63</v>
      </c>
      <c r="AY570" s="12">
        <f t="shared" si="155"/>
        <v>1844702.1</v>
      </c>
      <c r="AZ570" s="12">
        <f>3418.5+2987.66+11873.81</f>
        <v>18279.97</v>
      </c>
      <c r="BA570" s="18">
        <f t="shared" si="189"/>
        <v>82170.25</v>
      </c>
      <c r="BB570" s="10">
        <f t="shared" si="16"/>
        <v>1435410.98</v>
      </c>
      <c r="BC570" s="16">
        <f t="shared" si="201"/>
        <v>183327.7296</v>
      </c>
      <c r="BD570" s="12">
        <v>7264.81</v>
      </c>
      <c r="BE570" s="16">
        <f t="shared" si="190"/>
        <v>105592.29</v>
      </c>
      <c r="BF570" s="6"/>
      <c r="BG570" s="6"/>
      <c r="BH570" s="6"/>
      <c r="BI570" s="29">
        <f t="shared" si="186"/>
        <v>54109.83667</v>
      </c>
      <c r="BK570" s="15">
        <f t="shared" si="76"/>
        <v>4.758634397</v>
      </c>
      <c r="BN570" s="16">
        <f t="shared" si="187"/>
        <v>278947.6033</v>
      </c>
      <c r="BO570" s="16">
        <f t="shared" si="191"/>
        <v>221407</v>
      </c>
      <c r="BY570" s="6">
        <f t="shared" si="2"/>
        <v>2025</v>
      </c>
      <c r="BZ570" s="6" t="str">
        <f t="shared" si="3"/>
        <v>abril</v>
      </c>
      <c r="CA570" s="6" t="str">
        <f t="shared" si="4"/>
        <v>4</v>
      </c>
    </row>
    <row r="571">
      <c r="A571" s="8">
        <v>45778.0</v>
      </c>
      <c r="B571" s="12">
        <v>0.0</v>
      </c>
      <c r="C571" s="12">
        <v>0.0</v>
      </c>
      <c r="D571" s="12">
        <v>0.0</v>
      </c>
      <c r="E571" s="12">
        <v>0.0</v>
      </c>
      <c r="F571" s="12">
        <v>0.0</v>
      </c>
      <c r="G571" s="12">
        <v>0.0</v>
      </c>
      <c r="H571" s="12">
        <f t="shared" si="149"/>
        <v>0</v>
      </c>
      <c r="I571" s="12">
        <v>0.0</v>
      </c>
      <c r="J571" s="12">
        <v>0.0</v>
      </c>
      <c r="K571" s="12">
        <v>0.0</v>
      </c>
      <c r="L571" s="12">
        <v>0.0</v>
      </c>
      <c r="M571" s="12">
        <v>0.0</v>
      </c>
      <c r="N571" s="12">
        <v>0.0</v>
      </c>
      <c r="O571" s="16">
        <f t="shared" si="150"/>
        <v>0</v>
      </c>
      <c r="P571" s="12">
        <v>0.0</v>
      </c>
      <c r="Q571" s="12">
        <v>0.0</v>
      </c>
      <c r="R571" s="12">
        <v>0.0</v>
      </c>
      <c r="S571" s="12">
        <v>0.0</v>
      </c>
      <c r="T571" s="12">
        <v>0.0</v>
      </c>
      <c r="U571" s="12">
        <v>0.0</v>
      </c>
      <c r="V571" s="16">
        <f t="shared" si="151"/>
        <v>0</v>
      </c>
      <c r="W571" s="12">
        <v>0.0</v>
      </c>
      <c r="X571" s="12">
        <v>0.0</v>
      </c>
      <c r="Y571" s="12">
        <v>0.0</v>
      </c>
      <c r="Z571" s="12">
        <v>0.0</v>
      </c>
      <c r="AA571" s="12">
        <v>0.0</v>
      </c>
      <c r="AB571" s="12">
        <v>0.0</v>
      </c>
      <c r="AC571" s="16">
        <f t="shared" si="169"/>
        <v>0</v>
      </c>
      <c r="AD571" s="12">
        <v>0.0</v>
      </c>
      <c r="AE571" s="12">
        <v>0.0</v>
      </c>
      <c r="AF571" s="12">
        <v>0.0</v>
      </c>
      <c r="AG571" s="12">
        <v>0.0</v>
      </c>
      <c r="AH571" s="12">
        <v>0.0</v>
      </c>
      <c r="AI571" s="12">
        <v>0.0</v>
      </c>
      <c r="AJ571" s="12">
        <v>0.0</v>
      </c>
      <c r="AK571" s="12">
        <v>0.0</v>
      </c>
      <c r="AL571" s="12">
        <f t="shared" si="192"/>
        <v>0</v>
      </c>
      <c r="AM571" s="12">
        <v>0.0</v>
      </c>
      <c r="AN571" s="12">
        <v>0.0</v>
      </c>
      <c r="AO571" s="12">
        <v>0.0</v>
      </c>
      <c r="AP571" s="12">
        <v>0.0</v>
      </c>
      <c r="AQ571" s="12">
        <v>0.0</v>
      </c>
      <c r="AR571" s="12">
        <v>0.0</v>
      </c>
      <c r="AS571" s="12">
        <f t="shared" si="168"/>
        <v>0</v>
      </c>
      <c r="AT571" s="5">
        <v>0.0</v>
      </c>
      <c r="AU571" s="18">
        <f>IF(AT571="","",AT571)</f>
        <v>0</v>
      </c>
      <c r="AV571" s="12">
        <v>0.0</v>
      </c>
      <c r="AW571" s="10">
        <f>IF(AT571="","",AV571)</f>
        <v>0</v>
      </c>
      <c r="AX571" s="12">
        <f t="shared" si="171"/>
        <v>0</v>
      </c>
      <c r="AY571" s="12">
        <f t="shared" si="155"/>
        <v>0</v>
      </c>
      <c r="AZ571" s="12">
        <v>0.0</v>
      </c>
      <c r="BA571" s="19"/>
      <c r="BB571" s="10">
        <f t="shared" si="16"/>
        <v>0</v>
      </c>
      <c r="BC571" s="16">
        <f t="shared" si="201"/>
        <v>196408.7554</v>
      </c>
      <c r="BD571" s="12">
        <v>0.0</v>
      </c>
      <c r="BE571" s="16">
        <f>IF(AT571="","",BD571)</f>
        <v>0</v>
      </c>
      <c r="BF571" s="6"/>
      <c r="BG571" s="12">
        <v>1993445.6</v>
      </c>
      <c r="BH571" s="6"/>
      <c r="BI571" s="29">
        <f t="shared" ref="BI571:BI601" si="202">IF(AT571="","",$BG$571/DAY(EOMONTH(A571,0)))</f>
        <v>64304.69677</v>
      </c>
      <c r="BJ571" s="6"/>
      <c r="BK571" s="15">
        <f t="shared" si="76"/>
        <v>0</v>
      </c>
      <c r="BN571" s="16">
        <f t="shared" si="187"/>
        <v>-64304.69677</v>
      </c>
      <c r="BO571" s="16">
        <f>IF(AT571="","",BN571)</f>
        <v>-64304.69677</v>
      </c>
      <c r="BY571" s="6">
        <f t="shared" si="2"/>
        <v>2025</v>
      </c>
      <c r="BZ571" s="6" t="str">
        <f t="shared" si="3"/>
        <v>mayo</v>
      </c>
      <c r="CA571" s="6" t="str">
        <f t="shared" si="4"/>
        <v>5</v>
      </c>
    </row>
    <row r="572">
      <c r="A572" s="8">
        <v>45779.0</v>
      </c>
      <c r="B572" s="12">
        <v>1200.0</v>
      </c>
      <c r="C572" s="12">
        <v>520.0</v>
      </c>
      <c r="D572" s="12">
        <v>0.0</v>
      </c>
      <c r="E572" s="12">
        <v>0.0</v>
      </c>
      <c r="F572" s="12">
        <v>0.0</v>
      </c>
      <c r="G572" s="12">
        <v>0.0</v>
      </c>
      <c r="H572" s="12">
        <f t="shared" si="149"/>
        <v>1720</v>
      </c>
      <c r="I572" s="12">
        <v>1000.0</v>
      </c>
      <c r="J572" s="12">
        <v>1100.0</v>
      </c>
      <c r="K572" s="12">
        <v>0.0</v>
      </c>
      <c r="L572" s="12">
        <v>0.0</v>
      </c>
      <c r="M572" s="12">
        <v>0.0</v>
      </c>
      <c r="N572" s="12">
        <v>0.0</v>
      </c>
      <c r="O572" s="16">
        <f t="shared" si="150"/>
        <v>2100</v>
      </c>
      <c r="P572" s="12">
        <v>1002.0</v>
      </c>
      <c r="Q572" s="12">
        <v>200.0</v>
      </c>
      <c r="R572" s="12">
        <v>0.0</v>
      </c>
      <c r="S572" s="12">
        <v>0.0</v>
      </c>
      <c r="T572" s="12">
        <v>0.0</v>
      </c>
      <c r="U572" s="12">
        <v>0.0</v>
      </c>
      <c r="V572" s="16">
        <f t="shared" si="151"/>
        <v>1202</v>
      </c>
      <c r="W572" s="12">
        <v>0.0</v>
      </c>
      <c r="X572" s="12">
        <v>0.0</v>
      </c>
      <c r="Y572" s="12">
        <v>0.0</v>
      </c>
      <c r="Z572" s="12">
        <v>0.0</v>
      </c>
      <c r="AA572" s="12">
        <v>0.0</v>
      </c>
      <c r="AB572" s="12">
        <v>0.0</v>
      </c>
      <c r="AC572" s="16">
        <f t="shared" si="169"/>
        <v>0</v>
      </c>
      <c r="AD572" s="12">
        <v>0.0</v>
      </c>
      <c r="AE572" s="12">
        <v>0.0</v>
      </c>
      <c r="AF572" s="12">
        <v>0.0</v>
      </c>
      <c r="AG572" s="12">
        <v>0.0</v>
      </c>
      <c r="AH572" s="12">
        <v>0.0</v>
      </c>
      <c r="AI572" s="12">
        <v>0.0</v>
      </c>
      <c r="AJ572" s="12">
        <v>0.0</v>
      </c>
      <c r="AK572" s="12">
        <v>0.0</v>
      </c>
      <c r="AL572" s="12">
        <f t="shared" si="192"/>
        <v>0</v>
      </c>
      <c r="AM572" s="12">
        <v>0.0</v>
      </c>
      <c r="AN572" s="12">
        <v>0.0</v>
      </c>
      <c r="AO572" s="12">
        <v>0.0</v>
      </c>
      <c r="AP572" s="12">
        <v>0.0</v>
      </c>
      <c r="AQ572" s="12">
        <v>0.0</v>
      </c>
      <c r="AR572" s="12">
        <v>0.0</v>
      </c>
      <c r="AS572" s="12">
        <f t="shared" si="168"/>
        <v>0</v>
      </c>
      <c r="AT572" s="16">
        <f>IF(AS572+AL572+AC572+V572+O572=0,"",AS572+AL572+AC572+V572+O572)</f>
        <v>3302</v>
      </c>
      <c r="AU572" s="18">
        <f t="shared" ref="AU572:AU601" si="203">IF(AT572="","",AT572+AU571)</f>
        <v>3302</v>
      </c>
      <c r="AV572" s="12">
        <v>0.0</v>
      </c>
      <c r="AW572" s="10">
        <f t="shared" ref="AW572:AW592" si="204">IF(AT572="","",AW571+AV572)</f>
        <v>0</v>
      </c>
      <c r="AX572" s="12">
        <f t="shared" si="171"/>
        <v>3302</v>
      </c>
      <c r="AY572" s="12">
        <v>0.0</v>
      </c>
      <c r="AZ572" s="12">
        <v>0.0</v>
      </c>
      <c r="BA572" s="6"/>
      <c r="BB572" s="10">
        <f t="shared" si="16"/>
        <v>51181</v>
      </c>
      <c r="BC572" s="16">
        <f t="shared" si="201"/>
        <v>203090.0086</v>
      </c>
      <c r="BD572" s="12">
        <v>0.0</v>
      </c>
      <c r="BE572" s="16">
        <f t="shared" ref="BE572:BE601" si="205">IF(AT572="","",BD572+BE571)</f>
        <v>0</v>
      </c>
      <c r="BF572" s="6"/>
      <c r="BG572" s="6"/>
      <c r="BH572" s="6"/>
      <c r="BI572" s="29">
        <f t="shared" si="202"/>
        <v>64304.69677</v>
      </c>
      <c r="BJ572" s="6"/>
      <c r="BK572" s="15">
        <f t="shared" si="76"/>
        <v>0.05134928187</v>
      </c>
      <c r="BN572" s="16">
        <f t="shared" si="187"/>
        <v>-61002.69677</v>
      </c>
      <c r="BO572" s="16">
        <f t="shared" ref="BO572:BO601" si="206">IF(AT572="","",BN572+BO571)</f>
        <v>-125307.3935</v>
      </c>
      <c r="BQ572" s="12">
        <v>59497.54</v>
      </c>
      <c r="BR572" s="12">
        <v>51176.11</v>
      </c>
      <c r="BS572" s="12">
        <v>21566.04</v>
      </c>
      <c r="BT572" s="12">
        <v>113.38</v>
      </c>
      <c r="BU572" s="12">
        <v>2483.72</v>
      </c>
      <c r="BV572" s="12">
        <v>0.0</v>
      </c>
      <c r="BW572" s="16">
        <f t="shared" ref="BW572:BW573" si="207">BV572+BU572+BT572+BS572+BR572</f>
        <v>75339.25</v>
      </c>
      <c r="BY572" s="6">
        <f t="shared" si="2"/>
        <v>2025</v>
      </c>
      <c r="BZ572" s="6" t="str">
        <f t="shared" si="3"/>
        <v>mayo</v>
      </c>
      <c r="CA572" s="6" t="str">
        <f t="shared" si="4"/>
        <v>5</v>
      </c>
    </row>
    <row r="573">
      <c r="A573" s="8">
        <v>45780.0</v>
      </c>
      <c r="B573" s="12">
        <v>0.0</v>
      </c>
      <c r="C573" s="12">
        <v>0.0</v>
      </c>
      <c r="D573" s="12">
        <v>0.0</v>
      </c>
      <c r="E573" s="12">
        <v>0.0</v>
      </c>
      <c r="F573" s="12">
        <v>0.0</v>
      </c>
      <c r="G573" s="12">
        <v>0.0</v>
      </c>
      <c r="H573" s="12">
        <f t="shared" si="149"/>
        <v>0</v>
      </c>
      <c r="I573" s="12">
        <v>0.0</v>
      </c>
      <c r="J573" s="12">
        <v>0.0</v>
      </c>
      <c r="K573" s="12">
        <v>0.0</v>
      </c>
      <c r="L573" s="12">
        <v>0.0</v>
      </c>
      <c r="M573" s="12">
        <v>0.0</v>
      </c>
      <c r="N573" s="12">
        <v>0.0</v>
      </c>
      <c r="O573" s="16">
        <f t="shared" si="150"/>
        <v>0</v>
      </c>
      <c r="P573" s="12">
        <v>0.0</v>
      </c>
      <c r="Q573" s="12">
        <v>0.0</v>
      </c>
      <c r="R573" s="12">
        <v>0.0</v>
      </c>
      <c r="S573" s="12">
        <v>0.0</v>
      </c>
      <c r="T573" s="12">
        <v>0.0</v>
      </c>
      <c r="U573" s="12">
        <v>0.0</v>
      </c>
      <c r="V573" s="16">
        <f t="shared" si="151"/>
        <v>0</v>
      </c>
      <c r="W573" s="12">
        <v>0.0</v>
      </c>
      <c r="X573" s="12">
        <v>0.0</v>
      </c>
      <c r="Y573" s="12">
        <v>0.0</v>
      </c>
      <c r="Z573" s="12">
        <v>0.0</v>
      </c>
      <c r="AA573" s="12">
        <v>0.0</v>
      </c>
      <c r="AB573" s="12">
        <v>0.0</v>
      </c>
      <c r="AC573" s="16">
        <f t="shared" si="169"/>
        <v>0</v>
      </c>
      <c r="AD573" s="12">
        <v>0.0</v>
      </c>
      <c r="AE573" s="12">
        <v>0.0</v>
      </c>
      <c r="AF573" s="12">
        <v>0.0</v>
      </c>
      <c r="AG573" s="12">
        <v>0.0</v>
      </c>
      <c r="AH573" s="12">
        <v>0.0</v>
      </c>
      <c r="AI573" s="12">
        <v>0.0</v>
      </c>
      <c r="AJ573" s="12">
        <v>0.0</v>
      </c>
      <c r="AK573" s="12">
        <v>0.0</v>
      </c>
      <c r="AL573" s="12">
        <f t="shared" si="192"/>
        <v>0</v>
      </c>
      <c r="AM573" s="12">
        <v>0.0</v>
      </c>
      <c r="AN573" s="12">
        <v>0.0</v>
      </c>
      <c r="AO573" s="12">
        <v>0.0</v>
      </c>
      <c r="AP573" s="12">
        <v>0.0</v>
      </c>
      <c r="AQ573" s="12">
        <v>0.0</v>
      </c>
      <c r="AR573" s="12">
        <v>0.0</v>
      </c>
      <c r="AS573" s="12">
        <f t="shared" si="168"/>
        <v>0</v>
      </c>
      <c r="AT573" s="5">
        <v>0.0</v>
      </c>
      <c r="AU573" s="18">
        <f t="shared" si="203"/>
        <v>3302</v>
      </c>
      <c r="AV573" s="12">
        <v>0.0</v>
      </c>
      <c r="AW573" s="10">
        <f t="shared" si="204"/>
        <v>0</v>
      </c>
      <c r="AX573" s="12">
        <f t="shared" si="171"/>
        <v>0</v>
      </c>
      <c r="AY573" s="12">
        <f t="shared" ref="AY573:AY707" si="208">IF(AT573="","",AU573+AW573+BE573)</f>
        <v>3302</v>
      </c>
      <c r="AZ573" s="12">
        <v>0.0</v>
      </c>
      <c r="BA573" s="6"/>
      <c r="BB573" s="10">
        <f t="shared" si="16"/>
        <v>34120.66667</v>
      </c>
      <c r="BC573" s="16">
        <f t="shared" si="201"/>
        <v>239235.1633</v>
      </c>
      <c r="BD573" s="12">
        <v>0.0</v>
      </c>
      <c r="BE573" s="16">
        <f t="shared" si="205"/>
        <v>0</v>
      </c>
      <c r="BF573" s="6"/>
      <c r="BG573" s="6"/>
      <c r="BH573" s="6"/>
      <c r="BI573" s="29">
        <f t="shared" si="202"/>
        <v>64304.69677</v>
      </c>
      <c r="BJ573" s="6"/>
      <c r="BK573" s="15">
        <f t="shared" si="76"/>
        <v>0</v>
      </c>
      <c r="BN573" s="16">
        <f t="shared" si="187"/>
        <v>-64304.69677</v>
      </c>
      <c r="BO573" s="16">
        <f t="shared" si="206"/>
        <v>-189612.0903</v>
      </c>
      <c r="BQ573" s="12">
        <v>52997.09</v>
      </c>
      <c r="BR573" s="12">
        <v>34786.02</v>
      </c>
      <c r="BS573" s="12">
        <v>13775.59</v>
      </c>
      <c r="BT573" s="12">
        <v>581.24</v>
      </c>
      <c r="BU573" s="12">
        <v>4355.28</v>
      </c>
      <c r="BV573" s="12">
        <v>0.0</v>
      </c>
      <c r="BW573" s="16">
        <f t="shared" si="207"/>
        <v>53498.13</v>
      </c>
      <c r="BY573" s="6">
        <f t="shared" si="2"/>
        <v>2025</v>
      </c>
      <c r="BZ573" s="6" t="str">
        <f t="shared" si="3"/>
        <v>mayo</v>
      </c>
      <c r="CA573" s="6" t="str">
        <f t="shared" si="4"/>
        <v>5</v>
      </c>
    </row>
    <row r="574">
      <c r="A574" s="8">
        <v>45781.0</v>
      </c>
      <c r="B574" s="12">
        <v>0.0</v>
      </c>
      <c r="C574" s="12">
        <v>0.0</v>
      </c>
      <c r="D574" s="12">
        <v>0.0</v>
      </c>
      <c r="E574" s="12">
        <v>0.0</v>
      </c>
      <c r="F574" s="12">
        <v>0.0</v>
      </c>
      <c r="G574" s="12">
        <v>0.0</v>
      </c>
      <c r="H574" s="12">
        <f t="shared" si="149"/>
        <v>0</v>
      </c>
      <c r="I574" s="12">
        <v>0.0</v>
      </c>
      <c r="J574" s="12">
        <v>0.0</v>
      </c>
      <c r="K574" s="12">
        <v>0.0</v>
      </c>
      <c r="L574" s="12">
        <v>0.0</v>
      </c>
      <c r="M574" s="12">
        <v>0.0</v>
      </c>
      <c r="N574" s="12">
        <v>0.0</v>
      </c>
      <c r="O574" s="16">
        <f t="shared" si="150"/>
        <v>0</v>
      </c>
      <c r="P574" s="12">
        <v>0.0</v>
      </c>
      <c r="Q574" s="12">
        <v>0.0</v>
      </c>
      <c r="R574" s="12">
        <v>0.0</v>
      </c>
      <c r="S574" s="12">
        <v>0.0</v>
      </c>
      <c r="T574" s="12">
        <v>0.0</v>
      </c>
      <c r="U574" s="12">
        <v>0.0</v>
      </c>
      <c r="V574" s="16">
        <f t="shared" si="151"/>
        <v>0</v>
      </c>
      <c r="W574" s="12">
        <v>0.0</v>
      </c>
      <c r="X574" s="12">
        <v>0.0</v>
      </c>
      <c r="Y574" s="12">
        <v>0.0</v>
      </c>
      <c r="Z574" s="12">
        <v>0.0</v>
      </c>
      <c r="AA574" s="12">
        <v>0.0</v>
      </c>
      <c r="AB574" s="12">
        <v>0.0</v>
      </c>
      <c r="AC574" s="16">
        <f t="shared" si="169"/>
        <v>0</v>
      </c>
      <c r="AD574" s="12">
        <v>0.0</v>
      </c>
      <c r="AE574" s="12">
        <v>0.0</v>
      </c>
      <c r="AF574" s="12">
        <v>0.0</v>
      </c>
      <c r="AG574" s="12">
        <v>0.0</v>
      </c>
      <c r="AH574" s="12">
        <v>0.0</v>
      </c>
      <c r="AI574" s="12">
        <v>0.0</v>
      </c>
      <c r="AJ574" s="12">
        <v>0.0</v>
      </c>
      <c r="AK574" s="12">
        <v>0.0</v>
      </c>
      <c r="AL574" s="12">
        <f t="shared" si="192"/>
        <v>0</v>
      </c>
      <c r="AM574" s="12">
        <v>0.0</v>
      </c>
      <c r="AN574" s="12">
        <v>0.0</v>
      </c>
      <c r="AO574" s="12">
        <v>0.0</v>
      </c>
      <c r="AP574" s="12">
        <v>0.0</v>
      </c>
      <c r="AQ574" s="12">
        <v>0.0</v>
      </c>
      <c r="AR574" s="12">
        <v>0.0</v>
      </c>
      <c r="AS574" s="12">
        <f t="shared" si="168"/>
        <v>0</v>
      </c>
      <c r="AT574" s="5">
        <v>0.0</v>
      </c>
      <c r="AU574" s="18">
        <f t="shared" si="203"/>
        <v>3302</v>
      </c>
      <c r="AV574" s="12">
        <v>0.0</v>
      </c>
      <c r="AW574" s="10">
        <f t="shared" si="204"/>
        <v>0</v>
      </c>
      <c r="AX574" s="12">
        <f t="shared" si="171"/>
        <v>0</v>
      </c>
      <c r="AY574" s="12">
        <f t="shared" si="208"/>
        <v>3302</v>
      </c>
      <c r="AZ574" s="12">
        <v>0.0</v>
      </c>
      <c r="BA574" s="6"/>
      <c r="BB574" s="10">
        <f t="shared" si="16"/>
        <v>25590.5</v>
      </c>
      <c r="BC574" s="16">
        <f t="shared" si="201"/>
        <v>0</v>
      </c>
      <c r="BD574" s="12">
        <v>0.0</v>
      </c>
      <c r="BE574" s="16">
        <f t="shared" si="205"/>
        <v>0</v>
      </c>
      <c r="BF574" s="6"/>
      <c r="BG574" s="6"/>
      <c r="BH574" s="6"/>
      <c r="BI574" s="29">
        <f t="shared" si="202"/>
        <v>64304.69677</v>
      </c>
      <c r="BJ574" s="6"/>
      <c r="BK574" s="15">
        <f t="shared" si="76"/>
        <v>0</v>
      </c>
      <c r="BN574" s="16">
        <f t="shared" si="187"/>
        <v>-64304.69677</v>
      </c>
      <c r="BO574" s="16">
        <f t="shared" si="206"/>
        <v>-253916.7871</v>
      </c>
      <c r="BY574" s="6">
        <f t="shared" si="2"/>
        <v>2025</v>
      </c>
      <c r="BZ574" s="6" t="str">
        <f t="shared" si="3"/>
        <v>mayo</v>
      </c>
      <c r="CA574" s="6" t="str">
        <f t="shared" si="4"/>
        <v>5</v>
      </c>
    </row>
    <row r="575">
      <c r="A575" s="8">
        <v>45782.0</v>
      </c>
      <c r="B575" s="12">
        <v>1322.0</v>
      </c>
      <c r="C575" s="12">
        <v>100.0</v>
      </c>
      <c r="D575" s="12">
        <v>0.0</v>
      </c>
      <c r="E575" s="12">
        <v>0.0</v>
      </c>
      <c r="F575" s="12">
        <v>0.0</v>
      </c>
      <c r="G575" s="12">
        <v>0.0</v>
      </c>
      <c r="H575" s="12">
        <f t="shared" si="149"/>
        <v>1422</v>
      </c>
      <c r="I575" s="12">
        <v>1114.0</v>
      </c>
      <c r="J575" s="12">
        <v>1115.0</v>
      </c>
      <c r="K575" s="12">
        <v>0.0</v>
      </c>
      <c r="L575" s="12">
        <v>0.0</v>
      </c>
      <c r="M575" s="12">
        <v>0.0</v>
      </c>
      <c r="N575" s="12">
        <v>0.0</v>
      </c>
      <c r="O575" s="16">
        <f t="shared" si="150"/>
        <v>2229</v>
      </c>
      <c r="P575" s="12">
        <v>875.0</v>
      </c>
      <c r="Q575" s="12">
        <v>400.0</v>
      </c>
      <c r="R575" s="12">
        <v>0.0</v>
      </c>
      <c r="S575" s="12">
        <v>0.0</v>
      </c>
      <c r="T575" s="12">
        <v>0.0</v>
      </c>
      <c r="U575" s="12">
        <v>0.0</v>
      </c>
      <c r="V575" s="16">
        <f t="shared" si="151"/>
        <v>1275</v>
      </c>
      <c r="W575" s="12">
        <v>0.0</v>
      </c>
      <c r="X575" s="12">
        <v>0.0</v>
      </c>
      <c r="Y575" s="12">
        <v>0.0</v>
      </c>
      <c r="Z575" s="12">
        <v>0.0</v>
      </c>
      <c r="AA575" s="12">
        <v>0.0</v>
      </c>
      <c r="AB575" s="12">
        <v>0.0</v>
      </c>
      <c r="AC575" s="16">
        <f t="shared" si="169"/>
        <v>0</v>
      </c>
      <c r="AD575" s="12">
        <v>0.0</v>
      </c>
      <c r="AE575" s="12">
        <v>0.0</v>
      </c>
      <c r="AF575" s="12">
        <v>0.0</v>
      </c>
      <c r="AG575" s="12">
        <v>0.0</v>
      </c>
      <c r="AH575" s="12">
        <v>0.0</v>
      </c>
      <c r="AI575" s="12">
        <v>0.0</v>
      </c>
      <c r="AJ575" s="12">
        <v>0.0</v>
      </c>
      <c r="AK575" s="12">
        <v>0.0</v>
      </c>
      <c r="AL575" s="12">
        <f t="shared" si="192"/>
        <v>0</v>
      </c>
      <c r="AM575" s="12">
        <v>0.0</v>
      </c>
      <c r="AN575" s="12">
        <v>0.0</v>
      </c>
      <c r="AO575" s="12">
        <v>0.0</v>
      </c>
      <c r="AP575" s="12">
        <v>0.0</v>
      </c>
      <c r="AQ575" s="12">
        <v>0.0</v>
      </c>
      <c r="AR575" s="12">
        <v>0.0</v>
      </c>
      <c r="AS575" s="12">
        <f t="shared" si="168"/>
        <v>0</v>
      </c>
      <c r="AT575" s="16">
        <f t="shared" ref="AT575:AT579" si="209">IF(AS575+AL575+AC575+V575+O575=0,"",AS575+AL575+AC575+V575+O575)</f>
        <v>3504</v>
      </c>
      <c r="AU575" s="18">
        <f t="shared" si="203"/>
        <v>6806</v>
      </c>
      <c r="AV575" s="12">
        <v>0.0</v>
      </c>
      <c r="AW575" s="10">
        <f t="shared" si="204"/>
        <v>0</v>
      </c>
      <c r="AX575" s="12">
        <f t="shared" si="171"/>
        <v>3504</v>
      </c>
      <c r="AY575" s="12">
        <f t="shared" si="208"/>
        <v>6806</v>
      </c>
      <c r="AZ575" s="12">
        <v>0.0</v>
      </c>
      <c r="BA575" s="6"/>
      <c r="BB575" s="10">
        <f t="shared" si="16"/>
        <v>42197.2</v>
      </c>
      <c r="BC575" s="16">
        <f t="shared" si="201"/>
        <v>8255</v>
      </c>
      <c r="BD575" s="12">
        <v>0.0</v>
      </c>
      <c r="BE575" s="16">
        <f t="shared" si="205"/>
        <v>0</v>
      </c>
      <c r="BF575" s="6"/>
      <c r="BG575" s="6"/>
      <c r="BH575" s="6"/>
      <c r="BI575" s="29">
        <f t="shared" si="202"/>
        <v>64304.69677</v>
      </c>
      <c r="BJ575" s="6"/>
      <c r="BK575" s="15">
        <f t="shared" si="76"/>
        <v>0.05449057652</v>
      </c>
      <c r="BN575" s="16">
        <f t="shared" si="187"/>
        <v>-60800.69677</v>
      </c>
      <c r="BO575" s="16">
        <f t="shared" si="206"/>
        <v>-314717.4839</v>
      </c>
      <c r="BY575" s="6">
        <f t="shared" si="2"/>
        <v>2025</v>
      </c>
      <c r="BZ575" s="6" t="str">
        <f t="shared" si="3"/>
        <v>mayo</v>
      </c>
      <c r="CA575" s="6" t="str">
        <f t="shared" si="4"/>
        <v>5</v>
      </c>
    </row>
    <row r="576">
      <c r="A576" s="8">
        <v>45783.0</v>
      </c>
      <c r="B576" s="12">
        <v>27176.85</v>
      </c>
      <c r="C576" s="12">
        <v>104.95</v>
      </c>
      <c r="D576" s="12">
        <v>0.0</v>
      </c>
      <c r="E576" s="12">
        <v>0.0</v>
      </c>
      <c r="F576" s="12">
        <v>0.0</v>
      </c>
      <c r="G576" s="12">
        <v>0.0</v>
      </c>
      <c r="H576" s="12">
        <f t="shared" si="149"/>
        <v>27281.8</v>
      </c>
      <c r="I576" s="12">
        <v>15964.0</v>
      </c>
      <c r="J576" s="12">
        <v>4658.28</v>
      </c>
      <c r="K576" s="12">
        <v>0.0</v>
      </c>
      <c r="L576" s="12">
        <v>0.0</v>
      </c>
      <c r="M576" s="12">
        <v>0.0</v>
      </c>
      <c r="N576" s="12">
        <v>0.0</v>
      </c>
      <c r="O576" s="16">
        <f t="shared" si="150"/>
        <v>20622.28</v>
      </c>
      <c r="P576" s="12">
        <v>5695.5</v>
      </c>
      <c r="Q576" s="12">
        <v>1963.48</v>
      </c>
      <c r="R576" s="12">
        <v>0.0</v>
      </c>
      <c r="S576" s="12">
        <v>0.0</v>
      </c>
      <c r="T576" s="12">
        <v>0.0</v>
      </c>
      <c r="U576" s="12">
        <v>0.0</v>
      </c>
      <c r="V576" s="16">
        <f t="shared" si="151"/>
        <v>7658.98</v>
      </c>
      <c r="W576" s="12">
        <v>91.71</v>
      </c>
      <c r="X576" s="12">
        <v>0.0</v>
      </c>
      <c r="Y576" s="12">
        <v>0.0</v>
      </c>
      <c r="Z576" s="12">
        <v>0.0</v>
      </c>
      <c r="AA576" s="12">
        <v>0.0</v>
      </c>
      <c r="AB576" s="12">
        <v>0.0</v>
      </c>
      <c r="AC576" s="16">
        <f t="shared" si="169"/>
        <v>91.71</v>
      </c>
      <c r="AD576" s="12">
        <v>0.0</v>
      </c>
      <c r="AE576" s="12">
        <v>91.71</v>
      </c>
      <c r="AF576" s="12">
        <v>4219.86</v>
      </c>
      <c r="AG576" s="12">
        <v>0.0</v>
      </c>
      <c r="AH576" s="12">
        <v>0.0</v>
      </c>
      <c r="AI576" s="12">
        <v>0.0</v>
      </c>
      <c r="AJ576" s="12">
        <v>0.0</v>
      </c>
      <c r="AK576" s="12">
        <v>0.0</v>
      </c>
      <c r="AL576" s="12">
        <f t="shared" si="192"/>
        <v>4219.86</v>
      </c>
      <c r="AM576" s="12">
        <v>0.0</v>
      </c>
      <c r="AN576" s="12">
        <v>0.0</v>
      </c>
      <c r="AO576" s="12">
        <v>0.0</v>
      </c>
      <c r="AP576" s="12">
        <v>0.0</v>
      </c>
      <c r="AQ576" s="12">
        <v>0.0</v>
      </c>
      <c r="AR576" s="12">
        <v>0.0</v>
      </c>
      <c r="AS576" s="12">
        <f t="shared" si="168"/>
        <v>0</v>
      </c>
      <c r="AT576" s="16">
        <f t="shared" si="209"/>
        <v>32592.83</v>
      </c>
      <c r="AU576" s="18">
        <f t="shared" si="203"/>
        <v>39398.83</v>
      </c>
      <c r="AV576" s="12">
        <v>10250.82</v>
      </c>
      <c r="AW576" s="10">
        <f t="shared" si="204"/>
        <v>10250.82</v>
      </c>
      <c r="AX576" s="12">
        <f t="shared" si="171"/>
        <v>42843.65</v>
      </c>
      <c r="AY576" s="12">
        <f t="shared" si="208"/>
        <v>49649.65</v>
      </c>
      <c r="AZ576" s="12">
        <v>1669.91</v>
      </c>
      <c r="BA576" s="18">
        <f t="shared" ref="BA576:BA601" si="210">IF(AZ576="","",AZ576+BA575)</f>
        <v>1669.91</v>
      </c>
      <c r="BB576" s="10">
        <f t="shared" si="16"/>
        <v>203560.6217</v>
      </c>
      <c r="BC576" s="16">
        <f t="shared" si="201"/>
        <v>5503.333333</v>
      </c>
      <c r="BD576" s="12">
        <v>0.0</v>
      </c>
      <c r="BE576" s="16">
        <f t="shared" si="205"/>
        <v>0</v>
      </c>
      <c r="BF576" s="6"/>
      <c r="BG576" s="6"/>
      <c r="BH576" s="6"/>
      <c r="BI576" s="29">
        <f t="shared" si="202"/>
        <v>64304.69677</v>
      </c>
      <c r="BJ576" s="6"/>
      <c r="BK576" s="15">
        <f t="shared" si="76"/>
        <v>0.5068499135</v>
      </c>
      <c r="BN576" s="16">
        <f t="shared" si="187"/>
        <v>-21461.04677</v>
      </c>
      <c r="BO576" s="16">
        <f t="shared" si="206"/>
        <v>-336178.5306</v>
      </c>
      <c r="BY576" s="6">
        <f t="shared" si="2"/>
        <v>2025</v>
      </c>
      <c r="BZ576" s="6" t="str">
        <f t="shared" si="3"/>
        <v>mayo</v>
      </c>
      <c r="CA576" s="6" t="str">
        <f t="shared" si="4"/>
        <v>5</v>
      </c>
    </row>
    <row r="577">
      <c r="A577" s="8">
        <v>45784.0</v>
      </c>
      <c r="B577" s="12">
        <v>54084.58</v>
      </c>
      <c r="C577" s="12">
        <v>5062.86</v>
      </c>
      <c r="D577" s="12">
        <v>5634.29</v>
      </c>
      <c r="E577" s="12">
        <v>1167.39</v>
      </c>
      <c r="F577" s="12">
        <v>0.0</v>
      </c>
      <c r="G577" s="12">
        <v>0.0</v>
      </c>
      <c r="H577" s="12">
        <f t="shared" si="149"/>
        <v>65949.12</v>
      </c>
      <c r="I577" s="12">
        <v>50114.0</v>
      </c>
      <c r="J577" s="12">
        <v>1233.2</v>
      </c>
      <c r="K577" s="12">
        <v>1462.0</v>
      </c>
      <c r="L577" s="12">
        <v>2105.98</v>
      </c>
      <c r="M577" s="12">
        <v>0.0</v>
      </c>
      <c r="N577" s="12">
        <v>0.0</v>
      </c>
      <c r="O577" s="16">
        <f t="shared" si="150"/>
        <v>54915.18</v>
      </c>
      <c r="P577" s="12">
        <v>19350.87</v>
      </c>
      <c r="Q577" s="12">
        <v>2831.26</v>
      </c>
      <c r="R577" s="12">
        <v>2727.63</v>
      </c>
      <c r="S577" s="12">
        <v>0.0</v>
      </c>
      <c r="T577" s="12">
        <v>0.0</v>
      </c>
      <c r="U577" s="12">
        <v>0.0</v>
      </c>
      <c r="V577" s="16">
        <f t="shared" si="151"/>
        <v>24909.76</v>
      </c>
      <c r="W577" s="12">
        <v>3156.91</v>
      </c>
      <c r="X577" s="12">
        <v>97.4</v>
      </c>
      <c r="Y577" s="12">
        <v>26.8</v>
      </c>
      <c r="Z577" s="12">
        <v>0.0</v>
      </c>
      <c r="AA577" s="12">
        <v>0.0</v>
      </c>
      <c r="AB577" s="12">
        <v>0.0</v>
      </c>
      <c r="AC577" s="16">
        <f t="shared" si="169"/>
        <v>3281.11</v>
      </c>
      <c r="AD577" s="12">
        <v>3124.26</v>
      </c>
      <c r="AE577" s="12">
        <v>157.21</v>
      </c>
      <c r="AF577" s="12">
        <v>1500.82</v>
      </c>
      <c r="AG577" s="12">
        <v>0.0</v>
      </c>
      <c r="AH577" s="12">
        <v>0.0</v>
      </c>
      <c r="AI577" s="12">
        <v>0.0</v>
      </c>
      <c r="AJ577" s="12">
        <v>0.0</v>
      </c>
      <c r="AK577" s="12">
        <v>0.0</v>
      </c>
      <c r="AL577" s="12">
        <f t="shared" si="192"/>
        <v>1500.82</v>
      </c>
      <c r="AM577" s="12">
        <v>1940.0</v>
      </c>
      <c r="AN577" s="12">
        <v>0.0</v>
      </c>
      <c r="AO577" s="12">
        <v>0.0</v>
      </c>
      <c r="AP577" s="12">
        <v>0.0</v>
      </c>
      <c r="AQ577" s="12">
        <v>0.0</v>
      </c>
      <c r="AR577" s="12">
        <v>0.0</v>
      </c>
      <c r="AS577" s="12">
        <f t="shared" si="168"/>
        <v>1940</v>
      </c>
      <c r="AT577" s="16">
        <f t="shared" si="209"/>
        <v>86546.87</v>
      </c>
      <c r="AU577" s="18">
        <f t="shared" si="203"/>
        <v>125945.7</v>
      </c>
      <c r="AV577" s="12">
        <v>18013.54</v>
      </c>
      <c r="AW577" s="10">
        <f t="shared" si="204"/>
        <v>28264.36</v>
      </c>
      <c r="AX577" s="12">
        <f t="shared" si="171"/>
        <v>104560.41</v>
      </c>
      <c r="AY577" s="12">
        <f t="shared" si="208"/>
        <v>155211.15</v>
      </c>
      <c r="AZ577" s="12">
        <v>2981.32</v>
      </c>
      <c r="BA577" s="18">
        <f t="shared" si="210"/>
        <v>4651.23</v>
      </c>
      <c r="BB577" s="10">
        <f t="shared" si="16"/>
        <v>557759.5286</v>
      </c>
      <c r="BC577" s="16">
        <f t="shared" si="201"/>
        <v>4127.5</v>
      </c>
      <c r="BD577" s="12">
        <v>1001.09</v>
      </c>
      <c r="BE577" s="16">
        <f t="shared" si="205"/>
        <v>1001.09</v>
      </c>
      <c r="BF577" s="6"/>
      <c r="BG577" s="6"/>
      <c r="BH577" s="6"/>
      <c r="BI577" s="29">
        <f t="shared" si="202"/>
        <v>64304.69677</v>
      </c>
      <c r="BK577" s="15">
        <f t="shared" si="76"/>
        <v>1.345887227</v>
      </c>
      <c r="BN577" s="16">
        <f t="shared" si="187"/>
        <v>41256.80323</v>
      </c>
      <c r="BO577" s="16">
        <f t="shared" si="206"/>
        <v>-294921.7274</v>
      </c>
      <c r="BY577" s="6">
        <f t="shared" si="2"/>
        <v>2025</v>
      </c>
      <c r="BZ577" s="6" t="str">
        <f t="shared" si="3"/>
        <v>mayo</v>
      </c>
      <c r="CA577" s="6" t="str">
        <f t="shared" si="4"/>
        <v>5</v>
      </c>
    </row>
    <row r="578">
      <c r="A578" s="8">
        <v>45785.0</v>
      </c>
      <c r="B578" s="12">
        <v>39438.04</v>
      </c>
      <c r="C578" s="12">
        <v>1757.83</v>
      </c>
      <c r="D578" s="12">
        <v>3372.04</v>
      </c>
      <c r="E578" s="12">
        <v>0.0</v>
      </c>
      <c r="F578" s="12">
        <v>0.0</v>
      </c>
      <c r="G578" s="12">
        <v>0.0</v>
      </c>
      <c r="H578" s="12">
        <f t="shared" si="149"/>
        <v>44567.91</v>
      </c>
      <c r="I578" s="12">
        <v>29179.21</v>
      </c>
      <c r="J578" s="12">
        <v>3415.0</v>
      </c>
      <c r="K578" s="12">
        <v>1445.0</v>
      </c>
      <c r="L578" s="12">
        <v>0.0</v>
      </c>
      <c r="M578" s="12">
        <v>0.0</v>
      </c>
      <c r="N578" s="12">
        <v>0.0</v>
      </c>
      <c r="O578" s="16">
        <f t="shared" si="150"/>
        <v>34039.21</v>
      </c>
      <c r="P578" s="12">
        <v>14082.07</v>
      </c>
      <c r="Q578" s="12">
        <v>1178.39</v>
      </c>
      <c r="R578" s="12">
        <v>2511.77</v>
      </c>
      <c r="S578" s="12">
        <v>0.0</v>
      </c>
      <c r="T578" s="12">
        <v>0.0</v>
      </c>
      <c r="U578" s="12">
        <v>0.0</v>
      </c>
      <c r="V578" s="16">
        <f t="shared" si="151"/>
        <v>17772.23</v>
      </c>
      <c r="W578" s="12">
        <v>10405.12</v>
      </c>
      <c r="X578" s="12">
        <v>0.0</v>
      </c>
      <c r="Y578" s="12">
        <v>0.27</v>
      </c>
      <c r="Z578" s="12">
        <v>0.0</v>
      </c>
      <c r="AA578" s="12">
        <v>0.0</v>
      </c>
      <c r="AB578" s="12">
        <v>0.0</v>
      </c>
      <c r="AC578" s="16">
        <f t="shared" si="169"/>
        <v>10405.39</v>
      </c>
      <c r="AD578" s="12">
        <v>10319.8</v>
      </c>
      <c r="AE578" s="12">
        <v>85.59</v>
      </c>
      <c r="AF578" s="12">
        <v>507.46</v>
      </c>
      <c r="AG578" s="12">
        <v>0.0</v>
      </c>
      <c r="AH578" s="12">
        <v>0.0</v>
      </c>
      <c r="AI578" s="12">
        <v>0.0</v>
      </c>
      <c r="AJ578" s="12">
        <v>0.0</v>
      </c>
      <c r="AK578" s="12">
        <v>0.0</v>
      </c>
      <c r="AL578" s="12">
        <f t="shared" si="192"/>
        <v>507.46</v>
      </c>
      <c r="AM578" s="12">
        <v>10281.0</v>
      </c>
      <c r="AN578" s="12">
        <v>0.0</v>
      </c>
      <c r="AO578" s="12">
        <v>0.0</v>
      </c>
      <c r="AP578" s="12">
        <v>0.0</v>
      </c>
      <c r="AQ578" s="12">
        <v>0.0</v>
      </c>
      <c r="AR578" s="12">
        <v>0.0</v>
      </c>
      <c r="AS578" s="12">
        <f t="shared" si="168"/>
        <v>10281</v>
      </c>
      <c r="AT578" s="16">
        <f t="shared" si="209"/>
        <v>73005.29</v>
      </c>
      <c r="AU578" s="18">
        <f t="shared" si="203"/>
        <v>198950.99</v>
      </c>
      <c r="AV578" s="12">
        <v>16950.65</v>
      </c>
      <c r="AW578" s="10">
        <f t="shared" si="204"/>
        <v>45215.01</v>
      </c>
      <c r="AX578" s="12">
        <f t="shared" si="171"/>
        <v>89955.94</v>
      </c>
      <c r="AY578" s="12">
        <f t="shared" si="208"/>
        <v>248568.07</v>
      </c>
      <c r="AZ578" s="12">
        <v>3852.63</v>
      </c>
      <c r="BA578" s="18">
        <f t="shared" si="210"/>
        <v>8503.86</v>
      </c>
      <c r="BB578" s="10">
        <f t="shared" si="16"/>
        <v>770935.0863</v>
      </c>
      <c r="BC578" s="16">
        <f t="shared" si="201"/>
        <v>6806</v>
      </c>
      <c r="BD578" s="12">
        <v>3400.98</v>
      </c>
      <c r="BE578" s="16">
        <f t="shared" si="205"/>
        <v>4402.07</v>
      </c>
      <c r="BF578" s="6"/>
      <c r="BG578" s="6"/>
      <c r="BH578" s="6"/>
      <c r="BI578" s="29">
        <f t="shared" si="202"/>
        <v>64304.69677</v>
      </c>
      <c r="BK578" s="15">
        <f t="shared" si="76"/>
        <v>1.135302609</v>
      </c>
      <c r="BN578" s="16">
        <f t="shared" si="187"/>
        <v>29052.22323</v>
      </c>
      <c r="BO578" s="16">
        <f t="shared" si="206"/>
        <v>-265869.5042</v>
      </c>
      <c r="BY578" s="6">
        <f t="shared" si="2"/>
        <v>2025</v>
      </c>
      <c r="BZ578" s="6" t="str">
        <f t="shared" si="3"/>
        <v>mayo</v>
      </c>
      <c r="CA578" s="6" t="str">
        <f t="shared" si="4"/>
        <v>5</v>
      </c>
    </row>
    <row r="579">
      <c r="A579" s="8">
        <v>45786.0</v>
      </c>
      <c r="B579" s="12">
        <v>54136.0</v>
      </c>
      <c r="C579" s="12">
        <v>7704.98</v>
      </c>
      <c r="D579" s="12">
        <v>5763.0</v>
      </c>
      <c r="E579" s="12">
        <v>0.0</v>
      </c>
      <c r="F579" s="12">
        <v>0.0</v>
      </c>
      <c r="G579" s="12">
        <v>0.0</v>
      </c>
      <c r="H579" s="12">
        <f t="shared" si="149"/>
        <v>67603.98</v>
      </c>
      <c r="I579" s="12">
        <v>25746.0</v>
      </c>
      <c r="J579" s="12">
        <v>2413.0</v>
      </c>
      <c r="K579" s="12">
        <v>1777.0</v>
      </c>
      <c r="L579" s="12">
        <v>941.83</v>
      </c>
      <c r="M579" s="12">
        <v>0.0</v>
      </c>
      <c r="N579" s="12">
        <v>0.0</v>
      </c>
      <c r="O579" s="16">
        <f t="shared" si="150"/>
        <v>30877.83</v>
      </c>
      <c r="P579" s="12">
        <v>14879.92</v>
      </c>
      <c r="Q579" s="12">
        <v>2475.24</v>
      </c>
      <c r="R579" s="12">
        <v>15502.45</v>
      </c>
      <c r="S579" s="12">
        <v>0.0</v>
      </c>
      <c r="T579" s="12">
        <v>0.0</v>
      </c>
      <c r="U579" s="12">
        <v>0.0</v>
      </c>
      <c r="V579" s="16">
        <f t="shared" si="151"/>
        <v>32857.61</v>
      </c>
      <c r="W579" s="12">
        <v>3657.42</v>
      </c>
      <c r="X579" s="12">
        <v>46.54</v>
      </c>
      <c r="Y579" s="12">
        <v>48.57</v>
      </c>
      <c r="Z579" s="12">
        <v>0.0</v>
      </c>
      <c r="AA579" s="12">
        <v>0.0</v>
      </c>
      <c r="AB579" s="12">
        <v>0.0</v>
      </c>
      <c r="AC579" s="16">
        <f t="shared" si="169"/>
        <v>3752.53</v>
      </c>
      <c r="AD579" s="12">
        <v>3563.57</v>
      </c>
      <c r="AE579" s="12">
        <v>188.96</v>
      </c>
      <c r="AF579" s="12">
        <v>7299.41</v>
      </c>
      <c r="AG579" s="12">
        <v>4628.78</v>
      </c>
      <c r="AH579" s="12">
        <v>1970.67</v>
      </c>
      <c r="AI579" s="12">
        <v>0.0</v>
      </c>
      <c r="AJ579" s="12">
        <v>0.0</v>
      </c>
      <c r="AK579" s="12">
        <v>0.0</v>
      </c>
      <c r="AL579" s="12">
        <f t="shared" si="192"/>
        <v>13898.86</v>
      </c>
      <c r="AM579" s="12">
        <v>4642.0</v>
      </c>
      <c r="AN579" s="12">
        <v>0.0</v>
      </c>
      <c r="AO579" s="12">
        <v>0.0</v>
      </c>
      <c r="AP579" s="12">
        <v>0.0</v>
      </c>
      <c r="AQ579" s="12">
        <v>0.0</v>
      </c>
      <c r="AR579" s="12">
        <v>0.0</v>
      </c>
      <c r="AS579" s="12">
        <f t="shared" si="168"/>
        <v>4642</v>
      </c>
      <c r="AT579" s="16">
        <f t="shared" si="209"/>
        <v>86028.83</v>
      </c>
      <c r="AU579" s="18">
        <f t="shared" si="203"/>
        <v>284979.82</v>
      </c>
      <c r="AV579" s="12">
        <v>30582.51</v>
      </c>
      <c r="AW579" s="10">
        <f t="shared" si="204"/>
        <v>75797.52</v>
      </c>
      <c r="AX579" s="12">
        <f t="shared" si="171"/>
        <v>116611.34</v>
      </c>
      <c r="AY579" s="12">
        <f t="shared" si="208"/>
        <v>366165.29</v>
      </c>
      <c r="AZ579" s="12">
        <v>2468.85</v>
      </c>
      <c r="BA579" s="18">
        <f t="shared" si="210"/>
        <v>10972.71</v>
      </c>
      <c r="BB579" s="10">
        <f t="shared" si="16"/>
        <v>981597.1578</v>
      </c>
      <c r="BC579" s="16">
        <f t="shared" si="201"/>
        <v>32832.35833</v>
      </c>
      <c r="BD579" s="12">
        <v>985.88</v>
      </c>
      <c r="BE579" s="16">
        <f t="shared" si="205"/>
        <v>5387.95</v>
      </c>
      <c r="BF579" s="6"/>
      <c r="BG579" s="6"/>
      <c r="BH579" s="6"/>
      <c r="BI579" s="29">
        <f t="shared" si="202"/>
        <v>64304.69677</v>
      </c>
      <c r="BK579" s="15">
        <f t="shared" si="76"/>
        <v>1.337831205</v>
      </c>
      <c r="BN579" s="16">
        <f t="shared" si="187"/>
        <v>53292.52323</v>
      </c>
      <c r="BO579" s="16">
        <f t="shared" si="206"/>
        <v>-212576.981</v>
      </c>
      <c r="BY579" s="6">
        <f t="shared" si="2"/>
        <v>2025</v>
      </c>
      <c r="BZ579" s="6" t="str">
        <f t="shared" si="3"/>
        <v>mayo</v>
      </c>
      <c r="CA579" s="6" t="str">
        <f t="shared" si="4"/>
        <v>5</v>
      </c>
    </row>
    <row r="580">
      <c r="A580" s="8">
        <v>45787.0</v>
      </c>
      <c r="B580" s="12">
        <v>0.0</v>
      </c>
      <c r="C580" s="12">
        <v>0.0</v>
      </c>
      <c r="D580" s="12">
        <v>0.0</v>
      </c>
      <c r="E580" s="12">
        <v>0.0</v>
      </c>
      <c r="F580" s="12">
        <v>0.0</v>
      </c>
      <c r="G580" s="12">
        <v>0.0</v>
      </c>
      <c r="H580" s="12">
        <f t="shared" si="149"/>
        <v>0</v>
      </c>
      <c r="I580" s="12">
        <v>0.0</v>
      </c>
      <c r="J580" s="12">
        <v>0.0</v>
      </c>
      <c r="K580" s="12">
        <v>0.0</v>
      </c>
      <c r="L580" s="12">
        <v>0.0</v>
      </c>
      <c r="M580" s="12">
        <v>0.0</v>
      </c>
      <c r="N580" s="12">
        <v>0.0</v>
      </c>
      <c r="O580" s="16">
        <f t="shared" si="150"/>
        <v>0</v>
      </c>
      <c r="P580" s="12">
        <v>0.0</v>
      </c>
      <c r="Q580" s="12">
        <v>0.0</v>
      </c>
      <c r="R580" s="12">
        <v>0.0</v>
      </c>
      <c r="S580" s="12">
        <v>0.0</v>
      </c>
      <c r="T580" s="12">
        <v>0.0</v>
      </c>
      <c r="U580" s="12">
        <v>0.0</v>
      </c>
      <c r="V580" s="16">
        <f t="shared" si="151"/>
        <v>0</v>
      </c>
      <c r="W580" s="12">
        <v>0.0</v>
      </c>
      <c r="X580" s="12">
        <v>0.0</v>
      </c>
      <c r="Y580" s="12">
        <v>0.0</v>
      </c>
      <c r="Z580" s="12">
        <v>0.0</v>
      </c>
      <c r="AA580" s="12">
        <v>0.0</v>
      </c>
      <c r="AB580" s="12">
        <v>0.0</v>
      </c>
      <c r="AC580" s="16">
        <f t="shared" si="169"/>
        <v>0</v>
      </c>
      <c r="AD580" s="12">
        <v>0.0</v>
      </c>
      <c r="AE580" s="12">
        <v>0.0</v>
      </c>
      <c r="AF580" s="12">
        <v>0.0</v>
      </c>
      <c r="AG580" s="12">
        <v>0.0</v>
      </c>
      <c r="AH580" s="12">
        <v>0.0</v>
      </c>
      <c r="AI580" s="12">
        <v>0.0</v>
      </c>
      <c r="AJ580" s="12">
        <v>0.0</v>
      </c>
      <c r="AK580" s="12">
        <v>0.0</v>
      </c>
      <c r="AL580" s="12">
        <f t="shared" si="192"/>
        <v>0</v>
      </c>
      <c r="AM580" s="12">
        <v>0.0</v>
      </c>
      <c r="AN580" s="12">
        <v>0.0</v>
      </c>
      <c r="AO580" s="12">
        <v>0.0</v>
      </c>
      <c r="AP580" s="12">
        <v>0.0</v>
      </c>
      <c r="AQ580" s="12">
        <v>0.0</v>
      </c>
      <c r="AR580" s="12">
        <v>0.0</v>
      </c>
      <c r="AS580" s="12">
        <f t="shared" si="168"/>
        <v>0</v>
      </c>
      <c r="AT580" s="5">
        <v>0.0</v>
      </c>
      <c r="AU580" s="18">
        <f t="shared" si="203"/>
        <v>284979.82</v>
      </c>
      <c r="AV580" s="12">
        <v>0.0</v>
      </c>
      <c r="AW580" s="10">
        <f t="shared" si="204"/>
        <v>75797.52</v>
      </c>
      <c r="AX580" s="12">
        <f t="shared" si="171"/>
        <v>0</v>
      </c>
      <c r="AY580" s="12">
        <f t="shared" si="208"/>
        <v>366165.29</v>
      </c>
      <c r="AZ580" s="12">
        <v>0.0</v>
      </c>
      <c r="BA580" s="18">
        <f t="shared" si="210"/>
        <v>10972.71</v>
      </c>
      <c r="BB580" s="10">
        <f t="shared" si="16"/>
        <v>883437.442</v>
      </c>
      <c r="BC580" s="16">
        <f t="shared" si="201"/>
        <v>89961.21429</v>
      </c>
      <c r="BD580" s="12">
        <v>0.0</v>
      </c>
      <c r="BE580" s="16">
        <f t="shared" si="205"/>
        <v>5387.95</v>
      </c>
      <c r="BF580" s="6"/>
      <c r="BG580" s="6"/>
      <c r="BH580" s="6"/>
      <c r="BI580" s="29">
        <f t="shared" si="202"/>
        <v>64304.69677</v>
      </c>
      <c r="BJ580" s="6"/>
      <c r="BK580" s="15">
        <f t="shared" si="76"/>
        <v>0</v>
      </c>
      <c r="BN580" s="16">
        <f t="shared" si="187"/>
        <v>-64304.69677</v>
      </c>
      <c r="BO580" s="16">
        <f t="shared" si="206"/>
        <v>-276881.6777</v>
      </c>
      <c r="BY580" s="6">
        <f t="shared" si="2"/>
        <v>2025</v>
      </c>
      <c r="BZ580" s="6" t="str">
        <f t="shared" si="3"/>
        <v>mayo</v>
      </c>
      <c r="CA580" s="6" t="str">
        <f t="shared" si="4"/>
        <v>5</v>
      </c>
    </row>
    <row r="581">
      <c r="A581" s="8">
        <v>45788.0</v>
      </c>
      <c r="B581" s="12">
        <v>0.0</v>
      </c>
      <c r="C581" s="12">
        <v>0.0</v>
      </c>
      <c r="D581" s="12">
        <v>0.0</v>
      </c>
      <c r="E581" s="12">
        <v>0.0</v>
      </c>
      <c r="F581" s="12">
        <v>0.0</v>
      </c>
      <c r="G581" s="12">
        <v>0.0</v>
      </c>
      <c r="H581" s="12">
        <f t="shared" si="149"/>
        <v>0</v>
      </c>
      <c r="I581" s="12">
        <v>0.0</v>
      </c>
      <c r="J581" s="12">
        <v>0.0</v>
      </c>
      <c r="K581" s="12">
        <v>0.0</v>
      </c>
      <c r="L581" s="12">
        <v>0.0</v>
      </c>
      <c r="M581" s="12">
        <v>0.0</v>
      </c>
      <c r="N581" s="12">
        <v>0.0</v>
      </c>
      <c r="O581" s="16">
        <f t="shared" si="150"/>
        <v>0</v>
      </c>
      <c r="P581" s="12">
        <v>0.0</v>
      </c>
      <c r="Q581" s="12">
        <v>0.0</v>
      </c>
      <c r="R581" s="12">
        <v>0.0</v>
      </c>
      <c r="S581" s="12">
        <v>0.0</v>
      </c>
      <c r="T581" s="12">
        <v>0.0</v>
      </c>
      <c r="U581" s="12">
        <v>0.0</v>
      </c>
      <c r="V581" s="16">
        <f t="shared" si="151"/>
        <v>0</v>
      </c>
      <c r="W581" s="12">
        <v>0.0</v>
      </c>
      <c r="X581" s="12">
        <v>0.0</v>
      </c>
      <c r="Y581" s="12">
        <v>0.0</v>
      </c>
      <c r="Z581" s="12">
        <v>0.0</v>
      </c>
      <c r="AA581" s="12">
        <v>0.0</v>
      </c>
      <c r="AB581" s="12">
        <v>0.0</v>
      </c>
      <c r="AC581" s="16">
        <f t="shared" si="169"/>
        <v>0</v>
      </c>
      <c r="AD581" s="12">
        <v>0.0</v>
      </c>
      <c r="AE581" s="12">
        <v>0.0</v>
      </c>
      <c r="AF581" s="12">
        <v>0.0</v>
      </c>
      <c r="AG581" s="12">
        <v>0.0</v>
      </c>
      <c r="AH581" s="12">
        <v>0.0</v>
      </c>
      <c r="AI581" s="12">
        <v>0.0</v>
      </c>
      <c r="AJ581" s="12">
        <v>0.0</v>
      </c>
      <c r="AK581" s="12">
        <v>0.0</v>
      </c>
      <c r="AL581" s="12">
        <f t="shared" si="192"/>
        <v>0</v>
      </c>
      <c r="AM581" s="12">
        <v>0.0</v>
      </c>
      <c r="AN581" s="12">
        <v>0.0</v>
      </c>
      <c r="AO581" s="12">
        <v>0.0</v>
      </c>
      <c r="AP581" s="12">
        <v>0.0</v>
      </c>
      <c r="AQ581" s="12">
        <v>0.0</v>
      </c>
      <c r="AR581" s="12">
        <v>0.0</v>
      </c>
      <c r="AS581" s="12">
        <f t="shared" si="168"/>
        <v>0</v>
      </c>
      <c r="AT581" s="5">
        <v>0.0</v>
      </c>
      <c r="AU581" s="18">
        <f t="shared" si="203"/>
        <v>284979.82</v>
      </c>
      <c r="AV581" s="12">
        <v>0.0</v>
      </c>
      <c r="AW581" s="10">
        <f t="shared" si="204"/>
        <v>75797.52</v>
      </c>
      <c r="AX581" s="12">
        <f t="shared" si="171"/>
        <v>0</v>
      </c>
      <c r="AY581" s="12">
        <f t="shared" si="208"/>
        <v>366165.29</v>
      </c>
      <c r="AZ581" s="12">
        <v>0.0</v>
      </c>
      <c r="BA581" s="18">
        <f t="shared" si="210"/>
        <v>10972.71</v>
      </c>
      <c r="BB581" s="10">
        <f t="shared" si="16"/>
        <v>803124.9473</v>
      </c>
      <c r="BC581" s="16">
        <f t="shared" si="201"/>
        <v>124344.3688</v>
      </c>
      <c r="BD581" s="12">
        <v>0.0</v>
      </c>
      <c r="BE581" s="16">
        <f t="shared" si="205"/>
        <v>5387.95</v>
      </c>
      <c r="BF581" s="6"/>
      <c r="BG581" s="6"/>
      <c r="BH581" s="6"/>
      <c r="BI581" s="29">
        <f t="shared" si="202"/>
        <v>64304.69677</v>
      </c>
      <c r="BJ581" s="6"/>
      <c r="BK581" s="15">
        <f t="shared" si="76"/>
        <v>0</v>
      </c>
      <c r="BN581" s="16">
        <f t="shared" si="187"/>
        <v>-64304.69677</v>
      </c>
      <c r="BO581" s="16">
        <f t="shared" si="206"/>
        <v>-341186.3745</v>
      </c>
      <c r="BY581" s="6">
        <f t="shared" si="2"/>
        <v>2025</v>
      </c>
      <c r="BZ581" s="6" t="str">
        <f t="shared" si="3"/>
        <v>mayo</v>
      </c>
      <c r="CA581" s="6" t="str">
        <f t="shared" si="4"/>
        <v>5</v>
      </c>
    </row>
    <row r="582">
      <c r="A582" s="8">
        <v>45789.0</v>
      </c>
      <c r="B582" s="12">
        <v>25436.0</v>
      </c>
      <c r="C582" s="12">
        <v>8490.12</v>
      </c>
      <c r="D582" s="12">
        <v>5463.0</v>
      </c>
      <c r="E582" s="12">
        <v>0.0</v>
      </c>
      <c r="F582" s="12">
        <v>0.0</v>
      </c>
      <c r="G582" s="12">
        <v>0.0</v>
      </c>
      <c r="H582" s="12">
        <f t="shared" si="149"/>
        <v>39389.12</v>
      </c>
      <c r="I582" s="12">
        <v>14777.0</v>
      </c>
      <c r="J582" s="12">
        <v>2478.0</v>
      </c>
      <c r="K582" s="12">
        <v>2211.13</v>
      </c>
      <c r="L582" s="12">
        <v>1444.0</v>
      </c>
      <c r="M582" s="12">
        <v>0.0</v>
      </c>
      <c r="N582" s="12">
        <v>0.0</v>
      </c>
      <c r="O582" s="16">
        <f t="shared" si="150"/>
        <v>20910.13</v>
      </c>
      <c r="P582" s="12">
        <v>5459.52</v>
      </c>
      <c r="Q582" s="12">
        <v>928.07</v>
      </c>
      <c r="R582" s="12">
        <v>415.66</v>
      </c>
      <c r="S582" s="12">
        <v>0.0</v>
      </c>
      <c r="T582" s="12">
        <v>0.0</v>
      </c>
      <c r="U582" s="12">
        <v>0.0</v>
      </c>
      <c r="V582" s="16">
        <f t="shared" si="151"/>
        <v>6803.25</v>
      </c>
      <c r="W582" s="12">
        <v>537.46</v>
      </c>
      <c r="X582" s="12">
        <v>100.0</v>
      </c>
      <c r="Y582" s="12">
        <v>0.0</v>
      </c>
      <c r="Z582" s="12">
        <v>0.0</v>
      </c>
      <c r="AA582" s="12">
        <v>0.0</v>
      </c>
      <c r="AB582" s="12">
        <v>0.0</v>
      </c>
      <c r="AC582" s="16">
        <f t="shared" si="169"/>
        <v>637.46</v>
      </c>
      <c r="AD582" s="12">
        <v>0.0</v>
      </c>
      <c r="AE582" s="12">
        <v>637.46</v>
      </c>
      <c r="AF582" s="12">
        <v>5757.08</v>
      </c>
      <c r="AG582" s="12">
        <v>2644.07</v>
      </c>
      <c r="AH582" s="12">
        <v>0.0</v>
      </c>
      <c r="AI582" s="12">
        <v>265.87</v>
      </c>
      <c r="AJ582" s="12">
        <v>0.0</v>
      </c>
      <c r="AK582" s="12">
        <v>0.0</v>
      </c>
      <c r="AL582" s="12">
        <f t="shared" si="192"/>
        <v>8667.02</v>
      </c>
      <c r="AM582" s="12">
        <v>0.0</v>
      </c>
      <c r="AN582" s="12">
        <v>0.0</v>
      </c>
      <c r="AO582" s="12">
        <v>0.0</v>
      </c>
      <c r="AP582" s="12">
        <v>0.0</v>
      </c>
      <c r="AQ582" s="12">
        <v>0.0</v>
      </c>
      <c r="AR582" s="12">
        <v>0.0</v>
      </c>
      <c r="AS582" s="12">
        <f t="shared" si="168"/>
        <v>0</v>
      </c>
      <c r="AT582" s="16">
        <f t="shared" ref="AT582:AT586" si="211">IF(AS582+AL582+AC582+V582+O582=0,"",AS582+AL582+AC582+V582+O582)</f>
        <v>37017.86</v>
      </c>
      <c r="AU582" s="18">
        <f t="shared" si="203"/>
        <v>321997.68</v>
      </c>
      <c r="AV582" s="12">
        <v>12525.84</v>
      </c>
      <c r="AW582" s="10">
        <f t="shared" si="204"/>
        <v>88323.36</v>
      </c>
      <c r="AX582" s="12">
        <f t="shared" si="171"/>
        <v>49543.7</v>
      </c>
      <c r="AY582" s="12">
        <f t="shared" si="208"/>
        <v>415708.99</v>
      </c>
      <c r="AZ582" s="12">
        <v>1897.04</v>
      </c>
      <c r="BA582" s="18">
        <f t="shared" si="210"/>
        <v>12869.75</v>
      </c>
      <c r="BB582" s="10">
        <f t="shared" si="16"/>
        <v>831827.34</v>
      </c>
      <c r="BC582" s="16">
        <f t="shared" si="201"/>
        <v>158322.1222</v>
      </c>
      <c r="BD582" s="12">
        <v>0.0</v>
      </c>
      <c r="BE582" s="16">
        <f t="shared" si="205"/>
        <v>5387.95</v>
      </c>
      <c r="BF582" s="6"/>
      <c r="BG582" s="6"/>
      <c r="BH582" s="6"/>
      <c r="BI582" s="29">
        <f t="shared" si="202"/>
        <v>64304.69677</v>
      </c>
      <c r="BJ582" s="6"/>
      <c r="BK582" s="15">
        <f t="shared" si="76"/>
        <v>0.5756633941</v>
      </c>
      <c r="BN582" s="16">
        <f t="shared" si="187"/>
        <v>-14760.99677</v>
      </c>
      <c r="BO582" s="16">
        <f t="shared" si="206"/>
        <v>-355947.3713</v>
      </c>
      <c r="BY582" s="6">
        <f t="shared" si="2"/>
        <v>2025</v>
      </c>
      <c r="BZ582" s="6" t="str">
        <f t="shared" si="3"/>
        <v>mayo</v>
      </c>
      <c r="CA582" s="6" t="str">
        <f t="shared" si="4"/>
        <v>5</v>
      </c>
    </row>
    <row r="583">
      <c r="A583" s="8">
        <v>45790.0</v>
      </c>
      <c r="B583" s="12">
        <v>14777.0</v>
      </c>
      <c r="C583" s="12">
        <v>5605.33</v>
      </c>
      <c r="D583" s="12">
        <v>0.0</v>
      </c>
      <c r="E583" s="12">
        <v>0.0</v>
      </c>
      <c r="F583" s="12">
        <v>0.0</v>
      </c>
      <c r="G583" s="12">
        <v>0.0</v>
      </c>
      <c r="H583" s="12">
        <f t="shared" si="149"/>
        <v>20382.33</v>
      </c>
      <c r="I583" s="12">
        <v>20779.0</v>
      </c>
      <c r="J583" s="12">
        <v>7883.04</v>
      </c>
      <c r="K583" s="12">
        <v>0.0</v>
      </c>
      <c r="L583" s="12">
        <v>0.0</v>
      </c>
      <c r="M583" s="12">
        <v>0.0</v>
      </c>
      <c r="N583" s="12">
        <v>0.0</v>
      </c>
      <c r="O583" s="16">
        <f t="shared" si="150"/>
        <v>28662.04</v>
      </c>
      <c r="P583" s="12">
        <v>2758.34</v>
      </c>
      <c r="Q583" s="12">
        <v>524.73</v>
      </c>
      <c r="R583" s="12">
        <v>0.0</v>
      </c>
      <c r="S583" s="12">
        <v>0.0</v>
      </c>
      <c r="T583" s="12">
        <v>0.0</v>
      </c>
      <c r="U583" s="12">
        <v>0.0</v>
      </c>
      <c r="V583" s="16">
        <f t="shared" si="151"/>
        <v>3283.07</v>
      </c>
      <c r="W583" s="12">
        <v>5.6</v>
      </c>
      <c r="X583" s="12">
        <v>1.92</v>
      </c>
      <c r="Y583" s="12">
        <v>0.0</v>
      </c>
      <c r="Z583" s="12">
        <v>0.0</v>
      </c>
      <c r="AA583" s="12">
        <v>0.0</v>
      </c>
      <c r="AB583" s="12">
        <v>0.0</v>
      </c>
      <c r="AC583" s="16">
        <f t="shared" si="169"/>
        <v>7.52</v>
      </c>
      <c r="AD583" s="12">
        <v>0.0</v>
      </c>
      <c r="AE583" s="12">
        <v>7.52</v>
      </c>
      <c r="AF583" s="12">
        <v>2381.4</v>
      </c>
      <c r="AG583" s="12">
        <v>210.0</v>
      </c>
      <c r="AH583" s="12">
        <v>0.0</v>
      </c>
      <c r="AI583" s="12">
        <v>0.0</v>
      </c>
      <c r="AJ583" s="12">
        <v>0.0</v>
      </c>
      <c r="AK583" s="12">
        <v>0.0</v>
      </c>
      <c r="AL583" s="12">
        <f t="shared" si="192"/>
        <v>2591.4</v>
      </c>
      <c r="AM583" s="12">
        <v>0.0</v>
      </c>
      <c r="AN583" s="12">
        <v>0.0</v>
      </c>
      <c r="AO583" s="12">
        <v>0.0</v>
      </c>
      <c r="AP583" s="12">
        <v>0.0</v>
      </c>
      <c r="AQ583" s="12">
        <v>0.0</v>
      </c>
      <c r="AR583" s="12">
        <v>0.0</v>
      </c>
      <c r="AS583" s="12">
        <f t="shared" si="168"/>
        <v>0</v>
      </c>
      <c r="AT583" s="16">
        <f t="shared" si="211"/>
        <v>34544.03</v>
      </c>
      <c r="AU583" s="18">
        <f t="shared" si="203"/>
        <v>356541.71</v>
      </c>
      <c r="AV583" s="12">
        <v>5581.59</v>
      </c>
      <c r="AW583" s="10">
        <f t="shared" si="204"/>
        <v>93904.95</v>
      </c>
      <c r="AX583" s="12">
        <f t="shared" si="171"/>
        <v>40125.62</v>
      </c>
      <c r="AY583" s="12">
        <f t="shared" si="208"/>
        <v>455834.61</v>
      </c>
      <c r="AZ583" s="12">
        <v>574.39</v>
      </c>
      <c r="BA583" s="18">
        <f t="shared" si="210"/>
        <v>13444.14</v>
      </c>
      <c r="BB583" s="10">
        <f t="shared" si="16"/>
        <v>850214.8469</v>
      </c>
      <c r="BC583" s="16">
        <f t="shared" si="201"/>
        <v>142489.91</v>
      </c>
      <c r="BD583" s="12">
        <v>0.0</v>
      </c>
      <c r="BE583" s="16">
        <f t="shared" si="205"/>
        <v>5387.95</v>
      </c>
      <c r="BF583" s="6"/>
      <c r="BG583" s="6"/>
      <c r="BH583" s="6"/>
      <c r="BI583" s="29">
        <f t="shared" si="202"/>
        <v>64304.69677</v>
      </c>
      <c r="BJ583" s="6"/>
      <c r="BK583" s="15">
        <f t="shared" si="76"/>
        <v>0.5371929537</v>
      </c>
      <c r="BN583" s="16">
        <f t="shared" si="187"/>
        <v>-24179.07677</v>
      </c>
      <c r="BO583" s="16">
        <f t="shared" si="206"/>
        <v>-380126.4481</v>
      </c>
      <c r="BY583" s="6">
        <f t="shared" si="2"/>
        <v>2025</v>
      </c>
      <c r="BZ583" s="6" t="str">
        <f t="shared" si="3"/>
        <v>mayo</v>
      </c>
      <c r="CA583" s="6" t="str">
        <f t="shared" si="4"/>
        <v>5</v>
      </c>
    </row>
    <row r="584">
      <c r="A584" s="8">
        <v>45791.0</v>
      </c>
      <c r="B584" s="12">
        <v>8745.0</v>
      </c>
      <c r="C584" s="12">
        <v>4508.94</v>
      </c>
      <c r="D584" s="12">
        <v>0.0</v>
      </c>
      <c r="E584" s="12">
        <v>0.0</v>
      </c>
      <c r="F584" s="12">
        <v>0.0</v>
      </c>
      <c r="G584" s="12">
        <v>0.0</v>
      </c>
      <c r="H584" s="12">
        <f t="shared" si="149"/>
        <v>13253.94</v>
      </c>
      <c r="I584" s="12">
        <v>10889.0</v>
      </c>
      <c r="J584" s="12">
        <v>3281.17</v>
      </c>
      <c r="K584" s="12">
        <v>0.0</v>
      </c>
      <c r="L584" s="12">
        <v>0.0</v>
      </c>
      <c r="M584" s="12">
        <v>0.0</v>
      </c>
      <c r="N584" s="12">
        <v>0.0</v>
      </c>
      <c r="O584" s="16">
        <f t="shared" si="150"/>
        <v>14170.17</v>
      </c>
      <c r="P584" s="12">
        <v>4170.94</v>
      </c>
      <c r="Q584" s="12">
        <v>749.02</v>
      </c>
      <c r="R584" s="12">
        <v>0.0</v>
      </c>
      <c r="S584" s="12">
        <v>0.0</v>
      </c>
      <c r="T584" s="12">
        <v>0.0</v>
      </c>
      <c r="U584" s="12">
        <v>0.0</v>
      </c>
      <c r="V584" s="16">
        <f t="shared" si="151"/>
        <v>4919.96</v>
      </c>
      <c r="W584" s="12">
        <v>470.26</v>
      </c>
      <c r="X584" s="12">
        <v>0.0</v>
      </c>
      <c r="Y584" s="12">
        <v>0.0</v>
      </c>
      <c r="Z584" s="12">
        <v>0.0</v>
      </c>
      <c r="AA584" s="12">
        <v>0.0</v>
      </c>
      <c r="AB584" s="12">
        <v>0.0</v>
      </c>
      <c r="AC584" s="16">
        <f t="shared" si="169"/>
        <v>470.26</v>
      </c>
      <c r="AD584" s="12">
        <v>466.0</v>
      </c>
      <c r="AE584" s="12">
        <v>4.26</v>
      </c>
      <c r="AF584" s="12">
        <v>6994.02</v>
      </c>
      <c r="AG584" s="12">
        <v>0.0</v>
      </c>
      <c r="AH584" s="12">
        <v>0.0</v>
      </c>
      <c r="AI584" s="12">
        <v>0.0</v>
      </c>
      <c r="AJ584" s="12">
        <v>0.0</v>
      </c>
      <c r="AK584" s="12">
        <v>0.0</v>
      </c>
      <c r="AL584" s="12">
        <f t="shared" si="192"/>
        <v>6994.02</v>
      </c>
      <c r="AM584" s="12">
        <v>0.0</v>
      </c>
      <c r="AN584" s="12">
        <v>0.0</v>
      </c>
      <c r="AO584" s="12">
        <v>0.0</v>
      </c>
      <c r="AP584" s="12">
        <v>0.0</v>
      </c>
      <c r="AQ584" s="12">
        <v>0.0</v>
      </c>
      <c r="AR584" s="12">
        <v>0.0</v>
      </c>
      <c r="AS584" s="12">
        <f t="shared" si="168"/>
        <v>0</v>
      </c>
      <c r="AT584" s="16">
        <f t="shared" si="211"/>
        <v>26554.41</v>
      </c>
      <c r="AU584" s="18">
        <f t="shared" si="203"/>
        <v>383096.12</v>
      </c>
      <c r="AV584" s="12">
        <v>2563.43</v>
      </c>
      <c r="AW584" s="10">
        <f t="shared" si="204"/>
        <v>96468.38</v>
      </c>
      <c r="AX584" s="12">
        <f t="shared" si="171"/>
        <v>29117.84</v>
      </c>
      <c r="AY584" s="12">
        <f t="shared" si="208"/>
        <v>487269.18</v>
      </c>
      <c r="AZ584" s="12">
        <v>637.94</v>
      </c>
      <c r="BA584" s="18">
        <f t="shared" si="210"/>
        <v>14082.08</v>
      </c>
      <c r="BB584" s="10">
        <f t="shared" si="16"/>
        <v>848284.2657</v>
      </c>
      <c r="BC584" s="16">
        <f t="shared" si="201"/>
        <v>129536.2818</v>
      </c>
      <c r="BD584" s="12">
        <v>2316.73</v>
      </c>
      <c r="BE584" s="16">
        <f t="shared" si="205"/>
        <v>7704.68</v>
      </c>
      <c r="BF584" s="6"/>
      <c r="BG584" s="6"/>
      <c r="BH584" s="6"/>
      <c r="BI584" s="29">
        <f t="shared" si="202"/>
        <v>64304.69677</v>
      </c>
      <c r="BJ584" s="6"/>
      <c r="BK584" s="15">
        <f t="shared" si="76"/>
        <v>0.4129466638</v>
      </c>
      <c r="BN584" s="16">
        <f t="shared" si="187"/>
        <v>-32870.12677</v>
      </c>
      <c r="BO584" s="16">
        <f t="shared" si="206"/>
        <v>-412996.5748</v>
      </c>
      <c r="BY584" s="6">
        <f t="shared" si="2"/>
        <v>2025</v>
      </c>
      <c r="BZ584" s="6" t="str">
        <f t="shared" si="3"/>
        <v>mayo</v>
      </c>
      <c r="CA584" s="6" t="str">
        <f t="shared" si="4"/>
        <v>5</v>
      </c>
    </row>
    <row r="585">
      <c r="A585" s="8">
        <v>45792.0</v>
      </c>
      <c r="B585" s="12">
        <v>58779.0</v>
      </c>
      <c r="C585" s="12">
        <v>2745.95</v>
      </c>
      <c r="D585" s="12">
        <v>1111.0</v>
      </c>
      <c r="E585" s="12">
        <v>0.0</v>
      </c>
      <c r="F585" s="12">
        <v>0.0</v>
      </c>
      <c r="G585" s="12">
        <v>0.0</v>
      </c>
      <c r="H585" s="12">
        <f t="shared" si="149"/>
        <v>62635.95</v>
      </c>
      <c r="I585" s="12">
        <v>56877.22</v>
      </c>
      <c r="J585" s="12">
        <v>2778.23</v>
      </c>
      <c r="K585" s="12">
        <v>2621.88</v>
      </c>
      <c r="L585" s="12">
        <v>0.0</v>
      </c>
      <c r="M585" s="12">
        <v>0.0</v>
      </c>
      <c r="N585" s="12">
        <v>0.0</v>
      </c>
      <c r="O585" s="16">
        <f t="shared" si="150"/>
        <v>62277.33</v>
      </c>
      <c r="P585" s="12">
        <v>24031.03</v>
      </c>
      <c r="Q585" s="12">
        <v>820.99</v>
      </c>
      <c r="R585" s="12">
        <v>1530.07</v>
      </c>
      <c r="S585" s="12">
        <v>0.0</v>
      </c>
      <c r="T585" s="12">
        <v>0.0</v>
      </c>
      <c r="U585" s="12">
        <v>0.0</v>
      </c>
      <c r="V585" s="16">
        <f t="shared" si="151"/>
        <v>26382.09</v>
      </c>
      <c r="W585" s="12">
        <v>5244.88</v>
      </c>
      <c r="X585" s="12">
        <v>4294.42</v>
      </c>
      <c r="Y585" s="12">
        <v>0.39</v>
      </c>
      <c r="Z585" s="12">
        <v>0.0</v>
      </c>
      <c r="AA585" s="12">
        <v>0.0</v>
      </c>
      <c r="AB585" s="12">
        <v>0.0</v>
      </c>
      <c r="AC585" s="16">
        <f t="shared" si="169"/>
        <v>9539.69</v>
      </c>
      <c r="AD585" s="12">
        <v>9479.7</v>
      </c>
      <c r="AE585" s="12">
        <v>59.99</v>
      </c>
      <c r="AF585" s="12">
        <v>3630.41</v>
      </c>
      <c r="AG585" s="12">
        <v>357.09</v>
      </c>
      <c r="AH585" s="12">
        <v>0.0</v>
      </c>
      <c r="AI585" s="12">
        <v>0.0</v>
      </c>
      <c r="AJ585" s="12">
        <v>0.0</v>
      </c>
      <c r="AK585" s="12">
        <v>0.0</v>
      </c>
      <c r="AL585" s="12">
        <f t="shared" si="192"/>
        <v>3987.5</v>
      </c>
      <c r="AM585" s="12">
        <v>5139.0</v>
      </c>
      <c r="AN585" s="12">
        <v>3480.0</v>
      </c>
      <c r="AO585" s="12">
        <v>0.0</v>
      </c>
      <c r="AP585" s="12">
        <v>0.0</v>
      </c>
      <c r="AQ585" s="12">
        <v>0.0</v>
      </c>
      <c r="AR585" s="12">
        <v>0.0</v>
      </c>
      <c r="AS585" s="12">
        <f t="shared" si="168"/>
        <v>8619</v>
      </c>
      <c r="AT585" s="16">
        <f t="shared" si="211"/>
        <v>110805.61</v>
      </c>
      <c r="AU585" s="18">
        <f t="shared" si="203"/>
        <v>493901.73</v>
      </c>
      <c r="AV585" s="12">
        <v>32444.94</v>
      </c>
      <c r="AW585" s="10">
        <f t="shared" si="204"/>
        <v>128913.32</v>
      </c>
      <c r="AX585" s="12">
        <f t="shared" si="171"/>
        <v>143250.55</v>
      </c>
      <c r="AY585" s="12">
        <f t="shared" si="208"/>
        <v>633518.89</v>
      </c>
      <c r="AZ585" s="12">
        <v>6249.58</v>
      </c>
      <c r="BA585" s="18">
        <f t="shared" si="210"/>
        <v>20331.66</v>
      </c>
      <c r="BB585" s="10">
        <f t="shared" si="16"/>
        <v>1020730.242</v>
      </c>
      <c r="BC585" s="16">
        <f t="shared" si="201"/>
        <v>134165.7</v>
      </c>
      <c r="BD585" s="12">
        <v>2999.16</v>
      </c>
      <c r="BE585" s="16">
        <f t="shared" si="205"/>
        <v>10703.84</v>
      </c>
      <c r="BF585" s="6"/>
      <c r="BG585" s="6"/>
      <c r="BH585" s="6"/>
      <c r="BI585" s="29">
        <f t="shared" si="202"/>
        <v>64304.69677</v>
      </c>
      <c r="BK585" s="15">
        <f t="shared" si="76"/>
        <v>1.72313401</v>
      </c>
      <c r="BN585" s="16">
        <f t="shared" si="187"/>
        <v>81945.01323</v>
      </c>
      <c r="BO585" s="16">
        <f t="shared" si="206"/>
        <v>-331051.5616</v>
      </c>
      <c r="BY585" s="6">
        <f t="shared" si="2"/>
        <v>2025</v>
      </c>
      <c r="BZ585" s="6" t="str">
        <f t="shared" si="3"/>
        <v>mayo</v>
      </c>
      <c r="CA585" s="6" t="str">
        <f t="shared" si="4"/>
        <v>5</v>
      </c>
    </row>
    <row r="586">
      <c r="A586" s="8">
        <v>45793.0</v>
      </c>
      <c r="B586" s="12">
        <v>187477.05</v>
      </c>
      <c r="C586" s="12">
        <v>14779.0</v>
      </c>
      <c r="D586" s="12">
        <v>2678.0</v>
      </c>
      <c r="E586" s="12">
        <v>9888.0</v>
      </c>
      <c r="F586" s="12">
        <v>0.0</v>
      </c>
      <c r="G586" s="12">
        <v>0.0</v>
      </c>
      <c r="H586" s="12">
        <f t="shared" si="149"/>
        <v>214822.05</v>
      </c>
      <c r="I586" s="12">
        <v>32881.0</v>
      </c>
      <c r="J586" s="12">
        <v>1200.3</v>
      </c>
      <c r="K586" s="12">
        <v>2629.19</v>
      </c>
      <c r="L586" s="12">
        <v>3448.0</v>
      </c>
      <c r="M586" s="12">
        <v>0.0</v>
      </c>
      <c r="N586" s="12">
        <v>0.0</v>
      </c>
      <c r="O586" s="16">
        <f t="shared" si="150"/>
        <v>40158.49</v>
      </c>
      <c r="P586" s="12">
        <v>14463.36</v>
      </c>
      <c r="Q586" s="12">
        <v>271.52</v>
      </c>
      <c r="R586" s="12">
        <v>2722.17</v>
      </c>
      <c r="S586" s="12">
        <v>0.0</v>
      </c>
      <c r="T586" s="12">
        <v>0.0</v>
      </c>
      <c r="U586" s="12">
        <v>0.0</v>
      </c>
      <c r="V586" s="16">
        <f t="shared" si="151"/>
        <v>17457.05</v>
      </c>
      <c r="W586" s="12">
        <v>7391.54</v>
      </c>
      <c r="X586" s="12">
        <v>0.17</v>
      </c>
      <c r="Y586" s="12">
        <v>46.18</v>
      </c>
      <c r="Z586" s="12">
        <v>0.0</v>
      </c>
      <c r="AA586" s="12">
        <v>0.0</v>
      </c>
      <c r="AB586" s="12">
        <v>0.0</v>
      </c>
      <c r="AC586" s="16">
        <f t="shared" si="169"/>
        <v>7437.89</v>
      </c>
      <c r="AD586" s="12">
        <v>7122.63</v>
      </c>
      <c r="AE586" s="12">
        <v>315.26</v>
      </c>
      <c r="AF586" s="12">
        <v>6158.03</v>
      </c>
      <c r="AG586" s="12">
        <v>15.54</v>
      </c>
      <c r="AH586" s="12">
        <v>0.0</v>
      </c>
      <c r="AI586" s="12">
        <v>0.0</v>
      </c>
      <c r="AJ586" s="12">
        <v>0.0</v>
      </c>
      <c r="AK586" s="12">
        <v>0.0</v>
      </c>
      <c r="AL586" s="12">
        <f t="shared" si="192"/>
        <v>6173.57</v>
      </c>
      <c r="AM586" s="12">
        <v>7077.0</v>
      </c>
      <c r="AN586" s="12">
        <v>0.0</v>
      </c>
      <c r="AO586" s="12">
        <v>0.0</v>
      </c>
      <c r="AP586" s="12">
        <v>0.0</v>
      </c>
      <c r="AQ586" s="12">
        <v>0.0</v>
      </c>
      <c r="AR586" s="12">
        <v>0.0</v>
      </c>
      <c r="AS586" s="12">
        <f t="shared" si="168"/>
        <v>7077</v>
      </c>
      <c r="AT586" s="16">
        <f t="shared" si="211"/>
        <v>78304</v>
      </c>
      <c r="AU586" s="18">
        <f t="shared" si="203"/>
        <v>572205.73</v>
      </c>
      <c r="AV586" s="12">
        <v>22038.76</v>
      </c>
      <c r="AW586" s="10">
        <f t="shared" si="204"/>
        <v>150952.08</v>
      </c>
      <c r="AX586" s="12">
        <f t="shared" si="171"/>
        <v>100342.76</v>
      </c>
      <c r="AY586" s="12">
        <f t="shared" si="208"/>
        <v>735311.54</v>
      </c>
      <c r="AZ586" s="12">
        <v>10618.08</v>
      </c>
      <c r="BA586" s="18">
        <f t="shared" si="210"/>
        <v>30949.74</v>
      </c>
      <c r="BB586" s="10">
        <f t="shared" si="16"/>
        <v>1108648.602</v>
      </c>
      <c r="BC586" s="16">
        <f t="shared" si="201"/>
        <v>137131.4269</v>
      </c>
      <c r="BD586" s="12">
        <v>1449.89</v>
      </c>
      <c r="BE586" s="16">
        <f t="shared" si="205"/>
        <v>12153.73</v>
      </c>
      <c r="BF586" s="6"/>
      <c r="BG586" s="6"/>
      <c r="BH586" s="6"/>
      <c r="BI586" s="29">
        <f t="shared" si="202"/>
        <v>64304.69677</v>
      </c>
      <c r="BK586" s="15">
        <f t="shared" si="76"/>
        <v>1.217702655</v>
      </c>
      <c r="BN586" s="16">
        <f t="shared" si="187"/>
        <v>37487.95323</v>
      </c>
      <c r="BO586" s="16">
        <f t="shared" si="206"/>
        <v>-293563.6084</v>
      </c>
      <c r="BY586" s="6">
        <f t="shared" si="2"/>
        <v>2025</v>
      </c>
      <c r="BZ586" s="6" t="str">
        <f t="shared" si="3"/>
        <v>mayo</v>
      </c>
      <c r="CA586" s="6" t="str">
        <f t="shared" si="4"/>
        <v>5</v>
      </c>
    </row>
    <row r="587">
      <c r="A587" s="8">
        <v>45794.0</v>
      </c>
      <c r="B587" s="12">
        <v>0.0</v>
      </c>
      <c r="C587" s="12">
        <v>0.0</v>
      </c>
      <c r="D587" s="12">
        <v>0.0</v>
      </c>
      <c r="E587" s="12">
        <v>0.0</v>
      </c>
      <c r="F587" s="12">
        <v>0.0</v>
      </c>
      <c r="G587" s="12">
        <v>0.0</v>
      </c>
      <c r="H587" s="12">
        <f t="shared" si="149"/>
        <v>0</v>
      </c>
      <c r="I587" s="12">
        <v>0.0</v>
      </c>
      <c r="J587" s="12">
        <v>0.0</v>
      </c>
      <c r="K587" s="12">
        <v>0.0</v>
      </c>
      <c r="L587" s="12">
        <v>0.0</v>
      </c>
      <c r="M587" s="12">
        <v>0.0</v>
      </c>
      <c r="N587" s="12">
        <v>0.0</v>
      </c>
      <c r="O587" s="16">
        <f t="shared" si="150"/>
        <v>0</v>
      </c>
      <c r="P587" s="12">
        <v>0.0</v>
      </c>
      <c r="Q587" s="12">
        <v>0.0</v>
      </c>
      <c r="R587" s="12">
        <v>0.0</v>
      </c>
      <c r="S587" s="12">
        <v>0.0</v>
      </c>
      <c r="T587" s="12">
        <v>0.0</v>
      </c>
      <c r="U587" s="12">
        <v>0.0</v>
      </c>
      <c r="V587" s="16">
        <f t="shared" si="151"/>
        <v>0</v>
      </c>
      <c r="W587" s="12">
        <v>0.0</v>
      </c>
      <c r="X587" s="12">
        <v>0.0</v>
      </c>
      <c r="Y587" s="12">
        <v>0.0</v>
      </c>
      <c r="Z587" s="12">
        <v>0.0</v>
      </c>
      <c r="AA587" s="12">
        <v>0.0</v>
      </c>
      <c r="AB587" s="12">
        <v>0.0</v>
      </c>
      <c r="AC587" s="16">
        <f t="shared" si="169"/>
        <v>0</v>
      </c>
      <c r="AD587" s="12">
        <v>0.0</v>
      </c>
      <c r="AE587" s="12">
        <v>0.0</v>
      </c>
      <c r="AF587" s="12">
        <v>0.0</v>
      </c>
      <c r="AG587" s="12">
        <v>0.0</v>
      </c>
      <c r="AH587" s="12">
        <v>0.0</v>
      </c>
      <c r="AI587" s="12">
        <v>0.0</v>
      </c>
      <c r="AJ587" s="12">
        <v>0.0</v>
      </c>
      <c r="AK587" s="12">
        <v>0.0</v>
      </c>
      <c r="AL587" s="12">
        <f t="shared" si="192"/>
        <v>0</v>
      </c>
      <c r="AM587" s="12">
        <v>0.0</v>
      </c>
      <c r="AN587" s="12">
        <v>0.0</v>
      </c>
      <c r="AO587" s="12">
        <v>0.0</v>
      </c>
      <c r="AP587" s="12">
        <v>0.0</v>
      </c>
      <c r="AQ587" s="12">
        <v>0.0</v>
      </c>
      <c r="AR587" s="12">
        <v>0.0</v>
      </c>
      <c r="AS587" s="12">
        <f t="shared" si="168"/>
        <v>0</v>
      </c>
      <c r="AT587" s="5">
        <v>0.0</v>
      </c>
      <c r="AU587" s="18">
        <f t="shared" si="203"/>
        <v>572205.73</v>
      </c>
      <c r="AV587" s="12">
        <v>0.0</v>
      </c>
      <c r="AW587" s="10">
        <f t="shared" si="204"/>
        <v>150952.08</v>
      </c>
      <c r="AX587" s="12">
        <f t="shared" si="171"/>
        <v>0</v>
      </c>
      <c r="AY587" s="12">
        <f t="shared" si="208"/>
        <v>735311.54</v>
      </c>
      <c r="AZ587" s="12">
        <v>0.0</v>
      </c>
      <c r="BA587" s="18">
        <f t="shared" si="210"/>
        <v>30949.74</v>
      </c>
      <c r="BB587" s="10">
        <f t="shared" si="16"/>
        <v>1043433.978</v>
      </c>
      <c r="BC587" s="16">
        <f t="shared" si="201"/>
        <v>136820.0429</v>
      </c>
      <c r="BD587" s="12">
        <v>0.0</v>
      </c>
      <c r="BE587" s="16">
        <f t="shared" si="205"/>
        <v>12153.73</v>
      </c>
      <c r="BF587" s="6"/>
      <c r="BG587" s="6"/>
      <c r="BH587" s="6"/>
      <c r="BI587" s="29">
        <f t="shared" si="202"/>
        <v>64304.69677</v>
      </c>
      <c r="BJ587" s="6"/>
      <c r="BK587" s="15">
        <f t="shared" si="76"/>
        <v>0</v>
      </c>
      <c r="BN587" s="16">
        <f t="shared" si="187"/>
        <v>-64304.69677</v>
      </c>
      <c r="BO587" s="16">
        <f t="shared" si="206"/>
        <v>-357868.3052</v>
      </c>
      <c r="BY587" s="6">
        <f t="shared" si="2"/>
        <v>2025</v>
      </c>
      <c r="BZ587" s="6" t="str">
        <f t="shared" si="3"/>
        <v>mayo</v>
      </c>
      <c r="CA587" s="6" t="str">
        <f t="shared" si="4"/>
        <v>5</v>
      </c>
    </row>
    <row r="588">
      <c r="A588" s="8">
        <v>45795.0</v>
      </c>
      <c r="B588" s="12">
        <v>0.0</v>
      </c>
      <c r="C588" s="12">
        <v>0.0</v>
      </c>
      <c r="D588" s="12">
        <v>0.0</v>
      </c>
      <c r="E588" s="12">
        <v>0.0</v>
      </c>
      <c r="F588" s="12">
        <v>0.0</v>
      </c>
      <c r="G588" s="12">
        <v>0.0</v>
      </c>
      <c r="H588" s="12">
        <f t="shared" si="149"/>
        <v>0</v>
      </c>
      <c r="I588" s="12">
        <v>0.0</v>
      </c>
      <c r="J588" s="12">
        <v>0.0</v>
      </c>
      <c r="K588" s="12">
        <v>0.0</v>
      </c>
      <c r="L588" s="12">
        <v>0.0</v>
      </c>
      <c r="M588" s="12">
        <v>0.0</v>
      </c>
      <c r="N588" s="12">
        <v>0.0</v>
      </c>
      <c r="O588" s="16">
        <f t="shared" si="150"/>
        <v>0</v>
      </c>
      <c r="P588" s="12">
        <v>0.0</v>
      </c>
      <c r="Q588" s="12">
        <v>0.0</v>
      </c>
      <c r="R588" s="12">
        <v>0.0</v>
      </c>
      <c r="S588" s="12">
        <v>0.0</v>
      </c>
      <c r="T588" s="12">
        <v>0.0</v>
      </c>
      <c r="U588" s="12">
        <v>0.0</v>
      </c>
      <c r="V588" s="16">
        <f t="shared" si="151"/>
        <v>0</v>
      </c>
      <c r="W588" s="12">
        <v>0.0</v>
      </c>
      <c r="X588" s="12">
        <v>0.0</v>
      </c>
      <c r="Y588" s="12">
        <v>0.0</v>
      </c>
      <c r="Z588" s="12">
        <v>0.0</v>
      </c>
      <c r="AA588" s="12">
        <v>0.0</v>
      </c>
      <c r="AB588" s="12">
        <v>0.0</v>
      </c>
      <c r="AC588" s="16">
        <f t="shared" si="169"/>
        <v>0</v>
      </c>
      <c r="AD588" s="12">
        <v>0.0</v>
      </c>
      <c r="AE588" s="12">
        <v>0.0</v>
      </c>
      <c r="AF588" s="12">
        <v>0.0</v>
      </c>
      <c r="AG588" s="12">
        <v>0.0</v>
      </c>
      <c r="AH588" s="12">
        <v>0.0</v>
      </c>
      <c r="AI588" s="12">
        <v>0.0</v>
      </c>
      <c r="AJ588" s="12">
        <v>0.0</v>
      </c>
      <c r="AK588" s="12">
        <v>0.0</v>
      </c>
      <c r="AL588" s="12">
        <f t="shared" si="192"/>
        <v>0</v>
      </c>
      <c r="AM588" s="12">
        <v>0.0</v>
      </c>
      <c r="AN588" s="12">
        <v>0.0</v>
      </c>
      <c r="AO588" s="12">
        <v>0.0</v>
      </c>
      <c r="AP588" s="12">
        <v>0.0</v>
      </c>
      <c r="AQ588" s="12">
        <v>0.0</v>
      </c>
      <c r="AR588" s="12">
        <v>0.0</v>
      </c>
      <c r="AS588" s="12">
        <f t="shared" si="168"/>
        <v>0</v>
      </c>
      <c r="AT588" s="5">
        <v>0.0</v>
      </c>
      <c r="AU588" s="18">
        <f t="shared" si="203"/>
        <v>572205.73</v>
      </c>
      <c r="AV588" s="12">
        <v>0.0</v>
      </c>
      <c r="AW588" s="10">
        <f t="shared" si="204"/>
        <v>150952.08</v>
      </c>
      <c r="AX588" s="12">
        <f t="shared" si="171"/>
        <v>0</v>
      </c>
      <c r="AY588" s="12">
        <f t="shared" si="208"/>
        <v>735311.54</v>
      </c>
      <c r="AZ588" s="12">
        <v>0.0</v>
      </c>
      <c r="BA588" s="18">
        <f t="shared" si="210"/>
        <v>30949.74</v>
      </c>
      <c r="BB588" s="10">
        <f t="shared" si="16"/>
        <v>985465.4239</v>
      </c>
      <c r="BC588" s="16">
        <f t="shared" si="201"/>
        <v>164633.91</v>
      </c>
      <c r="BD588" s="12">
        <v>0.0</v>
      </c>
      <c r="BE588" s="16">
        <f t="shared" si="205"/>
        <v>12153.73</v>
      </c>
      <c r="BF588" s="6"/>
      <c r="BG588" s="6"/>
      <c r="BH588" s="6"/>
      <c r="BI588" s="29">
        <f t="shared" si="202"/>
        <v>64304.69677</v>
      </c>
      <c r="BJ588" s="6"/>
      <c r="BK588" s="15">
        <f t="shared" si="76"/>
        <v>0</v>
      </c>
      <c r="BN588" s="16">
        <f t="shared" si="187"/>
        <v>-64304.69677</v>
      </c>
      <c r="BO588" s="16">
        <f t="shared" si="206"/>
        <v>-422173.0019</v>
      </c>
      <c r="BY588" s="6">
        <f t="shared" si="2"/>
        <v>2025</v>
      </c>
      <c r="BZ588" s="6" t="str">
        <f t="shared" si="3"/>
        <v>mayo</v>
      </c>
      <c r="CA588" s="6" t="str">
        <f t="shared" si="4"/>
        <v>5</v>
      </c>
    </row>
    <row r="589">
      <c r="A589" s="8">
        <v>45796.0</v>
      </c>
      <c r="B589" s="12">
        <v>28774.0</v>
      </c>
      <c r="C589" s="12">
        <v>2222.0</v>
      </c>
      <c r="D589" s="12">
        <v>2994.53</v>
      </c>
      <c r="E589" s="12">
        <v>0.0</v>
      </c>
      <c r="F589" s="12">
        <v>0.0</v>
      </c>
      <c r="G589" s="12">
        <v>0.0</v>
      </c>
      <c r="H589" s="12">
        <f t="shared" si="149"/>
        <v>33990.53</v>
      </c>
      <c r="I589" s="12">
        <v>24111.0</v>
      </c>
      <c r="J589" s="12">
        <v>2578.2</v>
      </c>
      <c r="K589" s="12">
        <v>1000.0</v>
      </c>
      <c r="L589" s="12">
        <v>1366.34</v>
      </c>
      <c r="M589" s="12">
        <v>0.0</v>
      </c>
      <c r="N589" s="12">
        <v>0.0</v>
      </c>
      <c r="O589" s="16">
        <f t="shared" si="150"/>
        <v>29055.54</v>
      </c>
      <c r="P589" s="12">
        <v>10148.98</v>
      </c>
      <c r="Q589" s="12">
        <v>59.52</v>
      </c>
      <c r="R589" s="12">
        <v>452.86</v>
      </c>
      <c r="S589" s="12">
        <v>0.0</v>
      </c>
      <c r="T589" s="12">
        <v>0.0</v>
      </c>
      <c r="U589" s="12">
        <v>0.0</v>
      </c>
      <c r="V589" s="16">
        <f t="shared" si="151"/>
        <v>10661.36</v>
      </c>
      <c r="W589" s="12">
        <v>3170.02</v>
      </c>
      <c r="X589" s="12">
        <v>2583.07</v>
      </c>
      <c r="Y589" s="12">
        <v>0.0</v>
      </c>
      <c r="Z589" s="12">
        <v>0.0</v>
      </c>
      <c r="AA589" s="12">
        <v>0.0</v>
      </c>
      <c r="AB589" s="12">
        <v>0.0</v>
      </c>
      <c r="AC589" s="16">
        <f t="shared" si="169"/>
        <v>5753.09</v>
      </c>
      <c r="AD589" s="12">
        <v>5700.19</v>
      </c>
      <c r="AE589" s="12">
        <v>52.9</v>
      </c>
      <c r="AF589" s="12">
        <v>7082.2</v>
      </c>
      <c r="AG589" s="12">
        <v>16.24</v>
      </c>
      <c r="AH589" s="12">
        <v>301.25</v>
      </c>
      <c r="AI589" s="12">
        <v>0.0</v>
      </c>
      <c r="AJ589" s="12">
        <v>0.0</v>
      </c>
      <c r="AK589" s="12">
        <v>0.0</v>
      </c>
      <c r="AL589" s="12">
        <f t="shared" si="192"/>
        <v>7399.69</v>
      </c>
      <c r="AM589" s="12">
        <v>3581.0</v>
      </c>
      <c r="AN589" s="12">
        <v>1440.0</v>
      </c>
      <c r="AO589" s="12">
        <v>0.0</v>
      </c>
      <c r="AP589" s="12">
        <v>0.0</v>
      </c>
      <c r="AQ589" s="12">
        <v>0.0</v>
      </c>
      <c r="AR589" s="12">
        <v>0.0</v>
      </c>
      <c r="AS589" s="12">
        <f t="shared" si="168"/>
        <v>5021</v>
      </c>
      <c r="AT589" s="16">
        <f t="shared" ref="AT589:AT593" si="212">IF(AS589+AL589+AC589+V589+O589=0,"",AS589+AL589+AC589+V589+O589)</f>
        <v>57890.68</v>
      </c>
      <c r="AU589" s="18">
        <f t="shared" si="203"/>
        <v>630096.41</v>
      </c>
      <c r="AV589" s="12">
        <v>21996.32</v>
      </c>
      <c r="AW589" s="10">
        <f t="shared" si="204"/>
        <v>172948.4</v>
      </c>
      <c r="AX589" s="12">
        <f t="shared" si="171"/>
        <v>79887</v>
      </c>
      <c r="AY589" s="12">
        <f t="shared" si="208"/>
        <v>816971.26</v>
      </c>
      <c r="AZ589" s="12">
        <v>11486.45</v>
      </c>
      <c r="BA589" s="18">
        <f t="shared" si="210"/>
        <v>42436.19</v>
      </c>
      <c r="BB589" s="10">
        <f t="shared" si="16"/>
        <v>1028052.037</v>
      </c>
      <c r="BC589" s="16">
        <f t="shared" si="201"/>
        <v>178814.2906</v>
      </c>
      <c r="BD589" s="12">
        <v>1772.72</v>
      </c>
      <c r="BE589" s="16">
        <f t="shared" si="205"/>
        <v>13926.45</v>
      </c>
      <c r="BF589" s="6"/>
      <c r="BG589" s="6"/>
      <c r="BH589" s="6"/>
      <c r="BI589" s="29">
        <f t="shared" si="202"/>
        <v>64304.69677</v>
      </c>
      <c r="BJ589" s="6"/>
      <c r="BK589" s="15">
        <f t="shared" si="76"/>
        <v>0.9002558585</v>
      </c>
      <c r="BN589" s="16">
        <f t="shared" si="187"/>
        <v>17355.02323</v>
      </c>
      <c r="BO589" s="16">
        <f t="shared" si="206"/>
        <v>-404817.9787</v>
      </c>
      <c r="BY589" s="6">
        <f t="shared" si="2"/>
        <v>2025</v>
      </c>
      <c r="BZ589" s="6" t="str">
        <f t="shared" si="3"/>
        <v>mayo</v>
      </c>
      <c r="CA589" s="6" t="str">
        <f t="shared" si="4"/>
        <v>5</v>
      </c>
    </row>
    <row r="590">
      <c r="A590" s="8">
        <v>45797.0</v>
      </c>
      <c r="B590" s="12">
        <v>17444.0</v>
      </c>
      <c r="C590" s="12">
        <v>3111.2</v>
      </c>
      <c r="D590" s="12">
        <v>3871.71</v>
      </c>
      <c r="E590" s="12">
        <v>0.0</v>
      </c>
      <c r="F590" s="12">
        <v>0.0</v>
      </c>
      <c r="G590" s="12">
        <v>0.0</v>
      </c>
      <c r="H590" s="12">
        <f t="shared" si="149"/>
        <v>24426.91</v>
      </c>
      <c r="I590" s="12">
        <v>29641.0</v>
      </c>
      <c r="J590" s="12">
        <v>1477.0</v>
      </c>
      <c r="K590" s="12">
        <v>2468.77</v>
      </c>
      <c r="L590" s="12">
        <v>0.0</v>
      </c>
      <c r="M590" s="12">
        <v>0.0</v>
      </c>
      <c r="N590" s="12">
        <v>0.0</v>
      </c>
      <c r="O590" s="16">
        <f t="shared" si="150"/>
        <v>33586.77</v>
      </c>
      <c r="P590" s="12">
        <v>10936.07</v>
      </c>
      <c r="Q590" s="12">
        <v>0.0</v>
      </c>
      <c r="R590" s="12">
        <v>415.66</v>
      </c>
      <c r="S590" s="12">
        <v>0.0</v>
      </c>
      <c r="T590" s="12">
        <v>0.0</v>
      </c>
      <c r="U590" s="12">
        <v>0.0</v>
      </c>
      <c r="V590" s="16">
        <f t="shared" si="151"/>
        <v>11351.73</v>
      </c>
      <c r="W590" s="12">
        <v>15421.44</v>
      </c>
      <c r="X590" s="12">
        <v>0.0</v>
      </c>
      <c r="Y590" s="12">
        <v>0.0</v>
      </c>
      <c r="Z590" s="12">
        <v>0.0</v>
      </c>
      <c r="AA590" s="12">
        <v>0.0</v>
      </c>
      <c r="AB590" s="12">
        <v>0.0</v>
      </c>
      <c r="AC590" s="16">
        <f t="shared" si="169"/>
        <v>15421.44</v>
      </c>
      <c r="AD590" s="12">
        <v>13719.41</v>
      </c>
      <c r="AE590" s="12">
        <v>1702.09</v>
      </c>
      <c r="AF590" s="12">
        <v>2313.05</v>
      </c>
      <c r="AG590" s="12">
        <v>0.0</v>
      </c>
      <c r="AH590" s="12">
        <v>0.0</v>
      </c>
      <c r="AI590" s="12">
        <v>0.0</v>
      </c>
      <c r="AJ590" s="12">
        <v>0.0</v>
      </c>
      <c r="AK590" s="12">
        <v>0.0</v>
      </c>
      <c r="AL590" s="12">
        <f t="shared" si="192"/>
        <v>2313.05</v>
      </c>
      <c r="AM590" s="12">
        <v>14873.0</v>
      </c>
      <c r="AN590" s="12">
        <v>0.0</v>
      </c>
      <c r="AO590" s="12">
        <v>0.0</v>
      </c>
      <c r="AP590" s="12">
        <v>0.0</v>
      </c>
      <c r="AQ590" s="12">
        <v>0.0</v>
      </c>
      <c r="AR590" s="12">
        <v>0.0</v>
      </c>
      <c r="AS590" s="12">
        <f t="shared" si="168"/>
        <v>14873</v>
      </c>
      <c r="AT590" s="16">
        <f t="shared" si="212"/>
        <v>77545.99</v>
      </c>
      <c r="AU590" s="18">
        <f t="shared" si="203"/>
        <v>707642.4</v>
      </c>
      <c r="AV590" s="12">
        <v>13680.71</v>
      </c>
      <c r="AW590" s="10">
        <f t="shared" si="204"/>
        <v>186629.11</v>
      </c>
      <c r="AX590" s="12">
        <f t="shared" si="171"/>
        <v>91226.7</v>
      </c>
      <c r="AY590" s="12">
        <f t="shared" si="208"/>
        <v>916490.35</v>
      </c>
      <c r="AZ590" s="12">
        <v>2838.54</v>
      </c>
      <c r="BA590" s="18">
        <f t="shared" si="210"/>
        <v>45274.73</v>
      </c>
      <c r="BB590" s="10">
        <f t="shared" si="16"/>
        <v>1096845.72</v>
      </c>
      <c r="BC590" s="16">
        <f t="shared" si="201"/>
        <v>168295.8029</v>
      </c>
      <c r="BD590" s="12">
        <v>8292.39</v>
      </c>
      <c r="BE590" s="16">
        <f t="shared" si="205"/>
        <v>22218.84</v>
      </c>
      <c r="BF590" s="6"/>
      <c r="BG590" s="6"/>
      <c r="BH590" s="6"/>
      <c r="BI590" s="29">
        <f t="shared" si="202"/>
        <v>64304.69677</v>
      </c>
      <c r="BK590" s="15">
        <f t="shared" si="76"/>
        <v>1.205914869</v>
      </c>
      <c r="BN590" s="16">
        <f t="shared" si="187"/>
        <v>35214.39323</v>
      </c>
      <c r="BO590" s="16">
        <f t="shared" si="206"/>
        <v>-369603.5855</v>
      </c>
      <c r="BY590" s="6">
        <f t="shared" si="2"/>
        <v>2025</v>
      </c>
      <c r="BZ590" s="6" t="str">
        <f t="shared" si="3"/>
        <v>mayo</v>
      </c>
      <c r="CA590" s="6" t="str">
        <f t="shared" si="4"/>
        <v>5</v>
      </c>
    </row>
    <row r="591">
      <c r="A591" s="8">
        <v>45798.0</v>
      </c>
      <c r="B591" s="12">
        <v>65899.0</v>
      </c>
      <c r="C591" s="12">
        <v>7440.11</v>
      </c>
      <c r="D591" s="12">
        <v>3584.65</v>
      </c>
      <c r="E591" s="12">
        <v>2223.3</v>
      </c>
      <c r="F591" s="12">
        <v>0.0</v>
      </c>
      <c r="G591" s="12">
        <v>0.0</v>
      </c>
      <c r="H591" s="12">
        <f t="shared" si="149"/>
        <v>79147.06</v>
      </c>
      <c r="I591" s="12">
        <v>8777.2</v>
      </c>
      <c r="J591" s="12">
        <v>1200.0</v>
      </c>
      <c r="K591" s="12">
        <v>1225.56</v>
      </c>
      <c r="L591" s="12">
        <v>0.0</v>
      </c>
      <c r="M591" s="12">
        <v>0.0</v>
      </c>
      <c r="N591" s="12">
        <v>0.0</v>
      </c>
      <c r="O591" s="16">
        <f t="shared" si="150"/>
        <v>11202.76</v>
      </c>
      <c r="P591" s="12">
        <v>9248.86</v>
      </c>
      <c r="Q591" s="12">
        <v>750.15</v>
      </c>
      <c r="R591" s="12">
        <v>0.0</v>
      </c>
      <c r="S591" s="12">
        <v>0.0</v>
      </c>
      <c r="T591" s="12">
        <v>0.0</v>
      </c>
      <c r="U591" s="12">
        <v>0.0</v>
      </c>
      <c r="V591" s="16">
        <f t="shared" si="151"/>
        <v>9999.01</v>
      </c>
      <c r="W591" s="12">
        <v>14840.65</v>
      </c>
      <c r="X591" s="12">
        <v>0.0</v>
      </c>
      <c r="Y591" s="12">
        <v>0.0</v>
      </c>
      <c r="Z591" s="12">
        <v>0.0</v>
      </c>
      <c r="AA591" s="12">
        <v>0.0</v>
      </c>
      <c r="AB591" s="12">
        <v>0.0</v>
      </c>
      <c r="AC591" s="16">
        <f t="shared" si="169"/>
        <v>14840.65</v>
      </c>
      <c r="AD591" s="12">
        <v>12622.27</v>
      </c>
      <c r="AE591" s="12">
        <v>2219.37</v>
      </c>
      <c r="AF591" s="12">
        <v>7247.39</v>
      </c>
      <c r="AG591" s="12">
        <v>489.74</v>
      </c>
      <c r="AH591" s="12">
        <v>0.0</v>
      </c>
      <c r="AI591" s="12">
        <v>0.0</v>
      </c>
      <c r="AJ591" s="12">
        <v>0.0</v>
      </c>
      <c r="AK591" s="12">
        <v>0.0</v>
      </c>
      <c r="AL591" s="12">
        <f t="shared" si="192"/>
        <v>7737.13</v>
      </c>
      <c r="AM591" s="12">
        <v>15108.0</v>
      </c>
      <c r="AN591" s="12">
        <v>0.0</v>
      </c>
      <c r="AO591" s="12">
        <v>0.0</v>
      </c>
      <c r="AP591" s="12">
        <v>0.0</v>
      </c>
      <c r="AQ591" s="12">
        <v>0.0</v>
      </c>
      <c r="AR591" s="12">
        <v>0.0</v>
      </c>
      <c r="AS591" s="12">
        <f t="shared" si="168"/>
        <v>15108</v>
      </c>
      <c r="AT591" s="16">
        <f t="shared" si="212"/>
        <v>58887.55</v>
      </c>
      <c r="AU591" s="18">
        <f t="shared" si="203"/>
        <v>766529.95</v>
      </c>
      <c r="AV591" s="12">
        <v>48459.85</v>
      </c>
      <c r="AW591" s="10">
        <f t="shared" si="204"/>
        <v>235088.96</v>
      </c>
      <c r="AX591" s="12">
        <f t="shared" si="171"/>
        <v>107347.4</v>
      </c>
      <c r="AY591" s="12">
        <f t="shared" si="208"/>
        <v>1027551.69</v>
      </c>
      <c r="AZ591" s="12">
        <v>5718.26</v>
      </c>
      <c r="BA591" s="18">
        <f t="shared" si="210"/>
        <v>50992.99</v>
      </c>
      <c r="BB591" s="10">
        <f t="shared" si="16"/>
        <v>1131544.212</v>
      </c>
      <c r="BC591" s="16">
        <f t="shared" si="201"/>
        <v>158946.0361</v>
      </c>
      <c r="BD591" s="12">
        <v>3713.94</v>
      </c>
      <c r="BE591" s="16">
        <f t="shared" si="205"/>
        <v>25932.78</v>
      </c>
      <c r="BF591" s="6"/>
      <c r="BG591" s="6"/>
      <c r="BH591" s="6"/>
      <c r="BI591" s="29">
        <f t="shared" si="202"/>
        <v>64304.69677</v>
      </c>
      <c r="BJ591" s="6"/>
      <c r="BK591" s="15">
        <f t="shared" si="76"/>
        <v>0.9157581476</v>
      </c>
      <c r="BN591" s="16">
        <f t="shared" si="187"/>
        <v>46756.64323</v>
      </c>
      <c r="BO591" s="16">
        <f t="shared" si="206"/>
        <v>-322846.9423</v>
      </c>
      <c r="BY591" s="6">
        <f t="shared" si="2"/>
        <v>2025</v>
      </c>
      <c r="BZ591" s="6" t="str">
        <f t="shared" si="3"/>
        <v>mayo</v>
      </c>
      <c r="CA591" s="6" t="str">
        <f t="shared" si="4"/>
        <v>5</v>
      </c>
    </row>
    <row r="592">
      <c r="A592" s="8">
        <v>45799.0</v>
      </c>
      <c r="B592" s="12">
        <v>100999.0</v>
      </c>
      <c r="C592" s="12">
        <v>12745.0</v>
      </c>
      <c r="D592" s="12">
        <v>1844.19</v>
      </c>
      <c r="E592" s="12">
        <v>0.0</v>
      </c>
      <c r="F592" s="12">
        <v>0.0</v>
      </c>
      <c r="G592" s="12">
        <v>0.0</v>
      </c>
      <c r="H592" s="12">
        <f t="shared" si="149"/>
        <v>115588.19</v>
      </c>
      <c r="I592" s="12">
        <v>4799.0</v>
      </c>
      <c r="J592" s="12">
        <v>1405.74</v>
      </c>
      <c r="K592" s="12">
        <v>0.0</v>
      </c>
      <c r="L592" s="12">
        <v>0.0</v>
      </c>
      <c r="M592" s="12">
        <v>0.0</v>
      </c>
      <c r="N592" s="12">
        <v>0.0</v>
      </c>
      <c r="O592" s="16">
        <f t="shared" si="150"/>
        <v>6204.74</v>
      </c>
      <c r="P592" s="12">
        <v>4159.09</v>
      </c>
      <c r="Q592" s="12">
        <v>245.81</v>
      </c>
      <c r="R592" s="12">
        <v>394.78</v>
      </c>
      <c r="S592" s="12">
        <v>0.0</v>
      </c>
      <c r="T592" s="12">
        <v>0.0</v>
      </c>
      <c r="U592" s="12">
        <v>0.0</v>
      </c>
      <c r="V592" s="16">
        <f t="shared" si="151"/>
        <v>4799.68</v>
      </c>
      <c r="W592" s="12">
        <v>3977.66</v>
      </c>
      <c r="X592" s="12">
        <v>0.0</v>
      </c>
      <c r="Y592" s="12">
        <v>450.0</v>
      </c>
      <c r="Z592" s="12">
        <v>0.0</v>
      </c>
      <c r="AA592" s="12">
        <v>0.0</v>
      </c>
      <c r="AB592" s="12">
        <v>0.0</v>
      </c>
      <c r="AC592" s="16">
        <f t="shared" si="169"/>
        <v>4427.66</v>
      </c>
      <c r="AD592" s="12">
        <v>3089.92</v>
      </c>
      <c r="AE592" s="12">
        <v>1337.74</v>
      </c>
      <c r="AF592" s="12">
        <v>2662.97</v>
      </c>
      <c r="AG592" s="12">
        <v>0.0</v>
      </c>
      <c r="AH592" s="12">
        <v>0.0</v>
      </c>
      <c r="AI592" s="12">
        <v>0.0</v>
      </c>
      <c r="AJ592" s="12">
        <v>0.0</v>
      </c>
      <c r="AK592" s="12">
        <v>0.0</v>
      </c>
      <c r="AL592" s="12">
        <f t="shared" si="192"/>
        <v>2662.97</v>
      </c>
      <c r="AM592" s="12">
        <v>3541.0</v>
      </c>
      <c r="AN592" s="12">
        <v>0.0</v>
      </c>
      <c r="AO592" s="12">
        <v>0.0</v>
      </c>
      <c r="AP592" s="12">
        <v>0.0</v>
      </c>
      <c r="AQ592" s="12">
        <v>0.0</v>
      </c>
      <c r="AR592" s="12">
        <v>0.0</v>
      </c>
      <c r="AS592" s="12">
        <f t="shared" si="168"/>
        <v>3541</v>
      </c>
      <c r="AT592" s="16">
        <f t="shared" si="212"/>
        <v>21636.05</v>
      </c>
      <c r="AU592" s="18">
        <f t="shared" si="203"/>
        <v>788166</v>
      </c>
      <c r="AV592" s="12">
        <v>14992.02</v>
      </c>
      <c r="AW592" s="10">
        <f t="shared" si="204"/>
        <v>250080.98</v>
      </c>
      <c r="AX592" s="12">
        <f t="shared" si="171"/>
        <v>36628.07</v>
      </c>
      <c r="AY592" s="12">
        <f t="shared" si="208"/>
        <v>1065088.46</v>
      </c>
      <c r="AZ592" s="12">
        <v>1106.53</v>
      </c>
      <c r="BA592" s="18">
        <f t="shared" si="210"/>
        <v>52099.52</v>
      </c>
      <c r="BB592" s="10">
        <f t="shared" si="16"/>
        <v>1110597.545</v>
      </c>
      <c r="BC592" s="16">
        <f t="shared" si="201"/>
        <v>165814.8447</v>
      </c>
      <c r="BD592" s="12">
        <v>908.7</v>
      </c>
      <c r="BE592" s="16">
        <f t="shared" si="205"/>
        <v>26841.48</v>
      </c>
      <c r="BF592" s="6"/>
      <c r="BG592" s="6"/>
      <c r="BH592" s="6"/>
      <c r="BI592" s="29">
        <f t="shared" si="202"/>
        <v>64304.69677</v>
      </c>
      <c r="BJ592" s="6"/>
      <c r="BK592" s="15">
        <f t="shared" si="76"/>
        <v>0.3364614264</v>
      </c>
      <c r="BN592" s="16">
        <f t="shared" si="187"/>
        <v>-26767.92677</v>
      </c>
      <c r="BO592" s="16">
        <f t="shared" si="206"/>
        <v>-349614.869</v>
      </c>
      <c r="BY592" s="6">
        <f t="shared" si="2"/>
        <v>2025</v>
      </c>
      <c r="BZ592" s="6" t="str">
        <f t="shared" si="3"/>
        <v>mayo</v>
      </c>
      <c r="CA592" s="6" t="str">
        <f t="shared" si="4"/>
        <v>5</v>
      </c>
    </row>
    <row r="593">
      <c r="A593" s="8">
        <v>45800.0</v>
      </c>
      <c r="B593" s="12">
        <v>35999.0</v>
      </c>
      <c r="C593" s="12">
        <v>0.0</v>
      </c>
      <c r="D593" s="12">
        <v>5472.23</v>
      </c>
      <c r="E593" s="12">
        <v>0.0</v>
      </c>
      <c r="F593" s="12">
        <v>0.0</v>
      </c>
      <c r="G593" s="12">
        <v>0.0</v>
      </c>
      <c r="H593" s="12">
        <f t="shared" si="149"/>
        <v>41471.23</v>
      </c>
      <c r="I593" s="12">
        <v>6124.2</v>
      </c>
      <c r="J593" s="12">
        <v>0.0</v>
      </c>
      <c r="K593" s="12">
        <v>1287.21</v>
      </c>
      <c r="L593" s="12">
        <v>0.0</v>
      </c>
      <c r="M593" s="12">
        <v>0.0</v>
      </c>
      <c r="N593" s="12">
        <v>0.0</v>
      </c>
      <c r="O593" s="16">
        <f t="shared" si="150"/>
        <v>7411.41</v>
      </c>
      <c r="P593" s="12">
        <v>2415.68</v>
      </c>
      <c r="Q593" s="12">
        <v>0.0</v>
      </c>
      <c r="R593" s="12">
        <v>432.48</v>
      </c>
      <c r="S593" s="12">
        <v>0.0</v>
      </c>
      <c r="T593" s="12">
        <v>0.0</v>
      </c>
      <c r="U593" s="12">
        <v>0.0</v>
      </c>
      <c r="V593" s="16">
        <f t="shared" si="151"/>
        <v>2848.16</v>
      </c>
      <c r="W593" s="12">
        <v>6917.62</v>
      </c>
      <c r="X593" s="12">
        <v>0.0</v>
      </c>
      <c r="Y593" s="12">
        <v>0.0</v>
      </c>
      <c r="Z593" s="12">
        <v>0.0</v>
      </c>
      <c r="AA593" s="12">
        <v>0.0</v>
      </c>
      <c r="AB593" s="12">
        <v>0.0</v>
      </c>
      <c r="AC593" s="16">
        <f t="shared" si="169"/>
        <v>6917.62</v>
      </c>
      <c r="AD593" s="12">
        <v>6916.74</v>
      </c>
      <c r="AE593" s="12">
        <v>0.88</v>
      </c>
      <c r="AF593" s="12">
        <v>2519.19</v>
      </c>
      <c r="AG593" s="12">
        <v>0.0</v>
      </c>
      <c r="AH593" s="12">
        <v>0.0</v>
      </c>
      <c r="AI593" s="12">
        <v>0.0</v>
      </c>
      <c r="AJ593" s="12">
        <v>0.0</v>
      </c>
      <c r="AK593" s="12">
        <v>0.0</v>
      </c>
      <c r="AL593" s="12">
        <f t="shared" si="192"/>
        <v>2519.19</v>
      </c>
      <c r="AM593" s="12">
        <v>4891.0</v>
      </c>
      <c r="AN593" s="12">
        <v>0.0</v>
      </c>
      <c r="AO593" s="12">
        <v>0.0</v>
      </c>
      <c r="AP593" s="12">
        <v>0.0</v>
      </c>
      <c r="AQ593" s="12">
        <v>0.0</v>
      </c>
      <c r="AR593" s="12">
        <v>0.0</v>
      </c>
      <c r="AS593" s="12">
        <f t="shared" si="168"/>
        <v>4891</v>
      </c>
      <c r="AT593" s="16">
        <f t="shared" si="212"/>
        <v>24587.38</v>
      </c>
      <c r="AU593" s="18">
        <f t="shared" si="203"/>
        <v>812753.38</v>
      </c>
      <c r="AV593" s="12">
        <v>28478.85</v>
      </c>
      <c r="AW593" s="10">
        <f t="shared" ref="AW593:AW601" si="213">IF(AV593="","",AW592+AV593)</f>
        <v>278559.83</v>
      </c>
      <c r="AX593" s="12">
        <f t="shared" si="171"/>
        <v>53066.23</v>
      </c>
      <c r="AY593" s="12">
        <f t="shared" si="208"/>
        <v>1120215.18</v>
      </c>
      <c r="AZ593" s="12">
        <v>330.17</v>
      </c>
      <c r="BA593" s="18">
        <f t="shared" si="210"/>
        <v>52429.69</v>
      </c>
      <c r="BB593" s="10">
        <f t="shared" si="16"/>
        <v>1095450.208</v>
      </c>
      <c r="BC593" s="16">
        <f t="shared" si="201"/>
        <v>176910.6</v>
      </c>
      <c r="BD593" s="12">
        <v>2060.49</v>
      </c>
      <c r="BE593" s="16">
        <f t="shared" si="205"/>
        <v>28901.97</v>
      </c>
      <c r="BF593" s="6"/>
      <c r="BG593" s="6"/>
      <c r="BH593" s="6"/>
      <c r="BI593" s="29">
        <f t="shared" si="202"/>
        <v>64304.69677</v>
      </c>
      <c r="BJ593" s="6"/>
      <c r="BK593" s="15">
        <f t="shared" si="76"/>
        <v>0.3823574518</v>
      </c>
      <c r="BN593" s="16">
        <f t="shared" si="187"/>
        <v>-9177.976774</v>
      </c>
      <c r="BO593" s="16">
        <f t="shared" si="206"/>
        <v>-358792.8458</v>
      </c>
      <c r="BY593" s="6">
        <f t="shared" si="2"/>
        <v>2025</v>
      </c>
      <c r="BZ593" s="6" t="str">
        <f t="shared" si="3"/>
        <v>mayo</v>
      </c>
      <c r="CA593" s="6" t="str">
        <f t="shared" si="4"/>
        <v>5</v>
      </c>
    </row>
    <row r="594">
      <c r="A594" s="8">
        <v>45801.0</v>
      </c>
      <c r="B594" s="12">
        <v>0.0</v>
      </c>
      <c r="C594" s="12">
        <v>0.0</v>
      </c>
      <c r="D594" s="12">
        <v>0.0</v>
      </c>
      <c r="E594" s="12">
        <v>0.0</v>
      </c>
      <c r="F594" s="12">
        <v>0.0</v>
      </c>
      <c r="G594" s="12">
        <v>0.0</v>
      </c>
      <c r="H594" s="12">
        <f t="shared" si="149"/>
        <v>0</v>
      </c>
      <c r="I594" s="12">
        <v>0.0</v>
      </c>
      <c r="J594" s="12">
        <v>0.0</v>
      </c>
      <c r="K594" s="12">
        <v>0.0</v>
      </c>
      <c r="L594" s="12">
        <v>0.0</v>
      </c>
      <c r="M594" s="12">
        <v>0.0</v>
      </c>
      <c r="N594" s="12">
        <v>0.0</v>
      </c>
      <c r="O594" s="16">
        <f t="shared" si="150"/>
        <v>0</v>
      </c>
      <c r="P594" s="12">
        <v>0.0</v>
      </c>
      <c r="Q594" s="12">
        <v>0.0</v>
      </c>
      <c r="R594" s="12">
        <v>0.0</v>
      </c>
      <c r="S594" s="12">
        <v>0.0</v>
      </c>
      <c r="T594" s="12">
        <v>0.0</v>
      </c>
      <c r="U594" s="12">
        <v>0.0</v>
      </c>
      <c r="V594" s="16">
        <f t="shared" si="151"/>
        <v>0</v>
      </c>
      <c r="W594" s="12">
        <v>0.0</v>
      </c>
      <c r="X594" s="12">
        <v>0.0</v>
      </c>
      <c r="Y594" s="12">
        <v>0.0</v>
      </c>
      <c r="Z594" s="12">
        <v>0.0</v>
      </c>
      <c r="AA594" s="12">
        <v>0.0</v>
      </c>
      <c r="AB594" s="12">
        <v>0.0</v>
      </c>
      <c r="AC594" s="16">
        <f t="shared" si="169"/>
        <v>0</v>
      </c>
      <c r="AD594" s="12">
        <v>0.0</v>
      </c>
      <c r="AE594" s="12">
        <v>0.0</v>
      </c>
      <c r="AF594" s="12">
        <v>0.0</v>
      </c>
      <c r="AG594" s="12">
        <v>0.0</v>
      </c>
      <c r="AH594" s="12">
        <v>0.0</v>
      </c>
      <c r="AI594" s="12">
        <v>0.0</v>
      </c>
      <c r="AJ594" s="12">
        <v>0.0</v>
      </c>
      <c r="AK594" s="12">
        <v>0.0</v>
      </c>
      <c r="AL594" s="12">
        <f t="shared" si="192"/>
        <v>0</v>
      </c>
      <c r="AM594" s="12">
        <v>0.0</v>
      </c>
      <c r="AN594" s="12">
        <v>0.0</v>
      </c>
      <c r="AO594" s="12">
        <v>0.0</v>
      </c>
      <c r="AP594" s="12">
        <v>0.0</v>
      </c>
      <c r="AQ594" s="12">
        <v>0.0</v>
      </c>
      <c r="AR594" s="12">
        <v>0.0</v>
      </c>
      <c r="AS594" s="12">
        <f t="shared" si="168"/>
        <v>0</v>
      </c>
      <c r="AT594" s="6">
        <f t="shared" ref="AT594:AT595" si="214">IF(AS594+AL594+AC594+V594+O594=0,0,AS594+AL594+AC594+V594+O594)</f>
        <v>0</v>
      </c>
      <c r="AU594" s="18">
        <f t="shared" si="203"/>
        <v>812753.38</v>
      </c>
      <c r="AV594" s="12">
        <v>0.0</v>
      </c>
      <c r="AW594" s="10">
        <f t="shared" si="213"/>
        <v>278559.83</v>
      </c>
      <c r="AX594" s="12">
        <f t="shared" si="171"/>
        <v>0</v>
      </c>
      <c r="AY594" s="12">
        <f t="shared" si="208"/>
        <v>1120215.18</v>
      </c>
      <c r="AZ594" s="12">
        <v>0.0</v>
      </c>
      <c r="BA594" s="18">
        <f t="shared" si="210"/>
        <v>52429.69</v>
      </c>
      <c r="BB594" s="10">
        <f t="shared" si="16"/>
        <v>1049806.449</v>
      </c>
      <c r="BC594" s="16">
        <f t="shared" si="201"/>
        <v>182507.131</v>
      </c>
      <c r="BD594" s="12">
        <v>0.0</v>
      </c>
      <c r="BE594" s="16">
        <f t="shared" si="205"/>
        <v>28901.97</v>
      </c>
      <c r="BF594" s="6"/>
      <c r="BG594" s="6"/>
      <c r="BH594" s="6"/>
      <c r="BI594" s="29">
        <f t="shared" si="202"/>
        <v>64304.69677</v>
      </c>
      <c r="BJ594" s="6"/>
      <c r="BK594" s="15">
        <f t="shared" si="76"/>
        <v>0</v>
      </c>
      <c r="BN594" s="16">
        <f t="shared" si="187"/>
        <v>-64304.69677</v>
      </c>
      <c r="BO594" s="16">
        <f t="shared" si="206"/>
        <v>-423097.5426</v>
      </c>
      <c r="BY594" s="6">
        <f t="shared" si="2"/>
        <v>2025</v>
      </c>
      <c r="BZ594" s="6" t="str">
        <f t="shared" si="3"/>
        <v>mayo</v>
      </c>
      <c r="CA594" s="6" t="str">
        <f t="shared" si="4"/>
        <v>5</v>
      </c>
    </row>
    <row r="595">
      <c r="A595" s="8">
        <v>45802.0</v>
      </c>
      <c r="B595" s="12">
        <v>0.0</v>
      </c>
      <c r="C595" s="12">
        <v>0.0</v>
      </c>
      <c r="D595" s="12">
        <v>0.0</v>
      </c>
      <c r="E595" s="12">
        <v>0.0</v>
      </c>
      <c r="F595" s="12">
        <v>0.0</v>
      </c>
      <c r="G595" s="12">
        <v>0.0</v>
      </c>
      <c r="H595" s="12">
        <f t="shared" si="149"/>
        <v>0</v>
      </c>
      <c r="I595" s="12">
        <v>0.0</v>
      </c>
      <c r="J595" s="12">
        <v>0.0</v>
      </c>
      <c r="K595" s="12">
        <v>0.0</v>
      </c>
      <c r="L595" s="12">
        <v>0.0</v>
      </c>
      <c r="M595" s="12">
        <v>0.0</v>
      </c>
      <c r="N595" s="12">
        <v>0.0</v>
      </c>
      <c r="O595" s="16">
        <f t="shared" si="150"/>
        <v>0</v>
      </c>
      <c r="P595" s="12">
        <v>0.0</v>
      </c>
      <c r="Q595" s="12">
        <v>0.0</v>
      </c>
      <c r="R595" s="12">
        <v>0.0</v>
      </c>
      <c r="S595" s="12">
        <v>0.0</v>
      </c>
      <c r="T595" s="12">
        <v>0.0</v>
      </c>
      <c r="U595" s="12">
        <v>0.0</v>
      </c>
      <c r="V595" s="16">
        <f t="shared" si="151"/>
        <v>0</v>
      </c>
      <c r="W595" s="12">
        <v>0.0</v>
      </c>
      <c r="X595" s="12">
        <v>0.0</v>
      </c>
      <c r="Y595" s="12">
        <v>0.0</v>
      </c>
      <c r="Z595" s="12">
        <v>0.0</v>
      </c>
      <c r="AA595" s="12">
        <v>0.0</v>
      </c>
      <c r="AB595" s="12">
        <v>0.0</v>
      </c>
      <c r="AC595" s="16">
        <f t="shared" si="169"/>
        <v>0</v>
      </c>
      <c r="AD595" s="12">
        <v>0.0</v>
      </c>
      <c r="AE595" s="12">
        <v>0.0</v>
      </c>
      <c r="AF595" s="12">
        <v>0.0</v>
      </c>
      <c r="AG595" s="12">
        <v>0.0</v>
      </c>
      <c r="AH595" s="12">
        <v>0.0</v>
      </c>
      <c r="AI595" s="12">
        <v>0.0</v>
      </c>
      <c r="AJ595" s="12">
        <v>0.0</v>
      </c>
      <c r="AK595" s="12">
        <v>0.0</v>
      </c>
      <c r="AL595" s="12">
        <f t="shared" si="192"/>
        <v>0</v>
      </c>
      <c r="AM595" s="12">
        <v>0.0</v>
      </c>
      <c r="AN595" s="12">
        <v>0.0</v>
      </c>
      <c r="AO595" s="12">
        <v>0.0</v>
      </c>
      <c r="AP595" s="12">
        <v>0.0</v>
      </c>
      <c r="AQ595" s="12">
        <v>0.0</v>
      </c>
      <c r="AR595" s="12">
        <v>0.0</v>
      </c>
      <c r="AS595" s="12">
        <f t="shared" si="168"/>
        <v>0</v>
      </c>
      <c r="AT595" s="6">
        <f t="shared" si="214"/>
        <v>0</v>
      </c>
      <c r="AU595" s="18">
        <f t="shared" si="203"/>
        <v>812753.38</v>
      </c>
      <c r="AV595" s="12">
        <v>0.0</v>
      </c>
      <c r="AW595" s="10">
        <f t="shared" si="213"/>
        <v>278559.83</v>
      </c>
      <c r="AX595" s="12">
        <f t="shared" si="171"/>
        <v>0</v>
      </c>
      <c r="AY595" s="12">
        <f t="shared" si="208"/>
        <v>1120215.18</v>
      </c>
      <c r="AZ595" s="12">
        <v>0.0</v>
      </c>
      <c r="BA595" s="18">
        <f t="shared" si="210"/>
        <v>52429.69</v>
      </c>
      <c r="BB595" s="10">
        <f t="shared" si="16"/>
        <v>1007814.191</v>
      </c>
      <c r="BC595" s="16">
        <f t="shared" si="201"/>
        <v>179128.6364</v>
      </c>
      <c r="BD595" s="12">
        <v>0.0</v>
      </c>
      <c r="BE595" s="16">
        <f t="shared" si="205"/>
        <v>28901.97</v>
      </c>
      <c r="BF595" s="6"/>
      <c r="BG595" s="6"/>
      <c r="BH595" s="6"/>
      <c r="BI595" s="29">
        <f t="shared" si="202"/>
        <v>64304.69677</v>
      </c>
      <c r="BJ595" s="6"/>
      <c r="BK595" s="15">
        <f t="shared" si="76"/>
        <v>0</v>
      </c>
      <c r="BN595" s="16">
        <f t="shared" si="187"/>
        <v>-64304.69677</v>
      </c>
      <c r="BO595" s="16">
        <f t="shared" si="206"/>
        <v>-487402.2394</v>
      </c>
      <c r="BY595" s="6">
        <f t="shared" si="2"/>
        <v>2025</v>
      </c>
      <c r="BZ595" s="6" t="str">
        <f t="shared" si="3"/>
        <v>mayo</v>
      </c>
      <c r="CA595" s="6" t="str">
        <f t="shared" si="4"/>
        <v>5</v>
      </c>
    </row>
    <row r="596">
      <c r="A596" s="8">
        <v>45803.0</v>
      </c>
      <c r="B596" s="12">
        <v>25778.3</v>
      </c>
      <c r="C596" s="12">
        <v>6430.23</v>
      </c>
      <c r="D596" s="12">
        <v>5777.0</v>
      </c>
      <c r="E596" s="12">
        <v>0.0</v>
      </c>
      <c r="F596" s="12">
        <v>0.0</v>
      </c>
      <c r="G596" s="12">
        <v>0.0</v>
      </c>
      <c r="H596" s="12">
        <f t="shared" si="149"/>
        <v>37985.53</v>
      </c>
      <c r="I596" s="12">
        <v>17999.2</v>
      </c>
      <c r="J596" s="12">
        <v>1478.3</v>
      </c>
      <c r="K596" s="12">
        <v>2113.18</v>
      </c>
      <c r="L596" s="12">
        <v>0.0</v>
      </c>
      <c r="M596" s="12">
        <v>0.0</v>
      </c>
      <c r="N596" s="12">
        <v>0.0</v>
      </c>
      <c r="O596" s="16">
        <f t="shared" si="150"/>
        <v>21590.68</v>
      </c>
      <c r="P596" s="12">
        <v>7588.65</v>
      </c>
      <c r="Q596" s="12">
        <v>672.31</v>
      </c>
      <c r="R596" s="12">
        <v>712.7</v>
      </c>
      <c r="S596" s="12">
        <v>0.0</v>
      </c>
      <c r="T596" s="12">
        <v>0.0</v>
      </c>
      <c r="U596" s="12">
        <v>0.0</v>
      </c>
      <c r="V596" s="16">
        <f t="shared" si="151"/>
        <v>8973.66</v>
      </c>
      <c r="W596" s="12">
        <v>3346.14</v>
      </c>
      <c r="X596" s="12">
        <v>3821.66</v>
      </c>
      <c r="Y596" s="12">
        <v>0.08</v>
      </c>
      <c r="Z596" s="12">
        <v>0.0</v>
      </c>
      <c r="AA596" s="12">
        <v>0.0</v>
      </c>
      <c r="AB596" s="12">
        <v>0.0</v>
      </c>
      <c r="AC596" s="16">
        <f t="shared" si="169"/>
        <v>7167.88</v>
      </c>
      <c r="AD596" s="12">
        <v>7127.41</v>
      </c>
      <c r="AE596" s="12">
        <v>40.47</v>
      </c>
      <c r="AF596" s="12">
        <v>4070.44</v>
      </c>
      <c r="AG596" s="12">
        <v>764.7</v>
      </c>
      <c r="AH596" s="12">
        <v>0.0</v>
      </c>
      <c r="AI596" s="12">
        <v>0.0</v>
      </c>
      <c r="AJ596" s="12">
        <v>0.0</v>
      </c>
      <c r="AK596" s="12">
        <v>0.0</v>
      </c>
      <c r="AL596" s="12">
        <f t="shared" si="192"/>
        <v>4835.14</v>
      </c>
      <c r="AM596" s="12">
        <v>2294.0</v>
      </c>
      <c r="AN596" s="12">
        <v>0.0</v>
      </c>
      <c r="AO596" s="12">
        <v>0.0</v>
      </c>
      <c r="AP596" s="12">
        <v>0.0</v>
      </c>
      <c r="AQ596" s="12">
        <v>0.0</v>
      </c>
      <c r="AR596" s="12">
        <v>0.0</v>
      </c>
      <c r="AS596" s="12">
        <f t="shared" si="168"/>
        <v>2294</v>
      </c>
      <c r="AT596" s="16">
        <f t="shared" ref="AT596:AT601" si="215">IF(AS596+AL596+AC596+V596+O596=0,"",AS596+AL596+AC596+V596+O596)</f>
        <v>44861.36</v>
      </c>
      <c r="AU596" s="18">
        <f t="shared" si="203"/>
        <v>857614.74</v>
      </c>
      <c r="AV596" s="12">
        <v>13243.53</v>
      </c>
      <c r="AW596" s="10">
        <f t="shared" si="213"/>
        <v>291803.36</v>
      </c>
      <c r="AX596" s="12">
        <f t="shared" si="171"/>
        <v>58104.89</v>
      </c>
      <c r="AY596" s="12">
        <f t="shared" si="208"/>
        <v>1180320.36</v>
      </c>
      <c r="AZ596" s="12">
        <v>1805.42</v>
      </c>
      <c r="BA596" s="18">
        <f t="shared" si="210"/>
        <v>54235.11</v>
      </c>
      <c r="BB596" s="10">
        <f t="shared" si="16"/>
        <v>1022540.652</v>
      </c>
      <c r="BC596" s="16">
        <f t="shared" si="201"/>
        <v>176685.5174</v>
      </c>
      <c r="BD596" s="12">
        <v>2000.29</v>
      </c>
      <c r="BE596" s="16">
        <f t="shared" si="205"/>
        <v>30902.26</v>
      </c>
      <c r="BF596" s="6"/>
      <c r="BG596" s="6"/>
      <c r="BH596" s="6"/>
      <c r="BI596" s="29">
        <f t="shared" si="202"/>
        <v>64304.69677</v>
      </c>
      <c r="BJ596" s="6"/>
      <c r="BK596" s="15">
        <f t="shared" si="76"/>
        <v>0.6976373772</v>
      </c>
      <c r="BN596" s="16">
        <f t="shared" si="187"/>
        <v>-4199.516774</v>
      </c>
      <c r="BO596" s="16">
        <f t="shared" si="206"/>
        <v>-491601.7561</v>
      </c>
      <c r="BY596" s="6">
        <f t="shared" si="2"/>
        <v>2025</v>
      </c>
      <c r="BZ596" s="6" t="str">
        <f t="shared" si="3"/>
        <v>mayo</v>
      </c>
      <c r="CA596" s="6" t="str">
        <f t="shared" si="4"/>
        <v>5</v>
      </c>
    </row>
    <row r="597">
      <c r="A597" s="8">
        <v>45804.0</v>
      </c>
      <c r="B597" s="12">
        <v>15786.2</v>
      </c>
      <c r="C597" s="12">
        <v>3477.0</v>
      </c>
      <c r="D597" s="12">
        <v>3582.53</v>
      </c>
      <c r="E597" s="12">
        <v>0.0</v>
      </c>
      <c r="F597" s="12">
        <v>0.0</v>
      </c>
      <c r="G597" s="12">
        <v>0.0</v>
      </c>
      <c r="H597" s="12">
        <f t="shared" si="149"/>
        <v>22845.73</v>
      </c>
      <c r="I597" s="12">
        <v>9487.0</v>
      </c>
      <c r="J597" s="12">
        <v>1503.09</v>
      </c>
      <c r="K597" s="12">
        <v>1499.0</v>
      </c>
      <c r="L597" s="12">
        <v>0.0</v>
      </c>
      <c r="M597" s="12">
        <v>0.0</v>
      </c>
      <c r="N597" s="12">
        <v>0.0</v>
      </c>
      <c r="O597" s="16">
        <f t="shared" si="150"/>
        <v>12489.09</v>
      </c>
      <c r="P597" s="12">
        <v>7439.84</v>
      </c>
      <c r="Q597" s="12">
        <v>757.21</v>
      </c>
      <c r="R597" s="12">
        <v>467.04</v>
      </c>
      <c r="S597" s="12">
        <v>0.0</v>
      </c>
      <c r="T597" s="12">
        <v>0.0</v>
      </c>
      <c r="U597" s="12">
        <v>0.0</v>
      </c>
      <c r="V597" s="16">
        <f t="shared" si="151"/>
        <v>8664.09</v>
      </c>
      <c r="W597" s="12">
        <v>5249.67</v>
      </c>
      <c r="X597" s="12">
        <v>0.06</v>
      </c>
      <c r="Y597" s="12">
        <v>0.46</v>
      </c>
      <c r="Z597" s="12">
        <v>0.0</v>
      </c>
      <c r="AA597" s="12">
        <v>0.0</v>
      </c>
      <c r="AB597" s="12">
        <v>0.0</v>
      </c>
      <c r="AC597" s="16">
        <f t="shared" si="169"/>
        <v>5250.19</v>
      </c>
      <c r="AD597" s="12">
        <v>5247.54</v>
      </c>
      <c r="AE597" s="12">
        <v>2.65</v>
      </c>
      <c r="AF597" s="12">
        <v>3063.3</v>
      </c>
      <c r="AG597" s="12">
        <v>149.63</v>
      </c>
      <c r="AH597" s="12">
        <v>0.0</v>
      </c>
      <c r="AI597" s="12">
        <v>0.0</v>
      </c>
      <c r="AJ597" s="12">
        <v>0.0</v>
      </c>
      <c r="AK597" s="12">
        <v>0.0</v>
      </c>
      <c r="AL597" s="12">
        <f t="shared" si="192"/>
        <v>3212.93</v>
      </c>
      <c r="AM597" s="12">
        <v>5205.0</v>
      </c>
      <c r="AN597" s="12">
        <v>0.0</v>
      </c>
      <c r="AO597" s="12">
        <v>0.0</v>
      </c>
      <c r="AP597" s="12">
        <v>0.0</v>
      </c>
      <c r="AQ597" s="12">
        <v>0.0</v>
      </c>
      <c r="AR597" s="12">
        <v>0.0</v>
      </c>
      <c r="AS597" s="12">
        <f t="shared" si="168"/>
        <v>5205</v>
      </c>
      <c r="AT597" s="16">
        <f t="shared" si="215"/>
        <v>34821.3</v>
      </c>
      <c r="AU597" s="18">
        <f t="shared" si="203"/>
        <v>892436.04</v>
      </c>
      <c r="AV597" s="12">
        <v>11047.39</v>
      </c>
      <c r="AW597" s="10">
        <f t="shared" si="213"/>
        <v>302850.75</v>
      </c>
      <c r="AX597" s="12">
        <f t="shared" si="171"/>
        <v>45868.69</v>
      </c>
      <c r="AY597" s="12">
        <f t="shared" si="208"/>
        <v>1227936.01</v>
      </c>
      <c r="AZ597" s="12">
        <v>473.11</v>
      </c>
      <c r="BA597" s="18">
        <f t="shared" si="210"/>
        <v>54708.22</v>
      </c>
      <c r="BB597" s="10">
        <f t="shared" si="16"/>
        <v>1024648.787</v>
      </c>
      <c r="BC597" s="16">
        <f t="shared" si="201"/>
        <v>169323.6208</v>
      </c>
      <c r="BD597" s="12">
        <v>1746.96</v>
      </c>
      <c r="BE597" s="16">
        <f t="shared" si="205"/>
        <v>32649.22</v>
      </c>
      <c r="BF597" s="6"/>
      <c r="BG597" s="6"/>
      <c r="BH597" s="6"/>
      <c r="BI597" s="29">
        <f t="shared" si="202"/>
        <v>64304.69677</v>
      </c>
      <c r="BJ597" s="6"/>
      <c r="BK597" s="15">
        <f t="shared" si="76"/>
        <v>0.5415047694</v>
      </c>
      <c r="BN597" s="16">
        <f t="shared" si="187"/>
        <v>-16689.04677</v>
      </c>
      <c r="BO597" s="16">
        <f t="shared" si="206"/>
        <v>-508290.8029</v>
      </c>
      <c r="BY597" s="6">
        <f t="shared" si="2"/>
        <v>2025</v>
      </c>
      <c r="BZ597" s="6" t="str">
        <f t="shared" si="3"/>
        <v>mayo</v>
      </c>
      <c r="CA597" s="6" t="str">
        <f t="shared" si="4"/>
        <v>5</v>
      </c>
    </row>
    <row r="598">
      <c r="A598" s="8">
        <v>45805.0</v>
      </c>
      <c r="B598" s="12">
        <v>200000.0</v>
      </c>
      <c r="C598" s="12">
        <v>3333.3</v>
      </c>
      <c r="D598" s="12">
        <v>3315.89</v>
      </c>
      <c r="E598" s="12">
        <v>0.0</v>
      </c>
      <c r="F598" s="12">
        <v>0.0</v>
      </c>
      <c r="G598" s="12">
        <v>0.0</v>
      </c>
      <c r="H598" s="12">
        <f t="shared" si="149"/>
        <v>206649.19</v>
      </c>
      <c r="I598" s="12">
        <v>30744.0</v>
      </c>
      <c r="J598" s="12">
        <v>1110.2</v>
      </c>
      <c r="K598" s="12">
        <v>1768.25</v>
      </c>
      <c r="L598" s="12">
        <v>0.0</v>
      </c>
      <c r="M598" s="12">
        <v>0.0</v>
      </c>
      <c r="N598" s="12">
        <v>0.0</v>
      </c>
      <c r="O598" s="16">
        <f t="shared" si="150"/>
        <v>33622.45</v>
      </c>
      <c r="P598" s="12">
        <v>8175.37</v>
      </c>
      <c r="Q598" s="12">
        <v>335.1</v>
      </c>
      <c r="R598" s="12">
        <v>451.5</v>
      </c>
      <c r="S598" s="12">
        <v>0.0</v>
      </c>
      <c r="T598" s="12">
        <v>0.0</v>
      </c>
      <c r="U598" s="12">
        <v>0.0</v>
      </c>
      <c r="V598" s="16">
        <f t="shared" si="151"/>
        <v>8961.97</v>
      </c>
      <c r="W598" s="12">
        <v>8379.98</v>
      </c>
      <c r="X598" s="12">
        <v>3692.96</v>
      </c>
      <c r="Y598" s="12">
        <v>0.0</v>
      </c>
      <c r="Z598" s="12">
        <v>0.0</v>
      </c>
      <c r="AA598" s="12">
        <v>0.0</v>
      </c>
      <c r="AB598" s="12">
        <v>0.0</v>
      </c>
      <c r="AC598" s="16">
        <f t="shared" si="169"/>
        <v>12072.94</v>
      </c>
      <c r="AD598" s="12">
        <v>12021.42</v>
      </c>
      <c r="AE598" s="12">
        <v>51.52</v>
      </c>
      <c r="AF598" s="12">
        <v>2024.42</v>
      </c>
      <c r="AG598" s="12">
        <v>0.0</v>
      </c>
      <c r="AH598" s="12">
        <v>0.0</v>
      </c>
      <c r="AI598" s="12">
        <v>0.0</v>
      </c>
      <c r="AJ598" s="12">
        <v>0.0</v>
      </c>
      <c r="AK598" s="12">
        <v>0.0</v>
      </c>
      <c r="AL598" s="12">
        <f t="shared" si="192"/>
        <v>2024.42</v>
      </c>
      <c r="AM598" s="12">
        <v>6964.0</v>
      </c>
      <c r="AN598" s="12">
        <v>2540.0</v>
      </c>
      <c r="AO598" s="12">
        <v>0.0</v>
      </c>
      <c r="AP598" s="12">
        <v>0.0</v>
      </c>
      <c r="AQ598" s="12">
        <v>0.0</v>
      </c>
      <c r="AR598" s="12">
        <v>0.0</v>
      </c>
      <c r="AS598" s="12">
        <f t="shared" si="168"/>
        <v>9504</v>
      </c>
      <c r="AT598" s="16">
        <f t="shared" si="215"/>
        <v>66185.78</v>
      </c>
      <c r="AU598" s="18">
        <f t="shared" si="203"/>
        <v>958621.82</v>
      </c>
      <c r="AV598" s="12">
        <v>13985.52</v>
      </c>
      <c r="AW598" s="10">
        <f t="shared" si="213"/>
        <v>316836.27</v>
      </c>
      <c r="AX598" s="12">
        <f t="shared" si="171"/>
        <v>80171.3</v>
      </c>
      <c r="AY598" s="12">
        <f t="shared" si="208"/>
        <v>1311652.12</v>
      </c>
      <c r="AZ598" s="12">
        <v>2436.61</v>
      </c>
      <c r="BA598" s="18">
        <f t="shared" si="210"/>
        <v>57144.83</v>
      </c>
      <c r="BB598" s="10">
        <f t="shared" si="16"/>
        <v>1061331.301</v>
      </c>
      <c r="BC598" s="16">
        <f t="shared" si="201"/>
        <v>162550.676</v>
      </c>
      <c r="BD598" s="12">
        <v>3544.81</v>
      </c>
      <c r="BE598" s="16">
        <f t="shared" si="205"/>
        <v>36194.03</v>
      </c>
      <c r="BF598" s="6"/>
      <c r="BG598" s="6"/>
      <c r="BH598" s="6"/>
      <c r="BI598" s="29">
        <f t="shared" si="202"/>
        <v>64304.69677</v>
      </c>
      <c r="BK598" s="15">
        <f t="shared" si="76"/>
        <v>1.029252657</v>
      </c>
      <c r="BN598" s="16">
        <f t="shared" si="187"/>
        <v>19411.41323</v>
      </c>
      <c r="BO598" s="16">
        <f t="shared" si="206"/>
        <v>-488879.3897</v>
      </c>
      <c r="BY598" s="6">
        <f t="shared" si="2"/>
        <v>2025</v>
      </c>
      <c r="BZ598" s="6" t="str">
        <f t="shared" si="3"/>
        <v>mayo</v>
      </c>
      <c r="CA598" s="6" t="str">
        <f t="shared" si="4"/>
        <v>5</v>
      </c>
    </row>
    <row r="599">
      <c r="A599" s="8">
        <v>45806.0</v>
      </c>
      <c r="B599" s="12">
        <v>100000.3</v>
      </c>
      <c r="C599" s="12">
        <v>0.0</v>
      </c>
      <c r="D599" s="12">
        <v>3452.8</v>
      </c>
      <c r="E599" s="12">
        <v>0.0</v>
      </c>
      <c r="F599" s="12">
        <v>0.0</v>
      </c>
      <c r="G599" s="12">
        <v>0.0</v>
      </c>
      <c r="H599" s="12">
        <f t="shared" si="149"/>
        <v>103453.1</v>
      </c>
      <c r="I599" s="12">
        <v>22745.0</v>
      </c>
      <c r="J599" s="12">
        <v>0.0</v>
      </c>
      <c r="K599" s="12">
        <v>1340.83</v>
      </c>
      <c r="L599" s="12">
        <v>0.0</v>
      </c>
      <c r="M599" s="12">
        <v>0.0</v>
      </c>
      <c r="N599" s="12">
        <v>0.0</v>
      </c>
      <c r="O599" s="16">
        <f t="shared" si="150"/>
        <v>24085.83</v>
      </c>
      <c r="P599" s="12">
        <v>5941.7</v>
      </c>
      <c r="Q599" s="12">
        <v>0.0</v>
      </c>
      <c r="R599" s="12">
        <v>497.57</v>
      </c>
      <c r="S599" s="12">
        <v>0.0</v>
      </c>
      <c r="T599" s="12">
        <v>0.0</v>
      </c>
      <c r="U599" s="12">
        <v>0.0</v>
      </c>
      <c r="V599" s="16">
        <f t="shared" si="151"/>
        <v>6439.27</v>
      </c>
      <c r="W599" s="12">
        <v>2526.92</v>
      </c>
      <c r="X599" s="12">
        <v>0.0</v>
      </c>
      <c r="Y599" s="12">
        <v>7458.74</v>
      </c>
      <c r="Z599" s="12">
        <v>0.0</v>
      </c>
      <c r="AA599" s="12">
        <v>0.0</v>
      </c>
      <c r="AB599" s="12">
        <v>0.0</v>
      </c>
      <c r="AC599" s="16">
        <f t="shared" si="169"/>
        <v>9985.66</v>
      </c>
      <c r="AD599" s="12">
        <v>15287.42</v>
      </c>
      <c r="AE599" s="12">
        <v>46.17</v>
      </c>
      <c r="AF599" s="12">
        <v>2715.36</v>
      </c>
      <c r="AG599" s="12">
        <v>0.0</v>
      </c>
      <c r="AH599" s="12">
        <v>0.0</v>
      </c>
      <c r="AI599" s="12">
        <v>0.0</v>
      </c>
      <c r="AJ599" s="12">
        <v>0.0</v>
      </c>
      <c r="AK599" s="12">
        <v>0.0</v>
      </c>
      <c r="AL599" s="12">
        <f t="shared" si="192"/>
        <v>2715.36</v>
      </c>
      <c r="AM599" s="12">
        <v>2350.0</v>
      </c>
      <c r="AN599" s="12">
        <v>0.0</v>
      </c>
      <c r="AO599" s="12">
        <v>12736.0</v>
      </c>
      <c r="AP599" s="12">
        <v>0.0</v>
      </c>
      <c r="AQ599" s="12">
        <v>0.0</v>
      </c>
      <c r="AR599" s="12">
        <v>0.0</v>
      </c>
      <c r="AS599" s="12">
        <f t="shared" si="168"/>
        <v>15086</v>
      </c>
      <c r="AT599" s="16">
        <f t="shared" si="215"/>
        <v>58312.12</v>
      </c>
      <c r="AU599" s="18">
        <f t="shared" si="203"/>
        <v>1016933.94</v>
      </c>
      <c r="AV599" s="12">
        <v>11354.28</v>
      </c>
      <c r="AW599" s="10">
        <f t="shared" si="213"/>
        <v>328190.55</v>
      </c>
      <c r="AX599" s="12">
        <f t="shared" si="171"/>
        <v>69666.4</v>
      </c>
      <c r="AY599" s="12">
        <f t="shared" si="208"/>
        <v>1385177.6</v>
      </c>
      <c r="AZ599" s="12">
        <v>2021.57</v>
      </c>
      <c r="BA599" s="18">
        <f t="shared" si="210"/>
        <v>59166.4</v>
      </c>
      <c r="BB599" s="10">
        <f t="shared" si="16"/>
        <v>1087067.315</v>
      </c>
      <c r="BC599" s="16">
        <f t="shared" si="201"/>
        <v>164925.9115</v>
      </c>
      <c r="BD599" s="12">
        <v>3859.08</v>
      </c>
      <c r="BE599" s="16">
        <f t="shared" si="205"/>
        <v>40053.11</v>
      </c>
      <c r="BF599" s="6"/>
      <c r="BG599" s="6"/>
      <c r="BH599" s="6"/>
      <c r="BI599" s="29">
        <f t="shared" si="202"/>
        <v>64304.69677</v>
      </c>
      <c r="BJ599" s="6"/>
      <c r="BK599" s="15">
        <f t="shared" si="76"/>
        <v>0.9068096566</v>
      </c>
      <c r="BN599" s="16">
        <f t="shared" si="187"/>
        <v>9220.783226</v>
      </c>
      <c r="BO599" s="16">
        <f t="shared" si="206"/>
        <v>-479658.6065</v>
      </c>
      <c r="BY599" s="6">
        <f t="shared" si="2"/>
        <v>2025</v>
      </c>
      <c r="BZ599" s="6" t="str">
        <f t="shared" si="3"/>
        <v>mayo</v>
      </c>
      <c r="CA599" s="6" t="str">
        <f t="shared" si="4"/>
        <v>5</v>
      </c>
    </row>
    <row r="600">
      <c r="A600" s="8">
        <v>45807.0</v>
      </c>
      <c r="B600" s="12">
        <v>43999.0</v>
      </c>
      <c r="C600" s="12">
        <v>1844.0</v>
      </c>
      <c r="D600" s="12">
        <v>1423.98</v>
      </c>
      <c r="E600" s="12">
        <v>0.0</v>
      </c>
      <c r="F600" s="12">
        <v>0.0</v>
      </c>
      <c r="G600" s="12">
        <v>0.0</v>
      </c>
      <c r="H600" s="12">
        <f t="shared" si="149"/>
        <v>47266.98</v>
      </c>
      <c r="I600" s="12">
        <v>68475.2</v>
      </c>
      <c r="J600" s="12">
        <v>2133.0</v>
      </c>
      <c r="K600" s="12">
        <v>2501.94</v>
      </c>
      <c r="L600" s="12">
        <v>0.0</v>
      </c>
      <c r="M600" s="12">
        <v>0.0</v>
      </c>
      <c r="N600" s="12">
        <v>0.0</v>
      </c>
      <c r="O600" s="16">
        <f t="shared" si="150"/>
        <v>73110.14</v>
      </c>
      <c r="P600" s="12">
        <v>20539.16</v>
      </c>
      <c r="Q600" s="12">
        <v>977.87</v>
      </c>
      <c r="R600" s="12">
        <v>2706.28</v>
      </c>
      <c r="S600" s="12">
        <v>0.0</v>
      </c>
      <c r="T600" s="12">
        <v>0.0</v>
      </c>
      <c r="U600" s="12">
        <v>0.0</v>
      </c>
      <c r="V600" s="16">
        <f t="shared" si="151"/>
        <v>24223.31</v>
      </c>
      <c r="W600" s="12">
        <v>7062.36</v>
      </c>
      <c r="X600" s="12">
        <v>0.54</v>
      </c>
      <c r="Y600" s="12">
        <v>7245.53</v>
      </c>
      <c r="Z600" s="12">
        <v>0.0</v>
      </c>
      <c r="AA600" s="12">
        <v>0.0</v>
      </c>
      <c r="AB600" s="12">
        <v>0.0</v>
      </c>
      <c r="AC600" s="16">
        <f t="shared" si="169"/>
        <v>14308.43</v>
      </c>
      <c r="AD600" s="12">
        <v>13874.46</v>
      </c>
      <c r="AE600" s="12">
        <v>433.97</v>
      </c>
      <c r="AF600" s="12">
        <v>4396.11</v>
      </c>
      <c r="AG600" s="12">
        <v>0.0</v>
      </c>
      <c r="AH600" s="12">
        <v>0.0</v>
      </c>
      <c r="AI600" s="12">
        <v>0.0</v>
      </c>
      <c r="AJ600" s="12">
        <v>0.0</v>
      </c>
      <c r="AK600" s="12">
        <v>0.0</v>
      </c>
      <c r="AL600" s="12">
        <f t="shared" si="192"/>
        <v>4396.11</v>
      </c>
      <c r="AM600" s="12">
        <v>5495.0</v>
      </c>
      <c r="AN600" s="12">
        <v>0.0</v>
      </c>
      <c r="AO600" s="12">
        <v>11458.0</v>
      </c>
      <c r="AP600" s="12">
        <v>0.0</v>
      </c>
      <c r="AQ600" s="12">
        <v>0.0</v>
      </c>
      <c r="AR600" s="12">
        <v>0.0</v>
      </c>
      <c r="AS600" s="12">
        <f t="shared" si="168"/>
        <v>16953</v>
      </c>
      <c r="AT600" s="16">
        <f t="shared" si="215"/>
        <v>132990.99</v>
      </c>
      <c r="AU600" s="18">
        <f t="shared" si="203"/>
        <v>1149924.93</v>
      </c>
      <c r="AV600" s="12">
        <v>27160.73</v>
      </c>
      <c r="AW600" s="10">
        <f t="shared" si="213"/>
        <v>355351.28</v>
      </c>
      <c r="AX600" s="12">
        <f t="shared" si="171"/>
        <v>160151.72</v>
      </c>
      <c r="AY600" s="12">
        <f t="shared" si="208"/>
        <v>1554828.2</v>
      </c>
      <c r="AZ600" s="12">
        <v>4211.63</v>
      </c>
      <c r="BA600" s="18">
        <f t="shared" si="210"/>
        <v>63378.03</v>
      </c>
      <c r="BB600" s="10">
        <f t="shared" si="16"/>
        <v>1188255.761</v>
      </c>
      <c r="BC600" s="16">
        <f t="shared" si="201"/>
        <v>165265.9333</v>
      </c>
      <c r="BD600" s="12">
        <v>9498.88</v>
      </c>
      <c r="BE600" s="16">
        <f t="shared" si="205"/>
        <v>49551.99</v>
      </c>
      <c r="BF600" s="6"/>
      <c r="BG600" s="6"/>
      <c r="BH600" s="6"/>
      <c r="BI600" s="29">
        <f t="shared" si="202"/>
        <v>64304.69677</v>
      </c>
      <c r="BK600" s="15">
        <f t="shared" si="76"/>
        <v>2.068138047</v>
      </c>
      <c r="BN600" s="16">
        <f t="shared" si="187"/>
        <v>105345.9032</v>
      </c>
      <c r="BO600" s="16">
        <f t="shared" si="206"/>
        <v>-374312.7032</v>
      </c>
      <c r="BY600" s="6">
        <f t="shared" si="2"/>
        <v>2025</v>
      </c>
      <c r="BZ600" s="6" t="str">
        <f t="shared" si="3"/>
        <v>mayo</v>
      </c>
      <c r="CA600" s="6" t="str">
        <f t="shared" si="4"/>
        <v>5</v>
      </c>
    </row>
    <row r="601">
      <c r="A601" s="8">
        <v>45808.0</v>
      </c>
      <c r="B601" s="12">
        <f>16998+300000.2+500122.3+124000</f>
        <v>941120.5</v>
      </c>
      <c r="C601" s="12">
        <f>17444.2+20889+10780</f>
        <v>49113.2</v>
      </c>
      <c r="D601" s="12">
        <f>1230.58+7073.46+22108.47+4212.7</f>
        <v>34625.21</v>
      </c>
      <c r="E601" s="12">
        <v>0.0</v>
      </c>
      <c r="F601" s="12">
        <v>0.0</v>
      </c>
      <c r="G601" s="12">
        <v>0.0</v>
      </c>
      <c r="H601" s="12">
        <f t="shared" si="149"/>
        <v>1024858.91</v>
      </c>
      <c r="I601" s="12">
        <f>15444.3+55744+40554.8+2615.71+485</f>
        <v>114843.81</v>
      </c>
      <c r="J601" s="12">
        <f>6225.93+1110</f>
        <v>7335.93</v>
      </c>
      <c r="K601" s="12">
        <f>2867.03+4598.82+1395.97</f>
        <v>8861.82</v>
      </c>
      <c r="L601" s="12">
        <v>0.0</v>
      </c>
      <c r="M601" s="12">
        <v>0.0</v>
      </c>
      <c r="N601" s="12">
        <v>0.0</v>
      </c>
      <c r="O601" s="16">
        <f t="shared" si="150"/>
        <v>131041.56</v>
      </c>
      <c r="P601" s="12">
        <f>5846.73+19995.53+13131.95+103.67</f>
        <v>39077.88</v>
      </c>
      <c r="Q601" s="12">
        <f>211.15+2328.91</f>
        <v>2540.06</v>
      </c>
      <c r="R601" s="12">
        <f>1293.47+2167.77+1231.55</f>
        <v>4692.79</v>
      </c>
      <c r="S601" s="12">
        <v>0.0</v>
      </c>
      <c r="T601" s="12">
        <v>0.0</v>
      </c>
      <c r="U601" s="12">
        <v>0.0</v>
      </c>
      <c r="V601" s="16">
        <f t="shared" si="151"/>
        <v>46310.73</v>
      </c>
      <c r="W601" s="12">
        <f>1.32+405.52+516.44+4500</f>
        <v>5423.28</v>
      </c>
      <c r="X601" s="12">
        <v>550.0</v>
      </c>
      <c r="Y601" s="12">
        <v>0.0</v>
      </c>
      <c r="Z601" s="12">
        <v>0.0</v>
      </c>
      <c r="AA601" s="12">
        <v>0.0</v>
      </c>
      <c r="AB601" s="12">
        <v>0.0</v>
      </c>
      <c r="AC601" s="16">
        <f t="shared" si="169"/>
        <v>5973.28</v>
      </c>
      <c r="AD601" s="12">
        <v>0.0</v>
      </c>
      <c r="AE601" s="12">
        <v>1.32</v>
      </c>
      <c r="AF601" s="12">
        <f>+5846.73+2168.85+661.89+389.76</f>
        <v>9067.23</v>
      </c>
      <c r="AG601" s="12">
        <v>0.0</v>
      </c>
      <c r="AH601" s="12">
        <v>2457.8</v>
      </c>
      <c r="AI601" s="12">
        <v>0.0</v>
      </c>
      <c r="AJ601" s="12">
        <v>0.0</v>
      </c>
      <c r="AK601" s="12">
        <v>0.0</v>
      </c>
      <c r="AL601" s="12">
        <f t="shared" si="192"/>
        <v>11525.03</v>
      </c>
      <c r="AM601" s="12">
        <v>7518.0</v>
      </c>
      <c r="AN601" s="12">
        <v>0.0</v>
      </c>
      <c r="AO601" s="12">
        <v>0.0</v>
      </c>
      <c r="AP601" s="12">
        <v>0.0</v>
      </c>
      <c r="AQ601" s="12">
        <v>0.0</v>
      </c>
      <c r="AR601" s="12">
        <v>0.0</v>
      </c>
      <c r="AS601" s="12">
        <f t="shared" si="168"/>
        <v>7518</v>
      </c>
      <c r="AT601" s="16">
        <f t="shared" si="215"/>
        <v>202368.6</v>
      </c>
      <c r="AU601" s="18">
        <f t="shared" si="203"/>
        <v>1352293.53</v>
      </c>
      <c r="AV601" s="12">
        <f>9230.19+30329.79+21012.4+398.93</f>
        <v>60971.31</v>
      </c>
      <c r="AW601" s="10">
        <f t="shared" si="213"/>
        <v>416322.59</v>
      </c>
      <c r="AX601" s="12">
        <f t="shared" si="171"/>
        <v>263339.91</v>
      </c>
      <c r="AY601" s="12">
        <f t="shared" si="208"/>
        <v>1851424.54</v>
      </c>
      <c r="AZ601" s="12">
        <f>1555.62+15800.2+10419.11</f>
        <v>27774.93</v>
      </c>
      <c r="BA601" s="18">
        <f t="shared" si="210"/>
        <v>91152.96</v>
      </c>
      <c r="BB601" s="10">
        <f t="shared" si="16"/>
        <v>1352293.53</v>
      </c>
      <c r="BC601" s="16">
        <f t="shared" si="201"/>
        <v>171182.4679</v>
      </c>
      <c r="BD601" s="12">
        <f>29496.43+3760</f>
        <v>33256.43</v>
      </c>
      <c r="BE601" s="16">
        <f t="shared" si="205"/>
        <v>82808.42</v>
      </c>
      <c r="BF601" s="6"/>
      <c r="BG601" s="6"/>
      <c r="BH601" s="6"/>
      <c r="BI601" s="29">
        <f t="shared" si="202"/>
        <v>64304.69677</v>
      </c>
      <c r="BK601" s="15">
        <f t="shared" si="76"/>
        <v>3.147026736</v>
      </c>
      <c r="BN601" s="16">
        <f t="shared" si="187"/>
        <v>232291.6432</v>
      </c>
      <c r="BO601" s="16">
        <f t="shared" si="206"/>
        <v>-142021.06</v>
      </c>
      <c r="BY601" s="6">
        <f t="shared" si="2"/>
        <v>2025</v>
      </c>
      <c r="BZ601" s="6" t="str">
        <f t="shared" si="3"/>
        <v>mayo</v>
      </c>
      <c r="CA601" s="6" t="str">
        <f t="shared" si="4"/>
        <v>5</v>
      </c>
    </row>
    <row r="602">
      <c r="A602" s="8">
        <v>45809.0</v>
      </c>
      <c r="B602" s="12">
        <v>0.0</v>
      </c>
      <c r="C602" s="12">
        <v>0.0</v>
      </c>
      <c r="D602" s="12">
        <v>0.0</v>
      </c>
      <c r="E602" s="12">
        <v>0.0</v>
      </c>
      <c r="F602" s="12">
        <v>0.0</v>
      </c>
      <c r="G602" s="12">
        <v>0.0</v>
      </c>
      <c r="H602" s="12">
        <f t="shared" si="149"/>
        <v>0</v>
      </c>
      <c r="I602" s="12">
        <v>0.0</v>
      </c>
      <c r="J602" s="12">
        <v>0.0</v>
      </c>
      <c r="K602" s="12">
        <v>0.0</v>
      </c>
      <c r="L602" s="12">
        <v>0.0</v>
      </c>
      <c r="M602" s="12">
        <v>0.0</v>
      </c>
      <c r="N602" s="12">
        <v>0.0</v>
      </c>
      <c r="O602" s="16">
        <f t="shared" si="150"/>
        <v>0</v>
      </c>
      <c r="P602" s="12">
        <v>0.0</v>
      </c>
      <c r="Q602" s="12">
        <v>0.0</v>
      </c>
      <c r="R602" s="12">
        <v>0.0</v>
      </c>
      <c r="S602" s="12">
        <v>0.0</v>
      </c>
      <c r="T602" s="12">
        <v>0.0</v>
      </c>
      <c r="U602" s="12">
        <v>0.0</v>
      </c>
      <c r="V602" s="16">
        <f t="shared" si="151"/>
        <v>0</v>
      </c>
      <c r="W602" s="12">
        <v>0.0</v>
      </c>
      <c r="X602" s="12">
        <v>0.0</v>
      </c>
      <c r="Y602" s="12">
        <v>0.0</v>
      </c>
      <c r="Z602" s="12">
        <v>0.0</v>
      </c>
      <c r="AA602" s="12">
        <v>0.0</v>
      </c>
      <c r="AB602" s="12">
        <v>0.0</v>
      </c>
      <c r="AC602" s="16">
        <f t="shared" si="169"/>
        <v>0</v>
      </c>
      <c r="AD602" s="12">
        <v>0.0</v>
      </c>
      <c r="AE602" s="12">
        <v>0.0</v>
      </c>
      <c r="AF602" s="12">
        <v>0.0</v>
      </c>
      <c r="AG602" s="12">
        <v>0.0</v>
      </c>
      <c r="AH602" s="12">
        <v>0.0</v>
      </c>
      <c r="AI602" s="12">
        <v>0.0</v>
      </c>
      <c r="AJ602" s="12">
        <v>0.0</v>
      </c>
      <c r="AK602" s="12">
        <v>0.0</v>
      </c>
      <c r="AL602" s="12">
        <f t="shared" si="192"/>
        <v>0</v>
      </c>
      <c r="AM602" s="12">
        <v>0.0</v>
      </c>
      <c r="AN602" s="12">
        <v>0.0</v>
      </c>
      <c r="AO602" s="12">
        <v>0.0</v>
      </c>
      <c r="AP602" s="12">
        <v>0.0</v>
      </c>
      <c r="AQ602" s="12">
        <v>0.0</v>
      </c>
      <c r="AR602" s="12">
        <v>0.0</v>
      </c>
      <c r="AS602" s="12">
        <f t="shared" si="168"/>
        <v>0</v>
      </c>
      <c r="AT602" s="6">
        <f>IF(AS602+AL602+AC602+V602+O602=0,0,AS602+AL602+AC602+V602+O602)</f>
        <v>0</v>
      </c>
      <c r="AU602" s="18">
        <f>IF(AT602="","",AT602)</f>
        <v>0</v>
      </c>
      <c r="AV602" s="12">
        <v>0.0</v>
      </c>
      <c r="AW602" s="10">
        <f>IF(AV602="","",AV602)</f>
        <v>0</v>
      </c>
      <c r="AX602" s="12">
        <f t="shared" si="171"/>
        <v>0</v>
      </c>
      <c r="AY602" s="12">
        <f t="shared" si="208"/>
        <v>0</v>
      </c>
      <c r="AZ602" s="12">
        <v>0.0</v>
      </c>
      <c r="BA602" s="18">
        <f>IF(AZ602="","",AZ602)</f>
        <v>0</v>
      </c>
      <c r="BB602" s="10">
        <f t="shared" si="16"/>
        <v>0</v>
      </c>
      <c r="BC602" s="16">
        <f t="shared" si="201"/>
        <v>175333.4379</v>
      </c>
      <c r="BD602" s="12">
        <v>0.0</v>
      </c>
      <c r="BE602" s="16">
        <f>IF(AT602="","",BD602)</f>
        <v>0</v>
      </c>
      <c r="BF602" s="6"/>
      <c r="BG602" s="12">
        <v>1963730.72</v>
      </c>
      <c r="BH602" s="6"/>
      <c r="BI602" s="29">
        <f t="shared" ref="BI602:BI631" si="216">IF(AT602="","",$BG$602/DAY(EOMONTH(A602,0)))</f>
        <v>65457.69067</v>
      </c>
      <c r="BJ602" s="6"/>
      <c r="BK602" s="15">
        <f t="shared" si="76"/>
        <v>0</v>
      </c>
      <c r="BN602" s="16">
        <f t="shared" si="187"/>
        <v>-65457.69067</v>
      </c>
      <c r="BO602" s="16">
        <f>IF(AT602="","",BN602)</f>
        <v>-65457.69067</v>
      </c>
      <c r="BQ602" s="12">
        <v>324517.86</v>
      </c>
      <c r="BR602" s="12">
        <v>69462.48</v>
      </c>
      <c r="BS602" s="12">
        <v>22374.45</v>
      </c>
      <c r="BT602" s="12">
        <v>55.52</v>
      </c>
      <c r="BU602" s="12">
        <v>2168.85</v>
      </c>
      <c r="BV602" s="12">
        <v>0.0</v>
      </c>
      <c r="BW602" s="16">
        <f t="shared" ref="BW602:BW604" si="217">BV602+BU602+BT602+BS602+BR602</f>
        <v>94061.3</v>
      </c>
      <c r="BY602" s="6">
        <f t="shared" si="2"/>
        <v>2025</v>
      </c>
      <c r="BZ602" s="6" t="str">
        <f t="shared" si="3"/>
        <v>junio</v>
      </c>
      <c r="CA602" s="6" t="str">
        <f t="shared" si="4"/>
        <v>6</v>
      </c>
    </row>
    <row r="603">
      <c r="A603" s="8">
        <v>45810.0</v>
      </c>
      <c r="B603" s="12">
        <v>1800.0</v>
      </c>
      <c r="C603" s="12">
        <v>1100.0</v>
      </c>
      <c r="D603" s="12">
        <v>0.0</v>
      </c>
      <c r="E603" s="12">
        <v>0.0</v>
      </c>
      <c r="F603" s="12">
        <v>0.0</v>
      </c>
      <c r="G603" s="12">
        <v>0.0</v>
      </c>
      <c r="H603" s="12">
        <f t="shared" si="149"/>
        <v>2900</v>
      </c>
      <c r="I603" s="12">
        <v>1200.0</v>
      </c>
      <c r="J603" s="12">
        <v>985.0</v>
      </c>
      <c r="K603" s="12">
        <v>0.0</v>
      </c>
      <c r="L603" s="12">
        <v>0.0</v>
      </c>
      <c r="M603" s="12">
        <v>0.0</v>
      </c>
      <c r="N603" s="12">
        <v>0.0</v>
      </c>
      <c r="O603" s="16">
        <f t="shared" si="150"/>
        <v>2185</v>
      </c>
      <c r="P603" s="12">
        <v>1000.0</v>
      </c>
      <c r="Q603" s="12">
        <v>0.0</v>
      </c>
      <c r="R603" s="12">
        <v>0.0</v>
      </c>
      <c r="S603" s="12">
        <v>0.0</v>
      </c>
      <c r="T603" s="12">
        <v>0.0</v>
      </c>
      <c r="U603" s="12">
        <v>0.0</v>
      </c>
      <c r="V603" s="16">
        <f t="shared" si="151"/>
        <v>1000</v>
      </c>
      <c r="W603" s="12">
        <v>0.0</v>
      </c>
      <c r="X603" s="12">
        <v>0.0</v>
      </c>
      <c r="Y603" s="12">
        <v>0.0</v>
      </c>
      <c r="Z603" s="12">
        <v>0.0</v>
      </c>
      <c r="AA603" s="12">
        <v>0.0</v>
      </c>
      <c r="AB603" s="12">
        <v>0.0</v>
      </c>
      <c r="AC603" s="16">
        <f t="shared" si="169"/>
        <v>0</v>
      </c>
      <c r="AD603" s="12">
        <v>0.0</v>
      </c>
      <c r="AE603" s="12">
        <v>0.0</v>
      </c>
      <c r="AF603" s="12">
        <v>0.0</v>
      </c>
      <c r="AG603" s="12">
        <v>0.0</v>
      </c>
      <c r="AH603" s="12">
        <v>0.0</v>
      </c>
      <c r="AI603" s="12">
        <v>0.0</v>
      </c>
      <c r="AJ603" s="12">
        <v>0.0</v>
      </c>
      <c r="AK603" s="12">
        <v>0.0</v>
      </c>
      <c r="AL603" s="12">
        <f t="shared" si="192"/>
        <v>0</v>
      </c>
      <c r="AM603" s="12">
        <v>0.0</v>
      </c>
      <c r="AN603" s="12">
        <v>0.0</v>
      </c>
      <c r="AO603" s="12">
        <v>0.0</v>
      </c>
      <c r="AP603" s="12">
        <v>0.0</v>
      </c>
      <c r="AQ603" s="12">
        <v>0.0</v>
      </c>
      <c r="AR603" s="12">
        <v>0.0</v>
      </c>
      <c r="AS603" s="12">
        <f t="shared" si="168"/>
        <v>0</v>
      </c>
      <c r="AT603" s="16">
        <f t="shared" ref="AT603:AT607" si="218">IF(AS603+AL603+AC603+V603+O603=0,"",AS603+AL603+AC603+V603+O603)</f>
        <v>3185</v>
      </c>
      <c r="AU603" s="18">
        <f t="shared" ref="AU603:AU631" si="219">IF(AT603="","",AT603+AU602)</f>
        <v>3185</v>
      </c>
      <c r="AV603" s="12">
        <v>2341.0</v>
      </c>
      <c r="AW603" s="10">
        <f t="shared" ref="AW603:AW631" si="220">IF(AV603="","",AW602+AV603)</f>
        <v>2341</v>
      </c>
      <c r="AX603" s="12">
        <f t="shared" si="171"/>
        <v>5526</v>
      </c>
      <c r="AY603" s="12">
        <f t="shared" si="208"/>
        <v>5526</v>
      </c>
      <c r="AZ603" s="12">
        <v>1227.0</v>
      </c>
      <c r="BA603" s="18">
        <f t="shared" ref="BA603:BA631" si="221">IF(AZ603="","",AZ603+BA602)</f>
        <v>1227</v>
      </c>
      <c r="BB603" s="10">
        <f t="shared" si="16"/>
        <v>47775</v>
      </c>
      <c r="BC603" s="16">
        <f t="shared" si="201"/>
        <v>191654.155</v>
      </c>
      <c r="BD603" s="12">
        <v>0.0</v>
      </c>
      <c r="BE603" s="16">
        <f t="shared" ref="BE603:BE631" si="222">IF(AT603="","",BD603+BE602)</f>
        <v>0</v>
      </c>
      <c r="BF603" s="6"/>
      <c r="BG603" s="6"/>
      <c r="BH603" s="6"/>
      <c r="BI603" s="29">
        <f t="shared" si="216"/>
        <v>65457.69067</v>
      </c>
      <c r="BJ603" s="6"/>
      <c r="BK603" s="15">
        <f t="shared" si="76"/>
        <v>0.04865738414</v>
      </c>
      <c r="BN603" s="16">
        <f t="shared" si="187"/>
        <v>-59931.69067</v>
      </c>
      <c r="BO603" s="16">
        <f t="shared" ref="BO603:BO631" si="223">IF(AT603="","",BN603+BO602)</f>
        <v>-125389.3813</v>
      </c>
      <c r="BQ603" s="12">
        <v>543119.77</v>
      </c>
      <c r="BR603" s="12">
        <v>43060.77</v>
      </c>
      <c r="BS603" s="12">
        <v>16692.41</v>
      </c>
      <c r="BT603" s="12">
        <v>1066.44</v>
      </c>
      <c r="BU603" s="12">
        <v>3119.69</v>
      </c>
      <c r="BV603" s="12">
        <v>0.0</v>
      </c>
      <c r="BW603" s="16">
        <f t="shared" si="217"/>
        <v>63939.31</v>
      </c>
      <c r="BY603" s="6">
        <f t="shared" si="2"/>
        <v>2025</v>
      </c>
      <c r="BZ603" s="6" t="str">
        <f t="shared" si="3"/>
        <v>junio</v>
      </c>
      <c r="CA603" s="6" t="str">
        <f t="shared" si="4"/>
        <v>6</v>
      </c>
    </row>
    <row r="604">
      <c r="A604" s="8">
        <v>45811.0</v>
      </c>
      <c r="B604" s="12">
        <v>1433.0</v>
      </c>
      <c r="C604" s="12">
        <v>1111.0</v>
      </c>
      <c r="D604" s="12">
        <v>0.0</v>
      </c>
      <c r="E604" s="12">
        <v>0.0</v>
      </c>
      <c r="F604" s="12">
        <v>0.0</v>
      </c>
      <c r="G604" s="12">
        <v>0.0</v>
      </c>
      <c r="H604" s="12">
        <f t="shared" si="149"/>
        <v>2544</v>
      </c>
      <c r="I604" s="12">
        <v>1000.0</v>
      </c>
      <c r="J604" s="12">
        <v>500.0</v>
      </c>
      <c r="K604" s="12">
        <v>0.0</v>
      </c>
      <c r="L604" s="12">
        <v>0.0</v>
      </c>
      <c r="M604" s="12">
        <v>0.0</v>
      </c>
      <c r="N604" s="12">
        <v>0.0</v>
      </c>
      <c r="O604" s="16">
        <f t="shared" si="150"/>
        <v>1500</v>
      </c>
      <c r="P604" s="12">
        <v>900.0</v>
      </c>
      <c r="Q604" s="12">
        <v>2003.0</v>
      </c>
      <c r="R604" s="12">
        <v>0.0</v>
      </c>
      <c r="S604" s="12">
        <v>0.0</v>
      </c>
      <c r="T604" s="12">
        <v>0.0</v>
      </c>
      <c r="U604" s="12">
        <v>0.0</v>
      </c>
      <c r="V604" s="16">
        <f t="shared" si="151"/>
        <v>2903</v>
      </c>
      <c r="W604" s="12">
        <v>0.0</v>
      </c>
      <c r="X604" s="12">
        <v>0.0</v>
      </c>
      <c r="Y604" s="12">
        <v>0.0</v>
      </c>
      <c r="Z604" s="12">
        <v>0.0</v>
      </c>
      <c r="AA604" s="12">
        <v>0.0</v>
      </c>
      <c r="AB604" s="12">
        <v>0.0</v>
      </c>
      <c r="AC604" s="16">
        <f t="shared" si="169"/>
        <v>0</v>
      </c>
      <c r="AD604" s="12">
        <v>0.0</v>
      </c>
      <c r="AE604" s="12">
        <v>0.0</v>
      </c>
      <c r="AF604" s="12">
        <v>0.0</v>
      </c>
      <c r="AG604" s="12">
        <v>0.0</v>
      </c>
      <c r="AH604" s="12">
        <v>0.0</v>
      </c>
      <c r="AI604" s="12">
        <v>0.0</v>
      </c>
      <c r="AJ604" s="12">
        <v>0.0</v>
      </c>
      <c r="AK604" s="12">
        <v>0.0</v>
      </c>
      <c r="AL604" s="12">
        <f t="shared" si="192"/>
        <v>0</v>
      </c>
      <c r="AM604" s="12">
        <v>0.0</v>
      </c>
      <c r="AN604" s="12">
        <v>0.0</v>
      </c>
      <c r="AO604" s="12">
        <v>0.0</v>
      </c>
      <c r="AP604" s="12">
        <v>0.0</v>
      </c>
      <c r="AQ604" s="12">
        <v>0.0</v>
      </c>
      <c r="AR604" s="12">
        <v>0.0</v>
      </c>
      <c r="AS604" s="12">
        <f t="shared" si="168"/>
        <v>0</v>
      </c>
      <c r="AT604" s="16">
        <f t="shared" si="218"/>
        <v>4403</v>
      </c>
      <c r="AU604" s="18">
        <f t="shared" si="219"/>
        <v>7588</v>
      </c>
      <c r="AV604" s="12">
        <v>3112.0</v>
      </c>
      <c r="AW604" s="10">
        <f t="shared" si="220"/>
        <v>5453</v>
      </c>
      <c r="AX604" s="12">
        <f t="shared" si="171"/>
        <v>7515</v>
      </c>
      <c r="AY604" s="12">
        <f t="shared" si="208"/>
        <v>13041</v>
      </c>
      <c r="AZ604" s="12">
        <v>3222.0</v>
      </c>
      <c r="BA604" s="18">
        <f t="shared" si="221"/>
        <v>4449</v>
      </c>
      <c r="BB604" s="10">
        <f t="shared" si="16"/>
        <v>75880</v>
      </c>
      <c r="BC604" s="16">
        <f t="shared" si="201"/>
        <v>218111.8597</v>
      </c>
      <c r="BD604" s="12">
        <v>0.0</v>
      </c>
      <c r="BE604" s="16">
        <f t="shared" si="222"/>
        <v>0</v>
      </c>
      <c r="BF604" s="6"/>
      <c r="BG604" s="6"/>
      <c r="BH604" s="6"/>
      <c r="BI604" s="29">
        <f t="shared" si="216"/>
        <v>65457.69067</v>
      </c>
      <c r="BJ604" s="6"/>
      <c r="BK604" s="15">
        <f t="shared" si="76"/>
        <v>0.06726482336</v>
      </c>
      <c r="BN604" s="16">
        <f t="shared" si="187"/>
        <v>-57942.69067</v>
      </c>
      <c r="BO604" s="16">
        <f t="shared" si="223"/>
        <v>-183332.072</v>
      </c>
      <c r="BQ604" s="12">
        <v>138992.7</v>
      </c>
      <c r="BR604" s="12">
        <v>2615.71</v>
      </c>
      <c r="BS604" s="12">
        <v>103.67</v>
      </c>
      <c r="BT604" s="12">
        <v>4500.0</v>
      </c>
      <c r="BU604" s="12">
        <v>389.76</v>
      </c>
      <c r="BV604" s="12">
        <v>7518.0</v>
      </c>
      <c r="BW604" s="16">
        <f t="shared" si="217"/>
        <v>15127.14</v>
      </c>
      <c r="BY604" s="6">
        <f t="shared" si="2"/>
        <v>2025</v>
      </c>
      <c r="BZ604" s="6" t="str">
        <f t="shared" si="3"/>
        <v>junio</v>
      </c>
      <c r="CA604" s="6" t="str">
        <f t="shared" si="4"/>
        <v>6</v>
      </c>
    </row>
    <row r="605">
      <c r="A605" s="8">
        <v>45812.0</v>
      </c>
      <c r="B605" s="12">
        <v>1200.0</v>
      </c>
      <c r="C605" s="12">
        <v>1233.3</v>
      </c>
      <c r="D605" s="12">
        <v>0.0</v>
      </c>
      <c r="E605" s="12">
        <v>0.0</v>
      </c>
      <c r="F605" s="12">
        <v>0.0</v>
      </c>
      <c r="G605" s="12">
        <v>0.0</v>
      </c>
      <c r="H605" s="12">
        <f t="shared" si="149"/>
        <v>2433.3</v>
      </c>
      <c r="I605" s="12">
        <v>1100.0</v>
      </c>
      <c r="J605" s="12">
        <v>184.0</v>
      </c>
      <c r="K605" s="12">
        <v>0.0</v>
      </c>
      <c r="L605" s="12">
        <v>0.0</v>
      </c>
      <c r="M605" s="12">
        <v>0.0</v>
      </c>
      <c r="N605" s="12">
        <v>0.0</v>
      </c>
      <c r="O605" s="16">
        <f t="shared" si="150"/>
        <v>1284</v>
      </c>
      <c r="P605" s="12">
        <v>1500.0</v>
      </c>
      <c r="Q605" s="12">
        <v>300.0</v>
      </c>
      <c r="R605" s="12">
        <v>0.0</v>
      </c>
      <c r="S605" s="12">
        <v>0.0</v>
      </c>
      <c r="T605" s="12">
        <v>0.0</v>
      </c>
      <c r="U605" s="12">
        <v>0.0</v>
      </c>
      <c r="V605" s="16">
        <f t="shared" si="151"/>
        <v>1800</v>
      </c>
      <c r="W605" s="12">
        <v>0.0</v>
      </c>
      <c r="X605" s="12">
        <v>0.0</v>
      </c>
      <c r="Y605" s="12">
        <v>0.0</v>
      </c>
      <c r="Z605" s="12">
        <v>0.0</v>
      </c>
      <c r="AA605" s="12">
        <v>0.0</v>
      </c>
      <c r="AB605" s="12">
        <v>0.0</v>
      </c>
      <c r="AC605" s="16">
        <f t="shared" si="169"/>
        <v>0</v>
      </c>
      <c r="AD605" s="12">
        <v>0.0</v>
      </c>
      <c r="AE605" s="12">
        <v>0.0</v>
      </c>
      <c r="AF605" s="12">
        <v>0.0</v>
      </c>
      <c r="AG605" s="12">
        <v>0.0</v>
      </c>
      <c r="AH605" s="12">
        <v>0.0</v>
      </c>
      <c r="AI605" s="12">
        <v>0.0</v>
      </c>
      <c r="AJ605" s="12">
        <v>0.0</v>
      </c>
      <c r="AK605" s="12">
        <v>0.0</v>
      </c>
      <c r="AL605" s="12">
        <f t="shared" si="192"/>
        <v>0</v>
      </c>
      <c r="AM605" s="12">
        <v>0.0</v>
      </c>
      <c r="AN605" s="12">
        <v>0.0</v>
      </c>
      <c r="AO605" s="12">
        <v>0.0</v>
      </c>
      <c r="AP605" s="12">
        <v>0.0</v>
      </c>
      <c r="AQ605" s="12">
        <v>0.0</v>
      </c>
      <c r="AR605" s="12">
        <v>0.0</v>
      </c>
      <c r="AS605" s="12">
        <f t="shared" si="168"/>
        <v>0</v>
      </c>
      <c r="AT605" s="16">
        <f t="shared" si="218"/>
        <v>3084</v>
      </c>
      <c r="AU605" s="18">
        <f t="shared" si="219"/>
        <v>10672</v>
      </c>
      <c r="AV605" s="12">
        <v>908.0</v>
      </c>
      <c r="AW605" s="10">
        <f t="shared" si="220"/>
        <v>6361</v>
      </c>
      <c r="AX605" s="12">
        <f t="shared" si="171"/>
        <v>3992</v>
      </c>
      <c r="AY605" s="12">
        <f t="shared" si="208"/>
        <v>17033</v>
      </c>
      <c r="AZ605" s="12">
        <v>788.0</v>
      </c>
      <c r="BA605" s="18">
        <f t="shared" si="221"/>
        <v>5237</v>
      </c>
      <c r="BB605" s="10">
        <f t="shared" si="16"/>
        <v>80040</v>
      </c>
      <c r="BC605" s="16">
        <f t="shared" si="201"/>
        <v>0</v>
      </c>
      <c r="BD605" s="12">
        <v>0.0</v>
      </c>
      <c r="BE605" s="16">
        <f t="shared" si="222"/>
        <v>0</v>
      </c>
      <c r="BF605" s="6"/>
      <c r="BG605" s="6"/>
      <c r="BH605" s="6"/>
      <c r="BI605" s="29">
        <f t="shared" si="216"/>
        <v>65457.69067</v>
      </c>
      <c r="BJ605" s="6"/>
      <c r="BK605" s="15">
        <f t="shared" si="76"/>
        <v>0.04711440273</v>
      </c>
      <c r="BN605" s="16">
        <f t="shared" si="187"/>
        <v>-61465.69067</v>
      </c>
      <c r="BO605" s="16">
        <f t="shared" si="223"/>
        <v>-244797.7627</v>
      </c>
      <c r="BY605" s="6">
        <f t="shared" si="2"/>
        <v>2025</v>
      </c>
      <c r="BZ605" s="6" t="str">
        <f t="shared" si="3"/>
        <v>junio</v>
      </c>
      <c r="CA605" s="6" t="str">
        <f t="shared" si="4"/>
        <v>6</v>
      </c>
    </row>
    <row r="606">
      <c r="A606" s="8">
        <v>45813.0</v>
      </c>
      <c r="B606" s="12">
        <v>1110.0</v>
      </c>
      <c r="C606" s="12">
        <v>944.2</v>
      </c>
      <c r="D606" s="12">
        <v>0.0</v>
      </c>
      <c r="E606" s="12">
        <v>0.0</v>
      </c>
      <c r="F606" s="12">
        <v>0.0</v>
      </c>
      <c r="G606" s="12">
        <v>0.0</v>
      </c>
      <c r="H606" s="12">
        <f t="shared" si="149"/>
        <v>2054.2</v>
      </c>
      <c r="I606" s="12">
        <v>1122.3</v>
      </c>
      <c r="J606" s="12">
        <v>1200.0</v>
      </c>
      <c r="K606" s="12">
        <v>0.0</v>
      </c>
      <c r="L606" s="12">
        <v>0.0</v>
      </c>
      <c r="M606" s="12">
        <v>0.0</v>
      </c>
      <c r="N606" s="12">
        <v>0.0</v>
      </c>
      <c r="O606" s="16">
        <f t="shared" si="150"/>
        <v>2322.3</v>
      </c>
      <c r="P606" s="12">
        <v>1566.0</v>
      </c>
      <c r="Q606" s="12">
        <v>200.0</v>
      </c>
      <c r="R606" s="12">
        <v>0.0</v>
      </c>
      <c r="S606" s="12">
        <v>0.0</v>
      </c>
      <c r="T606" s="12">
        <v>0.0</v>
      </c>
      <c r="U606" s="12">
        <v>0.0</v>
      </c>
      <c r="V606" s="16">
        <f t="shared" si="151"/>
        <v>1766</v>
      </c>
      <c r="W606" s="12">
        <v>0.0</v>
      </c>
      <c r="X606" s="12">
        <v>0.0</v>
      </c>
      <c r="Y606" s="12">
        <v>0.0</v>
      </c>
      <c r="Z606" s="12">
        <v>0.0</v>
      </c>
      <c r="AA606" s="12">
        <v>0.0</v>
      </c>
      <c r="AB606" s="12">
        <v>0.0</v>
      </c>
      <c r="AC606" s="16">
        <f t="shared" si="169"/>
        <v>0</v>
      </c>
      <c r="AD606" s="12">
        <v>0.0</v>
      </c>
      <c r="AE606" s="12">
        <v>0.0</v>
      </c>
      <c r="AF606" s="12">
        <v>0.0</v>
      </c>
      <c r="AG606" s="12">
        <v>0.0</v>
      </c>
      <c r="AH606" s="12">
        <v>0.0</v>
      </c>
      <c r="AI606" s="12">
        <v>0.0</v>
      </c>
      <c r="AJ606" s="12">
        <v>0.0</v>
      </c>
      <c r="AK606" s="12">
        <v>0.0</v>
      </c>
      <c r="AL606" s="12">
        <f t="shared" si="192"/>
        <v>0</v>
      </c>
      <c r="AM606" s="12">
        <v>0.0</v>
      </c>
      <c r="AN606" s="12">
        <v>0.0</v>
      </c>
      <c r="AO606" s="12">
        <v>0.0</v>
      </c>
      <c r="AP606" s="12">
        <v>0.0</v>
      </c>
      <c r="AQ606" s="12">
        <v>0.0</v>
      </c>
      <c r="AR606" s="12">
        <v>0.0</v>
      </c>
      <c r="AS606" s="12">
        <f t="shared" si="168"/>
        <v>0</v>
      </c>
      <c r="AT606" s="16">
        <f t="shared" si="218"/>
        <v>4088.3</v>
      </c>
      <c r="AU606" s="18">
        <f t="shared" si="219"/>
        <v>14760.3</v>
      </c>
      <c r="AV606" s="12">
        <v>1825.0</v>
      </c>
      <c r="AW606" s="10">
        <f t="shared" si="220"/>
        <v>8186</v>
      </c>
      <c r="AX606" s="12">
        <f t="shared" si="171"/>
        <v>5913.3</v>
      </c>
      <c r="AY606" s="12">
        <f t="shared" si="208"/>
        <v>22946.3</v>
      </c>
      <c r="AZ606" s="12">
        <v>322.0</v>
      </c>
      <c r="BA606" s="18">
        <f t="shared" si="221"/>
        <v>5559</v>
      </c>
      <c r="BB606" s="10">
        <f t="shared" si="16"/>
        <v>88561.8</v>
      </c>
      <c r="BC606" s="16">
        <f t="shared" si="201"/>
        <v>7962.5</v>
      </c>
      <c r="BD606" s="12">
        <v>0.0</v>
      </c>
      <c r="BE606" s="16">
        <f t="shared" si="222"/>
        <v>0</v>
      </c>
      <c r="BF606" s="6"/>
      <c r="BG606" s="6"/>
      <c r="BH606" s="6"/>
      <c r="BI606" s="29">
        <f t="shared" si="216"/>
        <v>65457.69067</v>
      </c>
      <c r="BJ606" s="6"/>
      <c r="BK606" s="15">
        <f t="shared" si="76"/>
        <v>0.06245713771</v>
      </c>
      <c r="BN606" s="16">
        <f t="shared" si="187"/>
        <v>-59544.39067</v>
      </c>
      <c r="BO606" s="16">
        <f t="shared" si="223"/>
        <v>-304342.1533</v>
      </c>
      <c r="BY606" s="6">
        <f t="shared" si="2"/>
        <v>2025</v>
      </c>
      <c r="BZ606" s="6" t="str">
        <f t="shared" si="3"/>
        <v>junio</v>
      </c>
      <c r="CA606" s="6" t="str">
        <f t="shared" si="4"/>
        <v>6</v>
      </c>
    </row>
    <row r="607">
      <c r="A607" s="8">
        <v>45814.0</v>
      </c>
      <c r="B607" s="12">
        <v>91990.03</v>
      </c>
      <c r="C607" s="12">
        <v>32223.0</v>
      </c>
      <c r="D607" s="12">
        <v>20922.0</v>
      </c>
      <c r="E607" s="12">
        <v>0.0</v>
      </c>
      <c r="F607" s="12">
        <v>0.0</v>
      </c>
      <c r="G607" s="12">
        <v>0.0</v>
      </c>
      <c r="H607" s="12">
        <f t="shared" si="149"/>
        <v>145135.03</v>
      </c>
      <c r="I607" s="12">
        <v>33733.03</v>
      </c>
      <c r="J607" s="12">
        <v>28981.0</v>
      </c>
      <c r="K607" s="12">
        <v>18282.0</v>
      </c>
      <c r="L607" s="12">
        <v>0.0</v>
      </c>
      <c r="M607" s="12">
        <v>0.0</v>
      </c>
      <c r="N607" s="12">
        <v>0.0</v>
      </c>
      <c r="O607" s="16">
        <f t="shared" si="150"/>
        <v>80996.03</v>
      </c>
      <c r="P607" s="12">
        <v>21619.36</v>
      </c>
      <c r="Q607" s="12">
        <v>7223.0</v>
      </c>
      <c r="R607" s="12">
        <v>0.0</v>
      </c>
      <c r="S607" s="12">
        <v>0.0</v>
      </c>
      <c r="T607" s="12">
        <v>0.0</v>
      </c>
      <c r="U607" s="12">
        <v>0.0</v>
      </c>
      <c r="V607" s="16">
        <f t="shared" si="151"/>
        <v>28842.36</v>
      </c>
      <c r="W607" s="12">
        <v>1924.0</v>
      </c>
      <c r="X607" s="12">
        <v>46.71</v>
      </c>
      <c r="Y607" s="12">
        <v>650.0</v>
      </c>
      <c r="Z607" s="12">
        <v>0.0</v>
      </c>
      <c r="AA607" s="12">
        <v>0.0</v>
      </c>
      <c r="AB607" s="12">
        <v>0.0</v>
      </c>
      <c r="AC607" s="16">
        <f t="shared" si="169"/>
        <v>2620.71</v>
      </c>
      <c r="AD607" s="12">
        <v>2500.0</v>
      </c>
      <c r="AE607" s="12">
        <v>120.71</v>
      </c>
      <c r="AF607" s="12">
        <v>6298.83</v>
      </c>
      <c r="AG607" s="12">
        <v>1822.0</v>
      </c>
      <c r="AH607" s="12">
        <v>1002.0</v>
      </c>
      <c r="AI607" s="12">
        <v>0.0</v>
      </c>
      <c r="AJ607" s="12">
        <v>0.0</v>
      </c>
      <c r="AK607" s="12">
        <v>0.0</v>
      </c>
      <c r="AL607" s="12">
        <f t="shared" si="192"/>
        <v>9122.83</v>
      </c>
      <c r="AM607" s="12">
        <v>13488.0</v>
      </c>
      <c r="AN607" s="12">
        <v>0.0</v>
      </c>
      <c r="AO607" s="12">
        <v>3682.0</v>
      </c>
      <c r="AP607" s="12">
        <v>0.0</v>
      </c>
      <c r="AQ607" s="12">
        <v>0.0</v>
      </c>
      <c r="AR607" s="12">
        <v>0.0</v>
      </c>
      <c r="AS607" s="12">
        <f t="shared" si="168"/>
        <v>17170</v>
      </c>
      <c r="AT607" s="16">
        <f t="shared" si="218"/>
        <v>138751.93</v>
      </c>
      <c r="AU607" s="18">
        <f t="shared" si="219"/>
        <v>153512.23</v>
      </c>
      <c r="AV607" s="12">
        <v>45537.4</v>
      </c>
      <c r="AW607" s="10">
        <f t="shared" si="220"/>
        <v>53723.4</v>
      </c>
      <c r="AX607" s="12">
        <f t="shared" si="171"/>
        <v>184289.33</v>
      </c>
      <c r="AY607" s="12">
        <f t="shared" si="208"/>
        <v>211373.62</v>
      </c>
      <c r="AZ607" s="12">
        <v>2106.77</v>
      </c>
      <c r="BA607" s="18">
        <f t="shared" si="221"/>
        <v>7665.77</v>
      </c>
      <c r="BB607" s="10">
        <f t="shared" si="16"/>
        <v>767561.15</v>
      </c>
      <c r="BC607" s="16">
        <f t="shared" si="201"/>
        <v>12646.66667</v>
      </c>
      <c r="BD607" s="12">
        <v>4137.99</v>
      </c>
      <c r="BE607" s="16">
        <f t="shared" si="222"/>
        <v>4137.99</v>
      </c>
      <c r="BF607" s="6"/>
      <c r="BG607" s="6"/>
      <c r="BH607" s="6"/>
      <c r="BI607" s="29">
        <f t="shared" si="216"/>
        <v>65457.69067</v>
      </c>
      <c r="BK607" s="15">
        <f t="shared" si="76"/>
        <v>2.119719296</v>
      </c>
      <c r="BN607" s="16">
        <f t="shared" si="187"/>
        <v>122969.6293</v>
      </c>
      <c r="BO607" s="16">
        <f t="shared" si="223"/>
        <v>-181372.524</v>
      </c>
      <c r="BY607" s="6">
        <f t="shared" si="2"/>
        <v>2025</v>
      </c>
      <c r="BZ607" s="6" t="str">
        <f t="shared" si="3"/>
        <v>junio</v>
      </c>
      <c r="CA607" s="6" t="str">
        <f t="shared" si="4"/>
        <v>6</v>
      </c>
    </row>
    <row r="608">
      <c r="A608" s="8">
        <v>45815.0</v>
      </c>
      <c r="B608" s="12">
        <v>0.0</v>
      </c>
      <c r="C608" s="12">
        <v>0.0</v>
      </c>
      <c r="D608" s="12">
        <v>0.0</v>
      </c>
      <c r="E608" s="12">
        <v>0.0</v>
      </c>
      <c r="F608" s="12">
        <v>0.0</v>
      </c>
      <c r="G608" s="12">
        <v>0.0</v>
      </c>
      <c r="H608" s="12">
        <f t="shared" si="149"/>
        <v>0</v>
      </c>
      <c r="I608" s="12">
        <v>0.0</v>
      </c>
      <c r="J608" s="12">
        <v>0.0</v>
      </c>
      <c r="K608" s="12">
        <v>0.0</v>
      </c>
      <c r="L608" s="12">
        <v>0.0</v>
      </c>
      <c r="M608" s="12">
        <v>0.0</v>
      </c>
      <c r="N608" s="12">
        <v>0.0</v>
      </c>
      <c r="O608" s="16">
        <f t="shared" si="150"/>
        <v>0</v>
      </c>
      <c r="P608" s="12">
        <v>0.0</v>
      </c>
      <c r="Q608" s="12">
        <v>0.0</v>
      </c>
      <c r="R608" s="12">
        <v>0.0</v>
      </c>
      <c r="S608" s="12">
        <v>0.0</v>
      </c>
      <c r="T608" s="12">
        <v>0.0</v>
      </c>
      <c r="U608" s="12">
        <v>0.0</v>
      </c>
      <c r="V608" s="16">
        <f t="shared" si="151"/>
        <v>0</v>
      </c>
      <c r="W608" s="12">
        <v>0.0</v>
      </c>
      <c r="X608" s="12">
        <v>0.0</v>
      </c>
      <c r="Y608" s="12">
        <v>0.0</v>
      </c>
      <c r="Z608" s="12">
        <v>0.0</v>
      </c>
      <c r="AA608" s="12">
        <v>0.0</v>
      </c>
      <c r="AB608" s="12">
        <v>0.0</v>
      </c>
      <c r="AC608" s="16">
        <f t="shared" si="169"/>
        <v>0</v>
      </c>
      <c r="AD608" s="12">
        <v>0.0</v>
      </c>
      <c r="AE608" s="12">
        <v>0.0</v>
      </c>
      <c r="AF608" s="12">
        <v>0.0</v>
      </c>
      <c r="AG608" s="12">
        <v>0.0</v>
      </c>
      <c r="AH608" s="12">
        <v>0.0</v>
      </c>
      <c r="AI608" s="12">
        <v>0.0</v>
      </c>
      <c r="AJ608" s="12">
        <v>0.0</v>
      </c>
      <c r="AK608" s="12">
        <v>0.0</v>
      </c>
      <c r="AL608" s="12">
        <f t="shared" si="192"/>
        <v>0</v>
      </c>
      <c r="AM608" s="12">
        <v>0.0</v>
      </c>
      <c r="AN608" s="12">
        <v>0.0</v>
      </c>
      <c r="AO608" s="12">
        <v>0.0</v>
      </c>
      <c r="AP608" s="12">
        <v>0.0</v>
      </c>
      <c r="AQ608" s="12">
        <v>0.0</v>
      </c>
      <c r="AR608" s="12">
        <v>0.0</v>
      </c>
      <c r="AS608" s="12">
        <f t="shared" si="168"/>
        <v>0</v>
      </c>
      <c r="AT608" s="6">
        <f t="shared" ref="AT608:AT609" si="224">IF(AS608+AL608+AC608+V608+O608=0,0,AS608+AL608+AC608+V608+O608)</f>
        <v>0</v>
      </c>
      <c r="AU608" s="18">
        <f t="shared" si="219"/>
        <v>153512.23</v>
      </c>
      <c r="AV608" s="12">
        <v>0.0</v>
      </c>
      <c r="AW608" s="10">
        <f t="shared" si="220"/>
        <v>53723.4</v>
      </c>
      <c r="AX608" s="12">
        <f t="shared" si="171"/>
        <v>0</v>
      </c>
      <c r="AY608" s="12">
        <f t="shared" si="208"/>
        <v>211373.62</v>
      </c>
      <c r="AZ608" s="12">
        <v>0.0</v>
      </c>
      <c r="BA608" s="18">
        <f t="shared" si="221"/>
        <v>7665.77</v>
      </c>
      <c r="BB608" s="10">
        <f t="shared" si="16"/>
        <v>657909.5571</v>
      </c>
      <c r="BC608" s="16">
        <f t="shared" si="201"/>
        <v>13340</v>
      </c>
      <c r="BD608" s="12">
        <v>0.0</v>
      </c>
      <c r="BE608" s="16">
        <f t="shared" si="222"/>
        <v>4137.99</v>
      </c>
      <c r="BF608" s="6"/>
      <c r="BG608" s="6"/>
      <c r="BH608" s="6"/>
      <c r="BI608" s="29">
        <f t="shared" si="216"/>
        <v>65457.69067</v>
      </c>
      <c r="BJ608" s="6"/>
      <c r="BK608" s="15">
        <f t="shared" si="76"/>
        <v>0</v>
      </c>
      <c r="BN608" s="16">
        <f t="shared" si="187"/>
        <v>-65457.69067</v>
      </c>
      <c r="BO608" s="16">
        <f t="shared" si="223"/>
        <v>-246830.2147</v>
      </c>
      <c r="BY608" s="6">
        <f t="shared" si="2"/>
        <v>2025</v>
      </c>
      <c r="BZ608" s="6" t="str">
        <f t="shared" si="3"/>
        <v>junio</v>
      </c>
      <c r="CA608" s="6" t="str">
        <f t="shared" si="4"/>
        <v>6</v>
      </c>
    </row>
    <row r="609">
      <c r="A609" s="8">
        <v>45816.0</v>
      </c>
      <c r="B609" s="12">
        <v>0.0</v>
      </c>
      <c r="C609" s="12">
        <v>0.0</v>
      </c>
      <c r="D609" s="12">
        <v>0.0</v>
      </c>
      <c r="E609" s="12">
        <v>0.0</v>
      </c>
      <c r="F609" s="12">
        <v>0.0</v>
      </c>
      <c r="G609" s="12">
        <v>0.0</v>
      </c>
      <c r="H609" s="12">
        <f t="shared" si="149"/>
        <v>0</v>
      </c>
      <c r="I609" s="12">
        <v>0.0</v>
      </c>
      <c r="J609" s="12">
        <v>0.0</v>
      </c>
      <c r="K609" s="12">
        <v>0.0</v>
      </c>
      <c r="L609" s="12">
        <v>0.0</v>
      </c>
      <c r="M609" s="12">
        <v>0.0</v>
      </c>
      <c r="N609" s="12">
        <v>0.0</v>
      </c>
      <c r="O609" s="16">
        <f t="shared" si="150"/>
        <v>0</v>
      </c>
      <c r="P609" s="12">
        <v>0.0</v>
      </c>
      <c r="Q609" s="12">
        <v>0.0</v>
      </c>
      <c r="R609" s="12">
        <v>0.0</v>
      </c>
      <c r="S609" s="12">
        <v>0.0</v>
      </c>
      <c r="T609" s="12">
        <v>0.0</v>
      </c>
      <c r="U609" s="12">
        <v>0.0</v>
      </c>
      <c r="V609" s="16">
        <f t="shared" si="151"/>
        <v>0</v>
      </c>
      <c r="W609" s="12">
        <v>0.0</v>
      </c>
      <c r="X609" s="12">
        <v>0.0</v>
      </c>
      <c r="Y609" s="12">
        <v>0.0</v>
      </c>
      <c r="Z609" s="12">
        <v>0.0</v>
      </c>
      <c r="AA609" s="12">
        <v>0.0</v>
      </c>
      <c r="AB609" s="12">
        <v>0.0</v>
      </c>
      <c r="AC609" s="16">
        <f t="shared" si="169"/>
        <v>0</v>
      </c>
      <c r="AD609" s="12">
        <v>0.0</v>
      </c>
      <c r="AE609" s="12">
        <v>0.0</v>
      </c>
      <c r="AF609" s="12">
        <v>0.0</v>
      </c>
      <c r="AG609" s="12">
        <v>0.0</v>
      </c>
      <c r="AH609" s="12">
        <v>0.0</v>
      </c>
      <c r="AI609" s="12">
        <v>0.0</v>
      </c>
      <c r="AJ609" s="12">
        <v>0.0</v>
      </c>
      <c r="AK609" s="12">
        <v>0.0</v>
      </c>
      <c r="AL609" s="12">
        <f t="shared" si="192"/>
        <v>0</v>
      </c>
      <c r="AM609" s="12">
        <v>0.0</v>
      </c>
      <c r="AN609" s="12">
        <v>0.0</v>
      </c>
      <c r="AO609" s="12">
        <v>0.0</v>
      </c>
      <c r="AP609" s="12">
        <v>0.0</v>
      </c>
      <c r="AQ609" s="12">
        <v>0.0</v>
      </c>
      <c r="AR609" s="12">
        <v>0.0</v>
      </c>
      <c r="AS609" s="12">
        <f t="shared" si="168"/>
        <v>0</v>
      </c>
      <c r="AT609" s="6">
        <f t="shared" si="224"/>
        <v>0</v>
      </c>
      <c r="AU609" s="18">
        <f t="shared" si="219"/>
        <v>153512.23</v>
      </c>
      <c r="AV609" s="12">
        <v>0.0</v>
      </c>
      <c r="AW609" s="10">
        <f t="shared" si="220"/>
        <v>53723.4</v>
      </c>
      <c r="AX609" s="12">
        <f t="shared" si="171"/>
        <v>0</v>
      </c>
      <c r="AY609" s="12">
        <f t="shared" si="208"/>
        <v>211373.62</v>
      </c>
      <c r="AZ609" s="12">
        <v>0.0</v>
      </c>
      <c r="BA609" s="18">
        <f t="shared" si="221"/>
        <v>7665.77</v>
      </c>
      <c r="BB609" s="10">
        <f t="shared" si="16"/>
        <v>575670.8625</v>
      </c>
      <c r="BC609" s="16">
        <f t="shared" si="201"/>
        <v>14760.3</v>
      </c>
      <c r="BD609" s="12">
        <v>0.0</v>
      </c>
      <c r="BE609" s="16">
        <f t="shared" si="222"/>
        <v>4137.99</v>
      </c>
      <c r="BF609" s="6"/>
      <c r="BG609" s="6"/>
      <c r="BH609" s="6"/>
      <c r="BI609" s="29">
        <f t="shared" si="216"/>
        <v>65457.69067</v>
      </c>
      <c r="BJ609" s="6"/>
      <c r="BK609" s="15">
        <f t="shared" si="76"/>
        <v>0</v>
      </c>
      <c r="BN609" s="16">
        <f t="shared" si="187"/>
        <v>-65457.69067</v>
      </c>
      <c r="BO609" s="16">
        <f t="shared" si="223"/>
        <v>-312287.9053</v>
      </c>
      <c r="BY609" s="6">
        <f t="shared" si="2"/>
        <v>2025</v>
      </c>
      <c r="BZ609" s="6" t="str">
        <f t="shared" si="3"/>
        <v>junio</v>
      </c>
      <c r="CA609" s="6" t="str">
        <f t="shared" si="4"/>
        <v>6</v>
      </c>
    </row>
    <row r="610">
      <c r="A610" s="8">
        <v>45817.0</v>
      </c>
      <c r="B610" s="12">
        <v>28755.0</v>
      </c>
      <c r="C610" s="12">
        <v>3744.0</v>
      </c>
      <c r="D610" s="12">
        <v>1462.63</v>
      </c>
      <c r="E610" s="12">
        <v>0.0</v>
      </c>
      <c r="F610" s="12">
        <v>0.0</v>
      </c>
      <c r="G610" s="12">
        <v>0.0</v>
      </c>
      <c r="H610" s="12">
        <f t="shared" si="149"/>
        <v>33961.63</v>
      </c>
      <c r="I610" s="12">
        <v>30213.0</v>
      </c>
      <c r="J610" s="12">
        <v>2478.0</v>
      </c>
      <c r="K610" s="12">
        <v>1749.97</v>
      </c>
      <c r="L610" s="12">
        <v>0.0</v>
      </c>
      <c r="M610" s="12">
        <v>0.0</v>
      </c>
      <c r="N610" s="12">
        <v>0.0</v>
      </c>
      <c r="O610" s="16">
        <f t="shared" si="150"/>
        <v>34440.97</v>
      </c>
      <c r="P610" s="12">
        <v>3164.12</v>
      </c>
      <c r="Q610" s="12">
        <v>589.69</v>
      </c>
      <c r="R610" s="12">
        <v>963.36</v>
      </c>
      <c r="S610" s="12">
        <v>0.0</v>
      </c>
      <c r="T610" s="12">
        <v>0.0</v>
      </c>
      <c r="U610" s="12">
        <v>0.0</v>
      </c>
      <c r="V610" s="16">
        <f t="shared" si="151"/>
        <v>4717.17</v>
      </c>
      <c r="W610" s="12">
        <v>2202.36</v>
      </c>
      <c r="X610" s="12">
        <v>2802.55</v>
      </c>
      <c r="Y610" s="12">
        <v>21.8</v>
      </c>
      <c r="Z610" s="12">
        <v>0.0</v>
      </c>
      <c r="AA610" s="12">
        <v>0.0</v>
      </c>
      <c r="AB610" s="12">
        <v>0.0</v>
      </c>
      <c r="AC610" s="16">
        <f t="shared" si="169"/>
        <v>5026.71</v>
      </c>
      <c r="AD610" s="12">
        <v>4913.14</v>
      </c>
      <c r="AE610" s="12">
        <v>113.57</v>
      </c>
      <c r="AF610" s="12">
        <v>1569.3</v>
      </c>
      <c r="AG610" s="12">
        <v>1520.53</v>
      </c>
      <c r="AH610" s="12">
        <v>0.0</v>
      </c>
      <c r="AI610" s="12">
        <v>0.0</v>
      </c>
      <c r="AJ610" s="12">
        <v>0.0</v>
      </c>
      <c r="AK610" s="12">
        <v>0.0</v>
      </c>
      <c r="AL610" s="12">
        <f t="shared" si="192"/>
        <v>3089.83</v>
      </c>
      <c r="AM610" s="12">
        <v>1691.0</v>
      </c>
      <c r="AN610" s="12">
        <v>1720.0</v>
      </c>
      <c r="AO610" s="12">
        <v>0.0</v>
      </c>
      <c r="AP610" s="12">
        <v>0.0</v>
      </c>
      <c r="AQ610" s="12">
        <v>0.0</v>
      </c>
      <c r="AR610" s="12">
        <v>0.0</v>
      </c>
      <c r="AS610" s="12">
        <f t="shared" si="168"/>
        <v>3411</v>
      </c>
      <c r="AT610" s="16">
        <f t="shared" ref="AT610:AT614" si="225">IF(AS610+AL610+AC610+V610+O610=0,"",AS610+AL610+AC610+V610+O610)</f>
        <v>50685.68</v>
      </c>
      <c r="AU610" s="18">
        <f t="shared" si="219"/>
        <v>204197.91</v>
      </c>
      <c r="AV610" s="12">
        <v>7894.57</v>
      </c>
      <c r="AW610" s="10">
        <f t="shared" si="220"/>
        <v>61617.97</v>
      </c>
      <c r="AX610" s="12">
        <f t="shared" si="171"/>
        <v>58580.25</v>
      </c>
      <c r="AY610" s="12">
        <f t="shared" si="208"/>
        <v>272180.14</v>
      </c>
      <c r="AZ610" s="12">
        <v>2547.12</v>
      </c>
      <c r="BA610" s="18">
        <f t="shared" si="221"/>
        <v>10212.89</v>
      </c>
      <c r="BB610" s="10">
        <f t="shared" si="16"/>
        <v>680659.7</v>
      </c>
      <c r="BC610" s="16">
        <f t="shared" si="201"/>
        <v>127926.8583</v>
      </c>
      <c r="BD610" s="12">
        <v>2226.27</v>
      </c>
      <c r="BE610" s="16">
        <f t="shared" si="222"/>
        <v>6364.26</v>
      </c>
      <c r="BF610" s="6"/>
      <c r="BG610" s="6"/>
      <c r="BH610" s="6"/>
      <c r="BI610" s="29">
        <f t="shared" si="216"/>
        <v>65457.69067</v>
      </c>
      <c r="BJ610" s="6"/>
      <c r="BK610" s="15">
        <f t="shared" si="76"/>
        <v>0.7743273477</v>
      </c>
      <c r="BN610" s="16">
        <f t="shared" si="187"/>
        <v>-4651.170667</v>
      </c>
      <c r="BO610" s="16">
        <f t="shared" si="223"/>
        <v>-316939.076</v>
      </c>
      <c r="BY610" s="6">
        <f t="shared" si="2"/>
        <v>2025</v>
      </c>
      <c r="BZ610" s="6" t="str">
        <f t="shared" si="3"/>
        <v>junio</v>
      </c>
      <c r="CA610" s="6" t="str">
        <f t="shared" si="4"/>
        <v>6</v>
      </c>
    </row>
    <row r="611">
      <c r="A611" s="8">
        <v>45818.0</v>
      </c>
      <c r="B611" s="12">
        <v>42163.0</v>
      </c>
      <c r="C611" s="12">
        <v>2411.0</v>
      </c>
      <c r="D611" s="12">
        <v>1847.34</v>
      </c>
      <c r="E611" s="12">
        <v>1100.0</v>
      </c>
      <c r="F611" s="12">
        <v>0.0</v>
      </c>
      <c r="G611" s="12">
        <v>0.0</v>
      </c>
      <c r="H611" s="12">
        <f t="shared" si="149"/>
        <v>47521.34</v>
      </c>
      <c r="I611" s="12">
        <v>19745.0</v>
      </c>
      <c r="J611" s="12">
        <v>2412.0</v>
      </c>
      <c r="K611" s="12">
        <v>1999.0</v>
      </c>
      <c r="L611" s="12">
        <v>853.91</v>
      </c>
      <c r="M611" s="12">
        <v>0.0</v>
      </c>
      <c r="N611" s="12">
        <v>0.0</v>
      </c>
      <c r="O611" s="16">
        <f t="shared" si="150"/>
        <v>25009.91</v>
      </c>
      <c r="P611" s="12">
        <v>9315.46</v>
      </c>
      <c r="Q611" s="12">
        <v>1302.83</v>
      </c>
      <c r="R611" s="12">
        <v>403.46</v>
      </c>
      <c r="S611" s="12">
        <v>0.0</v>
      </c>
      <c r="T611" s="12">
        <v>0.0</v>
      </c>
      <c r="U611" s="12">
        <v>0.0</v>
      </c>
      <c r="V611" s="16">
        <f t="shared" si="151"/>
        <v>11021.75</v>
      </c>
      <c r="W611" s="12">
        <v>106.57</v>
      </c>
      <c r="X611" s="12">
        <v>0.0</v>
      </c>
      <c r="Y611" s="12">
        <v>0.0</v>
      </c>
      <c r="Z611" s="12">
        <v>0.0</v>
      </c>
      <c r="AA611" s="12">
        <v>0.0</v>
      </c>
      <c r="AB611" s="12">
        <v>0.0</v>
      </c>
      <c r="AC611" s="16">
        <f t="shared" si="169"/>
        <v>106.57</v>
      </c>
      <c r="AD611" s="12">
        <v>0.0</v>
      </c>
      <c r="AE611" s="12">
        <v>106.57</v>
      </c>
      <c r="AF611" s="12">
        <v>10722.8</v>
      </c>
      <c r="AG611" s="12">
        <v>0.0</v>
      </c>
      <c r="AH611" s="12">
        <v>0.0</v>
      </c>
      <c r="AI611" s="12">
        <v>0.0</v>
      </c>
      <c r="AJ611" s="12">
        <v>0.0</v>
      </c>
      <c r="AK611" s="12">
        <v>0.0</v>
      </c>
      <c r="AL611" s="12">
        <f t="shared" si="192"/>
        <v>10722.8</v>
      </c>
      <c r="AM611" s="12">
        <v>0.0</v>
      </c>
      <c r="AN611" s="12">
        <v>0.0</v>
      </c>
      <c r="AO611" s="12">
        <v>0.0</v>
      </c>
      <c r="AP611" s="12">
        <v>0.0</v>
      </c>
      <c r="AQ611" s="12">
        <v>0.0</v>
      </c>
      <c r="AR611" s="12">
        <v>0.0</v>
      </c>
      <c r="AS611" s="12">
        <f t="shared" si="168"/>
        <v>0</v>
      </c>
      <c r="AT611" s="16">
        <f t="shared" si="225"/>
        <v>46861.03</v>
      </c>
      <c r="AU611" s="18">
        <f t="shared" si="219"/>
        <v>251058.94</v>
      </c>
      <c r="AV611" s="12">
        <v>32835.16</v>
      </c>
      <c r="AW611" s="10">
        <f t="shared" si="220"/>
        <v>94453.13</v>
      </c>
      <c r="AX611" s="12">
        <f t="shared" si="171"/>
        <v>79696.19</v>
      </c>
      <c r="AY611" s="12">
        <f t="shared" si="208"/>
        <v>360258.53</v>
      </c>
      <c r="AZ611" s="12">
        <v>1891.3</v>
      </c>
      <c r="BA611" s="18">
        <f t="shared" si="221"/>
        <v>12104.19</v>
      </c>
      <c r="BB611" s="10">
        <f t="shared" si="16"/>
        <v>753176.82</v>
      </c>
      <c r="BC611" s="16">
        <f t="shared" si="201"/>
        <v>109651.5929</v>
      </c>
      <c r="BD611" s="12">
        <v>8382.2</v>
      </c>
      <c r="BE611" s="16">
        <f t="shared" si="222"/>
        <v>14746.46</v>
      </c>
      <c r="BF611" s="6"/>
      <c r="BG611" s="6"/>
      <c r="BH611" s="6"/>
      <c r="BI611" s="29">
        <f t="shared" si="216"/>
        <v>65457.69067</v>
      </c>
      <c r="BJ611" s="6"/>
      <c r="BK611" s="15">
        <f t="shared" si="76"/>
        <v>0.7158980026</v>
      </c>
      <c r="BN611" s="16">
        <f t="shared" si="187"/>
        <v>22620.69933</v>
      </c>
      <c r="BO611" s="16">
        <f t="shared" si="223"/>
        <v>-294318.3767</v>
      </c>
      <c r="BY611" s="6">
        <f t="shared" si="2"/>
        <v>2025</v>
      </c>
      <c r="BZ611" s="6" t="str">
        <f t="shared" si="3"/>
        <v>junio</v>
      </c>
      <c r="CA611" s="6" t="str">
        <f t="shared" si="4"/>
        <v>6</v>
      </c>
    </row>
    <row r="612">
      <c r="A612" s="8">
        <v>45819.0</v>
      </c>
      <c r="B612" s="12">
        <v>27456.0</v>
      </c>
      <c r="C612" s="12">
        <v>1220.0</v>
      </c>
      <c r="D612" s="12">
        <v>1607.01</v>
      </c>
      <c r="E612" s="12">
        <v>0.0</v>
      </c>
      <c r="F612" s="12">
        <v>0.0</v>
      </c>
      <c r="G612" s="12">
        <v>0.0</v>
      </c>
      <c r="H612" s="12">
        <f t="shared" si="149"/>
        <v>30283.01</v>
      </c>
      <c r="I612" s="12">
        <v>14796.0</v>
      </c>
      <c r="J612" s="12">
        <v>2416.0</v>
      </c>
      <c r="K612" s="12">
        <v>1093.99</v>
      </c>
      <c r="L612" s="12">
        <v>0.0</v>
      </c>
      <c r="M612" s="12">
        <v>0.0</v>
      </c>
      <c r="N612" s="12">
        <v>0.0</v>
      </c>
      <c r="O612" s="16">
        <f t="shared" si="150"/>
        <v>18305.99</v>
      </c>
      <c r="P612" s="12">
        <v>4946.84</v>
      </c>
      <c r="Q612" s="12">
        <v>993.02</v>
      </c>
      <c r="R612" s="12">
        <v>467.04</v>
      </c>
      <c r="S612" s="12">
        <v>0.0</v>
      </c>
      <c r="T612" s="12">
        <v>0.0</v>
      </c>
      <c r="U612" s="12">
        <v>0.0</v>
      </c>
      <c r="V612" s="16">
        <f t="shared" si="151"/>
        <v>6406.9</v>
      </c>
      <c r="W612" s="12">
        <v>39.17</v>
      </c>
      <c r="X612" s="12">
        <v>0.06</v>
      </c>
      <c r="Y612" s="12">
        <v>0.0</v>
      </c>
      <c r="Z612" s="12">
        <v>0.0</v>
      </c>
      <c r="AA612" s="12">
        <v>0.0</v>
      </c>
      <c r="AB612" s="12">
        <v>0.0</v>
      </c>
      <c r="AC612" s="16">
        <f t="shared" si="169"/>
        <v>39.23</v>
      </c>
      <c r="AD612" s="12">
        <v>0.0</v>
      </c>
      <c r="AE612" s="12">
        <v>39.23</v>
      </c>
      <c r="AF612" s="12">
        <v>2210.12</v>
      </c>
      <c r="AG612" s="12">
        <v>3225.97</v>
      </c>
      <c r="AH612" s="12">
        <v>0.0</v>
      </c>
      <c r="AI612" s="12">
        <v>0.0</v>
      </c>
      <c r="AJ612" s="12">
        <v>0.0</v>
      </c>
      <c r="AK612" s="12">
        <v>0.0</v>
      </c>
      <c r="AL612" s="12">
        <f t="shared" si="192"/>
        <v>5436.09</v>
      </c>
      <c r="AM612" s="12">
        <v>0.0</v>
      </c>
      <c r="AN612" s="12">
        <v>0.0</v>
      </c>
      <c r="AO612" s="12">
        <v>0.0</v>
      </c>
      <c r="AP612" s="12">
        <v>0.0</v>
      </c>
      <c r="AQ612" s="12">
        <v>0.0</v>
      </c>
      <c r="AR612" s="12">
        <v>0.0</v>
      </c>
      <c r="AS612" s="12">
        <f t="shared" si="168"/>
        <v>0</v>
      </c>
      <c r="AT612" s="16">
        <f t="shared" si="225"/>
        <v>30188.21</v>
      </c>
      <c r="AU612" s="18">
        <f t="shared" si="219"/>
        <v>281247.15</v>
      </c>
      <c r="AV612" s="12">
        <v>14253.34</v>
      </c>
      <c r="AW612" s="10">
        <f t="shared" si="220"/>
        <v>108706.47</v>
      </c>
      <c r="AX612" s="12">
        <f t="shared" si="171"/>
        <v>44441.55</v>
      </c>
      <c r="AY612" s="12">
        <f t="shared" si="208"/>
        <v>404700.08</v>
      </c>
      <c r="AZ612" s="12">
        <v>1935.69</v>
      </c>
      <c r="BA612" s="18">
        <f t="shared" si="221"/>
        <v>14039.88</v>
      </c>
      <c r="BB612" s="10">
        <f t="shared" si="16"/>
        <v>767037.6818</v>
      </c>
      <c r="BC612" s="16">
        <f t="shared" si="201"/>
        <v>95945.14375</v>
      </c>
      <c r="BD612" s="12">
        <v>0.0</v>
      </c>
      <c r="BE612" s="16">
        <f t="shared" si="222"/>
        <v>14746.46</v>
      </c>
      <c r="BF612" s="6"/>
      <c r="BG612" s="6"/>
      <c r="BH612" s="6"/>
      <c r="BI612" s="29">
        <f t="shared" si="216"/>
        <v>65457.69067</v>
      </c>
      <c r="BJ612" s="6"/>
      <c r="BK612" s="15">
        <f t="shared" si="76"/>
        <v>0.461186603</v>
      </c>
      <c r="BN612" s="16">
        <f t="shared" si="187"/>
        <v>-21016.14067</v>
      </c>
      <c r="BO612" s="16">
        <f t="shared" si="223"/>
        <v>-315334.5173</v>
      </c>
      <c r="BY612" s="6">
        <f t="shared" si="2"/>
        <v>2025</v>
      </c>
      <c r="BZ612" s="6" t="str">
        <f t="shared" si="3"/>
        <v>junio</v>
      </c>
      <c r="CA612" s="6" t="str">
        <f t="shared" si="4"/>
        <v>6</v>
      </c>
    </row>
    <row r="613">
      <c r="A613" s="8">
        <v>45820.0</v>
      </c>
      <c r="B613" s="12">
        <v>15896.3</v>
      </c>
      <c r="C613" s="12">
        <v>0.0</v>
      </c>
      <c r="D613" s="12">
        <v>2770.35</v>
      </c>
      <c r="E613" s="12">
        <v>0.0</v>
      </c>
      <c r="F613" s="12">
        <v>0.0</v>
      </c>
      <c r="G613" s="12">
        <v>0.0</v>
      </c>
      <c r="H613" s="12">
        <f t="shared" si="149"/>
        <v>18666.65</v>
      </c>
      <c r="I613" s="12">
        <v>9555.0</v>
      </c>
      <c r="J613" s="12">
        <v>0.0</v>
      </c>
      <c r="K613" s="12">
        <v>2443.54</v>
      </c>
      <c r="L613" s="12">
        <v>0.0</v>
      </c>
      <c r="M613" s="12">
        <v>0.0</v>
      </c>
      <c r="N613" s="12">
        <v>0.0</v>
      </c>
      <c r="O613" s="16">
        <f t="shared" si="150"/>
        <v>11998.54</v>
      </c>
      <c r="P613" s="12">
        <v>3711.08</v>
      </c>
      <c r="Q613" s="12">
        <v>0.0</v>
      </c>
      <c r="R613" s="12">
        <v>1374.55</v>
      </c>
      <c r="S613" s="12">
        <v>0.0</v>
      </c>
      <c r="T613" s="12">
        <v>0.0</v>
      </c>
      <c r="U613" s="12">
        <v>0.0</v>
      </c>
      <c r="V613" s="16">
        <f t="shared" si="151"/>
        <v>5085.63</v>
      </c>
      <c r="W613" s="12">
        <v>22.91</v>
      </c>
      <c r="X613" s="12">
        <v>0.0</v>
      </c>
      <c r="Y613" s="12">
        <v>0.0</v>
      </c>
      <c r="Z613" s="12">
        <v>0.0</v>
      </c>
      <c r="AA613" s="12">
        <v>0.0</v>
      </c>
      <c r="AB613" s="12">
        <v>0.0</v>
      </c>
      <c r="AC613" s="16">
        <f t="shared" si="169"/>
        <v>22.91</v>
      </c>
      <c r="AD613" s="12">
        <v>0.0</v>
      </c>
      <c r="AE613" s="12">
        <v>22.91</v>
      </c>
      <c r="AF613" s="12">
        <v>600.0</v>
      </c>
      <c r="AG613" s="12">
        <v>0.0</v>
      </c>
      <c r="AH613" s="12">
        <v>0.0</v>
      </c>
      <c r="AI613" s="12">
        <v>0.0</v>
      </c>
      <c r="AJ613" s="12">
        <v>0.0</v>
      </c>
      <c r="AK613" s="12">
        <v>0.0</v>
      </c>
      <c r="AL613" s="12">
        <f t="shared" si="192"/>
        <v>600</v>
      </c>
      <c r="AM613" s="12">
        <v>0.0</v>
      </c>
      <c r="AN613" s="12">
        <v>0.0</v>
      </c>
      <c r="AO613" s="12">
        <v>0.0</v>
      </c>
      <c r="AP613" s="12">
        <v>0.0</v>
      </c>
      <c r="AQ613" s="12">
        <v>0.0</v>
      </c>
      <c r="AR613" s="12">
        <v>0.0</v>
      </c>
      <c r="AS613" s="12">
        <f t="shared" si="168"/>
        <v>0</v>
      </c>
      <c r="AT613" s="16">
        <f t="shared" si="225"/>
        <v>17707.08</v>
      </c>
      <c r="AU613" s="18">
        <f t="shared" si="219"/>
        <v>298954.23</v>
      </c>
      <c r="AV613" s="12">
        <v>6111.05</v>
      </c>
      <c r="AW613" s="10">
        <f t="shared" si="220"/>
        <v>114817.52</v>
      </c>
      <c r="AX613" s="12">
        <f t="shared" si="171"/>
        <v>23818.13</v>
      </c>
      <c r="AY613" s="12">
        <f t="shared" si="208"/>
        <v>430046.11</v>
      </c>
      <c r="AZ613" s="12">
        <v>4782.1</v>
      </c>
      <c r="BA613" s="18">
        <f t="shared" si="221"/>
        <v>18821.98</v>
      </c>
      <c r="BB613" s="10">
        <f t="shared" si="16"/>
        <v>747385.575</v>
      </c>
      <c r="BC613" s="16">
        <f t="shared" si="201"/>
        <v>113443.2833</v>
      </c>
      <c r="BD613" s="12">
        <v>1527.9</v>
      </c>
      <c r="BE613" s="16">
        <f t="shared" si="222"/>
        <v>16274.36</v>
      </c>
      <c r="BF613" s="6"/>
      <c r="BG613" s="6"/>
      <c r="BH613" s="6"/>
      <c r="BI613" s="29">
        <f t="shared" si="216"/>
        <v>65457.69067</v>
      </c>
      <c r="BJ613" s="6"/>
      <c r="BK613" s="15">
        <f t="shared" si="76"/>
        <v>0.2705118347</v>
      </c>
      <c r="BN613" s="16">
        <f t="shared" si="187"/>
        <v>-40111.66067</v>
      </c>
      <c r="BO613" s="16">
        <f t="shared" si="223"/>
        <v>-355446.178</v>
      </c>
      <c r="BY613" s="6">
        <f t="shared" si="2"/>
        <v>2025</v>
      </c>
      <c r="BZ613" s="6" t="str">
        <f t="shared" si="3"/>
        <v>junio</v>
      </c>
      <c r="CA613" s="6" t="str">
        <f t="shared" si="4"/>
        <v>6</v>
      </c>
    </row>
    <row r="614">
      <c r="A614" s="8">
        <v>45821.0</v>
      </c>
      <c r="B614" s="12">
        <v>17453.2</v>
      </c>
      <c r="C614" s="12">
        <v>1852.18</v>
      </c>
      <c r="D614" s="12">
        <v>2777.0</v>
      </c>
      <c r="E614" s="12">
        <v>0.0</v>
      </c>
      <c r="F614" s="12">
        <v>0.0</v>
      </c>
      <c r="G614" s="12">
        <v>0.0</v>
      </c>
      <c r="H614" s="12">
        <f t="shared" si="149"/>
        <v>22082.38</v>
      </c>
      <c r="I614" s="12">
        <f>18445.65-3994.44</f>
        <v>14451.21</v>
      </c>
      <c r="J614" s="12">
        <v>1475.0</v>
      </c>
      <c r="K614" s="12">
        <v>1840.48</v>
      </c>
      <c r="L614" s="12">
        <v>0.0</v>
      </c>
      <c r="M614" s="12">
        <v>0.0</v>
      </c>
      <c r="N614" s="12">
        <v>0.0</v>
      </c>
      <c r="O614" s="16">
        <f t="shared" si="150"/>
        <v>17766.69</v>
      </c>
      <c r="P614" s="12">
        <f>4777.68-572.36</f>
        <v>4205.32</v>
      </c>
      <c r="Q614" s="12">
        <v>383.81</v>
      </c>
      <c r="R614" s="12">
        <v>1443.55</v>
      </c>
      <c r="S614" s="12">
        <v>0.0</v>
      </c>
      <c r="T614" s="12">
        <v>0.0</v>
      </c>
      <c r="U614" s="12">
        <v>0.0</v>
      </c>
      <c r="V614" s="16">
        <f t="shared" si="151"/>
        <v>6032.68</v>
      </c>
      <c r="W614" s="12">
        <v>4285.91</v>
      </c>
      <c r="X614" s="12">
        <v>0.0</v>
      </c>
      <c r="Y614" s="12">
        <v>0.0</v>
      </c>
      <c r="Z614" s="12">
        <v>0.0</v>
      </c>
      <c r="AA614" s="12">
        <v>0.0</v>
      </c>
      <c r="AB614" s="12">
        <v>0.0</v>
      </c>
      <c r="AC614" s="16">
        <f t="shared" si="169"/>
        <v>4285.91</v>
      </c>
      <c r="AD614" s="12">
        <v>4281.07</v>
      </c>
      <c r="AE614" s="12">
        <v>4.84</v>
      </c>
      <c r="AF614" s="12">
        <v>1548.87</v>
      </c>
      <c r="AG614" s="12">
        <v>0.0</v>
      </c>
      <c r="AH614" s="12">
        <v>0.0</v>
      </c>
      <c r="AI614" s="12">
        <v>0.0</v>
      </c>
      <c r="AJ614" s="12">
        <v>0.0</v>
      </c>
      <c r="AK614" s="12">
        <v>0.0</v>
      </c>
      <c r="AL614" s="12">
        <f t="shared" si="192"/>
        <v>1548.87</v>
      </c>
      <c r="AM614" s="12">
        <v>6622.0</v>
      </c>
      <c r="AN614" s="12">
        <v>0.0</v>
      </c>
      <c r="AO614" s="12">
        <v>0.0</v>
      </c>
      <c r="AP614" s="12">
        <v>0.0</v>
      </c>
      <c r="AQ614" s="12">
        <v>0.0</v>
      </c>
      <c r="AR614" s="12">
        <v>0.0</v>
      </c>
      <c r="AS614" s="12">
        <f t="shared" si="168"/>
        <v>6622</v>
      </c>
      <c r="AT614" s="16">
        <f t="shared" si="225"/>
        <v>36256.15</v>
      </c>
      <c r="AU614" s="18">
        <f t="shared" si="219"/>
        <v>335210.38</v>
      </c>
      <c r="AV614" s="12">
        <f>8685.91-828.49</f>
        <v>7857.42</v>
      </c>
      <c r="AW614" s="10">
        <f t="shared" si="220"/>
        <v>122674.94</v>
      </c>
      <c r="AX614" s="12">
        <f t="shared" si="171"/>
        <v>44113.57</v>
      </c>
      <c r="AY614" s="12">
        <f t="shared" si="208"/>
        <v>475409.68</v>
      </c>
      <c r="AZ614" s="12">
        <v>1379.76</v>
      </c>
      <c r="BA614" s="18">
        <f t="shared" si="221"/>
        <v>20201.74</v>
      </c>
      <c r="BB614" s="10">
        <f t="shared" si="16"/>
        <v>773562.4154</v>
      </c>
      <c r="BC614" s="16">
        <f t="shared" si="201"/>
        <v>125529.47</v>
      </c>
      <c r="BD614" s="12">
        <v>1250.0</v>
      </c>
      <c r="BE614" s="16">
        <f t="shared" si="222"/>
        <v>17524.36</v>
      </c>
      <c r="BF614" s="6"/>
      <c r="BG614" s="6"/>
      <c r="BH614" s="6"/>
      <c r="BI614" s="29">
        <f t="shared" si="216"/>
        <v>65457.69067</v>
      </c>
      <c r="BJ614" s="6"/>
      <c r="BK614" s="15">
        <f t="shared" si="76"/>
        <v>0.5538867875</v>
      </c>
      <c r="BN614" s="16">
        <f t="shared" si="187"/>
        <v>-20094.12067</v>
      </c>
      <c r="BO614" s="16">
        <f t="shared" si="223"/>
        <v>-375540.2987</v>
      </c>
      <c r="BY614" s="6">
        <f t="shared" si="2"/>
        <v>2025</v>
      </c>
      <c r="BZ614" s="6" t="str">
        <f t="shared" si="3"/>
        <v>junio</v>
      </c>
      <c r="CA614" s="6" t="str">
        <f t="shared" si="4"/>
        <v>6</v>
      </c>
    </row>
    <row r="615">
      <c r="A615" s="8">
        <v>45822.0</v>
      </c>
      <c r="B615" s="12">
        <v>0.0</v>
      </c>
      <c r="C615" s="12">
        <v>0.0</v>
      </c>
      <c r="D615" s="12">
        <v>0.0</v>
      </c>
      <c r="E615" s="12">
        <v>0.0</v>
      </c>
      <c r="F615" s="12">
        <v>0.0</v>
      </c>
      <c r="G615" s="12">
        <v>0.0</v>
      </c>
      <c r="H615" s="12">
        <f t="shared" si="149"/>
        <v>0</v>
      </c>
      <c r="I615" s="12">
        <v>0.0</v>
      </c>
      <c r="J615" s="12">
        <v>0.0</v>
      </c>
      <c r="K615" s="12">
        <v>0.0</v>
      </c>
      <c r="L615" s="12">
        <v>0.0</v>
      </c>
      <c r="M615" s="12">
        <v>0.0</v>
      </c>
      <c r="N615" s="12">
        <v>0.0</v>
      </c>
      <c r="O615" s="16">
        <f t="shared" si="150"/>
        <v>0</v>
      </c>
      <c r="P615" s="12">
        <v>0.0</v>
      </c>
      <c r="Q615" s="12">
        <v>0.0</v>
      </c>
      <c r="R615" s="12">
        <v>0.0</v>
      </c>
      <c r="S615" s="12">
        <v>0.0</v>
      </c>
      <c r="T615" s="12">
        <v>0.0</v>
      </c>
      <c r="U615" s="12">
        <v>0.0</v>
      </c>
      <c r="V615" s="16">
        <f t="shared" si="151"/>
        <v>0</v>
      </c>
      <c r="W615" s="12">
        <v>0.0</v>
      </c>
      <c r="X615" s="12">
        <v>0.0</v>
      </c>
      <c r="Y615" s="12">
        <v>0.0</v>
      </c>
      <c r="Z615" s="12">
        <v>0.0</v>
      </c>
      <c r="AA615" s="12">
        <v>0.0</v>
      </c>
      <c r="AB615" s="12">
        <v>0.0</v>
      </c>
      <c r="AC615" s="16">
        <f t="shared" si="169"/>
        <v>0</v>
      </c>
      <c r="AD615" s="12">
        <v>0.0</v>
      </c>
      <c r="AE615" s="12">
        <v>0.0</v>
      </c>
      <c r="AF615" s="12">
        <v>0.0</v>
      </c>
      <c r="AG615" s="12">
        <v>0.0</v>
      </c>
      <c r="AH615" s="12">
        <v>0.0</v>
      </c>
      <c r="AI615" s="12">
        <v>0.0</v>
      </c>
      <c r="AJ615" s="12">
        <v>0.0</v>
      </c>
      <c r="AK615" s="12">
        <v>0.0</v>
      </c>
      <c r="AL615" s="12">
        <f t="shared" si="192"/>
        <v>0</v>
      </c>
      <c r="AM615" s="12">
        <v>0.0</v>
      </c>
      <c r="AN615" s="12">
        <v>0.0</v>
      </c>
      <c r="AO615" s="12">
        <v>0.0</v>
      </c>
      <c r="AP615" s="12">
        <v>0.0</v>
      </c>
      <c r="AQ615" s="12">
        <v>0.0</v>
      </c>
      <c r="AR615" s="12">
        <v>0.0</v>
      </c>
      <c r="AS615" s="12">
        <f t="shared" si="168"/>
        <v>0</v>
      </c>
      <c r="AT615" s="6">
        <f t="shared" ref="AT615:AT616" si="226">IF(AS615+AL615+AC615+V615+O615=0,0,AS615+AL615+AC615+V615+O615)</f>
        <v>0</v>
      </c>
      <c r="AU615" s="18">
        <f t="shared" si="219"/>
        <v>335210.38</v>
      </c>
      <c r="AV615" s="12">
        <v>0.0</v>
      </c>
      <c r="AW615" s="10">
        <f t="shared" si="220"/>
        <v>122674.94</v>
      </c>
      <c r="AX615" s="12">
        <f t="shared" si="171"/>
        <v>0</v>
      </c>
      <c r="AY615" s="12">
        <f t="shared" si="208"/>
        <v>475409.68</v>
      </c>
      <c r="AZ615" s="12">
        <v>0.0</v>
      </c>
      <c r="BA615" s="18">
        <f t="shared" si="221"/>
        <v>20201.74</v>
      </c>
      <c r="BB615" s="10">
        <f t="shared" si="16"/>
        <v>718307.9571</v>
      </c>
      <c r="BC615" s="16">
        <f t="shared" si="201"/>
        <v>127839.6136</v>
      </c>
      <c r="BD615" s="12">
        <v>0.0</v>
      </c>
      <c r="BE615" s="16">
        <f t="shared" si="222"/>
        <v>17524.36</v>
      </c>
      <c r="BF615" s="6"/>
      <c r="BG615" s="6"/>
      <c r="BH615" s="6"/>
      <c r="BI615" s="29">
        <f t="shared" si="216"/>
        <v>65457.69067</v>
      </c>
      <c r="BJ615" s="6"/>
      <c r="BK615" s="15">
        <f t="shared" si="76"/>
        <v>0</v>
      </c>
      <c r="BN615" s="16">
        <f t="shared" si="187"/>
        <v>-65457.69067</v>
      </c>
      <c r="BO615" s="16">
        <f t="shared" si="223"/>
        <v>-440997.9893</v>
      </c>
      <c r="BY615" s="6">
        <f t="shared" si="2"/>
        <v>2025</v>
      </c>
      <c r="BZ615" s="6" t="str">
        <f t="shared" si="3"/>
        <v>junio</v>
      </c>
      <c r="CA615" s="6" t="str">
        <f t="shared" si="4"/>
        <v>6</v>
      </c>
    </row>
    <row r="616">
      <c r="A616" s="8">
        <v>45823.0</v>
      </c>
      <c r="B616" s="12">
        <v>0.0</v>
      </c>
      <c r="C616" s="12">
        <v>0.0</v>
      </c>
      <c r="D616" s="12">
        <v>0.0</v>
      </c>
      <c r="E616" s="12">
        <v>0.0</v>
      </c>
      <c r="F616" s="12">
        <v>0.0</v>
      </c>
      <c r="G616" s="12">
        <v>0.0</v>
      </c>
      <c r="H616" s="12">
        <f t="shared" si="149"/>
        <v>0</v>
      </c>
      <c r="I616" s="12">
        <v>0.0</v>
      </c>
      <c r="J616" s="12">
        <v>0.0</v>
      </c>
      <c r="K616" s="12">
        <v>0.0</v>
      </c>
      <c r="L616" s="12">
        <v>0.0</v>
      </c>
      <c r="M616" s="12">
        <v>0.0</v>
      </c>
      <c r="N616" s="12">
        <v>0.0</v>
      </c>
      <c r="O616" s="16">
        <f t="shared" si="150"/>
        <v>0</v>
      </c>
      <c r="P616" s="12">
        <v>0.0</v>
      </c>
      <c r="Q616" s="12">
        <v>0.0</v>
      </c>
      <c r="R616" s="12">
        <v>0.0</v>
      </c>
      <c r="S616" s="12">
        <v>0.0</v>
      </c>
      <c r="T616" s="12">
        <v>0.0</v>
      </c>
      <c r="U616" s="12">
        <v>0.0</v>
      </c>
      <c r="V616" s="16">
        <f t="shared" si="151"/>
        <v>0</v>
      </c>
      <c r="W616" s="12">
        <v>0.0</v>
      </c>
      <c r="X616" s="12">
        <v>0.0</v>
      </c>
      <c r="Y616" s="12">
        <v>0.0</v>
      </c>
      <c r="Z616" s="12">
        <v>0.0</v>
      </c>
      <c r="AA616" s="12">
        <v>0.0</v>
      </c>
      <c r="AB616" s="12">
        <v>0.0</v>
      </c>
      <c r="AC616" s="16">
        <f t="shared" si="169"/>
        <v>0</v>
      </c>
      <c r="AD616" s="12">
        <v>0.0</v>
      </c>
      <c r="AE616" s="12">
        <v>0.0</v>
      </c>
      <c r="AF616" s="12">
        <v>0.0</v>
      </c>
      <c r="AG616" s="12">
        <v>0.0</v>
      </c>
      <c r="AH616" s="12">
        <v>0.0</v>
      </c>
      <c r="AI616" s="12">
        <v>0.0</v>
      </c>
      <c r="AJ616" s="12">
        <v>0.0</v>
      </c>
      <c r="AK616" s="12">
        <v>0.0</v>
      </c>
      <c r="AL616" s="12">
        <f t="shared" si="192"/>
        <v>0</v>
      </c>
      <c r="AM616" s="12">
        <v>0.0</v>
      </c>
      <c r="AN616" s="12">
        <v>0.0</v>
      </c>
      <c r="AO616" s="12">
        <v>0.0</v>
      </c>
      <c r="AP616" s="12">
        <v>0.0</v>
      </c>
      <c r="AQ616" s="12">
        <v>0.0</v>
      </c>
      <c r="AR616" s="12">
        <v>0.0</v>
      </c>
      <c r="AS616" s="12">
        <f t="shared" si="168"/>
        <v>0</v>
      </c>
      <c r="AT616" s="6">
        <f t="shared" si="226"/>
        <v>0</v>
      </c>
      <c r="AU616" s="18">
        <f t="shared" si="219"/>
        <v>335210.38</v>
      </c>
      <c r="AV616" s="12">
        <v>0.0</v>
      </c>
      <c r="AW616" s="10">
        <f t="shared" si="220"/>
        <v>122674.94</v>
      </c>
      <c r="AX616" s="12">
        <f t="shared" si="171"/>
        <v>0</v>
      </c>
      <c r="AY616" s="12">
        <f t="shared" si="208"/>
        <v>475409.68</v>
      </c>
      <c r="AZ616" s="12">
        <v>0.0</v>
      </c>
      <c r="BA616" s="18">
        <f t="shared" si="221"/>
        <v>20201.74</v>
      </c>
      <c r="BB616" s="10">
        <f t="shared" si="16"/>
        <v>670420.76</v>
      </c>
      <c r="BC616" s="16">
        <f t="shared" si="201"/>
        <v>124564.2625</v>
      </c>
      <c r="BD616" s="12">
        <v>0.0</v>
      </c>
      <c r="BE616" s="16">
        <f t="shared" si="222"/>
        <v>17524.36</v>
      </c>
      <c r="BF616" s="6"/>
      <c r="BG616" s="6"/>
      <c r="BH616" s="6"/>
      <c r="BI616" s="29">
        <f t="shared" si="216"/>
        <v>65457.69067</v>
      </c>
      <c r="BJ616" s="6"/>
      <c r="BK616" s="15">
        <f t="shared" si="76"/>
        <v>0</v>
      </c>
      <c r="BN616" s="16">
        <f t="shared" si="187"/>
        <v>-65457.69067</v>
      </c>
      <c r="BO616" s="16">
        <f t="shared" si="223"/>
        <v>-506455.68</v>
      </c>
      <c r="BY616" s="6">
        <f t="shared" si="2"/>
        <v>2025</v>
      </c>
      <c r="BZ616" s="6" t="str">
        <f t="shared" si="3"/>
        <v>junio</v>
      </c>
      <c r="CA616" s="6" t="str">
        <f t="shared" si="4"/>
        <v>6</v>
      </c>
    </row>
    <row r="617">
      <c r="A617" s="8">
        <v>45824.0</v>
      </c>
      <c r="B617" s="12">
        <v>84666.0</v>
      </c>
      <c r="C617" s="12">
        <v>3221.0</v>
      </c>
      <c r="D617" s="12">
        <v>3239.23</v>
      </c>
      <c r="E617" s="12">
        <v>0.0</v>
      </c>
      <c r="F617" s="12">
        <v>0.0</v>
      </c>
      <c r="G617" s="12">
        <v>0.0</v>
      </c>
      <c r="H617" s="12">
        <f t="shared" si="149"/>
        <v>91126.23</v>
      </c>
      <c r="I617" s="12">
        <v>79888.0</v>
      </c>
      <c r="J617" s="12">
        <v>2475.0</v>
      </c>
      <c r="K617" s="12">
        <v>2728.55</v>
      </c>
      <c r="L617" s="12">
        <v>0.0</v>
      </c>
      <c r="M617" s="12">
        <v>0.0</v>
      </c>
      <c r="N617" s="12">
        <v>0.0</v>
      </c>
      <c r="O617" s="16">
        <f t="shared" si="150"/>
        <v>85091.55</v>
      </c>
      <c r="P617" s="12">
        <v>30786.3</v>
      </c>
      <c r="Q617" s="12">
        <v>1779.64</v>
      </c>
      <c r="R617" s="12">
        <v>3086.29</v>
      </c>
      <c r="S617" s="12">
        <v>0.0</v>
      </c>
      <c r="T617" s="12">
        <v>0.0</v>
      </c>
      <c r="U617" s="12">
        <v>0.0</v>
      </c>
      <c r="V617" s="16">
        <f t="shared" si="151"/>
        <v>35652.23</v>
      </c>
      <c r="W617" s="12">
        <v>182.54</v>
      </c>
      <c r="X617" s="12">
        <v>0.09</v>
      </c>
      <c r="Y617" s="12">
        <v>4418.46</v>
      </c>
      <c r="Z617" s="12">
        <v>0.0</v>
      </c>
      <c r="AA617" s="12">
        <v>0.0</v>
      </c>
      <c r="AB617" s="12">
        <v>0.0</v>
      </c>
      <c r="AC617" s="16">
        <f t="shared" si="169"/>
        <v>4601.09</v>
      </c>
      <c r="AD617" s="12">
        <v>4418.07</v>
      </c>
      <c r="AE617" s="12">
        <v>183.02</v>
      </c>
      <c r="AF617" s="12">
        <v>6314.94</v>
      </c>
      <c r="AG617" s="12">
        <v>196.81</v>
      </c>
      <c r="AH617" s="12">
        <v>0.0</v>
      </c>
      <c r="AI617" s="12">
        <v>0.0</v>
      </c>
      <c r="AJ617" s="12">
        <v>0.0</v>
      </c>
      <c r="AK617" s="12">
        <v>0.0</v>
      </c>
      <c r="AL617" s="12">
        <f t="shared" si="192"/>
        <v>6511.75</v>
      </c>
      <c r="AM617" s="12">
        <v>0.0</v>
      </c>
      <c r="AN617" s="12">
        <v>0.0</v>
      </c>
      <c r="AO617" s="12">
        <v>6593.0</v>
      </c>
      <c r="AP617" s="12">
        <v>0.0</v>
      </c>
      <c r="AQ617" s="12">
        <v>0.0</v>
      </c>
      <c r="AR617" s="12">
        <v>0.0</v>
      </c>
      <c r="AS617" s="12">
        <f t="shared" si="168"/>
        <v>6593</v>
      </c>
      <c r="AT617" s="16">
        <f t="shared" ref="AT617:AT621" si="227">IF(AS617+AL617+AC617+V617+O617=0,"",AS617+AL617+AC617+V617+O617)</f>
        <v>138449.62</v>
      </c>
      <c r="AU617" s="18">
        <f t="shared" si="219"/>
        <v>473660</v>
      </c>
      <c r="AV617" s="12">
        <v>41051.37</v>
      </c>
      <c r="AW617" s="10">
        <f t="shared" si="220"/>
        <v>163726.31</v>
      </c>
      <c r="AX617" s="12">
        <f t="shared" si="171"/>
        <v>179500.99</v>
      </c>
      <c r="AY617" s="12">
        <f t="shared" si="208"/>
        <v>656631.6</v>
      </c>
      <c r="AZ617" s="12">
        <v>9094.2</v>
      </c>
      <c r="BA617" s="18">
        <f t="shared" si="221"/>
        <v>29295.94</v>
      </c>
      <c r="BB617" s="10">
        <f t="shared" si="16"/>
        <v>888112.5</v>
      </c>
      <c r="BC617" s="16">
        <f t="shared" si="201"/>
        <v>128927.0692</v>
      </c>
      <c r="BD617" s="12">
        <v>1720.93</v>
      </c>
      <c r="BE617" s="16">
        <f t="shared" si="222"/>
        <v>19245.29</v>
      </c>
      <c r="BF617" s="6"/>
      <c r="BG617" s="6"/>
      <c r="BH617" s="6"/>
      <c r="BI617" s="29">
        <f t="shared" si="216"/>
        <v>65457.69067</v>
      </c>
      <c r="BK617" s="15">
        <f t="shared" si="76"/>
        <v>2.115100893</v>
      </c>
      <c r="BN617" s="16">
        <f t="shared" si="187"/>
        <v>115764.2293</v>
      </c>
      <c r="BO617" s="16">
        <f t="shared" si="223"/>
        <v>-390691.4507</v>
      </c>
      <c r="BY617" s="6">
        <f t="shared" si="2"/>
        <v>2025</v>
      </c>
      <c r="BZ617" s="6" t="str">
        <f t="shared" si="3"/>
        <v>junio</v>
      </c>
      <c r="CA617" s="6" t="str">
        <f t="shared" si="4"/>
        <v>6</v>
      </c>
    </row>
    <row r="618">
      <c r="A618" s="8">
        <v>45825.0</v>
      </c>
      <c r="B618" s="12">
        <v>10766.0</v>
      </c>
      <c r="C618" s="12">
        <v>4759.0</v>
      </c>
      <c r="D618" s="12">
        <v>2411.0</v>
      </c>
      <c r="E618" s="12">
        <v>2094.46</v>
      </c>
      <c r="F618" s="12">
        <v>0.0</v>
      </c>
      <c r="G618" s="12">
        <v>0.0</v>
      </c>
      <c r="H618" s="12">
        <f t="shared" si="149"/>
        <v>20030.46</v>
      </c>
      <c r="I618" s="12">
        <v>11475.0</v>
      </c>
      <c r="J618" s="12">
        <v>3466.0</v>
      </c>
      <c r="K618" s="12">
        <v>2467.04</v>
      </c>
      <c r="L618" s="12">
        <v>1456.0</v>
      </c>
      <c r="M618" s="12">
        <v>0.0</v>
      </c>
      <c r="N618" s="12">
        <v>0.0</v>
      </c>
      <c r="O618" s="16">
        <f t="shared" si="150"/>
        <v>18864.04</v>
      </c>
      <c r="P618" s="12">
        <v>6859.11</v>
      </c>
      <c r="Q618" s="12">
        <v>451.27</v>
      </c>
      <c r="R618" s="12">
        <v>467.04</v>
      </c>
      <c r="S618" s="12">
        <v>0.0</v>
      </c>
      <c r="T618" s="12">
        <v>0.0</v>
      </c>
      <c r="U618" s="12">
        <v>0.0</v>
      </c>
      <c r="V618" s="16">
        <f t="shared" si="151"/>
        <v>7777.42</v>
      </c>
      <c r="W618" s="12">
        <v>2170.34</v>
      </c>
      <c r="X618" s="12">
        <v>0.0</v>
      </c>
      <c r="Y618" s="12">
        <v>4758.01</v>
      </c>
      <c r="Z618" s="12">
        <v>0.0</v>
      </c>
      <c r="AA618" s="12">
        <v>0.0</v>
      </c>
      <c r="AB618" s="12">
        <v>0.0</v>
      </c>
      <c r="AC618" s="16">
        <f t="shared" si="169"/>
        <v>6928.35</v>
      </c>
      <c r="AD618" s="12">
        <v>6526.39</v>
      </c>
      <c r="AE618" s="12">
        <v>401.96</v>
      </c>
      <c r="AF618" s="12">
        <v>600.0</v>
      </c>
      <c r="AG618" s="12">
        <v>0.0</v>
      </c>
      <c r="AH618" s="12">
        <v>0.0</v>
      </c>
      <c r="AI618" s="12">
        <v>0.0</v>
      </c>
      <c r="AJ618" s="12">
        <v>0.0</v>
      </c>
      <c r="AK618" s="12">
        <v>0.0</v>
      </c>
      <c r="AL618" s="12">
        <f t="shared" si="192"/>
        <v>600</v>
      </c>
      <c r="AM618" s="12">
        <v>1811.0</v>
      </c>
      <c r="AN618" s="12">
        <v>0.0</v>
      </c>
      <c r="AO618" s="12">
        <v>6778.0</v>
      </c>
      <c r="AP618" s="12">
        <v>0.0</v>
      </c>
      <c r="AQ618" s="12">
        <v>0.0</v>
      </c>
      <c r="AR618" s="12">
        <v>0.0</v>
      </c>
      <c r="AS618" s="12">
        <f t="shared" si="168"/>
        <v>8589</v>
      </c>
      <c r="AT618" s="16">
        <f t="shared" si="227"/>
        <v>42758.81</v>
      </c>
      <c r="AU618" s="18">
        <f t="shared" si="219"/>
        <v>516418.81</v>
      </c>
      <c r="AV618" s="12">
        <v>8206.06</v>
      </c>
      <c r="AW618" s="10">
        <f t="shared" si="220"/>
        <v>171932.37</v>
      </c>
      <c r="AX618" s="12">
        <f t="shared" si="171"/>
        <v>50964.87</v>
      </c>
      <c r="AY618" s="12">
        <f t="shared" si="208"/>
        <v>709753.44</v>
      </c>
      <c r="AZ618" s="12">
        <v>9924.8</v>
      </c>
      <c r="BA618" s="18">
        <f t="shared" si="221"/>
        <v>39220.74</v>
      </c>
      <c r="BB618" s="10">
        <f t="shared" si="16"/>
        <v>911327.3118</v>
      </c>
      <c r="BC618" s="16">
        <f t="shared" si="201"/>
        <v>119717.9929</v>
      </c>
      <c r="BD618" s="12">
        <v>2156.97</v>
      </c>
      <c r="BE618" s="16">
        <f t="shared" si="222"/>
        <v>21402.26</v>
      </c>
      <c r="BF618" s="6"/>
      <c r="BG618" s="6"/>
      <c r="BH618" s="6"/>
      <c r="BI618" s="29">
        <f t="shared" si="216"/>
        <v>65457.69067</v>
      </c>
      <c r="BJ618" s="6"/>
      <c r="BK618" s="15">
        <f t="shared" si="76"/>
        <v>0.6532282084</v>
      </c>
      <c r="BN618" s="16">
        <f t="shared" si="187"/>
        <v>-12335.85067</v>
      </c>
      <c r="BO618" s="16">
        <f t="shared" si="223"/>
        <v>-403027.3013</v>
      </c>
      <c r="BY618" s="6">
        <f t="shared" si="2"/>
        <v>2025</v>
      </c>
      <c r="BZ618" s="6" t="str">
        <f t="shared" si="3"/>
        <v>junio</v>
      </c>
      <c r="CA618" s="6" t="str">
        <f t="shared" si="4"/>
        <v>6</v>
      </c>
    </row>
    <row r="619">
      <c r="A619" s="8">
        <v>45826.0</v>
      </c>
      <c r="B619" s="12">
        <v>20445.0</v>
      </c>
      <c r="C619" s="12">
        <v>4519.83</v>
      </c>
      <c r="D619" s="12">
        <v>0.0</v>
      </c>
      <c r="E619" s="12">
        <v>0.0</v>
      </c>
      <c r="F619" s="12">
        <v>0.0</v>
      </c>
      <c r="G619" s="12">
        <v>0.0</v>
      </c>
      <c r="H619" s="12">
        <f t="shared" si="149"/>
        <v>24964.83</v>
      </c>
      <c r="I619" s="12">
        <f>20789-1136.18+466.28</f>
        <v>20119.1</v>
      </c>
      <c r="J619" s="12">
        <v>1533.16</v>
      </c>
      <c r="K619" s="12">
        <v>0.0</v>
      </c>
      <c r="L619" s="12">
        <v>0.0</v>
      </c>
      <c r="M619" s="12">
        <v>0.0</v>
      </c>
      <c r="N619" s="12">
        <v>0.0</v>
      </c>
      <c r="O619" s="16">
        <f t="shared" si="150"/>
        <v>21652.26</v>
      </c>
      <c r="P619" s="12">
        <f>8591.16-479.17</f>
        <v>8111.99</v>
      </c>
      <c r="Q619" s="12">
        <v>611.4</v>
      </c>
      <c r="R619" s="12">
        <v>0.0</v>
      </c>
      <c r="S619" s="12">
        <v>0.0</v>
      </c>
      <c r="T619" s="12">
        <v>0.0</v>
      </c>
      <c r="U619" s="12">
        <v>0.0</v>
      </c>
      <c r="V619" s="16">
        <f t="shared" si="151"/>
        <v>8723.39</v>
      </c>
      <c r="W619" s="12">
        <v>9145.57</v>
      </c>
      <c r="X619" s="12">
        <v>0.0</v>
      </c>
      <c r="Y619" s="12">
        <v>0.0</v>
      </c>
      <c r="Z619" s="12">
        <v>0.0</v>
      </c>
      <c r="AA619" s="12">
        <v>0.0</v>
      </c>
      <c r="AB619" s="12">
        <v>0.0</v>
      </c>
      <c r="AC619" s="16">
        <f t="shared" si="169"/>
        <v>9145.57</v>
      </c>
      <c r="AD619" s="12">
        <v>8970.09</v>
      </c>
      <c r="AE619" s="12">
        <v>175.48</v>
      </c>
      <c r="AF619" s="12">
        <f>3179.86-166.32</f>
        <v>3013.54</v>
      </c>
      <c r="AG619" s="12">
        <v>649.63</v>
      </c>
      <c r="AH619" s="12">
        <v>0.0</v>
      </c>
      <c r="AI619" s="12">
        <v>0.0</v>
      </c>
      <c r="AJ619" s="12">
        <v>0.0</v>
      </c>
      <c r="AK619" s="12">
        <v>0.0</v>
      </c>
      <c r="AL619" s="12">
        <f t="shared" si="192"/>
        <v>3663.17</v>
      </c>
      <c r="AM619" s="12">
        <v>10719.0</v>
      </c>
      <c r="AN619" s="12">
        <v>0.0</v>
      </c>
      <c r="AO619" s="12">
        <v>0.0</v>
      </c>
      <c r="AP619" s="12">
        <v>0.0</v>
      </c>
      <c r="AQ619" s="12">
        <v>0.0</v>
      </c>
      <c r="AR619" s="12">
        <v>0.0</v>
      </c>
      <c r="AS619" s="12">
        <f t="shared" si="168"/>
        <v>10719</v>
      </c>
      <c r="AT619" s="16">
        <f t="shared" si="227"/>
        <v>53903.39</v>
      </c>
      <c r="AU619" s="18">
        <f t="shared" si="219"/>
        <v>570322.2</v>
      </c>
      <c r="AV619" s="12">
        <f>9821.19-260.93</f>
        <v>9560.26</v>
      </c>
      <c r="AW619" s="10">
        <f t="shared" si="220"/>
        <v>181492.63</v>
      </c>
      <c r="AX619" s="12">
        <f t="shared" si="171"/>
        <v>63463.65</v>
      </c>
      <c r="AY619" s="12">
        <f t="shared" si="208"/>
        <v>775954.07</v>
      </c>
      <c r="AZ619" s="12">
        <v>0.0</v>
      </c>
      <c r="BA619" s="18">
        <f t="shared" si="221"/>
        <v>39220.74</v>
      </c>
      <c r="BB619" s="10">
        <f t="shared" si="16"/>
        <v>950537</v>
      </c>
      <c r="BC619" s="16">
        <f t="shared" si="201"/>
        <v>111736.7933</v>
      </c>
      <c r="BD619" s="12">
        <v>2736.98</v>
      </c>
      <c r="BE619" s="16">
        <f t="shared" si="222"/>
        <v>24139.24</v>
      </c>
      <c r="BF619" s="6"/>
      <c r="BG619" s="6"/>
      <c r="BH619" s="6"/>
      <c r="BI619" s="29">
        <f t="shared" si="216"/>
        <v>65457.69067</v>
      </c>
      <c r="BJ619" s="6"/>
      <c r="BK619" s="15">
        <f t="shared" si="76"/>
        <v>0.8234844439</v>
      </c>
      <c r="BN619" s="16">
        <f t="shared" si="187"/>
        <v>742.9393333</v>
      </c>
      <c r="BO619" s="16">
        <f t="shared" si="223"/>
        <v>-402284.362</v>
      </c>
      <c r="BY619" s="6">
        <f t="shared" si="2"/>
        <v>2025</v>
      </c>
      <c r="BZ619" s="6" t="str">
        <f t="shared" si="3"/>
        <v>junio</v>
      </c>
      <c r="CA619" s="6" t="str">
        <f t="shared" si="4"/>
        <v>6</v>
      </c>
    </row>
    <row r="620">
      <c r="A620" s="8">
        <v>45827.0</v>
      </c>
      <c r="B620" s="12">
        <v>17845.0</v>
      </c>
      <c r="C620" s="12">
        <v>5125.71</v>
      </c>
      <c r="D620" s="12">
        <v>2966.0</v>
      </c>
      <c r="E620" s="12">
        <v>0.0</v>
      </c>
      <c r="F620" s="12">
        <v>0.0</v>
      </c>
      <c r="G620" s="12">
        <v>0.0</v>
      </c>
      <c r="H620" s="12">
        <f t="shared" si="149"/>
        <v>25936.71</v>
      </c>
      <c r="I620" s="12">
        <v>4789.0</v>
      </c>
      <c r="J620" s="12">
        <v>1702.91</v>
      </c>
      <c r="K620" s="12">
        <v>0.0</v>
      </c>
      <c r="L620" s="12">
        <v>0.0</v>
      </c>
      <c r="M620" s="12">
        <v>0.0</v>
      </c>
      <c r="N620" s="12">
        <v>0.0</v>
      </c>
      <c r="O620" s="16">
        <f t="shared" si="150"/>
        <v>6491.91</v>
      </c>
      <c r="P620" s="12">
        <v>1901.96</v>
      </c>
      <c r="Q620" s="12">
        <v>213.28</v>
      </c>
      <c r="R620" s="12">
        <v>0.0</v>
      </c>
      <c r="S620" s="12">
        <v>0.0</v>
      </c>
      <c r="T620" s="12">
        <v>0.0</v>
      </c>
      <c r="U620" s="12">
        <v>0.0</v>
      </c>
      <c r="V620" s="16">
        <f t="shared" si="151"/>
        <v>2115.24</v>
      </c>
      <c r="W620" s="12">
        <v>8.02</v>
      </c>
      <c r="X620" s="12">
        <v>5155.46</v>
      </c>
      <c r="Y620" s="12">
        <v>0.0</v>
      </c>
      <c r="Z620" s="12">
        <v>0.0</v>
      </c>
      <c r="AA620" s="12">
        <v>0.0</v>
      </c>
      <c r="AB620" s="12">
        <v>0.0</v>
      </c>
      <c r="AC620" s="16">
        <f t="shared" si="169"/>
        <v>5163.48</v>
      </c>
      <c r="AD620" s="12">
        <v>5155.46</v>
      </c>
      <c r="AE620" s="12">
        <v>8.02</v>
      </c>
      <c r="AF620" s="12">
        <v>814.16</v>
      </c>
      <c r="AG620" s="12">
        <v>0.0</v>
      </c>
      <c r="AH620" s="12">
        <v>0.0</v>
      </c>
      <c r="AI620" s="12">
        <v>0.0</v>
      </c>
      <c r="AJ620" s="12">
        <v>0.0</v>
      </c>
      <c r="AK620" s="12">
        <v>0.0</v>
      </c>
      <c r="AL620" s="12">
        <f t="shared" si="192"/>
        <v>814.16</v>
      </c>
      <c r="AM620" s="12">
        <v>0.0</v>
      </c>
      <c r="AN620" s="12">
        <v>4160.0</v>
      </c>
      <c r="AO620" s="12">
        <v>0.0</v>
      </c>
      <c r="AP620" s="12">
        <v>0.0</v>
      </c>
      <c r="AQ620" s="12">
        <v>0.0</v>
      </c>
      <c r="AR620" s="12">
        <v>0.0</v>
      </c>
      <c r="AS620" s="12">
        <f t="shared" si="168"/>
        <v>4160</v>
      </c>
      <c r="AT620" s="16">
        <f t="shared" si="227"/>
        <v>18744.79</v>
      </c>
      <c r="AU620" s="18">
        <f t="shared" si="219"/>
        <v>589066.99</v>
      </c>
      <c r="AV620" s="12">
        <v>4266.0</v>
      </c>
      <c r="AW620" s="10">
        <f t="shared" si="220"/>
        <v>185758.63</v>
      </c>
      <c r="AX620" s="12">
        <f t="shared" si="171"/>
        <v>23010.79</v>
      </c>
      <c r="AY620" s="12">
        <f t="shared" si="208"/>
        <v>801375.53</v>
      </c>
      <c r="AZ620" s="12">
        <v>4497.41</v>
      </c>
      <c r="BA620" s="18">
        <f t="shared" si="221"/>
        <v>43718.15</v>
      </c>
      <c r="BB620" s="10">
        <f t="shared" si="16"/>
        <v>930105.7737</v>
      </c>
      <c r="BC620" s="16">
        <f t="shared" si="201"/>
        <v>148018.75</v>
      </c>
      <c r="BD620" s="12">
        <v>2410.67</v>
      </c>
      <c r="BE620" s="16">
        <f t="shared" si="222"/>
        <v>26549.91</v>
      </c>
      <c r="BF620" s="6"/>
      <c r="BG620" s="6"/>
      <c r="BH620" s="6"/>
      <c r="BI620" s="29">
        <f t="shared" si="216"/>
        <v>65457.69067</v>
      </c>
      <c r="BJ620" s="6"/>
      <c r="BK620" s="15">
        <f t="shared" si="76"/>
        <v>0.2863649757</v>
      </c>
      <c r="BN620" s="16">
        <f t="shared" si="187"/>
        <v>-40036.23067</v>
      </c>
      <c r="BO620" s="16">
        <f t="shared" si="223"/>
        <v>-442320.5927</v>
      </c>
      <c r="BY620" s="6">
        <f t="shared" si="2"/>
        <v>2025</v>
      </c>
      <c r="BZ620" s="6" t="str">
        <f t="shared" si="3"/>
        <v>junio</v>
      </c>
      <c r="CA620" s="6" t="str">
        <f t="shared" si="4"/>
        <v>6</v>
      </c>
    </row>
    <row r="621">
      <c r="A621" s="8">
        <v>45828.0</v>
      </c>
      <c r="B621" s="12">
        <v>10745.0</v>
      </c>
      <c r="C621" s="12">
        <v>3485.51</v>
      </c>
      <c r="D621" s="12">
        <v>2477.0</v>
      </c>
      <c r="E621" s="12">
        <v>0.0</v>
      </c>
      <c r="F621" s="12">
        <v>0.0</v>
      </c>
      <c r="G621" s="12">
        <v>0.0</v>
      </c>
      <c r="H621" s="12">
        <f t="shared" si="149"/>
        <v>16707.51</v>
      </c>
      <c r="I621" s="12">
        <v>6000.08</v>
      </c>
      <c r="J621" s="12">
        <v>1444.2</v>
      </c>
      <c r="K621" s="12">
        <v>0.0</v>
      </c>
      <c r="L621" s="12">
        <v>0.0</v>
      </c>
      <c r="M621" s="12">
        <v>0.0</v>
      </c>
      <c r="N621" s="12">
        <v>0.0</v>
      </c>
      <c r="O621" s="16">
        <f t="shared" si="150"/>
        <v>7444.28</v>
      </c>
      <c r="P621" s="12">
        <f>4257.23+479.16</f>
        <v>4736.39</v>
      </c>
      <c r="Q621" s="12">
        <v>616.66</v>
      </c>
      <c r="R621" s="12">
        <v>0.0</v>
      </c>
      <c r="S621" s="12">
        <v>0.0</v>
      </c>
      <c r="T621" s="12">
        <v>0.0</v>
      </c>
      <c r="U621" s="12">
        <v>0.0</v>
      </c>
      <c r="V621" s="16">
        <f t="shared" si="151"/>
        <v>5353.05</v>
      </c>
      <c r="W621" s="12">
        <v>4117.73</v>
      </c>
      <c r="X621" s="12">
        <v>550.0</v>
      </c>
      <c r="Y621" s="12">
        <v>0.0</v>
      </c>
      <c r="Z621" s="12">
        <v>0.0</v>
      </c>
      <c r="AA621" s="12">
        <v>0.0</v>
      </c>
      <c r="AB621" s="12">
        <v>0.0</v>
      </c>
      <c r="AC621" s="16">
        <f t="shared" si="169"/>
        <v>4667.73</v>
      </c>
      <c r="AD621" s="12">
        <v>3753.38</v>
      </c>
      <c r="AE621" s="12">
        <v>914.35</v>
      </c>
      <c r="AF621" s="12">
        <v>0.0</v>
      </c>
      <c r="AG621" s="12">
        <v>500.0</v>
      </c>
      <c r="AH621" s="12">
        <v>0.0</v>
      </c>
      <c r="AI621" s="12">
        <v>0.0</v>
      </c>
      <c r="AJ621" s="12">
        <v>0.0</v>
      </c>
      <c r="AK621" s="12">
        <v>0.0</v>
      </c>
      <c r="AL621" s="12">
        <f t="shared" si="192"/>
        <v>500</v>
      </c>
      <c r="AM621" s="12">
        <v>0.0</v>
      </c>
      <c r="AN621" s="12">
        <v>0.0</v>
      </c>
      <c r="AO621" s="12">
        <v>0.0</v>
      </c>
      <c r="AP621" s="12">
        <v>0.0</v>
      </c>
      <c r="AQ621" s="12">
        <v>0.0</v>
      </c>
      <c r="AR621" s="12">
        <v>0.0</v>
      </c>
      <c r="AS621" s="12">
        <f t="shared" si="168"/>
        <v>0</v>
      </c>
      <c r="AT621" s="16">
        <f t="shared" si="227"/>
        <v>17965.06</v>
      </c>
      <c r="AU621" s="18">
        <f t="shared" si="219"/>
        <v>607032.05</v>
      </c>
      <c r="AV621" s="12">
        <f>7179.36+260.93</f>
        <v>7440.29</v>
      </c>
      <c r="AW621" s="10">
        <f t="shared" si="220"/>
        <v>193198.92</v>
      </c>
      <c r="AX621" s="12">
        <f t="shared" si="171"/>
        <v>25405.35</v>
      </c>
      <c r="AY621" s="12">
        <f t="shared" si="208"/>
        <v>826780.88</v>
      </c>
      <c r="AZ621" s="12">
        <v>1146.92</v>
      </c>
      <c r="BA621" s="18">
        <f t="shared" si="221"/>
        <v>44865.07</v>
      </c>
      <c r="BB621" s="10">
        <f t="shared" si="16"/>
        <v>910548.075</v>
      </c>
      <c r="BC621" s="16">
        <f t="shared" si="201"/>
        <v>151887.8853</v>
      </c>
      <c r="BD621" s="12">
        <v>0.0</v>
      </c>
      <c r="BE621" s="16">
        <f t="shared" si="222"/>
        <v>26549.91</v>
      </c>
      <c r="BF621" s="6"/>
      <c r="BG621" s="6"/>
      <c r="BH621" s="6"/>
      <c r="BI621" s="29">
        <f t="shared" si="216"/>
        <v>65457.69067</v>
      </c>
      <c r="BJ621" s="6"/>
      <c r="BK621" s="15">
        <f t="shared" si="76"/>
        <v>0.2744530065</v>
      </c>
      <c r="BN621" s="16">
        <f t="shared" si="187"/>
        <v>-40052.34067</v>
      </c>
      <c r="BO621" s="16">
        <f t="shared" si="223"/>
        <v>-482372.9333</v>
      </c>
      <c r="BY621" s="6">
        <f t="shared" si="2"/>
        <v>2025</v>
      </c>
      <c r="BZ621" s="6" t="str">
        <f t="shared" si="3"/>
        <v>junio</v>
      </c>
      <c r="CA621" s="6" t="str">
        <f t="shared" si="4"/>
        <v>6</v>
      </c>
    </row>
    <row r="622">
      <c r="A622" s="8">
        <v>45829.0</v>
      </c>
      <c r="B622" s="12">
        <v>0.0</v>
      </c>
      <c r="C622" s="12">
        <v>0.0</v>
      </c>
      <c r="D622" s="12">
        <v>0.0</v>
      </c>
      <c r="E622" s="12">
        <v>0.0</v>
      </c>
      <c r="F622" s="12">
        <v>0.0</v>
      </c>
      <c r="G622" s="12">
        <v>0.0</v>
      </c>
      <c r="H622" s="12">
        <f t="shared" si="149"/>
        <v>0</v>
      </c>
      <c r="I622" s="12">
        <v>0.0</v>
      </c>
      <c r="J622" s="12">
        <v>0.0</v>
      </c>
      <c r="K622" s="12">
        <v>0.0</v>
      </c>
      <c r="L622" s="12">
        <v>0.0</v>
      </c>
      <c r="M622" s="12">
        <v>0.0</v>
      </c>
      <c r="N622" s="12">
        <v>0.0</v>
      </c>
      <c r="O622" s="16">
        <f t="shared" si="150"/>
        <v>0</v>
      </c>
      <c r="P622" s="12">
        <v>0.0</v>
      </c>
      <c r="Q622" s="12">
        <v>0.0</v>
      </c>
      <c r="R622" s="12">
        <v>0.0</v>
      </c>
      <c r="S622" s="12">
        <v>0.0</v>
      </c>
      <c r="T622" s="12">
        <v>0.0</v>
      </c>
      <c r="U622" s="12">
        <v>0.0</v>
      </c>
      <c r="V622" s="16">
        <f t="shared" si="151"/>
        <v>0</v>
      </c>
      <c r="W622" s="12">
        <v>0.0</v>
      </c>
      <c r="X622" s="12">
        <v>0.0</v>
      </c>
      <c r="Y622" s="12">
        <v>0.0</v>
      </c>
      <c r="Z622" s="12">
        <v>0.0</v>
      </c>
      <c r="AA622" s="12">
        <v>0.0</v>
      </c>
      <c r="AB622" s="12">
        <v>0.0</v>
      </c>
      <c r="AC622" s="16">
        <f t="shared" si="169"/>
        <v>0</v>
      </c>
      <c r="AD622" s="12">
        <v>0.0</v>
      </c>
      <c r="AE622" s="12">
        <v>0.0</v>
      </c>
      <c r="AF622" s="12">
        <v>0.0</v>
      </c>
      <c r="AG622" s="12">
        <v>0.0</v>
      </c>
      <c r="AH622" s="12">
        <v>0.0</v>
      </c>
      <c r="AI622" s="12">
        <v>0.0</v>
      </c>
      <c r="AJ622" s="12">
        <v>0.0</v>
      </c>
      <c r="AK622" s="12">
        <v>0.0</v>
      </c>
      <c r="AL622" s="12">
        <f t="shared" si="192"/>
        <v>0</v>
      </c>
      <c r="AM622" s="12">
        <v>0.0</v>
      </c>
      <c r="AN622" s="12">
        <v>0.0</v>
      </c>
      <c r="AO622" s="12">
        <v>0.0</v>
      </c>
      <c r="AP622" s="12">
        <v>0.0</v>
      </c>
      <c r="AQ622" s="12">
        <v>0.0</v>
      </c>
      <c r="AR622" s="12">
        <v>0.0</v>
      </c>
      <c r="AS622" s="12">
        <f t="shared" si="168"/>
        <v>0</v>
      </c>
      <c r="AT622" s="16">
        <f t="shared" ref="AT622:AT623" si="228">IF(AS622+AL622+AC622+V622+O622="","",AS622+AL622+AC622+V622+O622)</f>
        <v>0</v>
      </c>
      <c r="AU622" s="18">
        <f t="shared" si="219"/>
        <v>607032.05</v>
      </c>
      <c r="AV622" s="12">
        <v>0.0</v>
      </c>
      <c r="AW622" s="10">
        <f t="shared" si="220"/>
        <v>193198.92</v>
      </c>
      <c r="AX622" s="12">
        <f t="shared" si="171"/>
        <v>0</v>
      </c>
      <c r="AY622" s="12">
        <f t="shared" si="208"/>
        <v>826780.88</v>
      </c>
      <c r="AZ622" s="12">
        <v>0.0</v>
      </c>
      <c r="BA622" s="18">
        <f t="shared" si="221"/>
        <v>44865.07</v>
      </c>
      <c r="BB622" s="10">
        <f t="shared" si="16"/>
        <v>867188.6429</v>
      </c>
      <c r="BC622" s="16">
        <f t="shared" si="201"/>
        <v>158422.8333</v>
      </c>
      <c r="BD622" s="12">
        <v>0.0</v>
      </c>
      <c r="BE622" s="16">
        <f t="shared" si="222"/>
        <v>26549.91</v>
      </c>
      <c r="BF622" s="6"/>
      <c r="BG622" s="6"/>
      <c r="BH622" s="6"/>
      <c r="BI622" s="29">
        <f t="shared" si="216"/>
        <v>65457.69067</v>
      </c>
      <c r="BJ622" s="6"/>
      <c r="BK622" s="15">
        <f t="shared" si="76"/>
        <v>0</v>
      </c>
      <c r="BN622" s="16">
        <f t="shared" si="187"/>
        <v>-65457.69067</v>
      </c>
      <c r="BO622" s="16">
        <f t="shared" si="223"/>
        <v>-547830.624</v>
      </c>
      <c r="BY622" s="6">
        <f t="shared" si="2"/>
        <v>2025</v>
      </c>
      <c r="BZ622" s="6" t="str">
        <f t="shared" si="3"/>
        <v>junio</v>
      </c>
      <c r="CA622" s="6" t="str">
        <f t="shared" si="4"/>
        <v>6</v>
      </c>
    </row>
    <row r="623">
      <c r="A623" s="8">
        <v>45830.0</v>
      </c>
      <c r="B623" s="12">
        <v>0.0</v>
      </c>
      <c r="C623" s="12">
        <v>0.0</v>
      </c>
      <c r="D623" s="12">
        <v>0.0</v>
      </c>
      <c r="E623" s="12">
        <v>0.0</v>
      </c>
      <c r="F623" s="12">
        <v>0.0</v>
      </c>
      <c r="G623" s="12">
        <v>0.0</v>
      </c>
      <c r="H623" s="12">
        <f t="shared" si="149"/>
        <v>0</v>
      </c>
      <c r="I623" s="12">
        <v>0.0</v>
      </c>
      <c r="J623" s="12">
        <v>0.0</v>
      </c>
      <c r="K623" s="12">
        <v>0.0</v>
      </c>
      <c r="L623" s="12">
        <v>0.0</v>
      </c>
      <c r="M623" s="12">
        <v>0.0</v>
      </c>
      <c r="N623" s="12">
        <v>0.0</v>
      </c>
      <c r="O623" s="16">
        <f t="shared" si="150"/>
        <v>0</v>
      </c>
      <c r="P623" s="12">
        <v>0.0</v>
      </c>
      <c r="Q623" s="12">
        <v>0.0</v>
      </c>
      <c r="R623" s="12">
        <v>0.0</v>
      </c>
      <c r="S623" s="12">
        <v>0.0</v>
      </c>
      <c r="T623" s="12">
        <v>0.0</v>
      </c>
      <c r="U623" s="12">
        <v>0.0</v>
      </c>
      <c r="V623" s="16">
        <f t="shared" si="151"/>
        <v>0</v>
      </c>
      <c r="W623" s="12">
        <v>0.0</v>
      </c>
      <c r="X623" s="12">
        <v>0.0</v>
      </c>
      <c r="Y623" s="12">
        <v>0.0</v>
      </c>
      <c r="Z623" s="12">
        <v>0.0</v>
      </c>
      <c r="AA623" s="12">
        <v>0.0</v>
      </c>
      <c r="AB623" s="12">
        <v>0.0</v>
      </c>
      <c r="AC623" s="16">
        <f t="shared" si="169"/>
        <v>0</v>
      </c>
      <c r="AD623" s="12">
        <v>0.0</v>
      </c>
      <c r="AE623" s="12">
        <v>0.0</v>
      </c>
      <c r="AF623" s="12">
        <v>0.0</v>
      </c>
      <c r="AG623" s="12">
        <v>0.0</v>
      </c>
      <c r="AH623" s="12">
        <v>0.0</v>
      </c>
      <c r="AI623" s="12">
        <v>0.0</v>
      </c>
      <c r="AJ623" s="12">
        <v>0.0</v>
      </c>
      <c r="AK623" s="12">
        <v>0.0</v>
      </c>
      <c r="AL623" s="12">
        <f t="shared" si="192"/>
        <v>0</v>
      </c>
      <c r="AM623" s="12">
        <v>0.0</v>
      </c>
      <c r="AN623" s="12">
        <v>0.0</v>
      </c>
      <c r="AO623" s="12">
        <v>0.0</v>
      </c>
      <c r="AP623" s="12">
        <v>0.0</v>
      </c>
      <c r="AQ623" s="12">
        <v>0.0</v>
      </c>
      <c r="AR623" s="12">
        <v>0.0</v>
      </c>
      <c r="AS623" s="12">
        <f t="shared" si="168"/>
        <v>0</v>
      </c>
      <c r="AT623" s="16">
        <f t="shared" si="228"/>
        <v>0</v>
      </c>
      <c r="AU623" s="18">
        <f t="shared" si="219"/>
        <v>607032.05</v>
      </c>
      <c r="AV623" s="12">
        <v>0.0</v>
      </c>
      <c r="AW623" s="10">
        <f t="shared" si="220"/>
        <v>193198.92</v>
      </c>
      <c r="AX623" s="12">
        <f t="shared" si="171"/>
        <v>0</v>
      </c>
      <c r="AY623" s="12">
        <f t="shared" si="208"/>
        <v>826780.88</v>
      </c>
      <c r="AZ623" s="12">
        <v>0.0</v>
      </c>
      <c r="BA623" s="18">
        <f t="shared" si="221"/>
        <v>44865.07</v>
      </c>
      <c r="BB623" s="10">
        <f t="shared" si="16"/>
        <v>827770.9773</v>
      </c>
      <c r="BC623" s="16">
        <f t="shared" si="201"/>
        <v>155017.6289</v>
      </c>
      <c r="BD623" s="12">
        <v>0.0</v>
      </c>
      <c r="BE623" s="16">
        <f t="shared" si="222"/>
        <v>26549.91</v>
      </c>
      <c r="BF623" s="6"/>
      <c r="BG623" s="6"/>
      <c r="BH623" s="6"/>
      <c r="BI623" s="29">
        <f t="shared" si="216"/>
        <v>65457.69067</v>
      </c>
      <c r="BJ623" s="6"/>
      <c r="BK623" s="15">
        <f t="shared" si="76"/>
        <v>0</v>
      </c>
      <c r="BN623" s="16">
        <f t="shared" si="187"/>
        <v>-65457.69067</v>
      </c>
      <c r="BO623" s="16">
        <f t="shared" si="223"/>
        <v>-613288.3147</v>
      </c>
      <c r="BY623" s="6">
        <f t="shared" si="2"/>
        <v>2025</v>
      </c>
      <c r="BZ623" s="6" t="str">
        <f t="shared" si="3"/>
        <v>junio</v>
      </c>
      <c r="CA623" s="6" t="str">
        <f t="shared" si="4"/>
        <v>6</v>
      </c>
    </row>
    <row r="624">
      <c r="A624" s="8">
        <v>45831.0</v>
      </c>
      <c r="B624" s="12">
        <v>16807.72</v>
      </c>
      <c r="C624" s="12">
        <v>0.0</v>
      </c>
      <c r="D624" s="12">
        <v>0.0</v>
      </c>
      <c r="E624" s="12">
        <v>0.0</v>
      </c>
      <c r="F624" s="12">
        <v>0.0</v>
      </c>
      <c r="G624" s="12">
        <v>0.0</v>
      </c>
      <c r="H624" s="12">
        <f t="shared" si="149"/>
        <v>16807.72</v>
      </c>
      <c r="I624" s="12">
        <v>5200.19</v>
      </c>
      <c r="J624" s="12">
        <v>0.0</v>
      </c>
      <c r="K624" s="12">
        <v>0.0</v>
      </c>
      <c r="L624" s="12">
        <v>0.0</v>
      </c>
      <c r="M624" s="12">
        <v>0.0</v>
      </c>
      <c r="N624" s="12">
        <v>0.0</v>
      </c>
      <c r="O624" s="16">
        <f t="shared" si="150"/>
        <v>5200.19</v>
      </c>
      <c r="P624" s="12">
        <v>4320.46</v>
      </c>
      <c r="Q624" s="12">
        <v>0.0</v>
      </c>
      <c r="R624" s="12">
        <v>0.0</v>
      </c>
      <c r="S624" s="12">
        <v>0.0</v>
      </c>
      <c r="T624" s="12">
        <v>0.0</v>
      </c>
      <c r="U624" s="12">
        <v>0.0</v>
      </c>
      <c r="V624" s="16">
        <f t="shared" si="151"/>
        <v>4320.46</v>
      </c>
      <c r="W624" s="12">
        <v>9899.19</v>
      </c>
      <c r="X624" s="12">
        <v>0.0</v>
      </c>
      <c r="Y624" s="12">
        <v>0.0</v>
      </c>
      <c r="Z624" s="12">
        <v>0.0</v>
      </c>
      <c r="AA624" s="12">
        <v>0.0</v>
      </c>
      <c r="AB624" s="12">
        <v>0.0</v>
      </c>
      <c r="AC624" s="16">
        <f t="shared" si="169"/>
        <v>9899.19</v>
      </c>
      <c r="AD624" s="12">
        <v>9797.13</v>
      </c>
      <c r="AE624" s="12">
        <v>102.06</v>
      </c>
      <c r="AF624" s="12">
        <v>703.78</v>
      </c>
      <c r="AG624" s="12">
        <v>0.0</v>
      </c>
      <c r="AH624" s="12">
        <v>0.0</v>
      </c>
      <c r="AI624" s="12">
        <v>0.0</v>
      </c>
      <c r="AJ624" s="12">
        <v>0.0</v>
      </c>
      <c r="AK624" s="12">
        <v>0.0</v>
      </c>
      <c r="AL624" s="12">
        <f t="shared" si="192"/>
        <v>703.78</v>
      </c>
      <c r="AM624" s="12">
        <v>12079.0</v>
      </c>
      <c r="AN624" s="12">
        <v>0.0</v>
      </c>
      <c r="AO624" s="12">
        <v>0.0</v>
      </c>
      <c r="AP624" s="12">
        <v>0.0</v>
      </c>
      <c r="AQ624" s="12">
        <v>0.0</v>
      </c>
      <c r="AR624" s="12">
        <v>0.0</v>
      </c>
      <c r="AS624" s="12">
        <f t="shared" si="168"/>
        <v>12079</v>
      </c>
      <c r="AT624" s="16">
        <f t="shared" ref="AT624:AT628" si="229">IF(AS624+AL624+AC624+V624+O624=0,"",AS624+AL624+AC624+V624+O624)</f>
        <v>32202.62</v>
      </c>
      <c r="AU624" s="18">
        <f t="shared" si="219"/>
        <v>639234.67</v>
      </c>
      <c r="AV624" s="12">
        <v>9383.46</v>
      </c>
      <c r="AW624" s="10">
        <f t="shared" si="220"/>
        <v>202582.38</v>
      </c>
      <c r="AX624" s="12">
        <f t="shared" si="171"/>
        <v>41586.08</v>
      </c>
      <c r="AY624" s="12">
        <f t="shared" si="208"/>
        <v>871388.81</v>
      </c>
      <c r="AZ624" s="12">
        <v>548.73</v>
      </c>
      <c r="BA624" s="18">
        <f t="shared" si="221"/>
        <v>45413.8</v>
      </c>
      <c r="BB624" s="10">
        <f t="shared" si="16"/>
        <v>833784.3522</v>
      </c>
      <c r="BC624" s="16">
        <f t="shared" si="201"/>
        <v>151758.0125</v>
      </c>
      <c r="BD624" s="12">
        <v>3021.85</v>
      </c>
      <c r="BE624" s="16">
        <f t="shared" si="222"/>
        <v>29571.76</v>
      </c>
      <c r="BF624" s="6"/>
      <c r="BG624" s="6"/>
      <c r="BH624" s="6"/>
      <c r="BI624" s="29">
        <f t="shared" si="216"/>
        <v>65457.69067</v>
      </c>
      <c r="BJ624" s="6"/>
      <c r="BK624" s="15">
        <f t="shared" si="76"/>
        <v>0.4919608326</v>
      </c>
      <c r="BN624" s="16">
        <f t="shared" si="187"/>
        <v>-20849.76067</v>
      </c>
      <c r="BO624" s="16">
        <f t="shared" si="223"/>
        <v>-634138.0753</v>
      </c>
      <c r="BY624" s="6">
        <f t="shared" si="2"/>
        <v>2025</v>
      </c>
      <c r="BZ624" s="6" t="str">
        <f t="shared" si="3"/>
        <v>junio</v>
      </c>
      <c r="CA624" s="6" t="str">
        <f t="shared" si="4"/>
        <v>6</v>
      </c>
    </row>
    <row r="625">
      <c r="A625" s="8">
        <v>45832.0</v>
      </c>
      <c r="B625" s="12">
        <v>7456.0</v>
      </c>
      <c r="C625" s="12">
        <v>2348.09</v>
      </c>
      <c r="D625" s="12">
        <v>1300.0</v>
      </c>
      <c r="E625" s="12">
        <v>0.0</v>
      </c>
      <c r="F625" s="12">
        <v>0.0</v>
      </c>
      <c r="G625" s="12">
        <v>0.0</v>
      </c>
      <c r="H625" s="12">
        <f t="shared" si="149"/>
        <v>11104.09</v>
      </c>
      <c r="I625" s="12">
        <v>7648.0</v>
      </c>
      <c r="J625" s="12">
        <v>1042.29</v>
      </c>
      <c r="K625" s="12">
        <v>0.0</v>
      </c>
      <c r="L625" s="12">
        <v>0.0</v>
      </c>
      <c r="M625" s="12">
        <v>0.0</v>
      </c>
      <c r="N625" s="12">
        <v>0.0</v>
      </c>
      <c r="O625" s="16">
        <f t="shared" si="150"/>
        <v>8690.29</v>
      </c>
      <c r="P625" s="12">
        <v>1805.86</v>
      </c>
      <c r="Q625" s="12">
        <v>314.59</v>
      </c>
      <c r="R625" s="12">
        <v>0.0</v>
      </c>
      <c r="S625" s="12">
        <v>0.0</v>
      </c>
      <c r="T625" s="12">
        <v>0.0</v>
      </c>
      <c r="U625" s="12">
        <v>0.0</v>
      </c>
      <c r="V625" s="16">
        <f t="shared" si="151"/>
        <v>2120.45</v>
      </c>
      <c r="W625" s="12">
        <f>3239.57+203.9</f>
        <v>3443.47</v>
      </c>
      <c r="X625" s="12">
        <v>0.0</v>
      </c>
      <c r="Y625" s="12">
        <v>3649.93</v>
      </c>
      <c r="Z625" s="12">
        <v>0.0</v>
      </c>
      <c r="AA625" s="12">
        <v>0.0</v>
      </c>
      <c r="AB625" s="12">
        <v>0.0</v>
      </c>
      <c r="AC625" s="16">
        <f t="shared" si="169"/>
        <v>7093.4</v>
      </c>
      <c r="AD625" s="12">
        <v>6889.5</v>
      </c>
      <c r="AE625" s="12">
        <f>AC625-AD625</f>
        <v>203.9</v>
      </c>
      <c r="AF625" s="12">
        <v>364.06</v>
      </c>
      <c r="AG625" s="12">
        <v>0.0</v>
      </c>
      <c r="AH625" s="12">
        <v>0.0</v>
      </c>
      <c r="AI625" s="12">
        <v>0.0</v>
      </c>
      <c r="AJ625" s="12">
        <v>0.0</v>
      </c>
      <c r="AK625" s="12">
        <v>0.0</v>
      </c>
      <c r="AL625" s="12">
        <f t="shared" si="192"/>
        <v>364.06</v>
      </c>
      <c r="AM625" s="12">
        <v>3904.0</v>
      </c>
      <c r="AN625" s="12">
        <v>0.0</v>
      </c>
      <c r="AO625" s="12">
        <v>5619.0</v>
      </c>
      <c r="AP625" s="12">
        <v>0.0</v>
      </c>
      <c r="AQ625" s="12">
        <v>0.0</v>
      </c>
      <c r="AR625" s="12">
        <v>0.0</v>
      </c>
      <c r="AS625" s="12">
        <f t="shared" si="168"/>
        <v>9523</v>
      </c>
      <c r="AT625" s="16">
        <f t="shared" si="229"/>
        <v>27791.2</v>
      </c>
      <c r="AU625" s="18">
        <f t="shared" si="219"/>
        <v>667025.87</v>
      </c>
      <c r="AV625" s="12">
        <v>2315.37</v>
      </c>
      <c r="AW625" s="10">
        <f t="shared" si="220"/>
        <v>204897.75</v>
      </c>
      <c r="AX625" s="12">
        <f t="shared" si="171"/>
        <v>30106.57</v>
      </c>
      <c r="AY625" s="12">
        <f t="shared" si="208"/>
        <v>904278.16</v>
      </c>
      <c r="AZ625" s="12">
        <v>1602.11</v>
      </c>
      <c r="BA625" s="18">
        <f t="shared" si="221"/>
        <v>47015.91</v>
      </c>
      <c r="BB625" s="10">
        <f t="shared" si="16"/>
        <v>833782.3375</v>
      </c>
      <c r="BC625" s="16">
        <f t="shared" si="201"/>
        <v>144531.4405</v>
      </c>
      <c r="BD625" s="12">
        <v>2782.78</v>
      </c>
      <c r="BE625" s="16">
        <f t="shared" si="222"/>
        <v>32354.54</v>
      </c>
      <c r="BF625" s="6"/>
      <c r="BG625" s="6"/>
      <c r="BH625" s="6"/>
      <c r="BI625" s="29">
        <f t="shared" si="216"/>
        <v>65457.69067</v>
      </c>
      <c r="BJ625" s="6"/>
      <c r="BK625" s="15">
        <f t="shared" si="76"/>
        <v>0.4245673765</v>
      </c>
      <c r="BN625" s="16">
        <f t="shared" si="187"/>
        <v>-32568.34067</v>
      </c>
      <c r="BO625" s="16">
        <f t="shared" si="223"/>
        <v>-666706.416</v>
      </c>
      <c r="BY625" s="6">
        <f t="shared" si="2"/>
        <v>2025</v>
      </c>
      <c r="BZ625" s="6" t="str">
        <f t="shared" si="3"/>
        <v>junio</v>
      </c>
      <c r="CA625" s="6" t="str">
        <f t="shared" si="4"/>
        <v>6</v>
      </c>
    </row>
    <row r="626">
      <c r="A626" s="8">
        <v>45833.0</v>
      </c>
      <c r="B626" s="12">
        <v>10762.0</v>
      </c>
      <c r="C626" s="12">
        <v>1999.0</v>
      </c>
      <c r="D626" s="12">
        <v>1594.32</v>
      </c>
      <c r="E626" s="12">
        <v>0.0</v>
      </c>
      <c r="F626" s="12">
        <v>0.0</v>
      </c>
      <c r="G626" s="12">
        <v>0.0</v>
      </c>
      <c r="H626" s="12">
        <f t="shared" si="149"/>
        <v>14355.32</v>
      </c>
      <c r="I626" s="12">
        <v>7456.3</v>
      </c>
      <c r="J626" s="12">
        <v>1462.79</v>
      </c>
      <c r="K626" s="12">
        <v>1110.2</v>
      </c>
      <c r="L626" s="12">
        <v>0.0</v>
      </c>
      <c r="M626" s="12">
        <v>0.0</v>
      </c>
      <c r="N626" s="12">
        <v>0.0</v>
      </c>
      <c r="O626" s="16">
        <f t="shared" si="150"/>
        <v>10029.29</v>
      </c>
      <c r="P626" s="12">
        <v>3900.54</v>
      </c>
      <c r="Q626" s="12">
        <v>239.19</v>
      </c>
      <c r="R626" s="12">
        <v>424.26</v>
      </c>
      <c r="S626" s="12">
        <v>0.0</v>
      </c>
      <c r="T626" s="12">
        <v>0.0</v>
      </c>
      <c r="U626" s="12">
        <v>0.0</v>
      </c>
      <c r="V626" s="16">
        <f t="shared" si="151"/>
        <v>4563.99</v>
      </c>
      <c r="W626" s="12">
        <v>2073.01</v>
      </c>
      <c r="X626" s="12">
        <v>0.0</v>
      </c>
      <c r="Y626" s="12">
        <v>0.0</v>
      </c>
      <c r="Z626" s="12">
        <v>0.0</v>
      </c>
      <c r="AA626" s="12">
        <v>0.0</v>
      </c>
      <c r="AB626" s="12">
        <v>0.0</v>
      </c>
      <c r="AC626" s="16">
        <f t="shared" si="169"/>
        <v>2073.01</v>
      </c>
      <c r="AD626" s="12">
        <v>2071.25</v>
      </c>
      <c r="AE626" s="12">
        <v>1.76</v>
      </c>
      <c r="AF626" s="12">
        <v>601.85</v>
      </c>
      <c r="AG626" s="12">
        <v>1207.46</v>
      </c>
      <c r="AH626" s="12">
        <v>0.0</v>
      </c>
      <c r="AI626" s="12">
        <v>0.0</v>
      </c>
      <c r="AJ626" s="12">
        <v>0.0</v>
      </c>
      <c r="AK626" s="12">
        <v>0.0</v>
      </c>
      <c r="AL626" s="12">
        <f t="shared" si="192"/>
        <v>1809.31</v>
      </c>
      <c r="AM626" s="12">
        <v>1815.0</v>
      </c>
      <c r="AN626" s="12">
        <v>0.0</v>
      </c>
      <c r="AO626" s="12">
        <v>0.0</v>
      </c>
      <c r="AP626" s="12">
        <v>0.0</v>
      </c>
      <c r="AQ626" s="12">
        <v>0.0</v>
      </c>
      <c r="AR626" s="12">
        <v>0.0</v>
      </c>
      <c r="AS626" s="12">
        <f t="shared" si="168"/>
        <v>1815</v>
      </c>
      <c r="AT626" s="16">
        <f t="shared" si="229"/>
        <v>20290.6</v>
      </c>
      <c r="AU626" s="18">
        <f t="shared" si="219"/>
        <v>687316.47</v>
      </c>
      <c r="AV626" s="12">
        <v>12074.52</v>
      </c>
      <c r="AW626" s="10">
        <f t="shared" si="220"/>
        <v>216972.27</v>
      </c>
      <c r="AX626" s="12">
        <f t="shared" si="171"/>
        <v>32365.12</v>
      </c>
      <c r="AY626" s="12">
        <f t="shared" si="208"/>
        <v>937504.21</v>
      </c>
      <c r="AZ626" s="12">
        <v>130.8</v>
      </c>
      <c r="BA626" s="18">
        <f t="shared" si="221"/>
        <v>47146.71</v>
      </c>
      <c r="BB626" s="10">
        <f t="shared" si="16"/>
        <v>824779.764</v>
      </c>
      <c r="BC626" s="16">
        <f t="shared" si="201"/>
        <v>137961.8295</v>
      </c>
      <c r="BD626" s="12">
        <v>860.93</v>
      </c>
      <c r="BE626" s="16">
        <f t="shared" si="222"/>
        <v>33215.47</v>
      </c>
      <c r="BF626" s="6"/>
      <c r="BG626" s="6"/>
      <c r="BH626" s="6"/>
      <c r="BI626" s="29">
        <f t="shared" si="216"/>
        <v>65457.69067</v>
      </c>
      <c r="BJ626" s="6"/>
      <c r="BK626" s="15">
        <f t="shared" si="76"/>
        <v>0.3099803826</v>
      </c>
      <c r="BN626" s="16">
        <f t="shared" si="187"/>
        <v>-32231.64067</v>
      </c>
      <c r="BO626" s="16">
        <f t="shared" si="223"/>
        <v>-698938.0567</v>
      </c>
      <c r="BY626" s="6">
        <f t="shared" si="2"/>
        <v>2025</v>
      </c>
      <c r="BZ626" s="6" t="str">
        <f t="shared" si="3"/>
        <v>junio</v>
      </c>
      <c r="CA626" s="6" t="str">
        <f t="shared" si="4"/>
        <v>6</v>
      </c>
    </row>
    <row r="627">
      <c r="A627" s="8">
        <v>45834.0</v>
      </c>
      <c r="B627" s="12">
        <v>11456.0</v>
      </c>
      <c r="C627" s="12">
        <v>4823.99</v>
      </c>
      <c r="D627" s="12">
        <v>0.0</v>
      </c>
      <c r="E627" s="12">
        <v>0.0</v>
      </c>
      <c r="F627" s="12">
        <v>0.0</v>
      </c>
      <c r="G627" s="12">
        <v>0.0</v>
      </c>
      <c r="H627" s="12">
        <f t="shared" si="149"/>
        <v>16279.99</v>
      </c>
      <c r="I627" s="12">
        <v>7866.0</v>
      </c>
      <c r="J627" s="12">
        <v>1395.24</v>
      </c>
      <c r="K627" s="12">
        <v>0.0</v>
      </c>
      <c r="L627" s="12">
        <v>0.0</v>
      </c>
      <c r="M627" s="12">
        <v>0.0</v>
      </c>
      <c r="N627" s="12">
        <v>0.0</v>
      </c>
      <c r="O627" s="16">
        <f t="shared" si="150"/>
        <v>9261.24</v>
      </c>
      <c r="P627" s="12">
        <v>4783.7</v>
      </c>
      <c r="Q627" s="12">
        <v>634.12</v>
      </c>
      <c r="R627" s="12">
        <v>0.0</v>
      </c>
      <c r="S627" s="12">
        <v>0.0</v>
      </c>
      <c r="T627" s="12">
        <v>0.0</v>
      </c>
      <c r="U627" s="12">
        <v>0.0</v>
      </c>
      <c r="V627" s="16">
        <f t="shared" si="151"/>
        <v>5417.82</v>
      </c>
      <c r="W627" s="12">
        <v>0.052</v>
      </c>
      <c r="X627" s="12">
        <v>0.0</v>
      </c>
      <c r="Y627" s="12">
        <v>0.0</v>
      </c>
      <c r="Z627" s="12">
        <v>0.0</v>
      </c>
      <c r="AA627" s="12">
        <v>0.0</v>
      </c>
      <c r="AB627" s="12">
        <v>0.0</v>
      </c>
      <c r="AC627" s="16">
        <f t="shared" si="169"/>
        <v>0.052</v>
      </c>
      <c r="AD627" s="12">
        <v>0.0</v>
      </c>
      <c r="AE627" s="12">
        <v>0.05</v>
      </c>
      <c r="AF627" s="12">
        <v>4469.31</v>
      </c>
      <c r="AG627" s="12">
        <v>0.0</v>
      </c>
      <c r="AH627" s="12">
        <v>0.0</v>
      </c>
      <c r="AI627" s="12">
        <v>0.0</v>
      </c>
      <c r="AJ627" s="12">
        <v>0.0</v>
      </c>
      <c r="AK627" s="12">
        <v>0.0</v>
      </c>
      <c r="AL627" s="12">
        <f t="shared" si="192"/>
        <v>4469.31</v>
      </c>
      <c r="AM627" s="12">
        <v>0.0</v>
      </c>
      <c r="AN627" s="12">
        <v>0.0</v>
      </c>
      <c r="AO627" s="12">
        <v>0.0</v>
      </c>
      <c r="AP627" s="12">
        <v>0.0</v>
      </c>
      <c r="AQ627" s="12">
        <v>0.0</v>
      </c>
      <c r="AR627" s="12">
        <v>0.0</v>
      </c>
      <c r="AS627" s="12">
        <f t="shared" si="168"/>
        <v>0</v>
      </c>
      <c r="AT627" s="16">
        <f t="shared" si="229"/>
        <v>19148.422</v>
      </c>
      <c r="AU627" s="18">
        <f t="shared" si="219"/>
        <v>706464.892</v>
      </c>
      <c r="AV627" s="12">
        <v>6412.63</v>
      </c>
      <c r="AW627" s="10">
        <f t="shared" si="220"/>
        <v>223384.9</v>
      </c>
      <c r="AX627" s="12">
        <f t="shared" si="171"/>
        <v>25561.052</v>
      </c>
      <c r="AY627" s="12">
        <f t="shared" si="208"/>
        <v>963065.262</v>
      </c>
      <c r="AZ627" s="12">
        <v>850.84</v>
      </c>
      <c r="BA627" s="18">
        <f t="shared" si="221"/>
        <v>47997.55</v>
      </c>
      <c r="BB627" s="10">
        <f t="shared" si="16"/>
        <v>815151.7985</v>
      </c>
      <c r="BC627" s="16">
        <f t="shared" si="201"/>
        <v>138964.0587</v>
      </c>
      <c r="BD627" s="12">
        <v>0.0</v>
      </c>
      <c r="BE627" s="16">
        <f t="shared" si="222"/>
        <v>33215.47</v>
      </c>
      <c r="BF627" s="6"/>
      <c r="BG627" s="6"/>
      <c r="BH627" s="6"/>
      <c r="BI627" s="29">
        <f t="shared" si="216"/>
        <v>65457.69067</v>
      </c>
      <c r="BJ627" s="6"/>
      <c r="BK627" s="15">
        <f t="shared" si="76"/>
        <v>0.2925312794</v>
      </c>
      <c r="BN627" s="16">
        <f t="shared" si="187"/>
        <v>-39896.63867</v>
      </c>
      <c r="BO627" s="16">
        <f t="shared" si="223"/>
        <v>-738834.6953</v>
      </c>
      <c r="BY627" s="6">
        <f t="shared" si="2"/>
        <v>2025</v>
      </c>
      <c r="BZ627" s="6" t="str">
        <f t="shared" si="3"/>
        <v>junio</v>
      </c>
      <c r="CA627" s="6" t="str">
        <f t="shared" si="4"/>
        <v>6</v>
      </c>
    </row>
    <row r="628">
      <c r="A628" s="8">
        <v>45835.0</v>
      </c>
      <c r="B628" s="12">
        <v>45122.0</v>
      </c>
      <c r="C628" s="12">
        <v>9466.0</v>
      </c>
      <c r="D628" s="12">
        <v>3821.71</v>
      </c>
      <c r="E628" s="12">
        <v>0.0</v>
      </c>
      <c r="F628" s="12">
        <v>0.0</v>
      </c>
      <c r="G628" s="12">
        <v>0.0</v>
      </c>
      <c r="H628" s="12">
        <f t="shared" si="149"/>
        <v>58409.71</v>
      </c>
      <c r="I628" s="12">
        <v>30998.0</v>
      </c>
      <c r="J628" s="12">
        <v>4133.0</v>
      </c>
      <c r="K628" s="12">
        <v>3721.31</v>
      </c>
      <c r="L628" s="12">
        <v>0.0</v>
      </c>
      <c r="M628" s="12">
        <v>0.0</v>
      </c>
      <c r="N628" s="12">
        <v>0.0</v>
      </c>
      <c r="O628" s="16">
        <f t="shared" si="150"/>
        <v>38852.31</v>
      </c>
      <c r="P628" s="12">
        <v>14791.25</v>
      </c>
      <c r="Q628" s="12">
        <v>591.42</v>
      </c>
      <c r="R628" s="12">
        <v>2704.48</v>
      </c>
      <c r="S628" s="12">
        <v>0.0</v>
      </c>
      <c r="T628" s="12">
        <v>0.0</v>
      </c>
      <c r="U628" s="12">
        <v>0.0</v>
      </c>
      <c r="V628" s="16">
        <f t="shared" si="151"/>
        <v>18087.15</v>
      </c>
      <c r="W628" s="12">
        <v>7524.61</v>
      </c>
      <c r="X628" s="12">
        <v>0.0</v>
      </c>
      <c r="Y628" s="12">
        <v>0.46</v>
      </c>
      <c r="Z628" s="12">
        <v>0.0</v>
      </c>
      <c r="AA628" s="12">
        <v>0.0</v>
      </c>
      <c r="AB628" s="12">
        <v>0.0</v>
      </c>
      <c r="AC628" s="16">
        <f t="shared" si="169"/>
        <v>7525.07</v>
      </c>
      <c r="AD628" s="12">
        <v>7284.27</v>
      </c>
      <c r="AE628" s="12">
        <v>240.8</v>
      </c>
      <c r="AF628" s="12">
        <v>5896.14</v>
      </c>
      <c r="AG628" s="12">
        <v>210.0</v>
      </c>
      <c r="AH628" s="12">
        <v>2872.78</v>
      </c>
      <c r="AI628" s="12">
        <v>0.0</v>
      </c>
      <c r="AJ628" s="12">
        <v>0.0</v>
      </c>
      <c r="AK628" s="12">
        <v>0.0</v>
      </c>
      <c r="AL628" s="12">
        <f t="shared" si="192"/>
        <v>8978.92</v>
      </c>
      <c r="AM628" s="12">
        <v>9586.0</v>
      </c>
      <c r="AN628" s="12">
        <v>0.0</v>
      </c>
      <c r="AO628" s="12">
        <v>0.0</v>
      </c>
      <c r="AP628" s="12">
        <v>0.0</v>
      </c>
      <c r="AQ628" s="12">
        <v>0.0</v>
      </c>
      <c r="AR628" s="12">
        <v>0.0</v>
      </c>
      <c r="AS628" s="12">
        <f t="shared" si="168"/>
        <v>9586</v>
      </c>
      <c r="AT628" s="16">
        <f t="shared" si="229"/>
        <v>83029.45</v>
      </c>
      <c r="AU628" s="18">
        <f t="shared" si="219"/>
        <v>789494.342</v>
      </c>
      <c r="AV628" s="12">
        <v>24980.56</v>
      </c>
      <c r="AW628" s="10">
        <f t="shared" si="220"/>
        <v>248365.46</v>
      </c>
      <c r="AX628" s="12">
        <f t="shared" si="171"/>
        <v>108010.01</v>
      </c>
      <c r="AY628" s="12">
        <f t="shared" si="208"/>
        <v>1073092.872</v>
      </c>
      <c r="AZ628" s="12">
        <v>3850.95</v>
      </c>
      <c r="BA628" s="18">
        <f t="shared" si="221"/>
        <v>51848.5</v>
      </c>
      <c r="BB628" s="10">
        <f t="shared" si="16"/>
        <v>877215.9356</v>
      </c>
      <c r="BC628" s="16">
        <f t="shared" si="201"/>
        <v>138963.7229</v>
      </c>
      <c r="BD628" s="12">
        <v>2017.6</v>
      </c>
      <c r="BE628" s="16">
        <f t="shared" si="222"/>
        <v>35233.07</v>
      </c>
      <c r="BF628" s="6"/>
      <c r="BG628" s="6"/>
      <c r="BH628" s="6"/>
      <c r="BI628" s="29">
        <f t="shared" si="216"/>
        <v>65457.69067</v>
      </c>
      <c r="BK628" s="15">
        <f t="shared" si="76"/>
        <v>1.268444535</v>
      </c>
      <c r="BN628" s="16">
        <f t="shared" si="187"/>
        <v>44569.91933</v>
      </c>
      <c r="BO628" s="16">
        <f t="shared" si="223"/>
        <v>-694264.776</v>
      </c>
      <c r="BY628" s="6">
        <f t="shared" si="2"/>
        <v>2025</v>
      </c>
      <c r="BZ628" s="6" t="str">
        <f t="shared" si="3"/>
        <v>junio</v>
      </c>
      <c r="CA628" s="6" t="str">
        <f t="shared" si="4"/>
        <v>6</v>
      </c>
    </row>
    <row r="629">
      <c r="A629" s="8">
        <v>45836.0</v>
      </c>
      <c r="B629" s="12">
        <v>0.0</v>
      </c>
      <c r="C629" s="12">
        <v>0.0</v>
      </c>
      <c r="D629" s="12">
        <v>0.0</v>
      </c>
      <c r="E629" s="12">
        <v>0.0</v>
      </c>
      <c r="F629" s="12">
        <v>0.0</v>
      </c>
      <c r="G629" s="12">
        <v>0.0</v>
      </c>
      <c r="H629" s="12">
        <f t="shared" si="149"/>
        <v>0</v>
      </c>
      <c r="I629" s="12">
        <v>0.0</v>
      </c>
      <c r="J629" s="12">
        <v>0.0</v>
      </c>
      <c r="K629" s="12">
        <v>0.0</v>
      </c>
      <c r="L629" s="12">
        <v>0.0</v>
      </c>
      <c r="M629" s="12">
        <v>0.0</v>
      </c>
      <c r="N629" s="12">
        <v>0.0</v>
      </c>
      <c r="O629" s="16">
        <f t="shared" si="150"/>
        <v>0</v>
      </c>
      <c r="P629" s="12">
        <v>0.0</v>
      </c>
      <c r="Q629" s="12">
        <v>0.0</v>
      </c>
      <c r="R629" s="12">
        <v>0.0</v>
      </c>
      <c r="S629" s="12">
        <v>0.0</v>
      </c>
      <c r="T629" s="12">
        <v>0.0</v>
      </c>
      <c r="U629" s="12">
        <v>0.0</v>
      </c>
      <c r="V629" s="16">
        <f t="shared" si="151"/>
        <v>0</v>
      </c>
      <c r="W629" s="12">
        <v>0.0</v>
      </c>
      <c r="X629" s="12">
        <v>0.0</v>
      </c>
      <c r="Y629" s="12">
        <v>0.0</v>
      </c>
      <c r="Z629" s="12">
        <v>0.0</v>
      </c>
      <c r="AA629" s="12">
        <v>0.0</v>
      </c>
      <c r="AB629" s="12">
        <v>0.0</v>
      </c>
      <c r="AC629" s="16">
        <f t="shared" si="169"/>
        <v>0</v>
      </c>
      <c r="AD629" s="12">
        <v>0.0</v>
      </c>
      <c r="AE629" s="12">
        <v>0.0</v>
      </c>
      <c r="AF629" s="12">
        <v>0.0</v>
      </c>
      <c r="AG629" s="12">
        <v>0.0</v>
      </c>
      <c r="AH629" s="12">
        <v>0.0</v>
      </c>
      <c r="AI629" s="12">
        <v>0.0</v>
      </c>
      <c r="AJ629" s="12">
        <v>0.0</v>
      </c>
      <c r="AK629" s="12">
        <v>0.0</v>
      </c>
      <c r="AL629" s="12">
        <f t="shared" si="192"/>
        <v>0</v>
      </c>
      <c r="AM629" s="12">
        <v>0.0</v>
      </c>
      <c r="AN629" s="12">
        <v>0.0</v>
      </c>
      <c r="AO629" s="12">
        <v>0.0</v>
      </c>
      <c r="AP629" s="12">
        <v>0.0</v>
      </c>
      <c r="AQ629" s="12">
        <v>0.0</v>
      </c>
      <c r="AR629" s="12">
        <v>0.0</v>
      </c>
      <c r="AS629" s="12">
        <f t="shared" si="168"/>
        <v>0</v>
      </c>
      <c r="AT629" s="16">
        <f t="shared" ref="AT629:AT631" si="230">IF(AS629+AL629+AC629+V629+O629="","",AS629+AL629+AC629+V629+O629)</f>
        <v>0</v>
      </c>
      <c r="AU629" s="18">
        <f t="shared" si="219"/>
        <v>789494.342</v>
      </c>
      <c r="AV629" s="12">
        <v>0.0</v>
      </c>
      <c r="AW629" s="10">
        <f t="shared" si="220"/>
        <v>248365.46</v>
      </c>
      <c r="AX629" s="12">
        <f t="shared" si="171"/>
        <v>0</v>
      </c>
      <c r="AY629" s="12">
        <f t="shared" si="208"/>
        <v>1073092.872</v>
      </c>
      <c r="AZ629" s="12">
        <v>0.0</v>
      </c>
      <c r="BA629" s="18">
        <f t="shared" si="221"/>
        <v>51848.5</v>
      </c>
      <c r="BB629" s="10">
        <f t="shared" si="16"/>
        <v>845886.795</v>
      </c>
      <c r="BC629" s="16">
        <f t="shared" si="201"/>
        <v>137463.294</v>
      </c>
      <c r="BD629" s="12">
        <v>0.0</v>
      </c>
      <c r="BE629" s="16">
        <f t="shared" si="222"/>
        <v>35233.07</v>
      </c>
      <c r="BF629" s="6"/>
      <c r="BG629" s="6"/>
      <c r="BH629" s="6"/>
      <c r="BI629" s="29">
        <f t="shared" si="216"/>
        <v>65457.69067</v>
      </c>
      <c r="BJ629" s="6"/>
      <c r="BK629" s="15">
        <f t="shared" si="76"/>
        <v>0</v>
      </c>
      <c r="BN629" s="16">
        <f t="shared" si="187"/>
        <v>-65457.69067</v>
      </c>
      <c r="BO629" s="16">
        <f t="shared" si="223"/>
        <v>-759722.4667</v>
      </c>
      <c r="BY629" s="6">
        <f t="shared" si="2"/>
        <v>2025</v>
      </c>
      <c r="BZ629" s="6" t="str">
        <f t="shared" si="3"/>
        <v>junio</v>
      </c>
      <c r="CA629" s="6" t="str">
        <f t="shared" si="4"/>
        <v>6</v>
      </c>
    </row>
    <row r="630">
      <c r="A630" s="8">
        <v>45837.0</v>
      </c>
      <c r="B630" s="12">
        <v>0.0</v>
      </c>
      <c r="C630" s="12">
        <v>0.0</v>
      </c>
      <c r="D630" s="12">
        <v>0.0</v>
      </c>
      <c r="E630" s="12">
        <v>0.0</v>
      </c>
      <c r="F630" s="12">
        <v>0.0</v>
      </c>
      <c r="G630" s="12">
        <v>0.0</v>
      </c>
      <c r="H630" s="12">
        <f t="shared" si="149"/>
        <v>0</v>
      </c>
      <c r="I630" s="12">
        <v>0.0</v>
      </c>
      <c r="J630" s="12">
        <v>0.0</v>
      </c>
      <c r="K630" s="12">
        <v>0.0</v>
      </c>
      <c r="L630" s="12">
        <v>0.0</v>
      </c>
      <c r="M630" s="12">
        <v>0.0</v>
      </c>
      <c r="N630" s="12">
        <v>0.0</v>
      </c>
      <c r="O630" s="16">
        <f t="shared" si="150"/>
        <v>0</v>
      </c>
      <c r="P630" s="12">
        <v>0.0</v>
      </c>
      <c r="Q630" s="12">
        <v>0.0</v>
      </c>
      <c r="R630" s="12">
        <v>0.0</v>
      </c>
      <c r="S630" s="12">
        <v>0.0</v>
      </c>
      <c r="T630" s="12">
        <v>0.0</v>
      </c>
      <c r="U630" s="12">
        <v>0.0</v>
      </c>
      <c r="V630" s="16">
        <f t="shared" si="151"/>
        <v>0</v>
      </c>
      <c r="W630" s="12">
        <v>0.0</v>
      </c>
      <c r="X630" s="12">
        <v>0.0</v>
      </c>
      <c r="Y630" s="12">
        <v>0.0</v>
      </c>
      <c r="Z630" s="12">
        <v>0.0</v>
      </c>
      <c r="AA630" s="12">
        <v>0.0</v>
      </c>
      <c r="AB630" s="12">
        <v>0.0</v>
      </c>
      <c r="AC630" s="16">
        <f t="shared" si="169"/>
        <v>0</v>
      </c>
      <c r="AD630" s="12">
        <v>0.0</v>
      </c>
      <c r="AE630" s="12">
        <v>0.0</v>
      </c>
      <c r="AF630" s="12">
        <v>0.0</v>
      </c>
      <c r="AG630" s="12">
        <v>0.0</v>
      </c>
      <c r="AH630" s="12">
        <v>0.0</v>
      </c>
      <c r="AI630" s="12">
        <v>0.0</v>
      </c>
      <c r="AJ630" s="12">
        <v>0.0</v>
      </c>
      <c r="AK630" s="12">
        <v>0.0</v>
      </c>
      <c r="AL630" s="12">
        <f t="shared" si="192"/>
        <v>0</v>
      </c>
      <c r="AM630" s="12">
        <v>0.0</v>
      </c>
      <c r="AN630" s="12">
        <v>0.0</v>
      </c>
      <c r="AO630" s="12">
        <v>0.0</v>
      </c>
      <c r="AP630" s="12">
        <v>0.0</v>
      </c>
      <c r="AQ630" s="12">
        <v>0.0</v>
      </c>
      <c r="AR630" s="12">
        <v>0.0</v>
      </c>
      <c r="AS630" s="12">
        <f t="shared" si="168"/>
        <v>0</v>
      </c>
      <c r="AT630" s="16">
        <f t="shared" si="230"/>
        <v>0</v>
      </c>
      <c r="AU630" s="18">
        <f t="shared" si="219"/>
        <v>789494.342</v>
      </c>
      <c r="AV630" s="12">
        <v>0.0</v>
      </c>
      <c r="AW630" s="10">
        <f t="shared" si="220"/>
        <v>248365.46</v>
      </c>
      <c r="AX630" s="12">
        <f t="shared" si="171"/>
        <v>0</v>
      </c>
      <c r="AY630" s="12">
        <f t="shared" si="208"/>
        <v>1073092.872</v>
      </c>
      <c r="AZ630" s="12">
        <v>0.0</v>
      </c>
      <c r="BA630" s="18">
        <f t="shared" si="221"/>
        <v>51848.5</v>
      </c>
      <c r="BB630" s="10">
        <f t="shared" si="16"/>
        <v>816718.2848</v>
      </c>
      <c r="BC630" s="16">
        <f t="shared" si="201"/>
        <v>135858.6331</v>
      </c>
      <c r="BD630" s="12">
        <v>0.0</v>
      </c>
      <c r="BE630" s="16">
        <f t="shared" si="222"/>
        <v>35233.07</v>
      </c>
      <c r="BF630" s="6"/>
      <c r="BG630" s="6"/>
      <c r="BH630" s="6"/>
      <c r="BI630" s="29">
        <f t="shared" si="216"/>
        <v>65457.69067</v>
      </c>
      <c r="BJ630" s="6"/>
      <c r="BK630" s="15">
        <f t="shared" si="76"/>
        <v>0</v>
      </c>
      <c r="BN630" s="16">
        <f t="shared" si="187"/>
        <v>-65457.69067</v>
      </c>
      <c r="BO630" s="16">
        <f t="shared" si="223"/>
        <v>-825180.1573</v>
      </c>
      <c r="BY630" s="6">
        <f t="shared" si="2"/>
        <v>2025</v>
      </c>
      <c r="BZ630" s="6" t="str">
        <f t="shared" si="3"/>
        <v>junio</v>
      </c>
      <c r="CA630" s="6" t="str">
        <f t="shared" si="4"/>
        <v>6</v>
      </c>
    </row>
    <row r="631">
      <c r="A631" s="8">
        <v>45838.0</v>
      </c>
      <c r="B631" s="12">
        <f>200000+58611+10555</f>
        <v>269166</v>
      </c>
      <c r="C631" s="12">
        <f>4766+4122+1244</f>
        <v>10132</v>
      </c>
      <c r="D631" s="12">
        <f>7647+4911+2318.62</f>
        <v>14876.62</v>
      </c>
      <c r="E631" s="12">
        <v>4057.67</v>
      </c>
      <c r="F631" s="12">
        <v>0.0</v>
      </c>
      <c r="G631" s="12">
        <v>0.0</v>
      </c>
      <c r="H631" s="12">
        <f t="shared" si="149"/>
        <v>298232.29</v>
      </c>
      <c r="I631" s="12">
        <v>163606.45</v>
      </c>
      <c r="J631" s="12">
        <f>11136.8+2888+2185.07</f>
        <v>16209.87</v>
      </c>
      <c r="K631" s="12">
        <f>11745+4846+1463</f>
        <v>18054</v>
      </c>
      <c r="L631" s="12">
        <v>2014.37</v>
      </c>
      <c r="M631" s="12">
        <v>0.0</v>
      </c>
      <c r="N631" s="12">
        <v>0.0</v>
      </c>
      <c r="O631" s="16">
        <f t="shared" si="150"/>
        <v>199884.69</v>
      </c>
      <c r="P631" s="12">
        <f>44752.76+23435.22+3623.57+418.83</f>
        <v>72230.38</v>
      </c>
      <c r="Q631" s="12">
        <f>786.38+1379.29</f>
        <v>2165.67</v>
      </c>
      <c r="R631" s="12">
        <f>5310.02+2358.18+371.38</f>
        <v>8039.58</v>
      </c>
      <c r="S631" s="12">
        <v>0.0</v>
      </c>
      <c r="T631" s="12">
        <v>0.0</v>
      </c>
      <c r="U631" s="12">
        <v>0.0</v>
      </c>
      <c r="V631" s="16">
        <f t="shared" si="151"/>
        <v>82435.63</v>
      </c>
      <c r="W631" s="12">
        <f>349.42+42.11+21.85</f>
        <v>413.38</v>
      </c>
      <c r="X631" s="12">
        <f>0.54+0.08+350</f>
        <v>350.62</v>
      </c>
      <c r="Y631" s="12">
        <f>72.5+0.39</f>
        <v>72.89</v>
      </c>
      <c r="Z631" s="12">
        <v>0.0</v>
      </c>
      <c r="AA631" s="12">
        <v>0.0</v>
      </c>
      <c r="AB631" s="12">
        <v>0.0</v>
      </c>
      <c r="AC631" s="16">
        <f t="shared" si="169"/>
        <v>836.89</v>
      </c>
      <c r="AD631" s="12">
        <v>0.0</v>
      </c>
      <c r="AE631" s="12">
        <v>422.463</v>
      </c>
      <c r="AF631" s="12">
        <f>13932.95+2849.8</f>
        <v>16782.75</v>
      </c>
      <c r="AG631" s="12">
        <v>167.54</v>
      </c>
      <c r="AH631" s="12">
        <v>0.0</v>
      </c>
      <c r="AI631" s="12">
        <v>0.0</v>
      </c>
      <c r="AJ631" s="12">
        <v>0.0</v>
      </c>
      <c r="AK631" s="12">
        <v>0.0</v>
      </c>
      <c r="AL631" s="12">
        <f t="shared" si="192"/>
        <v>16950.29</v>
      </c>
      <c r="AM631" s="12">
        <v>0.0</v>
      </c>
      <c r="AN631" s="12">
        <v>0.0</v>
      </c>
      <c r="AO631" s="12">
        <v>0.0</v>
      </c>
      <c r="AP631" s="12">
        <v>0.0</v>
      </c>
      <c r="AQ631" s="12">
        <v>0.0</v>
      </c>
      <c r="AR631" s="12">
        <v>0.0</v>
      </c>
      <c r="AS631" s="12">
        <f t="shared" si="168"/>
        <v>0</v>
      </c>
      <c r="AT631" s="16">
        <f t="shared" si="230"/>
        <v>300107.5</v>
      </c>
      <c r="AU631" s="18">
        <f t="shared" si="219"/>
        <v>1089601.842</v>
      </c>
      <c r="AV631" s="12">
        <f>66220.67+11405.16+6762.77+260.93+9241.64</f>
        <v>93891.17</v>
      </c>
      <c r="AW631" s="10">
        <f t="shared" si="220"/>
        <v>342256.63</v>
      </c>
      <c r="AX631" s="12">
        <f t="shared" si="171"/>
        <v>393998.67</v>
      </c>
      <c r="AY631" s="12">
        <f t="shared" si="208"/>
        <v>1467352.472</v>
      </c>
      <c r="AZ631" s="12">
        <f>12356.05+8780.98+5842.06</f>
        <v>26979.09</v>
      </c>
      <c r="BA631" s="18">
        <f t="shared" si="221"/>
        <v>78827.59</v>
      </c>
      <c r="BB631" s="10">
        <f t="shared" si="16"/>
        <v>1089601.842</v>
      </c>
      <c r="BC631" s="16">
        <f t="shared" si="201"/>
        <v>146202.6559</v>
      </c>
      <c r="BD631" s="12">
        <v>260.93</v>
      </c>
      <c r="BE631" s="16">
        <f t="shared" si="222"/>
        <v>35494</v>
      </c>
      <c r="BF631" s="6"/>
      <c r="BG631" s="6"/>
      <c r="BH631" s="6"/>
      <c r="BI631" s="29">
        <f t="shared" si="216"/>
        <v>65457.69067</v>
      </c>
      <c r="BK631" s="15">
        <f t="shared" si="76"/>
        <v>4.584755388</v>
      </c>
      <c r="BN631" s="16">
        <f t="shared" si="187"/>
        <v>328801.9093</v>
      </c>
      <c r="BO631" s="16">
        <f t="shared" si="223"/>
        <v>-496378.248</v>
      </c>
      <c r="BY631" s="6">
        <f t="shared" si="2"/>
        <v>2025</v>
      </c>
      <c r="BZ631" s="6" t="str">
        <f t="shared" si="3"/>
        <v>junio</v>
      </c>
      <c r="CA631" s="6" t="str">
        <f t="shared" si="4"/>
        <v>6</v>
      </c>
    </row>
    <row r="632">
      <c r="A632" s="8">
        <v>45839.0</v>
      </c>
      <c r="B632" s="12">
        <v>1000.0</v>
      </c>
      <c r="C632" s="12">
        <v>1102.0</v>
      </c>
      <c r="D632" s="12">
        <v>0.0</v>
      </c>
      <c r="E632" s="12">
        <v>0.0</v>
      </c>
      <c r="F632" s="12">
        <v>0.0</v>
      </c>
      <c r="G632" s="12">
        <v>0.0</v>
      </c>
      <c r="H632" s="12">
        <f t="shared" si="149"/>
        <v>2102</v>
      </c>
      <c r="I632" s="12">
        <v>2000.0</v>
      </c>
      <c r="J632" s="12">
        <v>1543.0</v>
      </c>
      <c r="K632" s="12">
        <v>0.0</v>
      </c>
      <c r="L632" s="12">
        <v>0.0</v>
      </c>
      <c r="M632" s="12">
        <v>0.0</v>
      </c>
      <c r="N632" s="12">
        <v>0.0</v>
      </c>
      <c r="O632" s="16">
        <f t="shared" si="150"/>
        <v>3543</v>
      </c>
      <c r="P632" s="12">
        <v>1365.0</v>
      </c>
      <c r="Q632" s="12">
        <v>300.0</v>
      </c>
      <c r="R632" s="12">
        <v>0.0</v>
      </c>
      <c r="S632" s="12">
        <v>0.0</v>
      </c>
      <c r="T632" s="12">
        <v>0.0</v>
      </c>
      <c r="U632" s="12">
        <v>0.0</v>
      </c>
      <c r="V632" s="16">
        <f t="shared" si="151"/>
        <v>1665</v>
      </c>
      <c r="W632" s="12">
        <v>0.0</v>
      </c>
      <c r="X632" s="12">
        <v>0.0</v>
      </c>
      <c r="Y632" s="12">
        <v>0.0</v>
      </c>
      <c r="Z632" s="12">
        <v>0.0</v>
      </c>
      <c r="AA632" s="12">
        <v>0.0</v>
      </c>
      <c r="AB632" s="12">
        <v>0.0</v>
      </c>
      <c r="AC632" s="16">
        <f t="shared" si="169"/>
        <v>0</v>
      </c>
      <c r="AD632" s="12">
        <v>0.0</v>
      </c>
      <c r="AE632" s="12">
        <v>0.0</v>
      </c>
      <c r="AF632" s="12">
        <v>0.0</v>
      </c>
      <c r="AG632" s="12">
        <v>0.0</v>
      </c>
      <c r="AH632" s="12">
        <v>0.0</v>
      </c>
      <c r="AI632" s="12">
        <v>0.0</v>
      </c>
      <c r="AJ632" s="12">
        <v>0.0</v>
      </c>
      <c r="AK632" s="12">
        <v>0.0</v>
      </c>
      <c r="AL632" s="12">
        <f t="shared" si="192"/>
        <v>0</v>
      </c>
      <c r="AM632" s="12">
        <v>0.0</v>
      </c>
      <c r="AN632" s="12">
        <v>0.0</v>
      </c>
      <c r="AO632" s="12">
        <v>0.0</v>
      </c>
      <c r="AP632" s="12">
        <v>0.0</v>
      </c>
      <c r="AQ632" s="12">
        <v>0.0</v>
      </c>
      <c r="AR632" s="12">
        <v>0.0</v>
      </c>
      <c r="AS632" s="12">
        <v>0.0</v>
      </c>
      <c r="AT632" s="16">
        <f t="shared" ref="AT632:AT636" si="231">IF(AS632+AL632+AC632+V632+O632=0,"",AS632+AL632+AC632+V632+O632)</f>
        <v>5208</v>
      </c>
      <c r="AU632" s="18">
        <f>IF(AT632="","",AT632)</f>
        <v>5208</v>
      </c>
      <c r="AV632" s="12">
        <v>0.0</v>
      </c>
      <c r="AW632" s="10">
        <f>IF(AV632="","",AV632)</f>
        <v>0</v>
      </c>
      <c r="AX632" s="12">
        <f t="shared" si="171"/>
        <v>5208</v>
      </c>
      <c r="AY632" s="12">
        <f t="shared" si="208"/>
        <v>5208</v>
      </c>
      <c r="AZ632" s="12">
        <v>0.0</v>
      </c>
      <c r="BA632" s="18">
        <f>IF(AZ632="","",AZ632)</f>
        <v>0</v>
      </c>
      <c r="BB632" s="10">
        <f t="shared" si="16"/>
        <v>161448</v>
      </c>
      <c r="BC632" s="16">
        <f t="shared" si="201"/>
        <v>140981.1325</v>
      </c>
      <c r="BD632" s="12">
        <v>0.0</v>
      </c>
      <c r="BE632" s="16">
        <f>IF(AT632="","",BD632)</f>
        <v>0</v>
      </c>
      <c r="BF632" s="6"/>
      <c r="BG632" s="47">
        <v>2041131.21</v>
      </c>
      <c r="BH632" s="6"/>
      <c r="BI632" s="29">
        <f t="shared" ref="BI632:BI662" si="232">IF(AT632="","",$BG$632/DAY(EOMONTH(A632,0)))</f>
        <v>65842.94226</v>
      </c>
      <c r="BJ632" s="6"/>
      <c r="BK632" s="15">
        <f t="shared" si="76"/>
        <v>0.07909731585</v>
      </c>
      <c r="BN632" s="16">
        <f t="shared" si="187"/>
        <v>-60634.94226</v>
      </c>
      <c r="BO632" s="16">
        <f>IF(AT632="","",BN632)</f>
        <v>-60634.94226</v>
      </c>
      <c r="BQ632" s="12">
        <v>284117.67</v>
      </c>
      <c r="BR632" s="12">
        <v>75541.37</v>
      </c>
      <c r="BS632" s="12">
        <v>27172.69</v>
      </c>
      <c r="BT632" s="12">
        <v>42.58</v>
      </c>
      <c r="BU632" s="12">
        <v>2849.8</v>
      </c>
      <c r="BV632" s="12">
        <v>0.0</v>
      </c>
      <c r="BW632" s="16">
        <f t="shared" ref="BW632:BW633" si="233">BV632+BU632+BT632+BS632+BR632</f>
        <v>105606.44</v>
      </c>
      <c r="BY632" s="6">
        <f t="shared" si="2"/>
        <v>2025</v>
      </c>
      <c r="BZ632" s="6" t="str">
        <f t="shared" si="3"/>
        <v>julio</v>
      </c>
      <c r="CA632" s="6" t="str">
        <f t="shared" si="4"/>
        <v>7</v>
      </c>
    </row>
    <row r="633">
      <c r="A633" s="8">
        <v>45840.0</v>
      </c>
      <c r="B633" s="12">
        <v>1236.0</v>
      </c>
      <c r="C633" s="12">
        <v>1000.0</v>
      </c>
      <c r="D633" s="12">
        <v>0.0</v>
      </c>
      <c r="E633" s="12">
        <v>0.0</v>
      </c>
      <c r="F633" s="12">
        <v>0.0</v>
      </c>
      <c r="G633" s="12">
        <v>0.0</v>
      </c>
      <c r="H633" s="12">
        <f t="shared" si="149"/>
        <v>2236</v>
      </c>
      <c r="I633" s="12">
        <v>1543.0</v>
      </c>
      <c r="J633" s="12">
        <v>1111.0</v>
      </c>
      <c r="K633" s="12">
        <v>0.0</v>
      </c>
      <c r="L633" s="12">
        <v>0.0</v>
      </c>
      <c r="M633" s="12">
        <v>0.0</v>
      </c>
      <c r="N633" s="12">
        <v>0.0</v>
      </c>
      <c r="O633" s="16">
        <f t="shared" si="150"/>
        <v>2654</v>
      </c>
      <c r="P633" s="12">
        <v>1200.0</v>
      </c>
      <c r="Q633" s="12">
        <v>250.0</v>
      </c>
      <c r="R633" s="12">
        <v>0.0</v>
      </c>
      <c r="S633" s="12">
        <v>0.0</v>
      </c>
      <c r="T633" s="12">
        <v>0.0</v>
      </c>
      <c r="U633" s="12">
        <v>0.0</v>
      </c>
      <c r="V633" s="16">
        <f t="shared" si="151"/>
        <v>1450</v>
      </c>
      <c r="W633" s="12">
        <v>0.0</v>
      </c>
      <c r="X633" s="12">
        <v>0.0</v>
      </c>
      <c r="Y633" s="12">
        <v>0.0</v>
      </c>
      <c r="Z633" s="12">
        <v>0.0</v>
      </c>
      <c r="AA633" s="12">
        <v>0.0</v>
      </c>
      <c r="AB633" s="12">
        <v>0.0</v>
      </c>
      <c r="AC633" s="16">
        <f t="shared" si="169"/>
        <v>0</v>
      </c>
      <c r="AD633" s="12">
        <v>0.0</v>
      </c>
      <c r="AE633" s="12">
        <v>0.0</v>
      </c>
      <c r="AF633" s="12">
        <v>0.0</v>
      </c>
      <c r="AG633" s="12">
        <v>0.0</v>
      </c>
      <c r="AH633" s="12">
        <v>0.0</v>
      </c>
      <c r="AI633" s="12">
        <v>0.0</v>
      </c>
      <c r="AJ633" s="12">
        <v>0.0</v>
      </c>
      <c r="AK633" s="12">
        <v>0.0</v>
      </c>
      <c r="AL633" s="12">
        <f t="shared" si="192"/>
        <v>0</v>
      </c>
      <c r="AM633" s="12">
        <v>0.0</v>
      </c>
      <c r="AN633" s="12">
        <v>0.0</v>
      </c>
      <c r="AO633" s="12">
        <v>0.0</v>
      </c>
      <c r="AP633" s="12">
        <v>0.0</v>
      </c>
      <c r="AQ633" s="12">
        <v>0.0</v>
      </c>
      <c r="AR633" s="12">
        <v>0.0</v>
      </c>
      <c r="AS633" s="12">
        <f t="shared" ref="AS633:AS815" si="234">AR633+AQ633+AP633+AN633+AM633+AO633</f>
        <v>0</v>
      </c>
      <c r="AT633" s="16">
        <f t="shared" si="231"/>
        <v>4104</v>
      </c>
      <c r="AU633" s="18">
        <f t="shared" ref="AU633:AU662" si="235">IF(AT633="","",AT633+AU632)</f>
        <v>9312</v>
      </c>
      <c r="AV633" s="12">
        <v>0.0</v>
      </c>
      <c r="AW633" s="10">
        <f t="shared" ref="AW633:AW662" si="236">IF(AV633="","",AW632+AV633)</f>
        <v>0</v>
      </c>
      <c r="AX633" s="12">
        <f t="shared" si="171"/>
        <v>4104</v>
      </c>
      <c r="AY633" s="12">
        <f t="shared" si="208"/>
        <v>9312</v>
      </c>
      <c r="AZ633" s="12">
        <v>0.0</v>
      </c>
      <c r="BA633" s="18">
        <f t="shared" ref="BA633:BA662" si="237">IF(AZ633="","",AZ633+BA632)</f>
        <v>0</v>
      </c>
      <c r="BB633" s="10">
        <f t="shared" si="16"/>
        <v>144336</v>
      </c>
      <c r="BC633" s="16">
        <f t="shared" si="201"/>
        <v>136119.7141</v>
      </c>
      <c r="BD633" s="12">
        <v>0.0</v>
      </c>
      <c r="BE633" s="16">
        <f t="shared" ref="BE633:BE662" si="238">IF(AT633="","",BD633+BE632)</f>
        <v>0</v>
      </c>
      <c r="BF633" s="6"/>
      <c r="BG633" s="6"/>
      <c r="BH633" s="6"/>
      <c r="BI633" s="29">
        <f t="shared" si="232"/>
        <v>65842.94226</v>
      </c>
      <c r="BJ633" s="6"/>
      <c r="BK633" s="15">
        <f t="shared" si="76"/>
        <v>0.0623301429</v>
      </c>
      <c r="BN633" s="16">
        <f t="shared" si="187"/>
        <v>-61738.94226</v>
      </c>
      <c r="BO633" s="16">
        <f t="shared" ref="BO633:BO662" si="239">IF(AT633="","",BN633+BO632)</f>
        <v>-122373.8845</v>
      </c>
      <c r="BQ633" s="12">
        <v>14117.62</v>
      </c>
      <c r="BR633" s="12">
        <v>13536.07</v>
      </c>
      <c r="BS633" s="12">
        <v>3994.95</v>
      </c>
      <c r="BT633" s="12">
        <v>371.85</v>
      </c>
      <c r="BU633" s="12">
        <v>167.54</v>
      </c>
      <c r="BV633" s="12">
        <v>0.0</v>
      </c>
      <c r="BW633" s="16">
        <f t="shared" si="233"/>
        <v>18070.41</v>
      </c>
      <c r="BY633" s="6">
        <f t="shared" si="2"/>
        <v>2025</v>
      </c>
      <c r="BZ633" s="6" t="str">
        <f t="shared" si="3"/>
        <v>julio</v>
      </c>
      <c r="CA633" s="6" t="str">
        <f t="shared" si="4"/>
        <v>7</v>
      </c>
    </row>
    <row r="634">
      <c r="A634" s="8">
        <v>45841.0</v>
      </c>
      <c r="B634" s="12">
        <v>1000.0</v>
      </c>
      <c r="C634" s="12">
        <v>986.0</v>
      </c>
      <c r="D634" s="12">
        <v>0.0</v>
      </c>
      <c r="E634" s="12">
        <v>0.0</v>
      </c>
      <c r="F634" s="12">
        <v>0.0</v>
      </c>
      <c r="G634" s="12">
        <v>0.0</v>
      </c>
      <c r="H634" s="12">
        <f t="shared" si="149"/>
        <v>1986</v>
      </c>
      <c r="I634" s="12">
        <v>1000.0</v>
      </c>
      <c r="J634" s="12">
        <v>1200.0</v>
      </c>
      <c r="K634" s="12">
        <v>0.0</v>
      </c>
      <c r="L634" s="12">
        <v>0.0</v>
      </c>
      <c r="M634" s="12">
        <v>0.0</v>
      </c>
      <c r="N634" s="12">
        <v>0.0</v>
      </c>
      <c r="O634" s="16">
        <f t="shared" si="150"/>
        <v>2200</v>
      </c>
      <c r="P634" s="12">
        <v>846.0</v>
      </c>
      <c r="Q634" s="12">
        <v>500.0</v>
      </c>
      <c r="R634" s="12">
        <v>0.0</v>
      </c>
      <c r="S634" s="12">
        <v>0.0</v>
      </c>
      <c r="T634" s="12">
        <v>0.0</v>
      </c>
      <c r="U634" s="12">
        <v>0.0</v>
      </c>
      <c r="V634" s="16">
        <f t="shared" si="151"/>
        <v>1346</v>
      </c>
      <c r="W634" s="12">
        <v>0.0</v>
      </c>
      <c r="X634" s="12">
        <v>0.0</v>
      </c>
      <c r="Y634" s="12">
        <v>0.0</v>
      </c>
      <c r="Z634" s="12">
        <v>0.0</v>
      </c>
      <c r="AA634" s="12">
        <v>0.0</v>
      </c>
      <c r="AB634" s="12">
        <v>0.0</v>
      </c>
      <c r="AC634" s="16">
        <f t="shared" si="169"/>
        <v>0</v>
      </c>
      <c r="AD634" s="12">
        <v>0.0</v>
      </c>
      <c r="AE634" s="12">
        <v>0.0</v>
      </c>
      <c r="AF634" s="12">
        <v>0.0</v>
      </c>
      <c r="AG634" s="12">
        <v>0.0</v>
      </c>
      <c r="AH634" s="12">
        <v>0.0</v>
      </c>
      <c r="AI634" s="12">
        <v>0.0</v>
      </c>
      <c r="AJ634" s="12">
        <v>0.0</v>
      </c>
      <c r="AK634" s="12">
        <v>0.0</v>
      </c>
      <c r="AL634" s="12">
        <f t="shared" si="192"/>
        <v>0</v>
      </c>
      <c r="AM634" s="12">
        <v>0.0</v>
      </c>
      <c r="AN634" s="12">
        <v>0.0</v>
      </c>
      <c r="AO634" s="12">
        <v>0.0</v>
      </c>
      <c r="AP634" s="12">
        <v>0.0</v>
      </c>
      <c r="AQ634" s="12">
        <v>0.0</v>
      </c>
      <c r="AR634" s="12">
        <v>0.0</v>
      </c>
      <c r="AS634" s="12">
        <f t="shared" si="234"/>
        <v>0</v>
      </c>
      <c r="AT634" s="16">
        <f t="shared" si="231"/>
        <v>3546</v>
      </c>
      <c r="AU634" s="18">
        <f t="shared" si="235"/>
        <v>12858</v>
      </c>
      <c r="AV634" s="12">
        <v>0.0</v>
      </c>
      <c r="AW634" s="10">
        <f t="shared" si="236"/>
        <v>0</v>
      </c>
      <c r="AX634" s="12">
        <f t="shared" si="171"/>
        <v>3546</v>
      </c>
      <c r="AY634" s="12">
        <f t="shared" si="208"/>
        <v>12858</v>
      </c>
      <c r="AZ634" s="12">
        <v>0.0</v>
      </c>
      <c r="BA634" s="18">
        <f t="shared" si="237"/>
        <v>0</v>
      </c>
      <c r="BB634" s="10">
        <f t="shared" si="16"/>
        <v>132866</v>
      </c>
      <c r="BC634" s="16">
        <f t="shared" si="201"/>
        <v>181600.307</v>
      </c>
      <c r="BD634" s="12">
        <v>0.0</v>
      </c>
      <c r="BE634" s="16">
        <f t="shared" si="238"/>
        <v>0</v>
      </c>
      <c r="BF634" s="6"/>
      <c r="BG634" s="6"/>
      <c r="BH634" s="6"/>
      <c r="BI634" s="29">
        <f t="shared" si="232"/>
        <v>65842.94226</v>
      </c>
      <c r="BJ634" s="6"/>
      <c r="BK634" s="15">
        <f t="shared" si="76"/>
        <v>0.05385543049</v>
      </c>
      <c r="BN634" s="16">
        <f t="shared" si="187"/>
        <v>-62296.94226</v>
      </c>
      <c r="BO634" s="16">
        <f t="shared" si="239"/>
        <v>-184670.8268</v>
      </c>
      <c r="BY634" s="6">
        <f t="shared" si="2"/>
        <v>2025</v>
      </c>
      <c r="BZ634" s="6" t="str">
        <f t="shared" si="3"/>
        <v>julio</v>
      </c>
      <c r="CA634" s="6" t="str">
        <f t="shared" si="4"/>
        <v>7</v>
      </c>
    </row>
    <row r="635">
      <c r="A635" s="8">
        <v>45842.0</v>
      </c>
      <c r="B635" s="12">
        <v>21427.0</v>
      </c>
      <c r="C635" s="12">
        <v>2656.0</v>
      </c>
      <c r="D635" s="12">
        <v>2568.11</v>
      </c>
      <c r="E635" s="12">
        <v>0.0</v>
      </c>
      <c r="F635" s="12">
        <v>0.0</v>
      </c>
      <c r="G635" s="12">
        <v>0.0</v>
      </c>
      <c r="H635" s="12">
        <f t="shared" si="149"/>
        <v>26651.11</v>
      </c>
      <c r="I635" s="12">
        <v>18841.0</v>
      </c>
      <c r="J635" s="12">
        <v>2744.61</v>
      </c>
      <c r="K635" s="12">
        <v>0.0</v>
      </c>
      <c r="L635" s="12">
        <v>0.0</v>
      </c>
      <c r="M635" s="12">
        <v>0.0</v>
      </c>
      <c r="N635" s="12">
        <v>0.0</v>
      </c>
      <c r="O635" s="16">
        <f t="shared" si="150"/>
        <v>21585.61</v>
      </c>
      <c r="P635" s="12">
        <v>7633.67</v>
      </c>
      <c r="Q635" s="12">
        <v>154.54</v>
      </c>
      <c r="R635" s="12">
        <v>415.66</v>
      </c>
      <c r="S635" s="12">
        <v>0.0</v>
      </c>
      <c r="T635" s="12">
        <v>0.0</v>
      </c>
      <c r="U635" s="12">
        <v>0.0</v>
      </c>
      <c r="V635" s="16">
        <f t="shared" si="151"/>
        <v>8203.87</v>
      </c>
      <c r="W635" s="12">
        <v>24.8</v>
      </c>
      <c r="X635" s="12">
        <v>2.41</v>
      </c>
      <c r="Y635" s="12">
        <v>0.0</v>
      </c>
      <c r="Z635" s="12">
        <v>0.0</v>
      </c>
      <c r="AA635" s="12">
        <v>0.0</v>
      </c>
      <c r="AB635" s="12">
        <v>0.0</v>
      </c>
      <c r="AC635" s="16">
        <f t="shared" si="169"/>
        <v>27.21</v>
      </c>
      <c r="AD635" s="12">
        <v>0.0</v>
      </c>
      <c r="AE635" s="12">
        <v>27.21</v>
      </c>
      <c r="AF635" s="12">
        <v>2164.92</v>
      </c>
      <c r="AG635" s="12">
        <v>1223.18</v>
      </c>
      <c r="AH635" s="12">
        <v>0.0</v>
      </c>
      <c r="AI635" s="12">
        <v>0.0</v>
      </c>
      <c r="AJ635" s="12">
        <v>0.0</v>
      </c>
      <c r="AK635" s="12">
        <v>0.0</v>
      </c>
      <c r="AL635" s="12">
        <f t="shared" si="192"/>
        <v>3388.1</v>
      </c>
      <c r="AM635" s="12">
        <v>0.0</v>
      </c>
      <c r="AN635" s="12">
        <v>0.0</v>
      </c>
      <c r="AO635" s="12">
        <v>0.0</v>
      </c>
      <c r="AP635" s="12">
        <v>0.0</v>
      </c>
      <c r="AQ635" s="12">
        <v>0.0</v>
      </c>
      <c r="AR635" s="12">
        <v>0.0</v>
      </c>
      <c r="AS635" s="12">
        <f t="shared" si="234"/>
        <v>0</v>
      </c>
      <c r="AT635" s="16">
        <f t="shared" si="231"/>
        <v>33204.79</v>
      </c>
      <c r="AU635" s="18">
        <f t="shared" si="235"/>
        <v>46062.79</v>
      </c>
      <c r="AV635" s="12">
        <v>17168.62</v>
      </c>
      <c r="AW635" s="10">
        <f t="shared" si="236"/>
        <v>17168.62</v>
      </c>
      <c r="AX635" s="12">
        <f t="shared" si="171"/>
        <v>50373.41</v>
      </c>
      <c r="AY635" s="12">
        <f t="shared" si="208"/>
        <v>63231.41</v>
      </c>
      <c r="AZ635" s="12">
        <v>2796.32</v>
      </c>
      <c r="BA635" s="18">
        <f t="shared" si="237"/>
        <v>2796.32</v>
      </c>
      <c r="BB635" s="10">
        <f t="shared" si="16"/>
        <v>356986.6225</v>
      </c>
      <c r="BC635" s="16">
        <f t="shared" si="201"/>
        <v>26040</v>
      </c>
      <c r="BD635" s="12">
        <v>0.0</v>
      </c>
      <c r="BE635" s="16">
        <f t="shared" si="238"/>
        <v>0</v>
      </c>
      <c r="BF635" s="6"/>
      <c r="BG635" s="6"/>
      <c r="BH635" s="6"/>
      <c r="BI635" s="29">
        <f t="shared" si="232"/>
        <v>65842.94226</v>
      </c>
      <c r="BJ635" s="6"/>
      <c r="BK635" s="15">
        <f t="shared" si="76"/>
        <v>0.5043029497</v>
      </c>
      <c r="BN635" s="16">
        <f t="shared" si="187"/>
        <v>-15469.53226</v>
      </c>
      <c r="BO635" s="16">
        <f t="shared" si="239"/>
        <v>-200140.359</v>
      </c>
      <c r="BY635" s="6">
        <f t="shared" si="2"/>
        <v>2025</v>
      </c>
      <c r="BZ635" s="6" t="str">
        <f t="shared" si="3"/>
        <v>julio</v>
      </c>
      <c r="CA635" s="6" t="str">
        <f t="shared" si="4"/>
        <v>7</v>
      </c>
    </row>
    <row r="636">
      <c r="A636" s="8">
        <v>45843.0</v>
      </c>
      <c r="B636" s="12">
        <v>0.0</v>
      </c>
      <c r="C636" s="12">
        <v>0.0</v>
      </c>
      <c r="D636" s="12">
        <v>0.0</v>
      </c>
      <c r="E636" s="12">
        <v>0.0</v>
      </c>
      <c r="F636" s="12">
        <v>0.0</v>
      </c>
      <c r="G636" s="12">
        <v>0.0</v>
      </c>
      <c r="H636" s="12">
        <f t="shared" si="149"/>
        <v>0</v>
      </c>
      <c r="I636" s="12">
        <v>0.0</v>
      </c>
      <c r="J636" s="12">
        <v>0.0</v>
      </c>
      <c r="K636" s="12">
        <v>0.0</v>
      </c>
      <c r="L636" s="12">
        <v>0.0</v>
      </c>
      <c r="M636" s="12">
        <v>0.0</v>
      </c>
      <c r="N636" s="12">
        <v>0.0</v>
      </c>
      <c r="O636" s="16">
        <f t="shared" si="150"/>
        <v>0</v>
      </c>
      <c r="P636" s="12">
        <v>0.0</v>
      </c>
      <c r="Q636" s="12">
        <v>0.0</v>
      </c>
      <c r="R636" s="12">
        <v>0.0</v>
      </c>
      <c r="S636" s="12">
        <v>0.0</v>
      </c>
      <c r="T636" s="12">
        <v>0.0</v>
      </c>
      <c r="U636" s="12">
        <v>0.0</v>
      </c>
      <c r="V636" s="16">
        <f t="shared" si="151"/>
        <v>0</v>
      </c>
      <c r="W636" s="12">
        <v>6720.0</v>
      </c>
      <c r="X636" s="12">
        <v>0.0</v>
      </c>
      <c r="Y636" s="12">
        <v>0.0</v>
      </c>
      <c r="Z636" s="12">
        <v>0.0</v>
      </c>
      <c r="AA636" s="12">
        <v>0.0</v>
      </c>
      <c r="AB636" s="12">
        <v>0.0</v>
      </c>
      <c r="AC636" s="16">
        <f t="shared" si="169"/>
        <v>6720</v>
      </c>
      <c r="AD636" s="12">
        <v>0.0</v>
      </c>
      <c r="AE636" s="12">
        <v>0.0</v>
      </c>
      <c r="AF636" s="12">
        <v>0.0</v>
      </c>
      <c r="AG636" s="12">
        <v>0.0</v>
      </c>
      <c r="AH636" s="12">
        <v>0.0</v>
      </c>
      <c r="AI636" s="12">
        <v>0.0</v>
      </c>
      <c r="AJ636" s="12">
        <v>0.0</v>
      </c>
      <c r="AK636" s="12">
        <v>0.0</v>
      </c>
      <c r="AL636" s="12">
        <f t="shared" si="192"/>
        <v>0</v>
      </c>
      <c r="AM636" s="12">
        <v>0.0</v>
      </c>
      <c r="AN636" s="12">
        <v>0.0</v>
      </c>
      <c r="AO636" s="12">
        <v>0.0</v>
      </c>
      <c r="AP636" s="12">
        <v>0.0</v>
      </c>
      <c r="AQ636" s="12">
        <v>0.0</v>
      </c>
      <c r="AR636" s="12">
        <v>0.0</v>
      </c>
      <c r="AS636" s="12">
        <f t="shared" si="234"/>
        <v>0</v>
      </c>
      <c r="AT636" s="16">
        <f t="shared" si="231"/>
        <v>6720</v>
      </c>
      <c r="AU636" s="18">
        <f t="shared" si="235"/>
        <v>52782.79</v>
      </c>
      <c r="AV636" s="12">
        <v>0.0</v>
      </c>
      <c r="AW636" s="10">
        <f t="shared" si="236"/>
        <v>17168.62</v>
      </c>
      <c r="AX636" s="12">
        <f t="shared" si="171"/>
        <v>6720</v>
      </c>
      <c r="AY636" s="12">
        <f t="shared" si="208"/>
        <v>69951.41</v>
      </c>
      <c r="AZ636" s="12">
        <v>0.0</v>
      </c>
      <c r="BA636" s="18">
        <f t="shared" si="237"/>
        <v>2796.32</v>
      </c>
      <c r="BB636" s="10">
        <f t="shared" si="16"/>
        <v>327253.298</v>
      </c>
      <c r="BC636" s="16">
        <f t="shared" si="201"/>
        <v>23280</v>
      </c>
      <c r="BD636" s="12">
        <v>0.0</v>
      </c>
      <c r="BE636" s="16">
        <f t="shared" si="238"/>
        <v>0</v>
      </c>
      <c r="BF636" s="6"/>
      <c r="BG636" s="6"/>
      <c r="BH636" s="6"/>
      <c r="BI636" s="29">
        <f t="shared" si="232"/>
        <v>65842.94226</v>
      </c>
      <c r="BJ636" s="6"/>
      <c r="BK636" s="15">
        <f t="shared" si="76"/>
        <v>0.1020610527</v>
      </c>
      <c r="BN636" s="16">
        <f t="shared" si="187"/>
        <v>-59122.94226</v>
      </c>
      <c r="BO636" s="16">
        <f t="shared" si="239"/>
        <v>-259263.3013</v>
      </c>
      <c r="BY636" s="6">
        <f t="shared" si="2"/>
        <v>2025</v>
      </c>
      <c r="BZ636" s="6" t="str">
        <f t="shared" si="3"/>
        <v>julio</v>
      </c>
      <c r="CA636" s="6" t="str">
        <f t="shared" si="4"/>
        <v>7</v>
      </c>
    </row>
    <row r="637">
      <c r="A637" s="8">
        <v>45844.0</v>
      </c>
      <c r="B637" s="12">
        <v>0.0</v>
      </c>
      <c r="C637" s="12">
        <v>0.0</v>
      </c>
      <c r="D637" s="12">
        <v>0.0</v>
      </c>
      <c r="E637" s="12">
        <v>0.0</v>
      </c>
      <c r="F637" s="12">
        <v>0.0</v>
      </c>
      <c r="G637" s="12">
        <v>0.0</v>
      </c>
      <c r="H637" s="12">
        <f t="shared" si="149"/>
        <v>0</v>
      </c>
      <c r="I637" s="12">
        <v>0.0</v>
      </c>
      <c r="J637" s="12">
        <v>0.0</v>
      </c>
      <c r="K637" s="12">
        <v>0.0</v>
      </c>
      <c r="L637" s="12">
        <v>0.0</v>
      </c>
      <c r="M637" s="12">
        <v>0.0</v>
      </c>
      <c r="N637" s="12">
        <v>0.0</v>
      </c>
      <c r="O637" s="16">
        <f t="shared" si="150"/>
        <v>0</v>
      </c>
      <c r="P637" s="12">
        <v>0.0</v>
      </c>
      <c r="Q637" s="12">
        <v>0.0</v>
      </c>
      <c r="R637" s="12">
        <v>0.0</v>
      </c>
      <c r="S637" s="12">
        <v>0.0</v>
      </c>
      <c r="T637" s="12">
        <v>0.0</v>
      </c>
      <c r="U637" s="12">
        <v>0.0</v>
      </c>
      <c r="V637" s="16">
        <f t="shared" si="151"/>
        <v>0</v>
      </c>
      <c r="W637" s="12">
        <v>0.0</v>
      </c>
      <c r="X637" s="12">
        <v>0.0</v>
      </c>
      <c r="Y637" s="12">
        <v>0.0</v>
      </c>
      <c r="Z637" s="12">
        <v>0.0</v>
      </c>
      <c r="AA637" s="12">
        <v>0.0</v>
      </c>
      <c r="AB637" s="12">
        <v>0.0</v>
      </c>
      <c r="AC637" s="16">
        <f t="shared" si="169"/>
        <v>0</v>
      </c>
      <c r="AD637" s="12">
        <v>0.0</v>
      </c>
      <c r="AE637" s="12">
        <v>0.0</v>
      </c>
      <c r="AF637" s="12">
        <v>0.0</v>
      </c>
      <c r="AG637" s="12">
        <v>0.0</v>
      </c>
      <c r="AH637" s="12">
        <v>0.0</v>
      </c>
      <c r="AI637" s="12">
        <v>0.0</v>
      </c>
      <c r="AJ637" s="12">
        <v>0.0</v>
      </c>
      <c r="AK637" s="12">
        <v>0.0</v>
      </c>
      <c r="AL637" s="12">
        <f t="shared" si="192"/>
        <v>0</v>
      </c>
      <c r="AM637" s="12">
        <v>0.0</v>
      </c>
      <c r="AN637" s="12">
        <v>0.0</v>
      </c>
      <c r="AO637" s="12">
        <v>0.0</v>
      </c>
      <c r="AP637" s="12">
        <v>0.0</v>
      </c>
      <c r="AQ637" s="12">
        <v>0.0</v>
      </c>
      <c r="AR637" s="12">
        <v>0.0</v>
      </c>
      <c r="AS637" s="12">
        <f t="shared" si="234"/>
        <v>0</v>
      </c>
      <c r="AT637" s="5">
        <v>0.0</v>
      </c>
      <c r="AU637" s="18">
        <f t="shared" si="235"/>
        <v>52782.79</v>
      </c>
      <c r="AV637" s="12">
        <v>0.0</v>
      </c>
      <c r="AW637" s="10">
        <f t="shared" si="236"/>
        <v>17168.62</v>
      </c>
      <c r="AX637" s="12">
        <f t="shared" si="171"/>
        <v>0</v>
      </c>
      <c r="AY637" s="12">
        <f t="shared" si="208"/>
        <v>69951.41</v>
      </c>
      <c r="AZ637" s="12">
        <v>0.0</v>
      </c>
      <c r="BA637" s="18">
        <f t="shared" si="237"/>
        <v>2796.32</v>
      </c>
      <c r="BB637" s="10">
        <f t="shared" si="16"/>
        <v>272711.0817</v>
      </c>
      <c r="BC637" s="16">
        <f t="shared" si="201"/>
        <v>21430</v>
      </c>
      <c r="BD637" s="12">
        <v>0.0</v>
      </c>
      <c r="BE637" s="16">
        <f t="shared" si="238"/>
        <v>0</v>
      </c>
      <c r="BF637" s="6"/>
      <c r="BG637" s="6"/>
      <c r="BH637" s="6"/>
      <c r="BI637" s="29">
        <f t="shared" si="232"/>
        <v>65842.94226</v>
      </c>
      <c r="BJ637" s="6"/>
      <c r="BK637" s="15">
        <f t="shared" si="76"/>
        <v>0</v>
      </c>
      <c r="BN637" s="16">
        <f t="shared" si="187"/>
        <v>-65842.94226</v>
      </c>
      <c r="BO637" s="16">
        <f t="shared" si="239"/>
        <v>-325106.2435</v>
      </c>
      <c r="BY637" s="6">
        <f t="shared" si="2"/>
        <v>2025</v>
      </c>
      <c r="BZ637" s="6" t="str">
        <f t="shared" si="3"/>
        <v>julio</v>
      </c>
      <c r="CA637" s="6" t="str">
        <f t="shared" si="4"/>
        <v>7</v>
      </c>
    </row>
    <row r="638">
      <c r="A638" s="8">
        <v>45845.0</v>
      </c>
      <c r="B638" s="12">
        <v>16596.21</v>
      </c>
      <c r="C638" s="12">
        <v>0.0</v>
      </c>
      <c r="D638" s="12">
        <v>13456.0</v>
      </c>
      <c r="E638" s="12">
        <v>0.0</v>
      </c>
      <c r="F638" s="12">
        <v>0.0</v>
      </c>
      <c r="G638" s="12">
        <v>0.0</v>
      </c>
      <c r="H638" s="12">
        <f t="shared" si="149"/>
        <v>30052.21</v>
      </c>
      <c r="I638" s="12">
        <v>25469.0</v>
      </c>
      <c r="J638" s="12">
        <v>0.0</v>
      </c>
      <c r="K638" s="12">
        <v>4344.81</v>
      </c>
      <c r="L638" s="12">
        <v>0.0</v>
      </c>
      <c r="M638" s="12">
        <v>0.0</v>
      </c>
      <c r="N638" s="12">
        <v>0.0</v>
      </c>
      <c r="O638" s="16">
        <f t="shared" si="150"/>
        <v>29813.81</v>
      </c>
      <c r="P638" s="12">
        <v>10984.11</v>
      </c>
      <c r="Q638" s="12">
        <v>0.0</v>
      </c>
      <c r="R638" s="12">
        <v>763.73</v>
      </c>
      <c r="S638" s="12">
        <v>0.0</v>
      </c>
      <c r="T638" s="12">
        <v>0.0</v>
      </c>
      <c r="U638" s="12">
        <v>0.0</v>
      </c>
      <c r="V638" s="16">
        <f t="shared" si="151"/>
        <v>11747.84</v>
      </c>
      <c r="W638" s="12">
        <v>8916.03</v>
      </c>
      <c r="X638" s="12">
        <v>0.0</v>
      </c>
      <c r="Y638" s="12">
        <v>1.77</v>
      </c>
      <c r="Z638" s="12">
        <v>0.0</v>
      </c>
      <c r="AA638" s="12">
        <v>0.0</v>
      </c>
      <c r="AB638" s="12">
        <v>0.0</v>
      </c>
      <c r="AC638" s="16">
        <f t="shared" si="169"/>
        <v>8917.8</v>
      </c>
      <c r="AD638" s="12">
        <v>8790.52</v>
      </c>
      <c r="AE638" s="12">
        <v>127.28</v>
      </c>
      <c r="AF638" s="12">
        <v>1813.33</v>
      </c>
      <c r="AG638" s="12">
        <v>0.0</v>
      </c>
      <c r="AH638" s="12">
        <v>0.0</v>
      </c>
      <c r="AI638" s="12">
        <v>0.0</v>
      </c>
      <c r="AJ638" s="12">
        <v>0.0</v>
      </c>
      <c r="AK638" s="12">
        <v>0.0</v>
      </c>
      <c r="AL638" s="12">
        <f t="shared" si="192"/>
        <v>1813.33</v>
      </c>
      <c r="AM638" s="12">
        <v>8698.0</v>
      </c>
      <c r="AN638" s="12">
        <v>0.0</v>
      </c>
      <c r="AO638" s="12">
        <v>0.0</v>
      </c>
      <c r="AP638" s="12">
        <v>0.0</v>
      </c>
      <c r="AQ638" s="12">
        <v>0.0</v>
      </c>
      <c r="AR638" s="12">
        <v>0.0</v>
      </c>
      <c r="AS638" s="12">
        <f t="shared" si="234"/>
        <v>8698</v>
      </c>
      <c r="AT638" s="16">
        <f t="shared" ref="AT638:AT642" si="240">IF(AS638+AL638+AC638+V638+O638=0,"",AS638+AL638+AC638+V638+O638)</f>
        <v>60990.78</v>
      </c>
      <c r="AU638" s="18">
        <f t="shared" si="235"/>
        <v>113773.57</v>
      </c>
      <c r="AV638" s="12">
        <v>13194.92</v>
      </c>
      <c r="AW638" s="10">
        <f t="shared" si="236"/>
        <v>30363.54</v>
      </c>
      <c r="AX638" s="12">
        <f t="shared" si="171"/>
        <v>74185.7</v>
      </c>
      <c r="AY638" s="12">
        <f t="shared" si="208"/>
        <v>146753.65</v>
      </c>
      <c r="AZ638" s="12">
        <v>3259.39</v>
      </c>
      <c r="BA638" s="18">
        <f t="shared" si="237"/>
        <v>6055.71</v>
      </c>
      <c r="BB638" s="10">
        <f t="shared" si="16"/>
        <v>503854.3814</v>
      </c>
      <c r="BC638" s="16">
        <f t="shared" si="201"/>
        <v>57578.4875</v>
      </c>
      <c r="BD638" s="12">
        <v>2616.54</v>
      </c>
      <c r="BE638" s="16">
        <f t="shared" si="238"/>
        <v>2616.54</v>
      </c>
      <c r="BF638" s="6"/>
      <c r="BG638" s="6"/>
      <c r="BH638" s="6"/>
      <c r="BI638" s="29">
        <f t="shared" si="232"/>
        <v>65842.94226</v>
      </c>
      <c r="BJ638" s="6"/>
      <c r="BK638" s="15">
        <f t="shared" si="76"/>
        <v>0.9263070256</v>
      </c>
      <c r="BN638" s="16">
        <f t="shared" si="187"/>
        <v>10959.29774</v>
      </c>
      <c r="BO638" s="16">
        <f t="shared" si="239"/>
        <v>-314146.9458</v>
      </c>
      <c r="BY638" s="6">
        <f t="shared" si="2"/>
        <v>2025</v>
      </c>
      <c r="BZ638" s="6" t="str">
        <f t="shared" si="3"/>
        <v>julio</v>
      </c>
      <c r="CA638" s="6" t="str">
        <f t="shared" si="4"/>
        <v>7</v>
      </c>
    </row>
    <row r="639">
      <c r="A639" s="8">
        <v>45846.0</v>
      </c>
      <c r="B639" s="12">
        <v>32465.0</v>
      </c>
      <c r="C639" s="12">
        <v>2415.0</v>
      </c>
      <c r="D639" s="12">
        <v>10453.0</v>
      </c>
      <c r="E639" s="12">
        <v>3335.12</v>
      </c>
      <c r="F639" s="12">
        <v>0.0</v>
      </c>
      <c r="G639" s="12">
        <v>0.0</v>
      </c>
      <c r="H639" s="12">
        <f t="shared" si="149"/>
        <v>48668.12</v>
      </c>
      <c r="I639" s="12">
        <v>30000.0</v>
      </c>
      <c r="J639" s="12">
        <v>1436.0</v>
      </c>
      <c r="K639" s="12">
        <v>2906.72</v>
      </c>
      <c r="L639" s="12">
        <v>2415.0</v>
      </c>
      <c r="M639" s="12">
        <v>0.0</v>
      </c>
      <c r="N639" s="12">
        <v>0.0</v>
      </c>
      <c r="O639" s="16">
        <f t="shared" si="150"/>
        <v>36757.72</v>
      </c>
      <c r="P639" s="12">
        <v>8495.39</v>
      </c>
      <c r="Q639" s="12">
        <v>912.49</v>
      </c>
      <c r="R639" s="12">
        <v>3083.92</v>
      </c>
      <c r="S639" s="12">
        <v>0.0</v>
      </c>
      <c r="T639" s="12">
        <v>0.0</v>
      </c>
      <c r="U639" s="12">
        <v>0.0</v>
      </c>
      <c r="V639" s="16">
        <f t="shared" si="151"/>
        <v>12491.8</v>
      </c>
      <c r="W639" s="12">
        <v>4.5</v>
      </c>
      <c r="X639" s="12">
        <v>550.0</v>
      </c>
      <c r="Y639" s="12">
        <v>122.12</v>
      </c>
      <c r="Z639" s="12">
        <v>0.36</v>
      </c>
      <c r="AA639" s="12">
        <v>0.0</v>
      </c>
      <c r="AB639" s="12">
        <v>0.0</v>
      </c>
      <c r="AC639" s="16">
        <f t="shared" si="169"/>
        <v>676.98</v>
      </c>
      <c r="AD639" s="12">
        <v>0.0</v>
      </c>
      <c r="AE639" s="12">
        <v>676.98</v>
      </c>
      <c r="AF639" s="12">
        <v>2459.2</v>
      </c>
      <c r="AG639" s="12">
        <v>779.74</v>
      </c>
      <c r="AH639" s="12">
        <v>0.0</v>
      </c>
      <c r="AI639" s="12">
        <v>0.0</v>
      </c>
      <c r="AJ639" s="12">
        <v>0.0</v>
      </c>
      <c r="AK639" s="12">
        <v>0.0</v>
      </c>
      <c r="AL639" s="12">
        <f t="shared" si="192"/>
        <v>3238.94</v>
      </c>
      <c r="AM639" s="12">
        <v>0.0</v>
      </c>
      <c r="AN639" s="12">
        <v>0.0</v>
      </c>
      <c r="AO639" s="12">
        <v>0.0</v>
      </c>
      <c r="AP639" s="12">
        <v>0.0</v>
      </c>
      <c r="AQ639" s="12">
        <v>0.0</v>
      </c>
      <c r="AR639" s="12">
        <v>0.0</v>
      </c>
      <c r="AS639" s="12">
        <f t="shared" si="234"/>
        <v>0</v>
      </c>
      <c r="AT639" s="16">
        <f t="shared" si="240"/>
        <v>53165.44</v>
      </c>
      <c r="AU639" s="18">
        <f t="shared" si="235"/>
        <v>166939.01</v>
      </c>
      <c r="AV639" s="12">
        <v>19634.91</v>
      </c>
      <c r="AW639" s="10">
        <f t="shared" si="236"/>
        <v>49998.45</v>
      </c>
      <c r="AX639" s="12">
        <f t="shared" si="171"/>
        <v>72800.35</v>
      </c>
      <c r="AY639" s="12">
        <f t="shared" si="208"/>
        <v>219554</v>
      </c>
      <c r="AZ639" s="12">
        <v>2809.5</v>
      </c>
      <c r="BA639" s="18">
        <f t="shared" si="237"/>
        <v>8865.21</v>
      </c>
      <c r="BB639" s="10">
        <f t="shared" si="16"/>
        <v>646888.6638</v>
      </c>
      <c r="BC639" s="16">
        <f t="shared" si="201"/>
        <v>52782.79</v>
      </c>
      <c r="BD639" s="12">
        <v>0.0</v>
      </c>
      <c r="BE639" s="16">
        <f t="shared" si="238"/>
        <v>2616.54</v>
      </c>
      <c r="BF639" s="6"/>
      <c r="BG639" s="6"/>
      <c r="BH639" s="6"/>
      <c r="BI639" s="29">
        <f t="shared" si="232"/>
        <v>65842.94226</v>
      </c>
      <c r="BJ639" s="6"/>
      <c r="BK639" s="15">
        <f t="shared" si="76"/>
        <v>0.8074584485</v>
      </c>
      <c r="BN639" s="16">
        <f t="shared" si="187"/>
        <v>6957.407742</v>
      </c>
      <c r="BO639" s="16">
        <f t="shared" si="239"/>
        <v>-307189.5381</v>
      </c>
      <c r="BY639" s="6">
        <f t="shared" si="2"/>
        <v>2025</v>
      </c>
      <c r="BZ639" s="6" t="str">
        <f t="shared" si="3"/>
        <v>julio</v>
      </c>
      <c r="CA639" s="6" t="str">
        <f t="shared" si="4"/>
        <v>7</v>
      </c>
    </row>
    <row r="640">
      <c r="A640" s="8">
        <v>45847.0</v>
      </c>
      <c r="B640" s="12">
        <v>70123.0</v>
      </c>
      <c r="C640" s="12">
        <v>5981.87</v>
      </c>
      <c r="D640" s="12">
        <v>10456.0</v>
      </c>
      <c r="E640" s="12">
        <v>0.0</v>
      </c>
      <c r="F640" s="12">
        <v>0.0</v>
      </c>
      <c r="G640" s="12">
        <v>0.0</v>
      </c>
      <c r="H640" s="12">
        <f t="shared" si="149"/>
        <v>86560.87</v>
      </c>
      <c r="I640" s="12">
        <v>40123.0</v>
      </c>
      <c r="J640" s="12">
        <v>3469.0</v>
      </c>
      <c r="K640" s="12">
        <v>5827.73</v>
      </c>
      <c r="L640" s="12">
        <v>1852.0</v>
      </c>
      <c r="M640" s="12">
        <v>0.0</v>
      </c>
      <c r="N640" s="12">
        <v>0.0</v>
      </c>
      <c r="O640" s="16">
        <f t="shared" si="150"/>
        <v>51271.73</v>
      </c>
      <c r="P640" s="12">
        <v>17621.61</v>
      </c>
      <c r="Q640" s="12">
        <v>1479.77</v>
      </c>
      <c r="R640" s="12">
        <v>1290.55</v>
      </c>
      <c r="S640" s="12">
        <v>0.0</v>
      </c>
      <c r="T640" s="12">
        <v>0.0</v>
      </c>
      <c r="U640" s="12">
        <v>0.0</v>
      </c>
      <c r="V640" s="16">
        <f t="shared" si="151"/>
        <v>20391.93</v>
      </c>
      <c r="W640" s="12">
        <v>1020.98</v>
      </c>
      <c r="X640" s="12">
        <v>48.57</v>
      </c>
      <c r="Y640" s="12">
        <v>0.0</v>
      </c>
      <c r="Z640" s="12">
        <v>0.0</v>
      </c>
      <c r="AA640" s="12">
        <v>0.0</v>
      </c>
      <c r="AB640" s="12">
        <v>0.0</v>
      </c>
      <c r="AC640" s="16">
        <f t="shared" si="169"/>
        <v>1069.55</v>
      </c>
      <c r="AD640" s="12">
        <v>0.0</v>
      </c>
      <c r="AE640" s="12">
        <v>1077.55</v>
      </c>
      <c r="AF640" s="12">
        <v>5052.45</v>
      </c>
      <c r="AG640" s="12">
        <v>2936.81</v>
      </c>
      <c r="AH640" s="12">
        <v>401.25</v>
      </c>
      <c r="AI640" s="12">
        <v>0.0</v>
      </c>
      <c r="AJ640" s="12">
        <v>0.0</v>
      </c>
      <c r="AK640" s="12">
        <v>0.0</v>
      </c>
      <c r="AL640" s="12">
        <f t="shared" si="192"/>
        <v>8390.51</v>
      </c>
      <c r="AM640" s="12">
        <v>0.0</v>
      </c>
      <c r="AN640" s="12">
        <v>0.0</v>
      </c>
      <c r="AO640" s="12">
        <v>0.0</v>
      </c>
      <c r="AP640" s="12">
        <v>0.0</v>
      </c>
      <c r="AQ640" s="12">
        <v>0.0</v>
      </c>
      <c r="AR640" s="12">
        <v>0.0</v>
      </c>
      <c r="AS640" s="12">
        <f t="shared" si="234"/>
        <v>0</v>
      </c>
      <c r="AT640" s="16">
        <f t="shared" si="240"/>
        <v>81123.72</v>
      </c>
      <c r="AU640" s="18">
        <f t="shared" si="235"/>
        <v>248062.73</v>
      </c>
      <c r="AV640" s="12">
        <v>35017.47</v>
      </c>
      <c r="AW640" s="10">
        <f t="shared" si="236"/>
        <v>85015.92</v>
      </c>
      <c r="AX640" s="12">
        <f t="shared" si="171"/>
        <v>116141.19</v>
      </c>
      <c r="AY640" s="12">
        <f t="shared" si="208"/>
        <v>335695.19</v>
      </c>
      <c r="AZ640" s="12">
        <v>5197.52</v>
      </c>
      <c r="BA640" s="18">
        <f t="shared" si="237"/>
        <v>14062.73</v>
      </c>
      <c r="BB640" s="10">
        <f t="shared" si="16"/>
        <v>854438.2922</v>
      </c>
      <c r="BC640" s="16">
        <f t="shared" si="201"/>
        <v>43985.65833</v>
      </c>
      <c r="BD640" s="12">
        <v>0.0</v>
      </c>
      <c r="BE640" s="16">
        <f t="shared" si="238"/>
        <v>2616.54</v>
      </c>
      <c r="BF640" s="6"/>
      <c r="BG640" s="6"/>
      <c r="BH640" s="6"/>
      <c r="BI640" s="29">
        <f t="shared" si="232"/>
        <v>65842.94226</v>
      </c>
      <c r="BK640" s="15">
        <f t="shared" si="76"/>
        <v>1.232079206</v>
      </c>
      <c r="BN640" s="16">
        <f t="shared" si="187"/>
        <v>50298.24774</v>
      </c>
      <c r="BO640" s="16">
        <f t="shared" si="239"/>
        <v>-256891.2903</v>
      </c>
      <c r="BY640" s="6">
        <f t="shared" si="2"/>
        <v>2025</v>
      </c>
      <c r="BZ640" s="6" t="str">
        <f t="shared" si="3"/>
        <v>julio</v>
      </c>
      <c r="CA640" s="6" t="str">
        <f t="shared" si="4"/>
        <v>7</v>
      </c>
    </row>
    <row r="641">
      <c r="A641" s="8">
        <v>45848.0</v>
      </c>
      <c r="B641" s="12">
        <v>15476.0</v>
      </c>
      <c r="C641" s="12">
        <v>2223.2</v>
      </c>
      <c r="D641" s="12">
        <v>2454.16</v>
      </c>
      <c r="E641" s="12">
        <v>0.0</v>
      </c>
      <c r="F641" s="12">
        <v>0.0</v>
      </c>
      <c r="G641" s="12">
        <v>0.0</v>
      </c>
      <c r="H641" s="12">
        <f t="shared" si="149"/>
        <v>20153.36</v>
      </c>
      <c r="I641" s="12">
        <v>10114.0</v>
      </c>
      <c r="J641" s="12">
        <v>2111.0</v>
      </c>
      <c r="K641" s="12">
        <v>3456.0</v>
      </c>
      <c r="L641" s="12">
        <v>2271.53</v>
      </c>
      <c r="M641" s="12">
        <v>0.0</v>
      </c>
      <c r="N641" s="12">
        <v>0.0</v>
      </c>
      <c r="O641" s="16">
        <f t="shared" si="150"/>
        <v>17952.53</v>
      </c>
      <c r="P641" s="12">
        <v>4991.2</v>
      </c>
      <c r="Q641" s="12">
        <v>194.72</v>
      </c>
      <c r="R641" s="12">
        <v>953.852</v>
      </c>
      <c r="S641" s="12">
        <v>0.0</v>
      </c>
      <c r="T641" s="12">
        <v>0.0</v>
      </c>
      <c r="U641" s="12">
        <v>0.0</v>
      </c>
      <c r="V641" s="16">
        <f t="shared" si="151"/>
        <v>6139.772</v>
      </c>
      <c r="W641" s="12">
        <v>2605.13</v>
      </c>
      <c r="X641" s="12">
        <v>0.01</v>
      </c>
      <c r="Y641" s="12">
        <v>3869.72</v>
      </c>
      <c r="Z641" s="12">
        <v>0.0</v>
      </c>
      <c r="AA641" s="12">
        <v>0.0</v>
      </c>
      <c r="AB641" s="12">
        <v>0.0</v>
      </c>
      <c r="AC641" s="16">
        <f t="shared" si="169"/>
        <v>6474.86</v>
      </c>
      <c r="AD641" s="12">
        <v>6468.47</v>
      </c>
      <c r="AE641" s="12">
        <v>6.39</v>
      </c>
      <c r="AF641" s="12">
        <v>2544.44</v>
      </c>
      <c r="AG641" s="12">
        <v>0.0</v>
      </c>
      <c r="AH641" s="12">
        <v>0.0</v>
      </c>
      <c r="AI641" s="12">
        <v>0.0</v>
      </c>
      <c r="AJ641" s="12">
        <v>0.0</v>
      </c>
      <c r="AK641" s="12">
        <v>0.0</v>
      </c>
      <c r="AL641" s="12">
        <f t="shared" si="192"/>
        <v>2544.44</v>
      </c>
      <c r="AM641" s="12">
        <v>2344.0</v>
      </c>
      <c r="AN641" s="12">
        <v>0.0</v>
      </c>
      <c r="AO641" s="12">
        <v>6458.0</v>
      </c>
      <c r="AP641" s="12">
        <v>0.0</v>
      </c>
      <c r="AQ641" s="12">
        <v>0.0</v>
      </c>
      <c r="AR641" s="12">
        <v>0.0</v>
      </c>
      <c r="AS641" s="12">
        <f t="shared" si="234"/>
        <v>8802</v>
      </c>
      <c r="AT641" s="16">
        <f t="shared" si="240"/>
        <v>41913.602</v>
      </c>
      <c r="AU641" s="18">
        <f t="shared" si="235"/>
        <v>289976.332</v>
      </c>
      <c r="AV641" s="12">
        <v>7430.86</v>
      </c>
      <c r="AW641" s="10">
        <f t="shared" si="236"/>
        <v>92446.78</v>
      </c>
      <c r="AX641" s="12">
        <f t="shared" si="171"/>
        <v>49344.462</v>
      </c>
      <c r="AY641" s="12">
        <f t="shared" si="208"/>
        <v>387043.042</v>
      </c>
      <c r="AZ641" s="12">
        <v>672.77</v>
      </c>
      <c r="BA641" s="18">
        <f t="shared" si="237"/>
        <v>14735.5</v>
      </c>
      <c r="BB641" s="10">
        <f t="shared" si="16"/>
        <v>898926.6292</v>
      </c>
      <c r="BC641" s="16">
        <f t="shared" si="201"/>
        <v>81266.83571</v>
      </c>
      <c r="BD641" s="12">
        <v>2003.39</v>
      </c>
      <c r="BE641" s="16">
        <f t="shared" si="238"/>
        <v>4619.93</v>
      </c>
      <c r="BF641" s="6"/>
      <c r="BG641" s="6"/>
      <c r="BH641" s="6"/>
      <c r="BI641" s="29">
        <f t="shared" si="232"/>
        <v>65842.94226</v>
      </c>
      <c r="BJ641" s="6"/>
      <c r="BK641" s="15">
        <f t="shared" si="76"/>
        <v>0.6365693962</v>
      </c>
      <c r="BN641" s="16">
        <f t="shared" si="187"/>
        <v>-14495.09026</v>
      </c>
      <c r="BO641" s="16">
        <f t="shared" si="239"/>
        <v>-271386.3806</v>
      </c>
      <c r="BY641" s="6">
        <f t="shared" si="2"/>
        <v>2025</v>
      </c>
      <c r="BZ641" s="6" t="str">
        <f t="shared" si="3"/>
        <v>julio</v>
      </c>
      <c r="CA641" s="6" t="str">
        <f t="shared" si="4"/>
        <v>7</v>
      </c>
    </row>
    <row r="642">
      <c r="A642" s="8">
        <v>45849.0</v>
      </c>
      <c r="B642" s="12">
        <v>10469.0</v>
      </c>
      <c r="C642" s="12">
        <v>4777.0</v>
      </c>
      <c r="D642" s="12">
        <v>3827.72</v>
      </c>
      <c r="E642" s="12">
        <v>0.0</v>
      </c>
      <c r="F642" s="12">
        <v>0.0</v>
      </c>
      <c r="G642" s="12">
        <v>0.0</v>
      </c>
      <c r="H642" s="12">
        <f t="shared" si="149"/>
        <v>19073.72</v>
      </c>
      <c r="I642" s="12">
        <v>9111.0</v>
      </c>
      <c r="J642" s="12">
        <v>2280.82</v>
      </c>
      <c r="K642" s="12">
        <v>1556.3</v>
      </c>
      <c r="L642" s="12">
        <v>0.0</v>
      </c>
      <c r="M642" s="12">
        <v>0.0</v>
      </c>
      <c r="N642" s="12">
        <v>0.0</v>
      </c>
      <c r="O642" s="16">
        <f t="shared" si="150"/>
        <v>12948.12</v>
      </c>
      <c r="P642" s="12">
        <v>6187.67</v>
      </c>
      <c r="Q642" s="12">
        <v>324.6</v>
      </c>
      <c r="R642" s="12">
        <v>392.81</v>
      </c>
      <c r="S642" s="12">
        <v>0.0</v>
      </c>
      <c r="T642" s="12">
        <v>0.0</v>
      </c>
      <c r="U642" s="12">
        <v>0.0</v>
      </c>
      <c r="V642" s="16">
        <f t="shared" si="151"/>
        <v>6905.08</v>
      </c>
      <c r="W642" s="12">
        <v>460.24</v>
      </c>
      <c r="X642" s="12">
        <v>0.0</v>
      </c>
      <c r="Y642" s="12">
        <v>0.23</v>
      </c>
      <c r="Z642" s="12">
        <v>0.0</v>
      </c>
      <c r="AA642" s="12">
        <v>0.0</v>
      </c>
      <c r="AB642" s="12">
        <v>0.0</v>
      </c>
      <c r="AC642" s="16">
        <f t="shared" si="169"/>
        <v>460.47</v>
      </c>
      <c r="AD642" s="12">
        <v>0.0</v>
      </c>
      <c r="AE642" s="12">
        <v>460.47</v>
      </c>
      <c r="AF642" s="12">
        <v>2116.85</v>
      </c>
      <c r="AG642" s="12">
        <v>0.0</v>
      </c>
      <c r="AH642" s="12">
        <v>0.0</v>
      </c>
      <c r="AI642" s="12">
        <v>0.0</v>
      </c>
      <c r="AJ642" s="12">
        <v>0.0</v>
      </c>
      <c r="AK642" s="12">
        <v>0.0</v>
      </c>
      <c r="AL642" s="12">
        <f t="shared" si="192"/>
        <v>2116.85</v>
      </c>
      <c r="AM642" s="12">
        <v>0.0</v>
      </c>
      <c r="AN642" s="12">
        <v>0.0</v>
      </c>
      <c r="AO642" s="12">
        <v>0.0</v>
      </c>
      <c r="AP642" s="12">
        <v>0.0</v>
      </c>
      <c r="AQ642" s="12">
        <v>0.0</v>
      </c>
      <c r="AR642" s="12">
        <v>0.0</v>
      </c>
      <c r="AS642" s="12">
        <f t="shared" si="234"/>
        <v>0</v>
      </c>
      <c r="AT642" s="16">
        <f t="shared" si="240"/>
        <v>22430.52</v>
      </c>
      <c r="AU642" s="18">
        <f t="shared" si="235"/>
        <v>312406.852</v>
      </c>
      <c r="AV642" s="12">
        <v>7420.05</v>
      </c>
      <c r="AW642" s="10">
        <f t="shared" si="236"/>
        <v>99866.83</v>
      </c>
      <c r="AX642" s="12">
        <f t="shared" si="171"/>
        <v>29850.57</v>
      </c>
      <c r="AY642" s="12">
        <f t="shared" si="208"/>
        <v>416893.612</v>
      </c>
      <c r="AZ642" s="12">
        <v>1085.09</v>
      </c>
      <c r="BA642" s="18">
        <f t="shared" si="237"/>
        <v>15820.59</v>
      </c>
      <c r="BB642" s="10">
        <f t="shared" si="16"/>
        <v>880419.3102</v>
      </c>
      <c r="BC642" s="16">
        <f t="shared" si="201"/>
        <v>104336.8813</v>
      </c>
      <c r="BD642" s="12">
        <v>0.0</v>
      </c>
      <c r="BE642" s="16">
        <f t="shared" si="238"/>
        <v>4619.93</v>
      </c>
      <c r="BF642" s="6"/>
      <c r="BG642" s="6"/>
      <c r="BH642" s="6"/>
      <c r="BI642" s="29">
        <f t="shared" si="232"/>
        <v>65842.94226</v>
      </c>
      <c r="BJ642" s="6"/>
      <c r="BK642" s="15">
        <f t="shared" si="76"/>
        <v>0.3406670363</v>
      </c>
      <c r="BN642" s="16">
        <f t="shared" si="187"/>
        <v>-35992.37226</v>
      </c>
      <c r="BO642" s="16">
        <f t="shared" si="239"/>
        <v>-307378.7528</v>
      </c>
      <c r="BY642" s="6">
        <f t="shared" si="2"/>
        <v>2025</v>
      </c>
      <c r="BZ642" s="6" t="str">
        <f t="shared" si="3"/>
        <v>julio</v>
      </c>
      <c r="CA642" s="6" t="str">
        <f t="shared" si="4"/>
        <v>7</v>
      </c>
    </row>
    <row r="643">
      <c r="A643" s="8">
        <v>45850.0</v>
      </c>
      <c r="B643" s="12">
        <v>0.0</v>
      </c>
      <c r="C643" s="12">
        <v>0.0</v>
      </c>
      <c r="D643" s="12">
        <v>0.0</v>
      </c>
      <c r="E643" s="12">
        <v>0.0</v>
      </c>
      <c r="F643" s="12">
        <v>0.0</v>
      </c>
      <c r="G643" s="12">
        <v>0.0</v>
      </c>
      <c r="H643" s="12">
        <f t="shared" si="149"/>
        <v>0</v>
      </c>
      <c r="I643" s="12">
        <v>0.0</v>
      </c>
      <c r="J643" s="12">
        <v>0.0</v>
      </c>
      <c r="K643" s="12">
        <v>0.0</v>
      </c>
      <c r="L643" s="12">
        <v>0.0</v>
      </c>
      <c r="M643" s="12">
        <v>0.0</v>
      </c>
      <c r="N643" s="12">
        <v>0.0</v>
      </c>
      <c r="O643" s="16">
        <f t="shared" si="150"/>
        <v>0</v>
      </c>
      <c r="P643" s="12">
        <v>0.0</v>
      </c>
      <c r="Q643" s="12">
        <v>0.0</v>
      </c>
      <c r="R643" s="12">
        <v>0.0</v>
      </c>
      <c r="S643" s="12">
        <v>0.0</v>
      </c>
      <c r="T643" s="12">
        <v>0.0</v>
      </c>
      <c r="U643" s="12">
        <v>0.0</v>
      </c>
      <c r="V643" s="16">
        <f t="shared" si="151"/>
        <v>0</v>
      </c>
      <c r="W643" s="12">
        <v>0.0</v>
      </c>
      <c r="X643" s="12">
        <v>0.0</v>
      </c>
      <c r="Y643" s="12">
        <v>0.0</v>
      </c>
      <c r="Z643" s="12">
        <v>0.0</v>
      </c>
      <c r="AA643" s="12">
        <v>0.0</v>
      </c>
      <c r="AB643" s="12">
        <v>0.0</v>
      </c>
      <c r="AC643" s="16">
        <f t="shared" si="169"/>
        <v>0</v>
      </c>
      <c r="AD643" s="12">
        <v>0.0</v>
      </c>
      <c r="AE643" s="12">
        <v>0.0</v>
      </c>
      <c r="AF643" s="12">
        <v>0.0</v>
      </c>
      <c r="AG643" s="12">
        <v>0.0</v>
      </c>
      <c r="AH643" s="12">
        <v>0.0</v>
      </c>
      <c r="AI643" s="12">
        <v>0.0</v>
      </c>
      <c r="AJ643" s="12">
        <v>0.0</v>
      </c>
      <c r="AK643" s="12">
        <v>0.0</v>
      </c>
      <c r="AL643" s="12">
        <f t="shared" si="192"/>
        <v>0</v>
      </c>
      <c r="AM643" s="12">
        <v>0.0</v>
      </c>
      <c r="AN643" s="12">
        <v>0.0</v>
      </c>
      <c r="AO643" s="12">
        <v>0.0</v>
      </c>
      <c r="AP643" s="12">
        <v>0.0</v>
      </c>
      <c r="AQ643" s="12">
        <v>0.0</v>
      </c>
      <c r="AR643" s="12">
        <v>0.0</v>
      </c>
      <c r="AS643" s="12">
        <f t="shared" si="234"/>
        <v>0</v>
      </c>
      <c r="AT643" s="5">
        <v>0.0</v>
      </c>
      <c r="AU643" s="18">
        <f t="shared" si="235"/>
        <v>312406.852</v>
      </c>
      <c r="AV643" s="12">
        <v>0.0</v>
      </c>
      <c r="AW643" s="10">
        <f t="shared" si="236"/>
        <v>99866.83</v>
      </c>
      <c r="AX643" s="12">
        <f t="shared" si="171"/>
        <v>0</v>
      </c>
      <c r="AY643" s="12">
        <f t="shared" si="208"/>
        <v>416893.612</v>
      </c>
      <c r="AZ643" s="12">
        <v>0.0</v>
      </c>
      <c r="BA643" s="18">
        <f t="shared" si="237"/>
        <v>15820.59</v>
      </c>
      <c r="BB643" s="10">
        <f t="shared" si="16"/>
        <v>807051.0343</v>
      </c>
      <c r="BC643" s="16">
        <f t="shared" si="201"/>
        <v>137812.6278</v>
      </c>
      <c r="BD643" s="12">
        <v>0.0</v>
      </c>
      <c r="BE643" s="16">
        <f t="shared" si="238"/>
        <v>4619.93</v>
      </c>
      <c r="BF643" s="6"/>
      <c r="BG643" s="6"/>
      <c r="BH643" s="6"/>
      <c r="BI643" s="29">
        <f t="shared" si="232"/>
        <v>65842.94226</v>
      </c>
      <c r="BJ643" s="6"/>
      <c r="BK643" s="15">
        <f t="shared" si="76"/>
        <v>0</v>
      </c>
      <c r="BN643" s="16">
        <f t="shared" si="187"/>
        <v>-65842.94226</v>
      </c>
      <c r="BO643" s="16">
        <f t="shared" si="239"/>
        <v>-373221.6951</v>
      </c>
      <c r="BY643" s="6">
        <f t="shared" si="2"/>
        <v>2025</v>
      </c>
      <c r="BZ643" s="6" t="str">
        <f t="shared" si="3"/>
        <v>julio</v>
      </c>
      <c r="CA643" s="6" t="str">
        <f t="shared" si="4"/>
        <v>7</v>
      </c>
    </row>
    <row r="644">
      <c r="A644" s="8">
        <v>45851.0</v>
      </c>
      <c r="B644" s="12">
        <v>0.0</v>
      </c>
      <c r="C644" s="12">
        <v>0.0</v>
      </c>
      <c r="D644" s="12">
        <v>0.0</v>
      </c>
      <c r="E644" s="12">
        <v>0.0</v>
      </c>
      <c r="F644" s="12">
        <v>0.0</v>
      </c>
      <c r="G644" s="12">
        <v>0.0</v>
      </c>
      <c r="H644" s="12">
        <f t="shared" si="149"/>
        <v>0</v>
      </c>
      <c r="I644" s="12">
        <v>0.0</v>
      </c>
      <c r="J644" s="12">
        <v>0.0</v>
      </c>
      <c r="K644" s="12">
        <v>0.0</v>
      </c>
      <c r="L644" s="12">
        <v>0.0</v>
      </c>
      <c r="M644" s="12">
        <v>0.0</v>
      </c>
      <c r="N644" s="12">
        <v>0.0</v>
      </c>
      <c r="O644" s="16">
        <f t="shared" si="150"/>
        <v>0</v>
      </c>
      <c r="P644" s="12">
        <v>0.0</v>
      </c>
      <c r="Q644" s="12">
        <v>0.0</v>
      </c>
      <c r="R644" s="12">
        <v>0.0</v>
      </c>
      <c r="S644" s="12">
        <v>0.0</v>
      </c>
      <c r="T644" s="12">
        <v>0.0</v>
      </c>
      <c r="U644" s="12">
        <v>0.0</v>
      </c>
      <c r="V644" s="16">
        <f t="shared" si="151"/>
        <v>0</v>
      </c>
      <c r="W644" s="12">
        <v>0.0</v>
      </c>
      <c r="X644" s="12">
        <v>0.0</v>
      </c>
      <c r="Y644" s="12">
        <v>0.0</v>
      </c>
      <c r="Z644" s="12">
        <v>0.0</v>
      </c>
      <c r="AA644" s="12">
        <v>0.0</v>
      </c>
      <c r="AB644" s="12">
        <v>0.0</v>
      </c>
      <c r="AC644" s="16">
        <f t="shared" si="169"/>
        <v>0</v>
      </c>
      <c r="AD644" s="12">
        <v>0.0</v>
      </c>
      <c r="AE644" s="12">
        <v>0.0</v>
      </c>
      <c r="AF644" s="12">
        <v>0.0</v>
      </c>
      <c r="AG644" s="12">
        <v>0.0</v>
      </c>
      <c r="AH644" s="12">
        <v>0.0</v>
      </c>
      <c r="AI644" s="12">
        <v>0.0</v>
      </c>
      <c r="AJ644" s="12">
        <v>0.0</v>
      </c>
      <c r="AK644" s="12">
        <v>0.0</v>
      </c>
      <c r="AL644" s="12">
        <f t="shared" si="192"/>
        <v>0</v>
      </c>
      <c r="AM644" s="12">
        <v>0.0</v>
      </c>
      <c r="AN644" s="12">
        <v>0.0</v>
      </c>
      <c r="AO644" s="12">
        <v>0.0</v>
      </c>
      <c r="AP644" s="12">
        <v>0.0</v>
      </c>
      <c r="AQ644" s="12">
        <v>0.0</v>
      </c>
      <c r="AR644" s="12">
        <v>0.0</v>
      </c>
      <c r="AS644" s="12">
        <f t="shared" si="234"/>
        <v>0</v>
      </c>
      <c r="AT644" s="5">
        <v>0.0</v>
      </c>
      <c r="AU644" s="18">
        <f t="shared" si="235"/>
        <v>312406.852</v>
      </c>
      <c r="AV644" s="12">
        <v>0.0</v>
      </c>
      <c r="AW644" s="10">
        <f t="shared" si="236"/>
        <v>99866.83</v>
      </c>
      <c r="AX644" s="12">
        <f t="shared" si="171"/>
        <v>0</v>
      </c>
      <c r="AY644" s="12">
        <f t="shared" si="208"/>
        <v>416893.612</v>
      </c>
      <c r="AZ644" s="12">
        <v>0.0</v>
      </c>
      <c r="BA644" s="18">
        <f t="shared" si="237"/>
        <v>15820.59</v>
      </c>
      <c r="BB644" s="10">
        <f t="shared" si="16"/>
        <v>744970.1855</v>
      </c>
      <c r="BC644" s="16">
        <f t="shared" si="201"/>
        <v>144988.166</v>
      </c>
      <c r="BD644" s="12">
        <v>0.0</v>
      </c>
      <c r="BE644" s="16">
        <f t="shared" si="238"/>
        <v>4619.93</v>
      </c>
      <c r="BF644" s="6"/>
      <c r="BG644" s="6"/>
      <c r="BH644" s="6"/>
      <c r="BI644" s="29">
        <f t="shared" si="232"/>
        <v>65842.94226</v>
      </c>
      <c r="BJ644" s="6"/>
      <c r="BK644" s="15">
        <f t="shared" si="76"/>
        <v>0</v>
      </c>
      <c r="BN644" s="16">
        <f t="shared" si="187"/>
        <v>-65842.94226</v>
      </c>
      <c r="BO644" s="16">
        <f t="shared" si="239"/>
        <v>-439064.6374</v>
      </c>
      <c r="BY644" s="6">
        <f t="shared" si="2"/>
        <v>2025</v>
      </c>
      <c r="BZ644" s="6" t="str">
        <f t="shared" si="3"/>
        <v>julio</v>
      </c>
      <c r="CA644" s="6" t="str">
        <f t="shared" si="4"/>
        <v>7</v>
      </c>
    </row>
    <row r="645">
      <c r="A645" s="8">
        <v>45852.0</v>
      </c>
      <c r="B645" s="12">
        <v>15469.0</v>
      </c>
      <c r="C645" s="12">
        <v>5332.2</v>
      </c>
      <c r="D645" s="12">
        <v>4993.54</v>
      </c>
      <c r="E645" s="12">
        <v>0.0</v>
      </c>
      <c r="F645" s="12">
        <v>0.0</v>
      </c>
      <c r="G645" s="12">
        <v>0.0</v>
      </c>
      <c r="H645" s="12">
        <f t="shared" si="149"/>
        <v>25794.74</v>
      </c>
      <c r="I645" s="12">
        <v>20469.0</v>
      </c>
      <c r="J645" s="12">
        <v>2515.16</v>
      </c>
      <c r="K645" s="12">
        <v>4769.0</v>
      </c>
      <c r="L645" s="12">
        <v>0.0</v>
      </c>
      <c r="M645" s="12">
        <v>0.0</v>
      </c>
      <c r="N645" s="12">
        <v>0.0</v>
      </c>
      <c r="O645" s="16">
        <f t="shared" si="150"/>
        <v>27753.16</v>
      </c>
      <c r="P645" s="12">
        <v>9263.5</v>
      </c>
      <c r="Q645" s="12">
        <v>749.02</v>
      </c>
      <c r="R645" s="12">
        <v>2184.8</v>
      </c>
      <c r="S645" s="12">
        <v>0.0</v>
      </c>
      <c r="T645" s="12">
        <v>0.0</v>
      </c>
      <c r="U645" s="12">
        <v>0.0</v>
      </c>
      <c r="V645" s="16">
        <f t="shared" si="151"/>
        <v>12197.32</v>
      </c>
      <c r="W645" s="12">
        <v>8332.97</v>
      </c>
      <c r="X645" s="12">
        <v>0.0</v>
      </c>
      <c r="Y645" s="12">
        <v>0.29</v>
      </c>
      <c r="Z645" s="12">
        <v>0.0</v>
      </c>
      <c r="AA645" s="12">
        <v>0.0</v>
      </c>
      <c r="AB645" s="12">
        <v>0.0</v>
      </c>
      <c r="AC645" s="16">
        <f t="shared" si="169"/>
        <v>8333.26</v>
      </c>
      <c r="AD645" s="12">
        <v>8283.46</v>
      </c>
      <c r="AE645" s="12">
        <v>49.8</v>
      </c>
      <c r="AF645" s="12">
        <v>5844.37</v>
      </c>
      <c r="AG645" s="12">
        <v>0.0</v>
      </c>
      <c r="AH645" s="12">
        <v>0.0</v>
      </c>
      <c r="AI645" s="12">
        <v>0.0</v>
      </c>
      <c r="AJ645" s="12">
        <v>0.0</v>
      </c>
      <c r="AK645" s="12">
        <v>0.0</v>
      </c>
      <c r="AL645" s="12">
        <f t="shared" si="192"/>
        <v>5844.37</v>
      </c>
      <c r="AM645" s="12">
        <v>6263.0</v>
      </c>
      <c r="AN645" s="12">
        <v>0.0</v>
      </c>
      <c r="AO645" s="12">
        <v>0.0</v>
      </c>
      <c r="AP645" s="12">
        <v>0.0</v>
      </c>
      <c r="AQ645" s="12">
        <v>0.0</v>
      </c>
      <c r="AR645" s="12">
        <v>0.0</v>
      </c>
      <c r="AS645" s="12">
        <f t="shared" si="234"/>
        <v>6263</v>
      </c>
      <c r="AT645" s="16">
        <f t="shared" ref="AT645:AT649" si="241">IF(AS645+AL645+AC645+V645+O645=0,"",AS645+AL645+AC645+V645+O645)</f>
        <v>60391.11</v>
      </c>
      <c r="AU645" s="18">
        <f t="shared" si="235"/>
        <v>372797.962</v>
      </c>
      <c r="AV645" s="12">
        <v>12624.91</v>
      </c>
      <c r="AW645" s="10">
        <f t="shared" si="236"/>
        <v>112491.74</v>
      </c>
      <c r="AX645" s="12">
        <f t="shared" si="171"/>
        <v>73016.02</v>
      </c>
      <c r="AY645" s="12">
        <f t="shared" si="208"/>
        <v>491949.562</v>
      </c>
      <c r="AZ645" s="12">
        <v>2281.43</v>
      </c>
      <c r="BA645" s="18">
        <f t="shared" si="237"/>
        <v>18102.02</v>
      </c>
      <c r="BB645" s="10">
        <f t="shared" si="16"/>
        <v>825481.2016</v>
      </c>
      <c r="BC645" s="16">
        <f t="shared" si="201"/>
        <v>142003.1145</v>
      </c>
      <c r="BD645" s="12">
        <v>2039.93</v>
      </c>
      <c r="BE645" s="16">
        <f t="shared" si="238"/>
        <v>6659.86</v>
      </c>
      <c r="BF645" s="6"/>
      <c r="BG645" s="6"/>
      <c r="BH645" s="6"/>
      <c r="BI645" s="29">
        <f t="shared" si="232"/>
        <v>65842.94226</v>
      </c>
      <c r="BJ645" s="6"/>
      <c r="BK645" s="15">
        <f t="shared" si="76"/>
        <v>0.9171994435</v>
      </c>
      <c r="BN645" s="16">
        <f t="shared" si="187"/>
        <v>9213.007742</v>
      </c>
      <c r="BO645" s="16">
        <f t="shared" si="239"/>
        <v>-429851.6296</v>
      </c>
      <c r="BY645" s="6">
        <f t="shared" si="2"/>
        <v>2025</v>
      </c>
      <c r="BZ645" s="6" t="str">
        <f t="shared" si="3"/>
        <v>julio</v>
      </c>
      <c r="CA645" s="6" t="str">
        <f t="shared" si="4"/>
        <v>7</v>
      </c>
    </row>
    <row r="646">
      <c r="A646" s="8">
        <v>45853.0</v>
      </c>
      <c r="B646" s="12">
        <v>45763.0</v>
      </c>
      <c r="C646" s="12">
        <v>5799.0</v>
      </c>
      <c r="D646" s="12">
        <v>3713.39</v>
      </c>
      <c r="E646" s="12">
        <v>3256.0</v>
      </c>
      <c r="F646" s="12">
        <v>0.0</v>
      </c>
      <c r="G646" s="12">
        <v>0.0</v>
      </c>
      <c r="H646" s="12">
        <f t="shared" si="149"/>
        <v>58531.39</v>
      </c>
      <c r="I646" s="12">
        <v>57222.0</v>
      </c>
      <c r="J646" s="12">
        <v>1446.0</v>
      </c>
      <c r="K646" s="12">
        <v>1309.19</v>
      </c>
      <c r="L646" s="12">
        <v>1208.0</v>
      </c>
      <c r="M646" s="12">
        <v>0.0</v>
      </c>
      <c r="N646" s="12">
        <v>0.0</v>
      </c>
      <c r="O646" s="16">
        <f t="shared" si="150"/>
        <v>61185.19</v>
      </c>
      <c r="P646" s="12">
        <v>16001.77</v>
      </c>
      <c r="Q646" s="12">
        <v>862.89</v>
      </c>
      <c r="R646" s="12">
        <v>3827.57</v>
      </c>
      <c r="S646" s="12">
        <v>0.0</v>
      </c>
      <c r="T646" s="12">
        <v>0.0</v>
      </c>
      <c r="U646" s="12">
        <v>0.0</v>
      </c>
      <c r="V646" s="16">
        <f t="shared" si="151"/>
        <v>20692.23</v>
      </c>
      <c r="W646" s="12">
        <v>32.94</v>
      </c>
      <c r="X646" s="12">
        <v>0.0</v>
      </c>
      <c r="Y646" s="12">
        <v>1.38</v>
      </c>
      <c r="Z646" s="12">
        <v>0.0</v>
      </c>
      <c r="AA646" s="12">
        <v>0.0</v>
      </c>
      <c r="AB646" s="12">
        <v>0.0</v>
      </c>
      <c r="AC646" s="16">
        <f t="shared" si="169"/>
        <v>34.32</v>
      </c>
      <c r="AD646" s="12">
        <v>0.0</v>
      </c>
      <c r="AE646" s="12">
        <v>34.32</v>
      </c>
      <c r="AF646" s="12">
        <v>1137.87</v>
      </c>
      <c r="AG646" s="12">
        <v>245.0</v>
      </c>
      <c r="AH646" s="12">
        <v>0.0</v>
      </c>
      <c r="AI646" s="12">
        <v>0.0</v>
      </c>
      <c r="AJ646" s="12">
        <v>0.0</v>
      </c>
      <c r="AK646" s="12">
        <v>0.0</v>
      </c>
      <c r="AL646" s="12">
        <f t="shared" si="192"/>
        <v>1382.87</v>
      </c>
      <c r="AM646" s="12">
        <v>0.0</v>
      </c>
      <c r="AN646" s="12">
        <v>0.0</v>
      </c>
      <c r="AO646" s="12">
        <v>0.0</v>
      </c>
      <c r="AP646" s="12">
        <v>0.0</v>
      </c>
      <c r="AQ646" s="12">
        <v>0.0</v>
      </c>
      <c r="AR646" s="12">
        <v>0.0</v>
      </c>
      <c r="AS646" s="12">
        <f t="shared" si="234"/>
        <v>0</v>
      </c>
      <c r="AT646" s="16">
        <f t="shared" si="241"/>
        <v>83294.61</v>
      </c>
      <c r="AU646" s="18">
        <f t="shared" si="235"/>
        <v>456092.572</v>
      </c>
      <c r="AV646" s="12">
        <v>27604.95</v>
      </c>
      <c r="AW646" s="10">
        <f t="shared" si="236"/>
        <v>140096.69</v>
      </c>
      <c r="AX646" s="12">
        <f t="shared" si="171"/>
        <v>110899.56</v>
      </c>
      <c r="AY646" s="12">
        <f t="shared" si="208"/>
        <v>603849.122</v>
      </c>
      <c r="AZ646" s="12">
        <v>2704.852</v>
      </c>
      <c r="BA646" s="18">
        <f t="shared" si="237"/>
        <v>20806.872</v>
      </c>
      <c r="BB646" s="10">
        <f t="shared" si="16"/>
        <v>942591.3155</v>
      </c>
      <c r="BC646" s="16">
        <f t="shared" si="201"/>
        <v>130169.5217</v>
      </c>
      <c r="BD646" s="12">
        <v>1000.0</v>
      </c>
      <c r="BE646" s="16">
        <f t="shared" si="238"/>
        <v>7659.86</v>
      </c>
      <c r="BF646" s="6"/>
      <c r="BG646" s="6"/>
      <c r="BH646" s="6"/>
      <c r="BI646" s="29">
        <f t="shared" si="232"/>
        <v>65842.94226</v>
      </c>
      <c r="BK646" s="15">
        <f t="shared" si="76"/>
        <v>1.265049938</v>
      </c>
      <c r="BN646" s="16">
        <f t="shared" si="187"/>
        <v>46056.61774</v>
      </c>
      <c r="BO646" s="16">
        <f t="shared" si="239"/>
        <v>-383795.0119</v>
      </c>
      <c r="BY646" s="6">
        <f t="shared" si="2"/>
        <v>2025</v>
      </c>
      <c r="BZ646" s="6" t="str">
        <f t="shared" si="3"/>
        <v>julio</v>
      </c>
      <c r="CA646" s="6" t="str">
        <f t="shared" si="4"/>
        <v>7</v>
      </c>
    </row>
    <row r="647">
      <c r="A647" s="8">
        <v>45854.0</v>
      </c>
      <c r="B647" s="12">
        <v>94563.0</v>
      </c>
      <c r="C647" s="12">
        <v>10457.0</v>
      </c>
      <c r="D647" s="12">
        <v>10222.0</v>
      </c>
      <c r="E647" s="12">
        <v>3076.72</v>
      </c>
      <c r="F647" s="12">
        <v>0.0</v>
      </c>
      <c r="G647" s="12">
        <v>0.0</v>
      </c>
      <c r="H647" s="12">
        <f t="shared" si="149"/>
        <v>118318.72</v>
      </c>
      <c r="I647" s="12">
        <v>47555.0</v>
      </c>
      <c r="J647" s="12">
        <v>1000.0</v>
      </c>
      <c r="K647" s="12">
        <v>2603.34</v>
      </c>
      <c r="L647" s="12">
        <v>0.0</v>
      </c>
      <c r="M647" s="12">
        <v>0.0</v>
      </c>
      <c r="N647" s="12">
        <v>0.0</v>
      </c>
      <c r="O647" s="16">
        <f t="shared" si="150"/>
        <v>51158.34</v>
      </c>
      <c r="P647" s="12">
        <v>19142.58</v>
      </c>
      <c r="Q647" s="12">
        <v>1561.85</v>
      </c>
      <c r="R647" s="12">
        <v>1340.66</v>
      </c>
      <c r="S647" s="12">
        <v>0.0</v>
      </c>
      <c r="T647" s="12">
        <v>0.0</v>
      </c>
      <c r="U647" s="12">
        <v>0.0</v>
      </c>
      <c r="V647" s="16">
        <f t="shared" si="151"/>
        <v>22045.09</v>
      </c>
      <c r="W647" s="12">
        <v>109.73</v>
      </c>
      <c r="X647" s="12">
        <v>550.6</v>
      </c>
      <c r="Y647" s="12">
        <v>4370.22</v>
      </c>
      <c r="Z647" s="12">
        <v>0.0</v>
      </c>
      <c r="AA647" s="12">
        <v>0.0</v>
      </c>
      <c r="AB647" s="12">
        <v>0.0</v>
      </c>
      <c r="AC647" s="16">
        <f t="shared" si="169"/>
        <v>5030.55</v>
      </c>
      <c r="AD647" s="12">
        <v>4370.22</v>
      </c>
      <c r="AE647" s="12">
        <v>659.85</v>
      </c>
      <c r="AF647" s="12">
        <v>4423.44</v>
      </c>
      <c r="AG647" s="12">
        <v>1501.94</v>
      </c>
      <c r="AH647" s="12">
        <v>0.0</v>
      </c>
      <c r="AI647" s="12">
        <v>0.0</v>
      </c>
      <c r="AJ647" s="12">
        <v>0.0</v>
      </c>
      <c r="AK647" s="12">
        <v>0.0</v>
      </c>
      <c r="AL647" s="12">
        <f t="shared" si="192"/>
        <v>5925.38</v>
      </c>
      <c r="AM647" s="12">
        <v>0.0</v>
      </c>
      <c r="AN647" s="12">
        <v>0.0</v>
      </c>
      <c r="AO647" s="12">
        <v>7526.0</v>
      </c>
      <c r="AP647" s="12">
        <v>0.0</v>
      </c>
      <c r="AQ647" s="12">
        <v>0.0</v>
      </c>
      <c r="AR647" s="12">
        <v>0.0</v>
      </c>
      <c r="AS647" s="12">
        <f t="shared" si="234"/>
        <v>7526</v>
      </c>
      <c r="AT647" s="16">
        <f t="shared" si="241"/>
        <v>91685.36</v>
      </c>
      <c r="AU647" s="18">
        <f t="shared" si="235"/>
        <v>547777.932</v>
      </c>
      <c r="AV647" s="12">
        <v>34227.15</v>
      </c>
      <c r="AW647" s="10">
        <f t="shared" si="236"/>
        <v>174323.84</v>
      </c>
      <c r="AX647" s="12">
        <f t="shared" si="171"/>
        <v>125912.51</v>
      </c>
      <c r="AY647" s="12">
        <f t="shared" si="208"/>
        <v>730969.272</v>
      </c>
      <c r="AZ647" s="12">
        <v>9369.36</v>
      </c>
      <c r="BA647" s="18">
        <f t="shared" si="237"/>
        <v>30176.232</v>
      </c>
      <c r="BB647" s="10">
        <f t="shared" si="16"/>
        <v>1061319.743</v>
      </c>
      <c r="BC647" s="16">
        <f t="shared" si="201"/>
        <v>120156.4815</v>
      </c>
      <c r="BD647" s="12">
        <v>1207.64</v>
      </c>
      <c r="BE647" s="16">
        <f t="shared" si="238"/>
        <v>8867.5</v>
      </c>
      <c r="BF647" s="6"/>
      <c r="BG647" s="6"/>
      <c r="BH647" s="6"/>
      <c r="BI647" s="29">
        <f t="shared" si="232"/>
        <v>65842.94226</v>
      </c>
      <c r="BK647" s="15">
        <f t="shared" si="76"/>
        <v>1.392485768</v>
      </c>
      <c r="BN647" s="16">
        <f t="shared" si="187"/>
        <v>61277.20774</v>
      </c>
      <c r="BO647" s="16">
        <f t="shared" si="239"/>
        <v>-322517.8041</v>
      </c>
      <c r="BY647" s="6">
        <f t="shared" si="2"/>
        <v>2025</v>
      </c>
      <c r="BZ647" s="6" t="str">
        <f t="shared" si="3"/>
        <v>julio</v>
      </c>
      <c r="CA647" s="6" t="str">
        <f t="shared" si="4"/>
        <v>7</v>
      </c>
    </row>
    <row r="648">
      <c r="A648" s="8">
        <v>45855.0</v>
      </c>
      <c r="B648" s="12">
        <v>25761.74</v>
      </c>
      <c r="C648" s="12">
        <v>3412.0</v>
      </c>
      <c r="D648" s="12">
        <v>0.0</v>
      </c>
      <c r="E648" s="12">
        <v>0.0</v>
      </c>
      <c r="F648" s="12">
        <v>0.0</v>
      </c>
      <c r="G648" s="12">
        <v>0.0</v>
      </c>
      <c r="H648" s="12">
        <f t="shared" si="149"/>
        <v>29173.74</v>
      </c>
      <c r="I648" s="12">
        <v>13699.0</v>
      </c>
      <c r="J648" s="12">
        <v>1740.03</v>
      </c>
      <c r="K648" s="12">
        <v>0.0</v>
      </c>
      <c r="L648" s="12">
        <v>0.0</v>
      </c>
      <c r="M648" s="12">
        <v>0.0</v>
      </c>
      <c r="N648" s="12">
        <v>0.0</v>
      </c>
      <c r="O648" s="16">
        <f t="shared" si="150"/>
        <v>15439.03</v>
      </c>
      <c r="P648" s="12">
        <v>5501.18</v>
      </c>
      <c r="Q648" s="12">
        <v>743.63</v>
      </c>
      <c r="R648" s="12">
        <v>0.0</v>
      </c>
      <c r="S648" s="12">
        <v>0.0</v>
      </c>
      <c r="T648" s="12">
        <v>0.0</v>
      </c>
      <c r="U648" s="12">
        <v>0.0</v>
      </c>
      <c r="V648" s="16">
        <f t="shared" si="151"/>
        <v>6244.81</v>
      </c>
      <c r="W648" s="12">
        <v>5977.37</v>
      </c>
      <c r="X648" s="12">
        <v>0.0</v>
      </c>
      <c r="Y648" s="12">
        <v>0.0</v>
      </c>
      <c r="Z648" s="12">
        <v>0.0</v>
      </c>
      <c r="AA648" s="12">
        <v>0.0</v>
      </c>
      <c r="AB648" s="12">
        <v>0.0</v>
      </c>
      <c r="AC648" s="16">
        <f t="shared" si="169"/>
        <v>5977.37</v>
      </c>
      <c r="AD648" s="12">
        <v>5958.59</v>
      </c>
      <c r="AE648" s="12">
        <v>18.78</v>
      </c>
      <c r="AF648" s="12">
        <v>2488.57</v>
      </c>
      <c r="AG648" s="12">
        <v>477.23</v>
      </c>
      <c r="AH648" s="12">
        <v>0.0</v>
      </c>
      <c r="AI648" s="12">
        <v>0.0</v>
      </c>
      <c r="AJ648" s="12">
        <v>0.0</v>
      </c>
      <c r="AK648" s="12">
        <v>0.0</v>
      </c>
      <c r="AL648" s="12">
        <f t="shared" si="192"/>
        <v>2965.8</v>
      </c>
      <c r="AM648" s="12">
        <v>6030.0</v>
      </c>
      <c r="AN648" s="12">
        <v>0.0</v>
      </c>
      <c r="AO648" s="12">
        <v>0.0</v>
      </c>
      <c r="AP648" s="12">
        <v>0.0</v>
      </c>
      <c r="AQ648" s="12">
        <v>0.0</v>
      </c>
      <c r="AR648" s="12">
        <v>0.0</v>
      </c>
      <c r="AS648" s="12">
        <f t="shared" si="234"/>
        <v>6030</v>
      </c>
      <c r="AT648" s="16">
        <f t="shared" si="241"/>
        <v>36657.01</v>
      </c>
      <c r="AU648" s="18">
        <f t="shared" si="235"/>
        <v>584434.942</v>
      </c>
      <c r="AV648" s="12">
        <v>9330.98</v>
      </c>
      <c r="AW648" s="10">
        <f t="shared" si="236"/>
        <v>183654.82</v>
      </c>
      <c r="AX648" s="12">
        <f t="shared" si="171"/>
        <v>45987.99</v>
      </c>
      <c r="AY648" s="12">
        <f t="shared" si="208"/>
        <v>778753.292</v>
      </c>
      <c r="AZ648" s="12">
        <v>1114.65</v>
      </c>
      <c r="BA648" s="18">
        <f t="shared" si="237"/>
        <v>31290.882</v>
      </c>
      <c r="BB648" s="10">
        <f t="shared" si="16"/>
        <v>1065734.306</v>
      </c>
      <c r="BC648" s="16">
        <f t="shared" si="201"/>
        <v>133142.1293</v>
      </c>
      <c r="BD648" s="12">
        <v>1796.03</v>
      </c>
      <c r="BE648" s="16">
        <f t="shared" si="238"/>
        <v>10663.53</v>
      </c>
      <c r="BF648" s="6"/>
      <c r="BG648" s="6"/>
      <c r="BH648" s="6"/>
      <c r="BI648" s="29">
        <f t="shared" si="232"/>
        <v>65842.94226</v>
      </c>
      <c r="BJ648" s="6"/>
      <c r="BK648" s="15">
        <f t="shared" si="76"/>
        <v>0.5567340818</v>
      </c>
      <c r="BN648" s="16">
        <f t="shared" si="187"/>
        <v>-18058.92226</v>
      </c>
      <c r="BO648" s="16">
        <f t="shared" si="239"/>
        <v>-340576.7264</v>
      </c>
      <c r="BY648" s="6">
        <f t="shared" si="2"/>
        <v>2025</v>
      </c>
      <c r="BZ648" s="6" t="str">
        <f t="shared" si="3"/>
        <v>julio</v>
      </c>
      <c r="CA648" s="6" t="str">
        <f t="shared" si="4"/>
        <v>7</v>
      </c>
    </row>
    <row r="649">
      <c r="A649" s="8">
        <v>45856.0</v>
      </c>
      <c r="B649" s="12">
        <v>30412.0</v>
      </c>
      <c r="C649" s="12">
        <v>2836.58</v>
      </c>
      <c r="D649" s="12">
        <v>0.0</v>
      </c>
      <c r="E649" s="12">
        <v>0.0</v>
      </c>
      <c r="F649" s="12">
        <v>0.0</v>
      </c>
      <c r="G649" s="12">
        <v>0.0</v>
      </c>
      <c r="H649" s="12">
        <f t="shared" si="149"/>
        <v>33248.58</v>
      </c>
      <c r="I649" s="12">
        <v>8322.0</v>
      </c>
      <c r="J649" s="12">
        <v>1507.68</v>
      </c>
      <c r="K649" s="12">
        <v>0.0</v>
      </c>
      <c r="L649" s="12">
        <v>0.0</v>
      </c>
      <c r="M649" s="12">
        <v>0.0</v>
      </c>
      <c r="N649" s="12">
        <v>0.0</v>
      </c>
      <c r="O649" s="16">
        <f t="shared" si="150"/>
        <v>9829.68</v>
      </c>
      <c r="P649" s="12">
        <v>4461.52</v>
      </c>
      <c r="Q649" s="12">
        <v>470.61</v>
      </c>
      <c r="R649" s="12">
        <v>0.0</v>
      </c>
      <c r="S649" s="12">
        <v>0.0</v>
      </c>
      <c r="T649" s="12">
        <v>0.0</v>
      </c>
      <c r="U649" s="12">
        <v>0.0</v>
      </c>
      <c r="V649" s="16">
        <f t="shared" si="151"/>
        <v>4932.13</v>
      </c>
      <c r="W649" s="12">
        <v>2527.57</v>
      </c>
      <c r="X649" s="12">
        <v>0.0</v>
      </c>
      <c r="Y649" s="12">
        <v>6807.71</v>
      </c>
      <c r="Z649" s="12">
        <v>0.0</v>
      </c>
      <c r="AA649" s="12">
        <v>0.0</v>
      </c>
      <c r="AB649" s="12">
        <v>0.0</v>
      </c>
      <c r="AC649" s="16">
        <f t="shared" si="169"/>
        <v>9335.28</v>
      </c>
      <c r="AD649" s="12">
        <v>8828.96</v>
      </c>
      <c r="AE649" s="12">
        <v>36.32</v>
      </c>
      <c r="AF649" s="12">
        <v>955.76</v>
      </c>
      <c r="AG649" s="12">
        <v>717.26</v>
      </c>
      <c r="AH649" s="12">
        <v>0.0</v>
      </c>
      <c r="AI649" s="12">
        <v>0.0</v>
      </c>
      <c r="AJ649" s="12">
        <v>0.0</v>
      </c>
      <c r="AK649" s="12">
        <v>0.0</v>
      </c>
      <c r="AL649" s="12">
        <f t="shared" si="192"/>
        <v>1673.02</v>
      </c>
      <c r="AM649" s="12">
        <v>2151.0</v>
      </c>
      <c r="AN649" s="12">
        <v>0.0</v>
      </c>
      <c r="AO649" s="12">
        <v>10836.0</v>
      </c>
      <c r="AP649" s="12">
        <v>0.0</v>
      </c>
      <c r="AQ649" s="12">
        <v>0.0</v>
      </c>
      <c r="AR649" s="12">
        <v>0.0</v>
      </c>
      <c r="AS649" s="12">
        <f t="shared" si="234"/>
        <v>12987</v>
      </c>
      <c r="AT649" s="16">
        <f t="shared" si="241"/>
        <v>38757.11</v>
      </c>
      <c r="AU649" s="18">
        <f t="shared" si="235"/>
        <v>623192.052</v>
      </c>
      <c r="AV649" s="12">
        <v>8416.51</v>
      </c>
      <c r="AW649" s="10">
        <f t="shared" si="236"/>
        <v>192071.33</v>
      </c>
      <c r="AX649" s="12">
        <f t="shared" si="171"/>
        <v>47173.62</v>
      </c>
      <c r="AY649" s="12">
        <f t="shared" si="208"/>
        <v>828963.332</v>
      </c>
      <c r="AZ649" s="12">
        <v>234.93</v>
      </c>
      <c r="BA649" s="18">
        <f t="shared" si="237"/>
        <v>31525.812</v>
      </c>
      <c r="BB649" s="10">
        <f t="shared" si="16"/>
        <v>1073275.201</v>
      </c>
      <c r="BC649" s="16">
        <f t="shared" si="201"/>
        <v>152030.8573</v>
      </c>
      <c r="BD649" s="12">
        <v>3036.42</v>
      </c>
      <c r="BE649" s="16">
        <f t="shared" si="238"/>
        <v>13699.95</v>
      </c>
      <c r="BF649" s="6"/>
      <c r="BG649" s="6"/>
      <c r="BH649" s="6"/>
      <c r="BI649" s="29">
        <f t="shared" si="232"/>
        <v>65842.94226</v>
      </c>
      <c r="BJ649" s="6"/>
      <c r="BK649" s="15">
        <f t="shared" si="76"/>
        <v>0.5886296795</v>
      </c>
      <c r="BN649" s="16">
        <f t="shared" si="187"/>
        <v>-15632.90226</v>
      </c>
      <c r="BO649" s="16">
        <f t="shared" si="239"/>
        <v>-356209.6286</v>
      </c>
      <c r="BY649" s="6">
        <f t="shared" si="2"/>
        <v>2025</v>
      </c>
      <c r="BZ649" s="6" t="str">
        <f t="shared" si="3"/>
        <v>julio</v>
      </c>
      <c r="CA649" s="6" t="str">
        <f t="shared" si="4"/>
        <v>7</v>
      </c>
    </row>
    <row r="650">
      <c r="A650" s="8">
        <v>45857.0</v>
      </c>
      <c r="B650" s="12">
        <v>0.0</v>
      </c>
      <c r="C650" s="12">
        <v>0.0</v>
      </c>
      <c r="D650" s="12">
        <v>0.0</v>
      </c>
      <c r="E650" s="12">
        <v>0.0</v>
      </c>
      <c r="F650" s="12">
        <v>0.0</v>
      </c>
      <c r="G650" s="12">
        <v>0.0</v>
      </c>
      <c r="H650" s="12">
        <f t="shared" si="149"/>
        <v>0</v>
      </c>
      <c r="I650" s="12">
        <v>0.0</v>
      </c>
      <c r="J650" s="12">
        <v>0.0</v>
      </c>
      <c r="K650" s="12">
        <v>0.0</v>
      </c>
      <c r="L650" s="12">
        <v>0.0</v>
      </c>
      <c r="M650" s="12">
        <v>0.0</v>
      </c>
      <c r="N650" s="12">
        <v>0.0</v>
      </c>
      <c r="O650" s="16">
        <f t="shared" si="150"/>
        <v>0</v>
      </c>
      <c r="P650" s="12">
        <v>0.0</v>
      </c>
      <c r="Q650" s="12">
        <v>0.0</v>
      </c>
      <c r="R650" s="12">
        <v>0.0</v>
      </c>
      <c r="S650" s="12">
        <v>0.0</v>
      </c>
      <c r="T650" s="12">
        <v>0.0</v>
      </c>
      <c r="U650" s="12">
        <v>0.0</v>
      </c>
      <c r="V650" s="16">
        <f t="shared" si="151"/>
        <v>0</v>
      </c>
      <c r="W650" s="12">
        <v>0.0</v>
      </c>
      <c r="X650" s="12">
        <v>0.0</v>
      </c>
      <c r="Y650" s="12">
        <v>0.0</v>
      </c>
      <c r="Z650" s="12">
        <v>0.0</v>
      </c>
      <c r="AA650" s="12">
        <v>0.0</v>
      </c>
      <c r="AB650" s="12">
        <v>0.0</v>
      </c>
      <c r="AC650" s="16">
        <f t="shared" si="169"/>
        <v>0</v>
      </c>
      <c r="AD650" s="12">
        <v>0.0</v>
      </c>
      <c r="AE650" s="12">
        <v>0.0</v>
      </c>
      <c r="AF650" s="12">
        <v>0.0</v>
      </c>
      <c r="AG650" s="12">
        <v>0.0</v>
      </c>
      <c r="AH650" s="12">
        <v>0.0</v>
      </c>
      <c r="AI650" s="12">
        <v>0.0</v>
      </c>
      <c r="AJ650" s="12">
        <v>0.0</v>
      </c>
      <c r="AK650" s="12">
        <v>0.0</v>
      </c>
      <c r="AL650" s="12">
        <f t="shared" si="192"/>
        <v>0</v>
      </c>
      <c r="AM650" s="12">
        <v>0.0</v>
      </c>
      <c r="AN650" s="12">
        <v>0.0</v>
      </c>
      <c r="AO650" s="12">
        <v>0.0</v>
      </c>
      <c r="AP650" s="12">
        <v>0.0</v>
      </c>
      <c r="AQ650" s="12">
        <v>0.0</v>
      </c>
      <c r="AR650" s="12">
        <v>0.0</v>
      </c>
      <c r="AS650" s="12">
        <f t="shared" si="234"/>
        <v>0</v>
      </c>
      <c r="AT650" s="5">
        <v>0.0</v>
      </c>
      <c r="AU650" s="18">
        <f t="shared" si="235"/>
        <v>623192.052</v>
      </c>
      <c r="AV650" s="12">
        <v>0.0</v>
      </c>
      <c r="AW650" s="10">
        <f t="shared" si="236"/>
        <v>192071.33</v>
      </c>
      <c r="AX650" s="12">
        <f t="shared" si="171"/>
        <v>0</v>
      </c>
      <c r="AY650" s="12">
        <f t="shared" si="208"/>
        <v>828963.332</v>
      </c>
      <c r="AZ650" s="12">
        <v>0.0</v>
      </c>
      <c r="BA650" s="18">
        <f t="shared" si="237"/>
        <v>31525.812</v>
      </c>
      <c r="BB650" s="10">
        <f t="shared" si="16"/>
        <v>1016787.032</v>
      </c>
      <c r="BC650" s="16">
        <f t="shared" si="201"/>
        <v>171180.6038</v>
      </c>
      <c r="BD650" s="12">
        <v>0.0</v>
      </c>
      <c r="BE650" s="16">
        <f t="shared" si="238"/>
        <v>13699.95</v>
      </c>
      <c r="BF650" s="6"/>
      <c r="BG650" s="6"/>
      <c r="BH650" s="6"/>
      <c r="BI650" s="29">
        <f t="shared" si="232"/>
        <v>65842.94226</v>
      </c>
      <c r="BJ650" s="6"/>
      <c r="BK650" s="15">
        <f t="shared" si="76"/>
        <v>0</v>
      </c>
      <c r="BN650" s="16">
        <f t="shared" si="187"/>
        <v>-65842.94226</v>
      </c>
      <c r="BO650" s="16">
        <f t="shared" si="239"/>
        <v>-422052.5709</v>
      </c>
      <c r="BY650" s="6">
        <f t="shared" si="2"/>
        <v>2025</v>
      </c>
      <c r="BZ650" s="6" t="str">
        <f t="shared" si="3"/>
        <v>julio</v>
      </c>
      <c r="CA650" s="6" t="str">
        <f t="shared" si="4"/>
        <v>7</v>
      </c>
    </row>
    <row r="651">
      <c r="A651" s="8">
        <v>45858.0</v>
      </c>
      <c r="B651" s="12">
        <v>0.0</v>
      </c>
      <c r="C651" s="12">
        <v>0.0</v>
      </c>
      <c r="D651" s="12">
        <v>0.0</v>
      </c>
      <c r="E651" s="12">
        <v>0.0</v>
      </c>
      <c r="F651" s="12">
        <v>0.0</v>
      </c>
      <c r="G651" s="12">
        <v>0.0</v>
      </c>
      <c r="H651" s="12">
        <f t="shared" si="149"/>
        <v>0</v>
      </c>
      <c r="I651" s="12">
        <v>0.0</v>
      </c>
      <c r="J651" s="12">
        <v>0.0</v>
      </c>
      <c r="K651" s="12">
        <v>0.0</v>
      </c>
      <c r="L651" s="12">
        <v>0.0</v>
      </c>
      <c r="M651" s="12">
        <v>0.0</v>
      </c>
      <c r="N651" s="12">
        <v>0.0</v>
      </c>
      <c r="O651" s="16">
        <f t="shared" si="150"/>
        <v>0</v>
      </c>
      <c r="P651" s="12">
        <v>0.0</v>
      </c>
      <c r="Q651" s="12">
        <v>0.0</v>
      </c>
      <c r="R651" s="12">
        <v>0.0</v>
      </c>
      <c r="S651" s="12">
        <v>0.0</v>
      </c>
      <c r="T651" s="12">
        <v>0.0</v>
      </c>
      <c r="U651" s="12">
        <v>0.0</v>
      </c>
      <c r="V651" s="16">
        <f t="shared" si="151"/>
        <v>0</v>
      </c>
      <c r="W651" s="12">
        <v>0.0</v>
      </c>
      <c r="X651" s="12">
        <v>0.0</v>
      </c>
      <c r="Y651" s="12">
        <v>0.0</v>
      </c>
      <c r="Z651" s="12">
        <v>0.0</v>
      </c>
      <c r="AA651" s="12">
        <v>0.0</v>
      </c>
      <c r="AB651" s="12">
        <v>0.0</v>
      </c>
      <c r="AC651" s="16">
        <f t="shared" si="169"/>
        <v>0</v>
      </c>
      <c r="AD651" s="12">
        <v>0.0</v>
      </c>
      <c r="AE651" s="12">
        <v>0.0</v>
      </c>
      <c r="AF651" s="12">
        <v>0.0</v>
      </c>
      <c r="AG651" s="12">
        <v>0.0</v>
      </c>
      <c r="AH651" s="12">
        <v>0.0</v>
      </c>
      <c r="AI651" s="12">
        <v>0.0</v>
      </c>
      <c r="AJ651" s="12">
        <v>0.0</v>
      </c>
      <c r="AK651" s="12">
        <v>0.0</v>
      </c>
      <c r="AL651" s="12">
        <f t="shared" si="192"/>
        <v>0</v>
      </c>
      <c r="AM651" s="12">
        <v>0.0</v>
      </c>
      <c r="AN651" s="12">
        <v>0.0</v>
      </c>
      <c r="AO651" s="12">
        <v>0.0</v>
      </c>
      <c r="AP651" s="12">
        <v>0.0</v>
      </c>
      <c r="AQ651" s="12">
        <v>0.0</v>
      </c>
      <c r="AR651" s="12">
        <v>0.0</v>
      </c>
      <c r="AS651" s="12">
        <f t="shared" si="234"/>
        <v>0</v>
      </c>
      <c r="AT651" s="5">
        <v>0.0</v>
      </c>
      <c r="AU651" s="18">
        <f t="shared" si="235"/>
        <v>623192.052</v>
      </c>
      <c r="AV651" s="12">
        <v>0.0</v>
      </c>
      <c r="AW651" s="10">
        <f t="shared" si="236"/>
        <v>192071.33</v>
      </c>
      <c r="AX651" s="12">
        <f t="shared" si="171"/>
        <v>0</v>
      </c>
      <c r="AY651" s="12">
        <f t="shared" si="208"/>
        <v>828963.332</v>
      </c>
      <c r="AZ651" s="12">
        <v>0.0</v>
      </c>
      <c r="BA651" s="18">
        <f t="shared" si="237"/>
        <v>31525.812</v>
      </c>
      <c r="BB651" s="10">
        <f t="shared" si="16"/>
        <v>965947.6806</v>
      </c>
      <c r="BC651" s="16">
        <f t="shared" si="201"/>
        <v>171892.63</v>
      </c>
      <c r="BD651" s="12">
        <v>0.0</v>
      </c>
      <c r="BE651" s="16">
        <f t="shared" si="238"/>
        <v>13699.95</v>
      </c>
      <c r="BF651" s="6"/>
      <c r="BG651" s="6"/>
      <c r="BH651" s="6"/>
      <c r="BI651" s="29">
        <f t="shared" si="232"/>
        <v>65842.94226</v>
      </c>
      <c r="BJ651" s="6"/>
      <c r="BK651" s="15">
        <f t="shared" si="76"/>
        <v>0</v>
      </c>
      <c r="BN651" s="16">
        <f t="shared" si="187"/>
        <v>-65842.94226</v>
      </c>
      <c r="BO651" s="16">
        <f t="shared" si="239"/>
        <v>-487895.5132</v>
      </c>
      <c r="BY651" s="6">
        <f t="shared" si="2"/>
        <v>2025</v>
      </c>
      <c r="BZ651" s="6" t="str">
        <f t="shared" si="3"/>
        <v>julio</v>
      </c>
      <c r="CA651" s="6" t="str">
        <f t="shared" si="4"/>
        <v>7</v>
      </c>
    </row>
    <row r="652">
      <c r="A652" s="8">
        <v>45859.0</v>
      </c>
      <c r="B652" s="12">
        <v>15466.0</v>
      </c>
      <c r="C652" s="12">
        <v>2666.0</v>
      </c>
      <c r="D652" s="12">
        <v>1986.0</v>
      </c>
      <c r="E652" s="12">
        <v>1715.76</v>
      </c>
      <c r="F652" s="12">
        <v>0.0</v>
      </c>
      <c r="G652" s="12">
        <v>0.0</v>
      </c>
      <c r="H652" s="12">
        <f t="shared" si="149"/>
        <v>21833.76</v>
      </c>
      <c r="I652" s="12">
        <v>10777.0</v>
      </c>
      <c r="J652" s="12">
        <v>0.0</v>
      </c>
      <c r="K652" s="12">
        <v>0.0</v>
      </c>
      <c r="L652" s="12">
        <v>1908.0</v>
      </c>
      <c r="M652" s="12">
        <v>0.0</v>
      </c>
      <c r="N652" s="12">
        <v>0.0</v>
      </c>
      <c r="O652" s="16">
        <f t="shared" si="150"/>
        <v>12685</v>
      </c>
      <c r="P652" s="12">
        <v>5259.03</v>
      </c>
      <c r="Q652" s="12">
        <v>0.0</v>
      </c>
      <c r="R652" s="12">
        <v>467.04</v>
      </c>
      <c r="S652" s="12">
        <v>0.0</v>
      </c>
      <c r="T652" s="12">
        <v>0.0</v>
      </c>
      <c r="U652" s="12">
        <v>0.0</v>
      </c>
      <c r="V652" s="16">
        <f t="shared" si="151"/>
        <v>5726.07</v>
      </c>
      <c r="W652" s="12">
        <v>516.27</v>
      </c>
      <c r="X652" s="12">
        <v>0.0</v>
      </c>
      <c r="Y652" s="12">
        <v>45.21</v>
      </c>
      <c r="Z652" s="12">
        <v>0.0</v>
      </c>
      <c r="AA652" s="12">
        <v>0.0</v>
      </c>
      <c r="AB652" s="12">
        <v>0.0</v>
      </c>
      <c r="AC652" s="16">
        <f t="shared" si="169"/>
        <v>561.48</v>
      </c>
      <c r="AD652" s="12">
        <v>0.0</v>
      </c>
      <c r="AE652" s="12">
        <v>561.48</v>
      </c>
      <c r="AF652" s="12">
        <v>2682.36</v>
      </c>
      <c r="AG652" s="12">
        <v>0.0</v>
      </c>
      <c r="AH652" s="12">
        <v>0.0</v>
      </c>
      <c r="AI652" s="12">
        <v>0.0</v>
      </c>
      <c r="AJ652" s="12">
        <v>0.0</v>
      </c>
      <c r="AK652" s="12">
        <v>0.0</v>
      </c>
      <c r="AL652" s="12">
        <f t="shared" si="192"/>
        <v>2682.36</v>
      </c>
      <c r="AM652" s="12">
        <v>0.0</v>
      </c>
      <c r="AN652" s="12">
        <v>0.0</v>
      </c>
      <c r="AO652" s="12">
        <v>0.0</v>
      </c>
      <c r="AP652" s="12">
        <v>0.0</v>
      </c>
      <c r="AQ652" s="12">
        <v>0.0</v>
      </c>
      <c r="AR652" s="12">
        <v>0.0</v>
      </c>
      <c r="AS652" s="12">
        <f t="shared" si="234"/>
        <v>0</v>
      </c>
      <c r="AT652" s="16">
        <f t="shared" ref="AT652:AT656" si="242">IF(AS652+AL652+AC652+V652+O652=0,"",AS652+AL652+AC652+V652+O652)</f>
        <v>21654.91</v>
      </c>
      <c r="AU652" s="18">
        <f t="shared" si="235"/>
        <v>644846.962</v>
      </c>
      <c r="AV652" s="12">
        <v>8594.98</v>
      </c>
      <c r="AW652" s="10">
        <f t="shared" si="236"/>
        <v>200666.31</v>
      </c>
      <c r="AX652" s="12">
        <f t="shared" si="171"/>
        <v>30249.89</v>
      </c>
      <c r="AY652" s="12">
        <f t="shared" si="208"/>
        <v>859213.222</v>
      </c>
      <c r="AZ652" s="12">
        <v>5157.52</v>
      </c>
      <c r="BA652" s="18">
        <f t="shared" si="237"/>
        <v>36683.332</v>
      </c>
      <c r="BB652" s="10">
        <f t="shared" si="16"/>
        <v>951916.9439</v>
      </c>
      <c r="BC652" s="16">
        <f t="shared" si="201"/>
        <v>173108.9033</v>
      </c>
      <c r="BD652" s="12">
        <v>0.0</v>
      </c>
      <c r="BE652" s="16">
        <f t="shared" si="238"/>
        <v>13699.95</v>
      </c>
      <c r="BF652" s="6"/>
      <c r="BG652" s="6"/>
      <c r="BH652" s="6"/>
      <c r="BI652" s="29">
        <f t="shared" si="232"/>
        <v>65842.94226</v>
      </c>
      <c r="BJ652" s="6"/>
      <c r="BK652" s="15">
        <f t="shared" si="76"/>
        <v>0.3288873379</v>
      </c>
      <c r="BN652" s="16">
        <f t="shared" si="187"/>
        <v>-35593.05226</v>
      </c>
      <c r="BO652" s="16">
        <f t="shared" si="239"/>
        <v>-523488.5654</v>
      </c>
      <c r="BY652" s="6">
        <f t="shared" si="2"/>
        <v>2025</v>
      </c>
      <c r="BZ652" s="6" t="str">
        <f t="shared" si="3"/>
        <v>julio</v>
      </c>
      <c r="CA652" s="6" t="str">
        <f t="shared" si="4"/>
        <v>7</v>
      </c>
    </row>
    <row r="653">
      <c r="A653" s="8">
        <v>45860.0</v>
      </c>
      <c r="B653" s="12">
        <v>17719.99</v>
      </c>
      <c r="C653" s="12">
        <v>0.0</v>
      </c>
      <c r="D653" s="12">
        <v>0.0</v>
      </c>
      <c r="E653" s="12">
        <v>0.0</v>
      </c>
      <c r="F653" s="12">
        <v>0.0</v>
      </c>
      <c r="G653" s="12">
        <v>0.0</v>
      </c>
      <c r="H653" s="12">
        <f t="shared" si="149"/>
        <v>17719.99</v>
      </c>
      <c r="I653" s="12">
        <v>7434.72</v>
      </c>
      <c r="J653" s="12">
        <v>0.0</v>
      </c>
      <c r="K653" s="12">
        <v>0.0</v>
      </c>
      <c r="L653" s="12">
        <v>0.0</v>
      </c>
      <c r="M653" s="12">
        <v>0.0</v>
      </c>
      <c r="N653" s="12">
        <v>0.0</v>
      </c>
      <c r="O653" s="16">
        <f t="shared" si="150"/>
        <v>7434.72</v>
      </c>
      <c r="P653" s="12">
        <v>3684.57</v>
      </c>
      <c r="Q653" s="12">
        <v>0.0</v>
      </c>
      <c r="R653" s="12">
        <v>0.0</v>
      </c>
      <c r="S653" s="12">
        <v>0.0</v>
      </c>
      <c r="T653" s="12">
        <v>0.0</v>
      </c>
      <c r="U653" s="12">
        <v>0.0</v>
      </c>
      <c r="V653" s="16">
        <f t="shared" si="151"/>
        <v>3684.57</v>
      </c>
      <c r="W653" s="12">
        <v>3.55</v>
      </c>
      <c r="X653" s="12">
        <v>0.0</v>
      </c>
      <c r="Y653" s="12">
        <v>0.0</v>
      </c>
      <c r="Z653" s="12">
        <v>0.0</v>
      </c>
      <c r="AA653" s="12">
        <v>0.0</v>
      </c>
      <c r="AB653" s="12">
        <v>0.0</v>
      </c>
      <c r="AC653" s="16">
        <f t="shared" si="169"/>
        <v>3.55</v>
      </c>
      <c r="AD653" s="12">
        <v>0.0</v>
      </c>
      <c r="AE653" s="12">
        <v>3.55</v>
      </c>
      <c r="AF653" s="12">
        <v>2384.01</v>
      </c>
      <c r="AG653" s="12">
        <v>0.0</v>
      </c>
      <c r="AH653" s="12">
        <v>0.0</v>
      </c>
      <c r="AI653" s="12">
        <v>0.0</v>
      </c>
      <c r="AJ653" s="12">
        <v>0.0</v>
      </c>
      <c r="AK653" s="12">
        <v>0.0</v>
      </c>
      <c r="AL653" s="12">
        <f t="shared" si="192"/>
        <v>2384.01</v>
      </c>
      <c r="AM653" s="12">
        <v>0.0</v>
      </c>
      <c r="AN653" s="12">
        <v>0.0</v>
      </c>
      <c r="AO653" s="12">
        <v>0.0</v>
      </c>
      <c r="AP653" s="12">
        <v>0.0</v>
      </c>
      <c r="AQ653" s="12">
        <v>0.0</v>
      </c>
      <c r="AR653" s="12">
        <v>0.0</v>
      </c>
      <c r="AS653" s="12">
        <f t="shared" si="234"/>
        <v>0</v>
      </c>
      <c r="AT653" s="16">
        <f t="shared" si="242"/>
        <v>13506.85</v>
      </c>
      <c r="AU653" s="18">
        <f t="shared" si="235"/>
        <v>658353.812</v>
      </c>
      <c r="AV653" s="12">
        <v>4723.03</v>
      </c>
      <c r="AW653" s="10">
        <f t="shared" si="236"/>
        <v>205389.34</v>
      </c>
      <c r="AX653" s="12">
        <f t="shared" si="171"/>
        <v>18229.88</v>
      </c>
      <c r="AY653" s="12">
        <f t="shared" si="208"/>
        <v>877443.102</v>
      </c>
      <c r="AZ653" s="12">
        <v>1356.12</v>
      </c>
      <c r="BA653" s="18">
        <f t="shared" si="237"/>
        <v>38039.452</v>
      </c>
      <c r="BB653" s="10">
        <f t="shared" si="16"/>
        <v>927680.3715</v>
      </c>
      <c r="BC653" s="16">
        <f t="shared" si="201"/>
        <v>163997.9084</v>
      </c>
      <c r="BD653" s="12">
        <v>0.0</v>
      </c>
      <c r="BE653" s="16">
        <f t="shared" si="238"/>
        <v>13699.95</v>
      </c>
      <c r="BF653" s="6"/>
      <c r="BG653" s="6"/>
      <c r="BH653" s="6"/>
      <c r="BI653" s="29">
        <f t="shared" si="232"/>
        <v>65842.94226</v>
      </c>
      <c r="BJ653" s="6"/>
      <c r="BK653" s="15">
        <f t="shared" si="76"/>
        <v>0.2051374003</v>
      </c>
      <c r="BN653" s="16">
        <f t="shared" si="187"/>
        <v>-47613.06226</v>
      </c>
      <c r="BO653" s="16">
        <f t="shared" si="239"/>
        <v>-571101.6277</v>
      </c>
      <c r="BY653" s="6">
        <f t="shared" si="2"/>
        <v>2025</v>
      </c>
      <c r="BZ653" s="6" t="str">
        <f t="shared" si="3"/>
        <v>julio</v>
      </c>
      <c r="CA653" s="6" t="str">
        <f t="shared" si="4"/>
        <v>7</v>
      </c>
    </row>
    <row r="654">
      <c r="A654" s="8">
        <v>45861.0</v>
      </c>
      <c r="B654" s="12">
        <v>10064.16</v>
      </c>
      <c r="C654" s="12">
        <v>0.0</v>
      </c>
      <c r="D654" s="12">
        <v>0.0</v>
      </c>
      <c r="E654" s="12">
        <v>6478.0</v>
      </c>
      <c r="F654" s="12">
        <v>0.0</v>
      </c>
      <c r="G654" s="12">
        <v>0.0</v>
      </c>
      <c r="H654" s="12">
        <f t="shared" si="149"/>
        <v>16542.16</v>
      </c>
      <c r="I654" s="12">
        <v>5970.71</v>
      </c>
      <c r="J654" s="12">
        <v>0.0</v>
      </c>
      <c r="K654" s="12">
        <v>0.0</v>
      </c>
      <c r="L654" s="12">
        <v>0.0</v>
      </c>
      <c r="M654" s="12">
        <v>0.0</v>
      </c>
      <c r="N654" s="12">
        <v>0.0</v>
      </c>
      <c r="O654" s="16">
        <f t="shared" si="150"/>
        <v>5970.71</v>
      </c>
      <c r="P654" s="12">
        <v>4496.35</v>
      </c>
      <c r="Q654" s="12">
        <v>0.0</v>
      </c>
      <c r="R654" s="12">
        <v>0.0</v>
      </c>
      <c r="S654" s="12">
        <v>0.0</v>
      </c>
      <c r="T654" s="12">
        <v>0.0</v>
      </c>
      <c r="U654" s="12">
        <v>0.0</v>
      </c>
      <c r="V654" s="16">
        <f t="shared" si="151"/>
        <v>4496.35</v>
      </c>
      <c r="W654" s="12">
        <v>2798.58</v>
      </c>
      <c r="X654" s="12">
        <v>0.0</v>
      </c>
      <c r="Y654" s="12">
        <v>0.0</v>
      </c>
      <c r="Z654" s="12">
        <v>0.0</v>
      </c>
      <c r="AA654" s="12">
        <v>0.0</v>
      </c>
      <c r="AB654" s="12">
        <v>0.0</v>
      </c>
      <c r="AC654" s="16">
        <f t="shared" si="169"/>
        <v>2798.58</v>
      </c>
      <c r="AD654" s="12">
        <v>2785.1</v>
      </c>
      <c r="AE654" s="12">
        <v>13.48</v>
      </c>
      <c r="AF654" s="12">
        <v>1538.69</v>
      </c>
      <c r="AG654" s="12">
        <v>0.0</v>
      </c>
      <c r="AH654" s="12">
        <v>0.0</v>
      </c>
      <c r="AI654" s="12">
        <v>0.0</v>
      </c>
      <c r="AJ654" s="12">
        <v>0.0</v>
      </c>
      <c r="AK654" s="12">
        <v>0.0</v>
      </c>
      <c r="AL654" s="12">
        <f t="shared" si="192"/>
        <v>1538.69</v>
      </c>
      <c r="AM654" s="12">
        <v>2621.0</v>
      </c>
      <c r="AN654" s="12">
        <v>0.0</v>
      </c>
      <c r="AO654" s="12">
        <v>0.0</v>
      </c>
      <c r="AP654" s="12">
        <v>0.0</v>
      </c>
      <c r="AQ654" s="12">
        <v>0.0</v>
      </c>
      <c r="AR654" s="12">
        <v>0.0</v>
      </c>
      <c r="AS654" s="12">
        <f t="shared" si="234"/>
        <v>2621</v>
      </c>
      <c r="AT654" s="16">
        <f t="shared" si="242"/>
        <v>17425.33</v>
      </c>
      <c r="AU654" s="18">
        <f t="shared" si="235"/>
        <v>675779.142</v>
      </c>
      <c r="AV654" s="12">
        <v>4549.73</v>
      </c>
      <c r="AW654" s="10">
        <f t="shared" si="236"/>
        <v>209939.07</v>
      </c>
      <c r="AX654" s="12">
        <f t="shared" si="171"/>
        <v>21975.06</v>
      </c>
      <c r="AY654" s="12">
        <f t="shared" si="208"/>
        <v>900292.132</v>
      </c>
      <c r="AZ654" s="12">
        <v>0.0</v>
      </c>
      <c r="BA654" s="18">
        <f t="shared" si="237"/>
        <v>38039.452</v>
      </c>
      <c r="BB654" s="10">
        <f t="shared" si="16"/>
        <v>910832.7566</v>
      </c>
      <c r="BC654" s="16">
        <f t="shared" si="201"/>
        <v>155798.013</v>
      </c>
      <c r="BD654" s="12">
        <v>873.97</v>
      </c>
      <c r="BE654" s="16">
        <f t="shared" si="238"/>
        <v>14573.92</v>
      </c>
      <c r="BF654" s="6"/>
      <c r="BG654" s="6"/>
      <c r="BH654" s="6"/>
      <c r="BI654" s="29">
        <f t="shared" si="232"/>
        <v>65842.94226</v>
      </c>
      <c r="BJ654" s="6"/>
      <c r="BK654" s="15">
        <f t="shared" si="76"/>
        <v>0.2646499291</v>
      </c>
      <c r="BN654" s="16">
        <f t="shared" si="187"/>
        <v>-42993.91226</v>
      </c>
      <c r="BO654" s="16">
        <f t="shared" si="239"/>
        <v>-614095.5399</v>
      </c>
      <c r="BY654" s="6">
        <f t="shared" si="2"/>
        <v>2025</v>
      </c>
      <c r="BZ654" s="6" t="str">
        <f t="shared" si="3"/>
        <v>julio</v>
      </c>
      <c r="CA654" s="6" t="str">
        <f t="shared" si="4"/>
        <v>7</v>
      </c>
    </row>
    <row r="655">
      <c r="A655" s="8">
        <v>45862.0</v>
      </c>
      <c r="B655" s="12">
        <v>11308.09</v>
      </c>
      <c r="C655" s="12">
        <v>0.0</v>
      </c>
      <c r="D655" s="12">
        <v>0.0</v>
      </c>
      <c r="E655" s="12">
        <v>0.0</v>
      </c>
      <c r="F655" s="12">
        <v>0.0</v>
      </c>
      <c r="G655" s="12">
        <v>0.0</v>
      </c>
      <c r="H655" s="12">
        <f t="shared" si="149"/>
        <v>11308.09</v>
      </c>
      <c r="I655" s="12">
        <v>3618.88</v>
      </c>
      <c r="J655" s="12">
        <v>0.0</v>
      </c>
      <c r="K655" s="12">
        <v>0.0</v>
      </c>
      <c r="L655" s="12">
        <v>0.0</v>
      </c>
      <c r="M655" s="12">
        <v>0.0</v>
      </c>
      <c r="N655" s="12">
        <v>0.0</v>
      </c>
      <c r="O655" s="16">
        <f t="shared" si="150"/>
        <v>3618.88</v>
      </c>
      <c r="P655" s="12">
        <v>1592.88</v>
      </c>
      <c r="Q655" s="12">
        <v>0.0</v>
      </c>
      <c r="R655" s="12">
        <v>0.0</v>
      </c>
      <c r="S655" s="12">
        <v>0.0</v>
      </c>
      <c r="T655" s="12">
        <v>0.0</v>
      </c>
      <c r="U655" s="12">
        <v>0.0</v>
      </c>
      <c r="V655" s="16">
        <f t="shared" si="151"/>
        <v>1592.88</v>
      </c>
      <c r="W655" s="12">
        <v>13991.54</v>
      </c>
      <c r="X655" s="12">
        <v>0.0</v>
      </c>
      <c r="Y655" s="12">
        <v>16960.59</v>
      </c>
      <c r="Z655" s="12">
        <v>0.0</v>
      </c>
      <c r="AA655" s="12">
        <v>0.0</v>
      </c>
      <c r="AB655" s="12">
        <v>0.0</v>
      </c>
      <c r="AC655" s="16">
        <f t="shared" si="169"/>
        <v>30952.13</v>
      </c>
      <c r="AD655" s="12">
        <v>30938.45</v>
      </c>
      <c r="AE655" s="12">
        <v>13.68</v>
      </c>
      <c r="AF655" s="12">
        <v>1783.44</v>
      </c>
      <c r="AG655" s="12">
        <v>0.0</v>
      </c>
      <c r="AH655" s="12">
        <v>0.0</v>
      </c>
      <c r="AI655" s="12">
        <v>0.0</v>
      </c>
      <c r="AJ655" s="12">
        <v>0.0</v>
      </c>
      <c r="AK655" s="12">
        <v>0.0</v>
      </c>
      <c r="AL655" s="12">
        <f t="shared" si="192"/>
        <v>1783.44</v>
      </c>
      <c r="AM655" s="12">
        <v>41841.0</v>
      </c>
      <c r="AN655" s="12">
        <v>0.0</v>
      </c>
      <c r="AO655" s="12">
        <v>0.0</v>
      </c>
      <c r="AP655" s="12">
        <v>0.0</v>
      </c>
      <c r="AQ655" s="12">
        <v>0.0</v>
      </c>
      <c r="AR655" s="12">
        <v>0.0</v>
      </c>
      <c r="AS655" s="12">
        <f t="shared" si="234"/>
        <v>41841</v>
      </c>
      <c r="AT655" s="16">
        <f t="shared" si="242"/>
        <v>79788.33</v>
      </c>
      <c r="AU655" s="18">
        <f t="shared" si="235"/>
        <v>755567.472</v>
      </c>
      <c r="AV655" s="12">
        <v>4174.65</v>
      </c>
      <c r="AW655" s="10">
        <f t="shared" si="236"/>
        <v>214113.72</v>
      </c>
      <c r="AX655" s="12">
        <f t="shared" si="171"/>
        <v>83962.98</v>
      </c>
      <c r="AY655" s="12">
        <f t="shared" si="208"/>
        <v>994926.232</v>
      </c>
      <c r="AZ655" s="12">
        <v>137.16</v>
      </c>
      <c r="BA655" s="18">
        <f t="shared" si="237"/>
        <v>38176.612</v>
      </c>
      <c r="BB655" s="10">
        <f t="shared" si="16"/>
        <v>975941.318</v>
      </c>
      <c r="BC655" s="16">
        <f t="shared" si="201"/>
        <v>153534.991</v>
      </c>
      <c r="BD655" s="12">
        <v>10671.12</v>
      </c>
      <c r="BE655" s="16">
        <f t="shared" si="238"/>
        <v>25245.04</v>
      </c>
      <c r="BF655" s="6"/>
      <c r="BG655" s="6"/>
      <c r="BH655" s="6"/>
      <c r="BI655" s="29">
        <f t="shared" si="232"/>
        <v>65842.94226</v>
      </c>
      <c r="BK655" s="15">
        <f t="shared" si="76"/>
        <v>1.211797761</v>
      </c>
      <c r="BN655" s="16">
        <f t="shared" si="187"/>
        <v>28791.15774</v>
      </c>
      <c r="BO655" s="16">
        <f t="shared" si="239"/>
        <v>-585304.3822</v>
      </c>
      <c r="BY655" s="6">
        <f t="shared" si="2"/>
        <v>2025</v>
      </c>
      <c r="BZ655" s="6" t="str">
        <f t="shared" si="3"/>
        <v>julio</v>
      </c>
      <c r="CA655" s="6" t="str">
        <f t="shared" si="4"/>
        <v>7</v>
      </c>
    </row>
    <row r="656">
      <c r="A656" s="8">
        <v>45863.0</v>
      </c>
      <c r="B656" s="12">
        <v>17456.0</v>
      </c>
      <c r="C656" s="12">
        <v>2244.0</v>
      </c>
      <c r="D656" s="12">
        <v>4957.45</v>
      </c>
      <c r="E656" s="12">
        <v>0.0</v>
      </c>
      <c r="F656" s="12">
        <v>0.0</v>
      </c>
      <c r="G656" s="12">
        <v>0.0</v>
      </c>
      <c r="H656" s="12">
        <f t="shared" si="149"/>
        <v>24657.45</v>
      </c>
      <c r="I656" s="12">
        <v>10456.36</v>
      </c>
      <c r="J656" s="12">
        <v>2476.0</v>
      </c>
      <c r="K656" s="12">
        <v>2415.0</v>
      </c>
      <c r="L656" s="12">
        <v>0.0</v>
      </c>
      <c r="M656" s="12">
        <v>0.0</v>
      </c>
      <c r="N656" s="12">
        <v>0.0</v>
      </c>
      <c r="O656" s="16">
        <f t="shared" si="150"/>
        <v>15347.36</v>
      </c>
      <c r="P656" s="12">
        <v>5832.36</v>
      </c>
      <c r="Q656" s="12">
        <v>426.5</v>
      </c>
      <c r="R656" s="12">
        <v>395.49</v>
      </c>
      <c r="S656" s="12">
        <v>0.0</v>
      </c>
      <c r="T656" s="12">
        <v>0.0</v>
      </c>
      <c r="U656" s="12">
        <v>0.0</v>
      </c>
      <c r="V656" s="16">
        <f t="shared" si="151"/>
        <v>6654.35</v>
      </c>
      <c r="W656" s="12">
        <v>1.14</v>
      </c>
      <c r="X656" s="12">
        <v>0.0</v>
      </c>
      <c r="Y656" s="12">
        <v>3885.72</v>
      </c>
      <c r="Z656" s="12">
        <v>0.0</v>
      </c>
      <c r="AA656" s="12">
        <v>0.0</v>
      </c>
      <c r="AB656" s="12">
        <v>0.0</v>
      </c>
      <c r="AC656" s="16">
        <f t="shared" si="169"/>
        <v>3886.86</v>
      </c>
      <c r="AD656" s="12">
        <v>3885.72</v>
      </c>
      <c r="AE656" s="12">
        <v>1.14</v>
      </c>
      <c r="AF656" s="12">
        <v>1878.43</v>
      </c>
      <c r="AG656" s="12">
        <v>563.79</v>
      </c>
      <c r="AH656" s="12">
        <v>0.0</v>
      </c>
      <c r="AI656" s="12">
        <v>0.0</v>
      </c>
      <c r="AJ656" s="12">
        <v>0.0</v>
      </c>
      <c r="AK656" s="12">
        <v>0.0</v>
      </c>
      <c r="AL656" s="12">
        <f t="shared" si="192"/>
        <v>2442.22</v>
      </c>
      <c r="AM656" s="12">
        <v>0.0</v>
      </c>
      <c r="AN656" s="12">
        <v>0.0</v>
      </c>
      <c r="AO656" s="12">
        <v>6495.0</v>
      </c>
      <c r="AP656" s="12">
        <v>0.0</v>
      </c>
      <c r="AQ656" s="12">
        <v>0.0</v>
      </c>
      <c r="AR656" s="12">
        <v>0.0</v>
      </c>
      <c r="AS656" s="12">
        <f t="shared" si="234"/>
        <v>6495</v>
      </c>
      <c r="AT656" s="16">
        <f t="shared" si="242"/>
        <v>34825.79</v>
      </c>
      <c r="AU656" s="18">
        <f t="shared" si="235"/>
        <v>790393.262</v>
      </c>
      <c r="AV656" s="12">
        <v>7846.45</v>
      </c>
      <c r="AW656" s="10">
        <f t="shared" si="236"/>
        <v>221960.17</v>
      </c>
      <c r="AX656" s="12">
        <f t="shared" si="171"/>
        <v>42672.24</v>
      </c>
      <c r="AY656" s="12">
        <f t="shared" si="208"/>
        <v>1038823.122</v>
      </c>
      <c r="AZ656" s="12">
        <v>1975.44</v>
      </c>
      <c r="BA656" s="18">
        <f t="shared" si="237"/>
        <v>40152.052</v>
      </c>
      <c r="BB656" s="10">
        <f t="shared" si="16"/>
        <v>980087.6449</v>
      </c>
      <c r="BC656" s="16">
        <f t="shared" si="201"/>
        <v>149625.8664</v>
      </c>
      <c r="BD656" s="12">
        <v>1224.65</v>
      </c>
      <c r="BE656" s="16">
        <f t="shared" si="238"/>
        <v>26469.69</v>
      </c>
      <c r="BF656" s="6"/>
      <c r="BG656" s="6"/>
      <c r="BH656" s="6"/>
      <c r="BI656" s="29">
        <f t="shared" si="232"/>
        <v>65842.94226</v>
      </c>
      <c r="BJ656" s="6"/>
      <c r="BK656" s="15">
        <f t="shared" si="76"/>
        <v>0.5289221412</v>
      </c>
      <c r="BN656" s="16">
        <f t="shared" si="187"/>
        <v>-21946.05226</v>
      </c>
      <c r="BO656" s="16">
        <f t="shared" si="239"/>
        <v>-607250.4345</v>
      </c>
      <c r="BY656" s="6">
        <f t="shared" si="2"/>
        <v>2025</v>
      </c>
      <c r="BZ656" s="6" t="str">
        <f t="shared" si="3"/>
        <v>julio</v>
      </c>
      <c r="CA656" s="6" t="str">
        <f t="shared" si="4"/>
        <v>7</v>
      </c>
    </row>
    <row r="657">
      <c r="A657" s="8">
        <v>45864.0</v>
      </c>
      <c r="B657" s="12">
        <v>0.0</v>
      </c>
      <c r="C657" s="12">
        <v>0.0</v>
      </c>
      <c r="D657" s="12">
        <v>0.0</v>
      </c>
      <c r="E657" s="12">
        <v>0.0</v>
      </c>
      <c r="F657" s="12">
        <v>0.0</v>
      </c>
      <c r="G657" s="12">
        <v>0.0</v>
      </c>
      <c r="H657" s="12">
        <f t="shared" si="149"/>
        <v>0</v>
      </c>
      <c r="I657" s="12">
        <v>0.0</v>
      </c>
      <c r="J657" s="12">
        <v>0.0</v>
      </c>
      <c r="K657" s="12">
        <v>0.0</v>
      </c>
      <c r="L657" s="12">
        <v>0.0</v>
      </c>
      <c r="M657" s="12">
        <v>0.0</v>
      </c>
      <c r="N657" s="12">
        <v>0.0</v>
      </c>
      <c r="O657" s="16">
        <f t="shared" si="150"/>
        <v>0</v>
      </c>
      <c r="P657" s="12">
        <v>0.0</v>
      </c>
      <c r="Q657" s="12">
        <v>0.0</v>
      </c>
      <c r="R657" s="12">
        <v>0.0</v>
      </c>
      <c r="S657" s="12">
        <v>0.0</v>
      </c>
      <c r="T657" s="12">
        <v>0.0</v>
      </c>
      <c r="U657" s="12">
        <v>0.0</v>
      </c>
      <c r="V657" s="16">
        <f t="shared" si="151"/>
        <v>0</v>
      </c>
      <c r="W657" s="12">
        <v>0.0</v>
      </c>
      <c r="X657" s="12">
        <v>0.0</v>
      </c>
      <c r="Y657" s="12">
        <v>0.0</v>
      </c>
      <c r="Z657" s="12">
        <v>0.0</v>
      </c>
      <c r="AA657" s="12">
        <v>0.0</v>
      </c>
      <c r="AB657" s="12">
        <v>0.0</v>
      </c>
      <c r="AC657" s="16">
        <f t="shared" si="169"/>
        <v>0</v>
      </c>
      <c r="AD657" s="12">
        <v>0.0</v>
      </c>
      <c r="AE657" s="12">
        <v>0.0</v>
      </c>
      <c r="AF657" s="12">
        <v>0.0</v>
      </c>
      <c r="AG657" s="12">
        <v>0.0</v>
      </c>
      <c r="AH657" s="12">
        <v>0.0</v>
      </c>
      <c r="AI657" s="12">
        <v>0.0</v>
      </c>
      <c r="AJ657" s="12">
        <v>0.0</v>
      </c>
      <c r="AK657" s="12">
        <v>0.0</v>
      </c>
      <c r="AL657" s="12">
        <f t="shared" si="192"/>
        <v>0</v>
      </c>
      <c r="AM657" s="12">
        <v>0.0</v>
      </c>
      <c r="AN657" s="12">
        <v>0.0</v>
      </c>
      <c r="AO657" s="12">
        <v>0.0</v>
      </c>
      <c r="AP657" s="12">
        <v>0.0</v>
      </c>
      <c r="AQ657" s="12">
        <v>0.0</v>
      </c>
      <c r="AR657" s="12">
        <v>0.0</v>
      </c>
      <c r="AS657" s="12">
        <f t="shared" si="234"/>
        <v>0</v>
      </c>
      <c r="AT657" s="5">
        <v>0.0</v>
      </c>
      <c r="AU657" s="18">
        <f t="shared" si="235"/>
        <v>790393.262</v>
      </c>
      <c r="AV657" s="12">
        <v>0.0</v>
      </c>
      <c r="AW657" s="10">
        <f t="shared" si="236"/>
        <v>221960.17</v>
      </c>
      <c r="AX657" s="12">
        <f t="shared" si="171"/>
        <v>0</v>
      </c>
      <c r="AY657" s="12">
        <f t="shared" si="208"/>
        <v>1038823.122</v>
      </c>
      <c r="AZ657" s="12">
        <v>0.0</v>
      </c>
      <c r="BA657" s="18">
        <f t="shared" si="237"/>
        <v>40152.052</v>
      </c>
      <c r="BB657" s="10">
        <f t="shared" si="16"/>
        <v>942391.9662</v>
      </c>
      <c r="BC657" s="16">
        <f t="shared" si="201"/>
        <v>146908.5091</v>
      </c>
      <c r="BD657" s="12">
        <v>0.0</v>
      </c>
      <c r="BE657" s="16">
        <f t="shared" si="238"/>
        <v>26469.69</v>
      </c>
      <c r="BF657" s="6"/>
      <c r="BG657" s="6"/>
      <c r="BH657" s="6"/>
      <c r="BI657" s="29">
        <f t="shared" si="232"/>
        <v>65842.94226</v>
      </c>
      <c r="BJ657" s="6"/>
      <c r="BK657" s="15">
        <f t="shared" si="76"/>
        <v>0</v>
      </c>
      <c r="BN657" s="16">
        <f t="shared" si="187"/>
        <v>-65842.94226</v>
      </c>
      <c r="BO657" s="16">
        <f t="shared" si="239"/>
        <v>-673093.3767</v>
      </c>
      <c r="BY657" s="6">
        <f t="shared" si="2"/>
        <v>2025</v>
      </c>
      <c r="BZ657" s="6" t="str">
        <f t="shared" si="3"/>
        <v>julio</v>
      </c>
      <c r="CA657" s="6" t="str">
        <f t="shared" si="4"/>
        <v>7</v>
      </c>
    </row>
    <row r="658">
      <c r="A658" s="8">
        <v>45865.0</v>
      </c>
      <c r="B658" s="12">
        <v>0.0</v>
      </c>
      <c r="C658" s="12">
        <v>0.0</v>
      </c>
      <c r="D658" s="12">
        <v>0.0</v>
      </c>
      <c r="E658" s="12">
        <v>0.0</v>
      </c>
      <c r="F658" s="12">
        <v>0.0</v>
      </c>
      <c r="G658" s="12">
        <v>0.0</v>
      </c>
      <c r="H658" s="12">
        <f t="shared" si="149"/>
        <v>0</v>
      </c>
      <c r="I658" s="12">
        <v>0.0</v>
      </c>
      <c r="J658" s="12">
        <v>0.0</v>
      </c>
      <c r="K658" s="12">
        <v>0.0</v>
      </c>
      <c r="L658" s="12">
        <v>0.0</v>
      </c>
      <c r="M658" s="12">
        <v>0.0</v>
      </c>
      <c r="N658" s="12">
        <v>0.0</v>
      </c>
      <c r="O658" s="16">
        <f t="shared" si="150"/>
        <v>0</v>
      </c>
      <c r="P658" s="12">
        <v>0.0</v>
      </c>
      <c r="Q658" s="12">
        <v>0.0</v>
      </c>
      <c r="R658" s="12">
        <v>0.0</v>
      </c>
      <c r="S658" s="12">
        <v>0.0</v>
      </c>
      <c r="T658" s="12">
        <v>0.0</v>
      </c>
      <c r="U658" s="12">
        <v>0.0</v>
      </c>
      <c r="V658" s="16">
        <f t="shared" si="151"/>
        <v>0</v>
      </c>
      <c r="W658" s="12">
        <v>0.0</v>
      </c>
      <c r="X658" s="12">
        <v>0.0</v>
      </c>
      <c r="Y658" s="12">
        <v>0.0</v>
      </c>
      <c r="Z658" s="12">
        <v>0.0</v>
      </c>
      <c r="AA658" s="12">
        <v>0.0</v>
      </c>
      <c r="AB658" s="12">
        <v>0.0</v>
      </c>
      <c r="AC658" s="16">
        <f t="shared" si="169"/>
        <v>0</v>
      </c>
      <c r="AD658" s="12">
        <v>0.0</v>
      </c>
      <c r="AE658" s="12">
        <v>0.0</v>
      </c>
      <c r="AF658" s="12">
        <v>0.0</v>
      </c>
      <c r="AG658" s="12">
        <v>0.0</v>
      </c>
      <c r="AH658" s="12">
        <v>0.0</v>
      </c>
      <c r="AI658" s="12">
        <v>0.0</v>
      </c>
      <c r="AJ658" s="12">
        <v>0.0</v>
      </c>
      <c r="AK658" s="12">
        <v>0.0</v>
      </c>
      <c r="AL658" s="12">
        <f t="shared" si="192"/>
        <v>0</v>
      </c>
      <c r="AM658" s="12">
        <v>0.0</v>
      </c>
      <c r="AN658" s="12">
        <v>0.0</v>
      </c>
      <c r="AO658" s="12">
        <v>0.0</v>
      </c>
      <c r="AP658" s="12">
        <v>0.0</v>
      </c>
      <c r="AQ658" s="12">
        <v>0.0</v>
      </c>
      <c r="AR658" s="12">
        <v>0.0</v>
      </c>
      <c r="AS658" s="12">
        <f t="shared" si="234"/>
        <v>0</v>
      </c>
      <c r="AT658" s="5">
        <v>0.0</v>
      </c>
      <c r="AU658" s="18">
        <f t="shared" si="235"/>
        <v>790393.262</v>
      </c>
      <c r="AV658" s="12">
        <v>0.0</v>
      </c>
      <c r="AW658" s="10">
        <f t="shared" si="236"/>
        <v>221960.17</v>
      </c>
      <c r="AX658" s="12">
        <f t="shared" si="171"/>
        <v>0</v>
      </c>
      <c r="AY658" s="12">
        <f t="shared" si="208"/>
        <v>1038823.122</v>
      </c>
      <c r="AZ658" s="12">
        <v>0.0</v>
      </c>
      <c r="BA658" s="18">
        <f t="shared" si="237"/>
        <v>40152.052</v>
      </c>
      <c r="BB658" s="10">
        <f t="shared" si="16"/>
        <v>907488.5601</v>
      </c>
      <c r="BC658" s="16">
        <f t="shared" si="201"/>
        <v>157409.89</v>
      </c>
      <c r="BD658" s="12">
        <v>0.0</v>
      </c>
      <c r="BE658" s="16">
        <f t="shared" si="238"/>
        <v>26469.69</v>
      </c>
      <c r="BF658" s="6"/>
      <c r="BG658" s="6"/>
      <c r="BH658" s="6"/>
      <c r="BI658" s="29">
        <f t="shared" si="232"/>
        <v>65842.94226</v>
      </c>
      <c r="BJ658" s="6"/>
      <c r="BK658" s="15">
        <f t="shared" si="76"/>
        <v>0</v>
      </c>
      <c r="BN658" s="16">
        <f t="shared" si="187"/>
        <v>-65842.94226</v>
      </c>
      <c r="BO658" s="16">
        <f t="shared" si="239"/>
        <v>-738936.319</v>
      </c>
      <c r="BY658" s="6">
        <f t="shared" si="2"/>
        <v>2025</v>
      </c>
      <c r="BZ658" s="6" t="str">
        <f t="shared" si="3"/>
        <v>julio</v>
      </c>
      <c r="CA658" s="6" t="str">
        <f t="shared" si="4"/>
        <v>7</v>
      </c>
    </row>
    <row r="659">
      <c r="A659" s="8">
        <v>45866.0</v>
      </c>
      <c r="B659" s="12">
        <v>24756.0</v>
      </c>
      <c r="C659" s="12">
        <v>3222.0</v>
      </c>
      <c r="D659" s="12">
        <v>3458.93</v>
      </c>
      <c r="E659" s="12">
        <v>0.0</v>
      </c>
      <c r="F659" s="12">
        <v>0.0</v>
      </c>
      <c r="G659" s="12">
        <v>0.0</v>
      </c>
      <c r="H659" s="12">
        <f t="shared" si="149"/>
        <v>31436.93</v>
      </c>
      <c r="I659" s="12">
        <v>14586.0</v>
      </c>
      <c r="J659" s="12">
        <v>1422.0</v>
      </c>
      <c r="K659" s="12">
        <v>1618.25</v>
      </c>
      <c r="L659" s="12">
        <v>0.0</v>
      </c>
      <c r="M659" s="12">
        <v>0.0</v>
      </c>
      <c r="N659" s="12">
        <v>0.0</v>
      </c>
      <c r="O659" s="16">
        <f t="shared" si="150"/>
        <v>17626.25</v>
      </c>
      <c r="P659" s="12">
        <v>7810.78</v>
      </c>
      <c r="Q659" s="12">
        <v>145.81</v>
      </c>
      <c r="R659" s="12">
        <v>862.81</v>
      </c>
      <c r="S659" s="12">
        <v>0.0</v>
      </c>
      <c r="T659" s="12">
        <v>0.0</v>
      </c>
      <c r="U659" s="12">
        <v>0.0</v>
      </c>
      <c r="V659" s="16">
        <f t="shared" si="151"/>
        <v>8819.4</v>
      </c>
      <c r="W659" s="12">
        <v>3628.98</v>
      </c>
      <c r="X659" s="12">
        <v>0.06</v>
      </c>
      <c r="Y659" s="12">
        <v>0.0</v>
      </c>
      <c r="Z659" s="12">
        <v>0.0</v>
      </c>
      <c r="AA659" s="12">
        <v>0.0</v>
      </c>
      <c r="AB659" s="12">
        <v>0.0</v>
      </c>
      <c r="AC659" s="16">
        <f t="shared" si="169"/>
        <v>3629.04</v>
      </c>
      <c r="AD659" s="12">
        <v>3613.35</v>
      </c>
      <c r="AE659" s="12">
        <v>15.69</v>
      </c>
      <c r="AF659" s="12">
        <v>3224.05</v>
      </c>
      <c r="AG659" s="12">
        <v>0.0</v>
      </c>
      <c r="AH659" s="12">
        <v>0.0</v>
      </c>
      <c r="AI659" s="12">
        <v>0.0</v>
      </c>
      <c r="AJ659" s="12">
        <v>0.0</v>
      </c>
      <c r="AK659" s="12">
        <v>0.0</v>
      </c>
      <c r="AL659" s="12">
        <f t="shared" si="192"/>
        <v>3224.05</v>
      </c>
      <c r="AM659" s="12">
        <v>2928.0</v>
      </c>
      <c r="AN659" s="12">
        <v>0.0</v>
      </c>
      <c r="AO659" s="12">
        <v>0.0</v>
      </c>
      <c r="AP659" s="12">
        <v>0.0</v>
      </c>
      <c r="AQ659" s="12">
        <v>0.0</v>
      </c>
      <c r="AR659" s="12">
        <v>0.0</v>
      </c>
      <c r="AS659" s="12">
        <f t="shared" si="234"/>
        <v>2928</v>
      </c>
      <c r="AT659" s="16">
        <f t="shared" ref="AT659:AT663" si="243">IF(AS659+AL659+AC659+V659+O659=0,"",AS659+AL659+AC659+V659+O659)</f>
        <v>36226.74</v>
      </c>
      <c r="AU659" s="18">
        <f t="shared" si="235"/>
        <v>826620.002</v>
      </c>
      <c r="AV659" s="12">
        <v>11036.08</v>
      </c>
      <c r="AW659" s="10">
        <f t="shared" si="236"/>
        <v>232996.25</v>
      </c>
      <c r="AX659" s="12">
        <f t="shared" si="171"/>
        <v>47262.82</v>
      </c>
      <c r="AY659" s="12">
        <f t="shared" si="208"/>
        <v>1086946.872</v>
      </c>
      <c r="AZ659" s="12">
        <v>2167.4</v>
      </c>
      <c r="BA659" s="18">
        <f t="shared" si="237"/>
        <v>42319.452</v>
      </c>
      <c r="BB659" s="10">
        <f t="shared" si="16"/>
        <v>915186.4308</v>
      </c>
      <c r="BC659" s="16">
        <f t="shared" si="201"/>
        <v>158078.6524</v>
      </c>
      <c r="BD659" s="12">
        <v>860.93</v>
      </c>
      <c r="BE659" s="16">
        <f t="shared" si="238"/>
        <v>27330.62</v>
      </c>
      <c r="BF659" s="6"/>
      <c r="BG659" s="6"/>
      <c r="BH659" s="6"/>
      <c r="BI659" s="29">
        <f t="shared" si="232"/>
        <v>65842.94226</v>
      </c>
      <c r="BJ659" s="6"/>
      <c r="BK659" s="15">
        <f t="shared" si="76"/>
        <v>0.5501992888</v>
      </c>
      <c r="BN659" s="16">
        <f t="shared" si="187"/>
        <v>-17719.19226</v>
      </c>
      <c r="BO659" s="16">
        <f t="shared" si="239"/>
        <v>-756655.5112</v>
      </c>
      <c r="BY659" s="6">
        <f t="shared" si="2"/>
        <v>2025</v>
      </c>
      <c r="BZ659" s="6" t="str">
        <f t="shared" si="3"/>
        <v>julio</v>
      </c>
      <c r="CA659" s="6" t="str">
        <f t="shared" si="4"/>
        <v>7</v>
      </c>
    </row>
    <row r="660">
      <c r="A660" s="8">
        <v>45867.0</v>
      </c>
      <c r="B660" s="12">
        <v>79653.0</v>
      </c>
      <c r="C660" s="12">
        <v>1533.0</v>
      </c>
      <c r="D660" s="12">
        <v>2328.5</v>
      </c>
      <c r="E660" s="12">
        <v>0.0</v>
      </c>
      <c r="F660" s="12">
        <v>0.0</v>
      </c>
      <c r="G660" s="12">
        <v>0.0</v>
      </c>
      <c r="H660" s="12">
        <f t="shared" si="149"/>
        <v>83514.5</v>
      </c>
      <c r="I660" s="12">
        <v>20000.0</v>
      </c>
      <c r="J660" s="12">
        <v>2160.64</v>
      </c>
      <c r="K660" s="12">
        <v>2469.0</v>
      </c>
      <c r="L660" s="12">
        <v>0.0</v>
      </c>
      <c r="M660" s="12">
        <v>0.0</v>
      </c>
      <c r="N660" s="12">
        <v>0.0</v>
      </c>
      <c r="O660" s="16">
        <f t="shared" si="150"/>
        <v>24629.64</v>
      </c>
      <c r="P660" s="12">
        <v>10425.97</v>
      </c>
      <c r="Q660" s="12">
        <v>1867.06</v>
      </c>
      <c r="R660" s="12">
        <v>964.61</v>
      </c>
      <c r="S660" s="12">
        <v>0.0</v>
      </c>
      <c r="T660" s="12">
        <v>0.0</v>
      </c>
      <c r="U660" s="12">
        <v>0.0</v>
      </c>
      <c r="V660" s="16">
        <f t="shared" si="151"/>
        <v>13257.64</v>
      </c>
      <c r="W660" s="12">
        <v>1103.13</v>
      </c>
      <c r="X660" s="12">
        <v>550.0</v>
      </c>
      <c r="Y660" s="12">
        <v>0.46</v>
      </c>
      <c r="Z660" s="12">
        <v>0.0</v>
      </c>
      <c r="AA660" s="12">
        <v>0.0</v>
      </c>
      <c r="AB660" s="12">
        <v>0.0</v>
      </c>
      <c r="AC660" s="16">
        <f t="shared" si="169"/>
        <v>1653.59</v>
      </c>
      <c r="AD660" s="12">
        <v>0.0</v>
      </c>
      <c r="AE660" s="12">
        <v>1653.59</v>
      </c>
      <c r="AF660" s="12">
        <v>863.82</v>
      </c>
      <c r="AG660" s="12">
        <v>5649.69</v>
      </c>
      <c r="AH660" s="12">
        <v>0.0</v>
      </c>
      <c r="AI660" s="12">
        <v>0.0</v>
      </c>
      <c r="AJ660" s="12">
        <v>0.0</v>
      </c>
      <c r="AK660" s="12">
        <v>0.0</v>
      </c>
      <c r="AL660" s="12">
        <f t="shared" si="192"/>
        <v>6513.51</v>
      </c>
      <c r="AM660" s="12">
        <v>0.0</v>
      </c>
      <c r="AN660" s="12">
        <v>0.0</v>
      </c>
      <c r="AO660" s="12">
        <v>0.0</v>
      </c>
      <c r="AP660" s="12">
        <v>0.0</v>
      </c>
      <c r="AQ660" s="12">
        <v>0.0</v>
      </c>
      <c r="AR660" s="12">
        <v>0.0</v>
      </c>
      <c r="AS660" s="12">
        <f t="shared" si="234"/>
        <v>0</v>
      </c>
      <c r="AT660" s="16">
        <f t="shared" si="243"/>
        <v>46054.38</v>
      </c>
      <c r="AU660" s="18">
        <f t="shared" si="235"/>
        <v>872674.382</v>
      </c>
      <c r="AV660" s="12">
        <v>18840.96</v>
      </c>
      <c r="AW660" s="10">
        <f t="shared" si="236"/>
        <v>251837.21</v>
      </c>
      <c r="AX660" s="12">
        <f t="shared" si="171"/>
        <v>64895.34</v>
      </c>
      <c r="AY660" s="12">
        <f t="shared" si="208"/>
        <v>1181593.692</v>
      </c>
      <c r="AZ660" s="12">
        <v>1148.07</v>
      </c>
      <c r="BA660" s="18">
        <f t="shared" si="237"/>
        <v>43467.522</v>
      </c>
      <c r="BB660" s="10">
        <f t="shared" si="16"/>
        <v>932858.8221</v>
      </c>
      <c r="BC660" s="16">
        <f t="shared" si="201"/>
        <v>151998.7042</v>
      </c>
      <c r="BD660" s="12">
        <v>29751.48</v>
      </c>
      <c r="BE660" s="16">
        <f t="shared" si="238"/>
        <v>57082.1</v>
      </c>
      <c r="BF660" s="6"/>
      <c r="BG660" s="6"/>
      <c r="BH660" s="6"/>
      <c r="BI660" s="29">
        <f t="shared" si="232"/>
        <v>65842.94226</v>
      </c>
      <c r="BJ660" s="6"/>
      <c r="BK660" s="15">
        <f t="shared" si="76"/>
        <v>0.6994581108</v>
      </c>
      <c r="BN660" s="16">
        <f t="shared" si="187"/>
        <v>28803.87774</v>
      </c>
      <c r="BO660" s="16">
        <f t="shared" si="239"/>
        <v>-727851.6335</v>
      </c>
      <c r="BY660" s="6">
        <f t="shared" si="2"/>
        <v>2025</v>
      </c>
      <c r="BZ660" s="6" t="str">
        <f t="shared" si="3"/>
        <v>julio</v>
      </c>
      <c r="CA660" s="6" t="str">
        <f t="shared" si="4"/>
        <v>7</v>
      </c>
    </row>
    <row r="661">
      <c r="A661" s="8">
        <v>45868.0</v>
      </c>
      <c r="B661" s="12">
        <v>54699.0</v>
      </c>
      <c r="C661" s="12">
        <v>3456.0</v>
      </c>
      <c r="D661" s="12">
        <v>3756.1</v>
      </c>
      <c r="E661" s="12">
        <v>0.0</v>
      </c>
      <c r="F661" s="12">
        <v>0.0</v>
      </c>
      <c r="G661" s="12">
        <v>0.0</v>
      </c>
      <c r="H661" s="12">
        <f t="shared" si="149"/>
        <v>61911.1</v>
      </c>
      <c r="I661" s="12">
        <v>64523.0</v>
      </c>
      <c r="J661" s="12">
        <v>2415.0</v>
      </c>
      <c r="K661" s="12">
        <v>3158.87</v>
      </c>
      <c r="L661" s="12">
        <v>0.0</v>
      </c>
      <c r="M661" s="12">
        <v>0.0</v>
      </c>
      <c r="N661" s="12">
        <v>0.0</v>
      </c>
      <c r="O661" s="16">
        <f t="shared" si="150"/>
        <v>70096.87</v>
      </c>
      <c r="P661" s="12">
        <v>18453.18</v>
      </c>
      <c r="Q661" s="12">
        <v>889.2</v>
      </c>
      <c r="R661" s="12">
        <v>4086.86</v>
      </c>
      <c r="S661" s="12">
        <v>0.0</v>
      </c>
      <c r="T661" s="12">
        <v>0.0</v>
      </c>
      <c r="U661" s="12">
        <v>0.0</v>
      </c>
      <c r="V661" s="16">
        <f t="shared" si="151"/>
        <v>23429.24</v>
      </c>
      <c r="W661" s="12">
        <v>502.45</v>
      </c>
      <c r="X661" s="12">
        <v>0.62</v>
      </c>
      <c r="Y661" s="12">
        <v>43.51</v>
      </c>
      <c r="Z661" s="12">
        <v>0.0</v>
      </c>
      <c r="AA661" s="12">
        <v>0.0</v>
      </c>
      <c r="AB661" s="12">
        <v>0.0</v>
      </c>
      <c r="AC661" s="16">
        <f t="shared" si="169"/>
        <v>546.58</v>
      </c>
      <c r="AD661" s="12">
        <v>0.0</v>
      </c>
      <c r="AE661" s="12">
        <v>546.58</v>
      </c>
      <c r="AF661" s="12">
        <v>4172.29</v>
      </c>
      <c r="AG661" s="12">
        <v>0.0</v>
      </c>
      <c r="AH661" s="12">
        <v>0.0</v>
      </c>
      <c r="AI661" s="12">
        <v>0.0</v>
      </c>
      <c r="AJ661" s="12">
        <v>0.0</v>
      </c>
      <c r="AK661" s="12">
        <v>0.0</v>
      </c>
      <c r="AL661" s="12">
        <f t="shared" si="192"/>
        <v>4172.29</v>
      </c>
      <c r="AM661" s="12">
        <v>0.0</v>
      </c>
      <c r="AN661" s="12">
        <v>0.0</v>
      </c>
      <c r="AO661" s="12">
        <v>0.0</v>
      </c>
      <c r="AP661" s="12">
        <v>0.0</v>
      </c>
      <c r="AQ661" s="12">
        <v>0.0</v>
      </c>
      <c r="AR661" s="12">
        <v>0.0</v>
      </c>
      <c r="AS661" s="12">
        <f t="shared" si="234"/>
        <v>0</v>
      </c>
      <c r="AT661" s="16">
        <f t="shared" si="243"/>
        <v>98244.98</v>
      </c>
      <c r="AU661" s="18">
        <f t="shared" si="235"/>
        <v>970919.362</v>
      </c>
      <c r="AV661" s="12">
        <v>29627.79</v>
      </c>
      <c r="AW661" s="10">
        <f t="shared" si="236"/>
        <v>281465</v>
      </c>
      <c r="AX661" s="12">
        <f t="shared" si="171"/>
        <v>127872.77</v>
      </c>
      <c r="AY661" s="12">
        <f t="shared" si="208"/>
        <v>1310066.462</v>
      </c>
      <c r="AZ661" s="12">
        <v>3340.84</v>
      </c>
      <c r="BA661" s="18">
        <f t="shared" si="237"/>
        <v>46808.362</v>
      </c>
      <c r="BB661" s="10">
        <f t="shared" si="16"/>
        <v>1003283.341</v>
      </c>
      <c r="BC661" s="16">
        <f t="shared" si="201"/>
        <v>146369.1226</v>
      </c>
      <c r="BD661" s="12">
        <v>600.0</v>
      </c>
      <c r="BE661" s="16">
        <f t="shared" si="238"/>
        <v>57682.1</v>
      </c>
      <c r="BF661" s="6"/>
      <c r="BG661" s="6"/>
      <c r="BH661" s="6"/>
      <c r="BI661" s="29">
        <f t="shared" si="232"/>
        <v>65842.94226</v>
      </c>
      <c r="BK661" s="15">
        <f t="shared" si="76"/>
        <v>1.492111024</v>
      </c>
      <c r="BN661" s="16">
        <f t="shared" si="187"/>
        <v>62629.82774</v>
      </c>
      <c r="BO661" s="16">
        <f t="shared" si="239"/>
        <v>-665221.8057</v>
      </c>
      <c r="BY661" s="6">
        <f t="shared" si="2"/>
        <v>2025</v>
      </c>
      <c r="BZ661" s="6" t="str">
        <f t="shared" si="3"/>
        <v>julio</v>
      </c>
      <c r="CA661" s="6" t="str">
        <f t="shared" si="4"/>
        <v>7</v>
      </c>
    </row>
    <row r="662">
      <c r="A662" s="8">
        <v>45869.0</v>
      </c>
      <c r="B662" s="12">
        <f>74566+75696+17456+10222</f>
        <v>177940</v>
      </c>
      <c r="C662" s="12">
        <f>3214+2333+2641.6+3412</f>
        <v>11600.6</v>
      </c>
      <c r="D662" s="12">
        <f>4559.34+2420.28+3412+3876.3</f>
        <v>14267.92</v>
      </c>
      <c r="E662" s="12">
        <v>0.0</v>
      </c>
      <c r="F662" s="12">
        <v>0.0</v>
      </c>
      <c r="G662" s="12">
        <v>0.0</v>
      </c>
      <c r="H662" s="12">
        <f t="shared" si="149"/>
        <v>203808.52</v>
      </c>
      <c r="I662" s="12">
        <f>90222+40398.7+7121.78+6444.2</f>
        <v>144186.68</v>
      </c>
      <c r="J662" s="12">
        <f>5707.1+2085.86+1836.51</f>
        <v>9629.47</v>
      </c>
      <c r="K662" s="12">
        <f>2111+2100</f>
        <v>4211</v>
      </c>
      <c r="L662" s="12">
        <v>0.0</v>
      </c>
      <c r="M662" s="12">
        <v>0.0</v>
      </c>
      <c r="N662" s="12">
        <v>0.0</v>
      </c>
      <c r="O662" s="16">
        <f t="shared" si="150"/>
        <v>158027.15</v>
      </c>
      <c r="P662" s="12">
        <f>23557.73+18710.22+3053.71+4688.08</f>
        <v>50009.74</v>
      </c>
      <c r="Q662" s="12">
        <f>2315.35+69.84+119.04</f>
        <v>2504.23</v>
      </c>
      <c r="R662" s="12">
        <f>3588.79+862.36+1283.85</f>
        <v>5735</v>
      </c>
      <c r="S662" s="12">
        <v>0.0</v>
      </c>
      <c r="T662" s="12">
        <v>0.0</v>
      </c>
      <c r="U662" s="12">
        <v>0.0</v>
      </c>
      <c r="V662" s="16">
        <f t="shared" si="151"/>
        <v>58248.97</v>
      </c>
      <c r="W662" s="12">
        <f>3039.51+10057.22+4150.6+4.36</f>
        <v>17251.69</v>
      </c>
      <c r="X662" s="12">
        <v>0.63</v>
      </c>
      <c r="Y662" s="12">
        <f>0.75+13636.51</f>
        <v>13637.26</v>
      </c>
      <c r="Z662" s="12">
        <v>0.0</v>
      </c>
      <c r="AA662" s="12">
        <v>0.0</v>
      </c>
      <c r="AB662" s="12">
        <v>0.0</v>
      </c>
      <c r="AC662" s="16">
        <f t="shared" si="169"/>
        <v>30889.58</v>
      </c>
      <c r="AD662" s="12">
        <v>2984.65</v>
      </c>
      <c r="AE662" s="12">
        <v>56.25</v>
      </c>
      <c r="AF662" s="12">
        <f>2382.22+4973.63+385.33+1235.43</f>
        <v>8976.61</v>
      </c>
      <c r="AG662" s="12">
        <f>228.85+228.08</f>
        <v>456.93</v>
      </c>
      <c r="AH662" s="12">
        <v>9421.08</v>
      </c>
      <c r="AI662" s="12">
        <v>0.0</v>
      </c>
      <c r="AJ662" s="12">
        <v>0.0</v>
      </c>
      <c r="AK662" s="12">
        <v>0.0</v>
      </c>
      <c r="AL662" s="12">
        <f t="shared" si="192"/>
        <v>18854.62</v>
      </c>
      <c r="AM662" s="12">
        <f>3014+11222+6454</f>
        <v>20690</v>
      </c>
      <c r="AN662" s="12">
        <v>0.0</v>
      </c>
      <c r="AO662" s="12">
        <v>21426.0</v>
      </c>
      <c r="AP662" s="12">
        <v>0.0</v>
      </c>
      <c r="AQ662" s="12">
        <v>0.0</v>
      </c>
      <c r="AR662" s="12">
        <v>0.0</v>
      </c>
      <c r="AS662" s="12">
        <f t="shared" si="234"/>
        <v>42116</v>
      </c>
      <c r="AT662" s="16">
        <f t="shared" si="243"/>
        <v>308136.32</v>
      </c>
      <c r="AU662" s="18">
        <f t="shared" si="235"/>
        <v>1279055.682</v>
      </c>
      <c r="AV662" s="12">
        <f>44207.04+33249.57+8479.06+7796.85</f>
        <v>93732.52</v>
      </c>
      <c r="AW662" s="10">
        <f t="shared" si="236"/>
        <v>375197.52</v>
      </c>
      <c r="AX662" s="12">
        <f t="shared" si="171"/>
        <v>401868.84</v>
      </c>
      <c r="AY662" s="12">
        <f t="shared" si="208"/>
        <v>1738051.672</v>
      </c>
      <c r="AZ662" s="12">
        <f>1929.51+13251.77+1312.35+381.11</f>
        <v>16874.74</v>
      </c>
      <c r="BA662" s="18">
        <f t="shared" si="237"/>
        <v>63683.102</v>
      </c>
      <c r="BB662" s="10">
        <f t="shared" si="16"/>
        <v>1279055.682</v>
      </c>
      <c r="BC662" s="16">
        <f t="shared" si="201"/>
        <v>147610.7146</v>
      </c>
      <c r="BD662" s="12">
        <f>863.01+23483.39+1769.97</f>
        <v>26116.37</v>
      </c>
      <c r="BE662" s="16">
        <f t="shared" si="238"/>
        <v>83798.47</v>
      </c>
      <c r="BF662" s="6"/>
      <c r="BG662" s="6"/>
      <c r="BH662" s="6"/>
      <c r="BI662" s="29">
        <f t="shared" si="232"/>
        <v>65842.94226</v>
      </c>
      <c r="BK662" s="15">
        <f t="shared" si="76"/>
        <v>4.67986863</v>
      </c>
      <c r="BN662" s="16">
        <f t="shared" si="187"/>
        <v>362142.2677</v>
      </c>
      <c r="BO662" s="16">
        <f t="shared" si="239"/>
        <v>-303079.538</v>
      </c>
      <c r="BY662" s="6">
        <f t="shared" si="2"/>
        <v>2025</v>
      </c>
      <c r="BZ662" s="6" t="str">
        <f t="shared" si="3"/>
        <v>julio</v>
      </c>
      <c r="CA662" s="6" t="str">
        <f t="shared" si="4"/>
        <v>7</v>
      </c>
    </row>
    <row r="663">
      <c r="A663" s="8">
        <v>45870.0</v>
      </c>
      <c r="B663" s="12">
        <v>1000.0</v>
      </c>
      <c r="C663" s="12">
        <v>980.0</v>
      </c>
      <c r="D663" s="12">
        <v>0.0</v>
      </c>
      <c r="E663" s="12">
        <v>0.0</v>
      </c>
      <c r="F663" s="12">
        <v>0.0</v>
      </c>
      <c r="G663" s="12">
        <v>0.0</v>
      </c>
      <c r="H663" s="12">
        <f t="shared" si="149"/>
        <v>1980</v>
      </c>
      <c r="I663" s="12">
        <v>1243.0</v>
      </c>
      <c r="J663" s="12">
        <v>1111.0</v>
      </c>
      <c r="K663" s="12">
        <v>0.0</v>
      </c>
      <c r="L663" s="12">
        <v>0.0</v>
      </c>
      <c r="M663" s="12">
        <v>0.0</v>
      </c>
      <c r="N663" s="12">
        <v>0.0</v>
      </c>
      <c r="O663" s="16">
        <f t="shared" si="150"/>
        <v>2354</v>
      </c>
      <c r="P663" s="12">
        <v>1966.0</v>
      </c>
      <c r="Q663" s="12">
        <v>0.0</v>
      </c>
      <c r="R663" s="12">
        <v>0.0</v>
      </c>
      <c r="S663" s="12">
        <v>0.0</v>
      </c>
      <c r="T663" s="12">
        <v>0.0</v>
      </c>
      <c r="U663" s="12">
        <v>0.0</v>
      </c>
      <c r="V663" s="16">
        <f t="shared" si="151"/>
        <v>1966</v>
      </c>
      <c r="W663" s="12">
        <v>0.0</v>
      </c>
      <c r="X663" s="12">
        <v>0.0</v>
      </c>
      <c r="Y663" s="12">
        <v>0.0</v>
      </c>
      <c r="Z663" s="12">
        <v>0.0</v>
      </c>
      <c r="AA663" s="12">
        <v>0.0</v>
      </c>
      <c r="AB663" s="12">
        <v>0.0</v>
      </c>
      <c r="AC663" s="16">
        <f t="shared" si="169"/>
        <v>0</v>
      </c>
      <c r="AD663" s="12">
        <v>0.0</v>
      </c>
      <c r="AE663" s="12">
        <v>0.0</v>
      </c>
      <c r="AF663" s="12">
        <v>0.0</v>
      </c>
      <c r="AG663" s="12">
        <v>0.0</v>
      </c>
      <c r="AH663" s="12">
        <v>0.0</v>
      </c>
      <c r="AI663" s="12">
        <v>0.0</v>
      </c>
      <c r="AJ663" s="12">
        <v>0.0</v>
      </c>
      <c r="AK663" s="12">
        <v>0.0</v>
      </c>
      <c r="AL663" s="12">
        <f t="shared" si="192"/>
        <v>0</v>
      </c>
      <c r="AM663" s="12">
        <v>0.0</v>
      </c>
      <c r="AN663" s="12">
        <v>0.0</v>
      </c>
      <c r="AO663" s="12">
        <v>0.0</v>
      </c>
      <c r="AP663" s="12">
        <v>0.0</v>
      </c>
      <c r="AQ663" s="12">
        <v>0.0</v>
      </c>
      <c r="AR663" s="12">
        <v>0.0</v>
      </c>
      <c r="AS663" s="12">
        <f t="shared" si="234"/>
        <v>0</v>
      </c>
      <c r="AT663" s="16">
        <f t="shared" si="243"/>
        <v>4320</v>
      </c>
      <c r="AU663" s="18">
        <f>IF(AT663="","",AT663)</f>
        <v>4320</v>
      </c>
      <c r="AV663" s="12">
        <v>0.0</v>
      </c>
      <c r="AW663" s="10">
        <f>IF(AV663="","",AV663)</f>
        <v>0</v>
      </c>
      <c r="AX663" s="12">
        <f t="shared" si="171"/>
        <v>4320</v>
      </c>
      <c r="AY663" s="12">
        <f t="shared" si="208"/>
        <v>4320</v>
      </c>
      <c r="AZ663" s="12">
        <v>0.0</v>
      </c>
      <c r="BA663" s="18">
        <f>IF(AZ663="","",AZ663)</f>
        <v>0</v>
      </c>
      <c r="BB663" s="10">
        <f t="shared" si="16"/>
        <v>133920</v>
      </c>
      <c r="BC663" s="16">
        <f t="shared" si="201"/>
        <v>150461.1003</v>
      </c>
      <c r="BD663" s="12">
        <v>0.0</v>
      </c>
      <c r="BE663" s="16">
        <f>IF(AT663="","",BD663)</f>
        <v>0</v>
      </c>
      <c r="BF663" s="6"/>
      <c r="BG663" s="12">
        <v>2098133.47</v>
      </c>
      <c r="BH663" s="6"/>
      <c r="BI663" s="29">
        <f t="shared" ref="BI663:BI675" si="244">IF(AT663="","",$BG$663/DAY(EOMONTH(A663,0)))</f>
        <v>67681.72484</v>
      </c>
      <c r="BJ663" s="6"/>
      <c r="BK663" s="15">
        <f t="shared" si="76"/>
        <v>0.06382816056</v>
      </c>
      <c r="BN663" s="16">
        <f t="shared" si="187"/>
        <v>-63361.72484</v>
      </c>
      <c r="BO663" s="16">
        <f>IF(AT663="","",BN663)</f>
        <v>-63361.72484</v>
      </c>
      <c r="BQ663" s="12">
        <v>80449.28</v>
      </c>
      <c r="BR663" s="12">
        <v>44595.56</v>
      </c>
      <c r="BS663" s="12">
        <v>19642.42</v>
      </c>
      <c r="BT663" s="12">
        <v>23693.73</v>
      </c>
      <c r="BU663" s="12">
        <v>4973.63</v>
      </c>
      <c r="BV663" s="12">
        <v>32648.0</v>
      </c>
      <c r="BW663" s="16">
        <f t="shared" ref="BW663:BW665" si="245">BV663+BU663+BT663+BS663+BR663</f>
        <v>125553.34</v>
      </c>
      <c r="BY663" s="6">
        <f t="shared" si="2"/>
        <v>2025</v>
      </c>
      <c r="BZ663" s="6" t="str">
        <f t="shared" si="3"/>
        <v>agosto</v>
      </c>
      <c r="CA663" s="6" t="str">
        <f t="shared" si="4"/>
        <v>8</v>
      </c>
    </row>
    <row r="664">
      <c r="A664" s="8">
        <v>45871.0</v>
      </c>
      <c r="B664" s="12">
        <v>0.0</v>
      </c>
      <c r="C664" s="12">
        <v>0.0</v>
      </c>
      <c r="D664" s="12">
        <v>0.0</v>
      </c>
      <c r="E664" s="12">
        <v>0.0</v>
      </c>
      <c r="F664" s="12">
        <v>0.0</v>
      </c>
      <c r="G664" s="12">
        <v>0.0</v>
      </c>
      <c r="H664" s="12">
        <f t="shared" si="149"/>
        <v>0</v>
      </c>
      <c r="I664" s="12">
        <v>0.0</v>
      </c>
      <c r="J664" s="12">
        <v>0.0</v>
      </c>
      <c r="K664" s="12">
        <v>0.0</v>
      </c>
      <c r="L664" s="12">
        <v>0.0</v>
      </c>
      <c r="M664" s="12">
        <v>0.0</v>
      </c>
      <c r="N664" s="12">
        <v>0.0</v>
      </c>
      <c r="O664" s="16">
        <f t="shared" si="150"/>
        <v>0</v>
      </c>
      <c r="P664" s="12">
        <v>0.0</v>
      </c>
      <c r="Q664" s="12">
        <v>0.0</v>
      </c>
      <c r="R664" s="12">
        <v>0.0</v>
      </c>
      <c r="S664" s="12">
        <v>0.0</v>
      </c>
      <c r="T664" s="12">
        <v>0.0</v>
      </c>
      <c r="U664" s="12">
        <v>0.0</v>
      </c>
      <c r="V664" s="16">
        <f t="shared" si="151"/>
        <v>0</v>
      </c>
      <c r="W664" s="12">
        <v>0.0</v>
      </c>
      <c r="X664" s="12">
        <v>0.0</v>
      </c>
      <c r="Y664" s="12">
        <v>0.0</v>
      </c>
      <c r="Z664" s="12">
        <v>0.0</v>
      </c>
      <c r="AA664" s="12">
        <v>0.0</v>
      </c>
      <c r="AB664" s="12">
        <v>0.0</v>
      </c>
      <c r="AC664" s="16">
        <f t="shared" si="169"/>
        <v>0</v>
      </c>
      <c r="AD664" s="12">
        <v>0.0</v>
      </c>
      <c r="AE664" s="12">
        <v>0.0</v>
      </c>
      <c r="AF664" s="12">
        <v>0.0</v>
      </c>
      <c r="AG664" s="12">
        <v>0.0</v>
      </c>
      <c r="AH664" s="12">
        <v>0.0</v>
      </c>
      <c r="AI664" s="12">
        <v>0.0</v>
      </c>
      <c r="AJ664" s="12">
        <v>0.0</v>
      </c>
      <c r="AK664" s="12">
        <v>0.0</v>
      </c>
      <c r="AL664" s="12">
        <f t="shared" si="192"/>
        <v>0</v>
      </c>
      <c r="AM664" s="12">
        <v>0.0</v>
      </c>
      <c r="AN664" s="12">
        <v>0.0</v>
      </c>
      <c r="AO664" s="12">
        <v>0.0</v>
      </c>
      <c r="AP664" s="12">
        <v>0.0</v>
      </c>
      <c r="AQ664" s="12">
        <v>0.0</v>
      </c>
      <c r="AR664" s="12">
        <v>0.0</v>
      </c>
      <c r="AS664" s="12">
        <f t="shared" si="234"/>
        <v>0</v>
      </c>
      <c r="AT664" s="5">
        <v>0.0</v>
      </c>
      <c r="AU664" s="18">
        <f t="shared" ref="AU664:AU693" si="246">IF(AT664="","",AT664+AU663)</f>
        <v>4320</v>
      </c>
      <c r="AV664" s="12">
        <v>0.0</v>
      </c>
      <c r="AW664" s="10">
        <f t="shared" ref="AW664:AW693" si="247">IF(AV664="","",AW663+AV664)</f>
        <v>0</v>
      </c>
      <c r="AX664" s="12">
        <f t="shared" si="171"/>
        <v>0</v>
      </c>
      <c r="AY664" s="12">
        <f t="shared" si="208"/>
        <v>4320</v>
      </c>
      <c r="AZ664" s="12">
        <v>0.0</v>
      </c>
      <c r="BA664" s="18">
        <f t="shared" ref="BA664:BA693" si="248">IF(AZ664="","",AZ664+BA663)</f>
        <v>0</v>
      </c>
      <c r="BB664" s="10">
        <f t="shared" si="16"/>
        <v>66960</v>
      </c>
      <c r="BC664" s="16">
        <f t="shared" si="201"/>
        <v>161819.8937</v>
      </c>
      <c r="BD664" s="12">
        <v>0.0</v>
      </c>
      <c r="BE664" s="16">
        <f t="shared" ref="BE664:BE693" si="249">IF(AT664="","",BD664+BE663)</f>
        <v>0</v>
      </c>
      <c r="BF664" s="6"/>
      <c r="BG664" s="6"/>
      <c r="BH664" s="6"/>
      <c r="BI664" s="29">
        <f t="shared" si="244"/>
        <v>67681.72484</v>
      </c>
      <c r="BJ664" s="6"/>
      <c r="BK664" s="15">
        <f t="shared" si="76"/>
        <v>0</v>
      </c>
      <c r="BN664" s="16">
        <f t="shared" si="187"/>
        <v>-67681.72484</v>
      </c>
      <c r="BO664" s="16">
        <f t="shared" ref="BO664:BO723" si="250">IF(AT664="","",BN664+BO663)</f>
        <v>-131043.4497</v>
      </c>
      <c r="BQ664" s="12">
        <v>23509.6</v>
      </c>
      <c r="BR664" s="12">
        <v>9221.78</v>
      </c>
      <c r="BS664" s="12">
        <v>4337.56</v>
      </c>
      <c r="BT664" s="12">
        <v>4150.6</v>
      </c>
      <c r="BU664" s="12">
        <v>385.33</v>
      </c>
      <c r="BV664" s="12">
        <v>6454.0</v>
      </c>
      <c r="BW664" s="16">
        <f t="shared" si="245"/>
        <v>24549.27</v>
      </c>
      <c r="BY664" s="6">
        <f t="shared" si="2"/>
        <v>2025</v>
      </c>
      <c r="BZ664" s="6" t="str">
        <f t="shared" si="3"/>
        <v>agosto</v>
      </c>
      <c r="CA664" s="6" t="str">
        <f t="shared" si="4"/>
        <v>8</v>
      </c>
    </row>
    <row r="665">
      <c r="A665" s="8">
        <v>45872.0</v>
      </c>
      <c r="B665" s="12">
        <v>0.0</v>
      </c>
      <c r="C665" s="12">
        <v>0.0</v>
      </c>
      <c r="D665" s="12">
        <v>0.0</v>
      </c>
      <c r="E665" s="12">
        <v>0.0</v>
      </c>
      <c r="F665" s="12">
        <v>0.0</v>
      </c>
      <c r="G665" s="12">
        <v>0.0</v>
      </c>
      <c r="H665" s="12">
        <f t="shared" si="149"/>
        <v>0</v>
      </c>
      <c r="I665" s="12">
        <v>0.0</v>
      </c>
      <c r="J665" s="12">
        <v>0.0</v>
      </c>
      <c r="K665" s="12">
        <v>0.0</v>
      </c>
      <c r="L665" s="12">
        <v>0.0</v>
      </c>
      <c r="M665" s="12">
        <v>0.0</v>
      </c>
      <c r="N665" s="12">
        <v>0.0</v>
      </c>
      <c r="O665" s="16">
        <f t="shared" si="150"/>
        <v>0</v>
      </c>
      <c r="P665" s="12">
        <v>0.0</v>
      </c>
      <c r="Q665" s="12">
        <v>0.0</v>
      </c>
      <c r="R665" s="12">
        <v>0.0</v>
      </c>
      <c r="S665" s="12">
        <v>0.0</v>
      </c>
      <c r="T665" s="12">
        <v>0.0</v>
      </c>
      <c r="U665" s="12">
        <v>0.0</v>
      </c>
      <c r="V665" s="16">
        <f t="shared" si="151"/>
        <v>0</v>
      </c>
      <c r="W665" s="12">
        <v>0.0</v>
      </c>
      <c r="X665" s="12">
        <v>0.0</v>
      </c>
      <c r="Y665" s="12">
        <v>0.0</v>
      </c>
      <c r="Z665" s="12">
        <v>0.0</v>
      </c>
      <c r="AA665" s="12">
        <v>0.0</v>
      </c>
      <c r="AB665" s="12">
        <v>0.0</v>
      </c>
      <c r="AC665" s="16">
        <f t="shared" si="169"/>
        <v>0</v>
      </c>
      <c r="AD665" s="12">
        <v>0.0</v>
      </c>
      <c r="AE665" s="12">
        <v>0.0</v>
      </c>
      <c r="AF665" s="12">
        <v>0.0</v>
      </c>
      <c r="AG665" s="12">
        <v>0.0</v>
      </c>
      <c r="AH665" s="12">
        <v>0.0</v>
      </c>
      <c r="AI665" s="12">
        <v>0.0</v>
      </c>
      <c r="AJ665" s="12">
        <v>0.0</v>
      </c>
      <c r="AK665" s="12">
        <v>0.0</v>
      </c>
      <c r="AL665" s="12">
        <f t="shared" si="192"/>
        <v>0</v>
      </c>
      <c r="AM665" s="12">
        <v>0.0</v>
      </c>
      <c r="AN665" s="12">
        <v>0.0</v>
      </c>
      <c r="AO665" s="12">
        <v>0.0</v>
      </c>
      <c r="AP665" s="12">
        <v>0.0</v>
      </c>
      <c r="AQ665" s="12">
        <v>0.0</v>
      </c>
      <c r="AR665" s="12">
        <v>0.0</v>
      </c>
      <c r="AS665" s="12">
        <f t="shared" si="234"/>
        <v>0</v>
      </c>
      <c r="AT665" s="5">
        <v>0.0</v>
      </c>
      <c r="AU665" s="18">
        <f t="shared" si="246"/>
        <v>4320</v>
      </c>
      <c r="AV665" s="12">
        <v>0.0</v>
      </c>
      <c r="AW665" s="10">
        <f t="shared" si="247"/>
        <v>0</v>
      </c>
      <c r="AX665" s="12">
        <f t="shared" si="171"/>
        <v>0</v>
      </c>
      <c r="AY665" s="12">
        <f t="shared" si="208"/>
        <v>4320</v>
      </c>
      <c r="AZ665" s="12">
        <v>0.0</v>
      </c>
      <c r="BA665" s="18">
        <f t="shared" si="248"/>
        <v>0</v>
      </c>
      <c r="BB665" s="10">
        <f t="shared" si="16"/>
        <v>44640</v>
      </c>
      <c r="BC665" s="16">
        <f t="shared" si="201"/>
        <v>206299.3035</v>
      </c>
      <c r="BD665" s="12">
        <v>0.0</v>
      </c>
      <c r="BE665" s="16">
        <f t="shared" si="249"/>
        <v>0</v>
      </c>
      <c r="BF665" s="6"/>
      <c r="BG665" s="6"/>
      <c r="BH665" s="6"/>
      <c r="BI665" s="29">
        <f t="shared" si="244"/>
        <v>67681.72484</v>
      </c>
      <c r="BJ665" s="6"/>
      <c r="BK665" s="15">
        <f t="shared" si="76"/>
        <v>0</v>
      </c>
      <c r="BN665" s="16">
        <f t="shared" si="187"/>
        <v>-67681.72484</v>
      </c>
      <c r="BO665" s="16">
        <f t="shared" si="250"/>
        <v>-198725.1745</v>
      </c>
      <c r="BQ665" s="12">
        <v>17510.3</v>
      </c>
      <c r="BR665" s="12">
        <v>8280.71</v>
      </c>
      <c r="BS665" s="12">
        <v>4807.12</v>
      </c>
      <c r="BT665" s="12">
        <v>4.36</v>
      </c>
      <c r="BU665" s="12">
        <v>1463.51</v>
      </c>
      <c r="BV665" s="12">
        <v>0.0</v>
      </c>
      <c r="BW665" s="16">
        <f t="shared" si="245"/>
        <v>14555.7</v>
      </c>
      <c r="BY665" s="6">
        <f t="shared" si="2"/>
        <v>2025</v>
      </c>
      <c r="BZ665" s="6" t="str">
        <f t="shared" si="3"/>
        <v>agosto</v>
      </c>
      <c r="CA665" s="6" t="str">
        <f t="shared" si="4"/>
        <v>8</v>
      </c>
    </row>
    <row r="666">
      <c r="A666" s="8">
        <v>45873.0</v>
      </c>
      <c r="B666" s="12">
        <v>1032.0</v>
      </c>
      <c r="C666" s="12">
        <v>1022.0</v>
      </c>
      <c r="D666" s="12">
        <v>0.0</v>
      </c>
      <c r="E666" s="12">
        <v>0.0</v>
      </c>
      <c r="F666" s="12">
        <v>0.0</v>
      </c>
      <c r="G666" s="12">
        <v>0.0</v>
      </c>
      <c r="H666" s="12">
        <f t="shared" si="149"/>
        <v>2054</v>
      </c>
      <c r="I666" s="12">
        <v>1000.0</v>
      </c>
      <c r="J666" s="12">
        <v>1000.0</v>
      </c>
      <c r="K666" s="12">
        <v>0.0</v>
      </c>
      <c r="L666" s="12">
        <v>0.0</v>
      </c>
      <c r="M666" s="12">
        <v>0.0</v>
      </c>
      <c r="N666" s="12">
        <v>0.0</v>
      </c>
      <c r="O666" s="16">
        <f t="shared" si="150"/>
        <v>2000</v>
      </c>
      <c r="P666" s="12">
        <v>799.0</v>
      </c>
      <c r="Q666" s="12">
        <v>100.0</v>
      </c>
      <c r="R666" s="12">
        <v>0.0</v>
      </c>
      <c r="S666" s="12">
        <v>0.0</v>
      </c>
      <c r="T666" s="12">
        <v>0.0</v>
      </c>
      <c r="U666" s="12">
        <v>0.0</v>
      </c>
      <c r="V666" s="16">
        <f t="shared" si="151"/>
        <v>899</v>
      </c>
      <c r="W666" s="12">
        <v>0.0</v>
      </c>
      <c r="X666" s="12">
        <v>0.0</v>
      </c>
      <c r="Y666" s="12">
        <v>0.0</v>
      </c>
      <c r="Z666" s="12">
        <v>0.0</v>
      </c>
      <c r="AA666" s="12">
        <v>0.0</v>
      </c>
      <c r="AB666" s="12">
        <v>0.0</v>
      </c>
      <c r="AC666" s="16">
        <f t="shared" si="169"/>
        <v>0</v>
      </c>
      <c r="AD666" s="12">
        <v>0.0</v>
      </c>
      <c r="AE666" s="12">
        <v>0.0</v>
      </c>
      <c r="AF666" s="12">
        <v>0.0</v>
      </c>
      <c r="AG666" s="12">
        <v>0.0</v>
      </c>
      <c r="AH666" s="12">
        <v>0.0</v>
      </c>
      <c r="AI666" s="12">
        <v>0.0</v>
      </c>
      <c r="AJ666" s="12">
        <v>0.0</v>
      </c>
      <c r="AK666" s="12">
        <v>0.0</v>
      </c>
      <c r="AL666" s="12">
        <f t="shared" si="192"/>
        <v>0</v>
      </c>
      <c r="AM666" s="12">
        <v>0.0</v>
      </c>
      <c r="AN666" s="12">
        <v>0.0</v>
      </c>
      <c r="AO666" s="12">
        <v>0.0</v>
      </c>
      <c r="AP666" s="12">
        <v>0.0</v>
      </c>
      <c r="AQ666" s="12">
        <v>0.0</v>
      </c>
      <c r="AR666" s="12">
        <v>0.0</v>
      </c>
      <c r="AS666" s="12">
        <f t="shared" si="234"/>
        <v>0</v>
      </c>
      <c r="AT666" s="16">
        <f t="shared" ref="AT666:AT670" si="251">IF(AS666+AL666+AC666+V666+O666=0,"",AS666+AL666+AC666+V666+O666)</f>
        <v>2899</v>
      </c>
      <c r="AU666" s="18">
        <f t="shared" si="246"/>
        <v>7219</v>
      </c>
      <c r="AV666" s="12">
        <v>0.0</v>
      </c>
      <c r="AW666" s="10">
        <f t="shared" si="247"/>
        <v>0</v>
      </c>
      <c r="AX666" s="12">
        <f t="shared" si="171"/>
        <v>2899</v>
      </c>
      <c r="AY666" s="12">
        <f t="shared" si="208"/>
        <v>7219</v>
      </c>
      <c r="AZ666" s="12">
        <v>0.0</v>
      </c>
      <c r="BA666" s="18">
        <f t="shared" si="248"/>
        <v>0</v>
      </c>
      <c r="BB666" s="10">
        <f t="shared" si="16"/>
        <v>55947.25</v>
      </c>
      <c r="BC666" s="16">
        <f t="shared" si="201"/>
        <v>21600</v>
      </c>
      <c r="BD666" s="12">
        <v>0.0</v>
      </c>
      <c r="BE666" s="16">
        <f t="shared" si="249"/>
        <v>0</v>
      </c>
      <c r="BF666" s="6"/>
      <c r="BG666" s="6"/>
      <c r="BH666" s="6"/>
      <c r="BI666" s="29">
        <f t="shared" si="244"/>
        <v>67681.72484</v>
      </c>
      <c r="BJ666" s="6"/>
      <c r="BK666" s="15">
        <f t="shared" si="76"/>
        <v>0.04283283275</v>
      </c>
      <c r="BN666" s="16">
        <f t="shared" si="187"/>
        <v>-64782.72484</v>
      </c>
      <c r="BO666" s="16">
        <f t="shared" si="250"/>
        <v>-263507.8994</v>
      </c>
      <c r="BY666" s="6">
        <f t="shared" si="2"/>
        <v>2025</v>
      </c>
      <c r="BZ666" s="6" t="str">
        <f t="shared" si="3"/>
        <v>agosto</v>
      </c>
      <c r="CA666" s="6" t="str">
        <f t="shared" si="4"/>
        <v>8</v>
      </c>
    </row>
    <row r="667">
      <c r="A667" s="8">
        <v>45874.0</v>
      </c>
      <c r="B667" s="12">
        <v>1000.0</v>
      </c>
      <c r="C667" s="12">
        <v>1010.0</v>
      </c>
      <c r="D667" s="12">
        <v>0.0</v>
      </c>
      <c r="E667" s="12">
        <v>0.0</v>
      </c>
      <c r="F667" s="12">
        <v>0.0</v>
      </c>
      <c r="G667" s="12">
        <v>0.0</v>
      </c>
      <c r="H667" s="12">
        <f t="shared" si="149"/>
        <v>2010</v>
      </c>
      <c r="I667" s="12">
        <v>988.0</v>
      </c>
      <c r="J667" s="12">
        <v>589.0</v>
      </c>
      <c r="K667" s="12">
        <v>0.0</v>
      </c>
      <c r="L667" s="12">
        <v>0.0</v>
      </c>
      <c r="M667" s="12">
        <v>0.0</v>
      </c>
      <c r="N667" s="12">
        <v>0.0</v>
      </c>
      <c r="O667" s="16">
        <f t="shared" si="150"/>
        <v>1577</v>
      </c>
      <c r="P667" s="12">
        <v>1000.2</v>
      </c>
      <c r="Q667" s="12">
        <v>356.2</v>
      </c>
      <c r="R667" s="12">
        <v>0.0</v>
      </c>
      <c r="S667" s="12">
        <v>0.0</v>
      </c>
      <c r="T667" s="12">
        <v>0.0</v>
      </c>
      <c r="U667" s="12">
        <v>0.0</v>
      </c>
      <c r="V667" s="16">
        <f t="shared" si="151"/>
        <v>1356.4</v>
      </c>
      <c r="W667" s="12">
        <v>0.0</v>
      </c>
      <c r="X667" s="12">
        <v>0.0</v>
      </c>
      <c r="Y667" s="12">
        <v>0.0</v>
      </c>
      <c r="Z667" s="12">
        <v>0.0</v>
      </c>
      <c r="AA667" s="12">
        <v>0.0</v>
      </c>
      <c r="AB667" s="12">
        <v>0.0</v>
      </c>
      <c r="AC667" s="16">
        <f t="shared" si="169"/>
        <v>0</v>
      </c>
      <c r="AD667" s="12">
        <v>0.0</v>
      </c>
      <c r="AE667" s="12">
        <v>0.0</v>
      </c>
      <c r="AF667" s="12">
        <v>0.0</v>
      </c>
      <c r="AG667" s="12">
        <v>0.0</v>
      </c>
      <c r="AH667" s="12">
        <v>0.0</v>
      </c>
      <c r="AI667" s="12">
        <v>0.0</v>
      </c>
      <c r="AJ667" s="12">
        <v>0.0</v>
      </c>
      <c r="AK667" s="12">
        <v>0.0</v>
      </c>
      <c r="AL667" s="12">
        <f t="shared" si="192"/>
        <v>0</v>
      </c>
      <c r="AM667" s="12">
        <v>0.0</v>
      </c>
      <c r="AN667" s="12">
        <v>0.0</v>
      </c>
      <c r="AO667" s="12">
        <v>0.0</v>
      </c>
      <c r="AP667" s="12">
        <v>0.0</v>
      </c>
      <c r="AQ667" s="12">
        <v>0.0</v>
      </c>
      <c r="AR667" s="12">
        <v>0.0</v>
      </c>
      <c r="AS667" s="12">
        <f t="shared" si="234"/>
        <v>0</v>
      </c>
      <c r="AT667" s="16">
        <f t="shared" si="251"/>
        <v>2933.4</v>
      </c>
      <c r="AU667" s="18">
        <f t="shared" si="246"/>
        <v>10152.4</v>
      </c>
      <c r="AV667" s="12">
        <v>0.0</v>
      </c>
      <c r="AW667" s="10">
        <f t="shared" si="247"/>
        <v>0</v>
      </c>
      <c r="AX667" s="12">
        <f t="shared" si="171"/>
        <v>2933.4</v>
      </c>
      <c r="AY667" s="12">
        <f t="shared" si="208"/>
        <v>10152.4</v>
      </c>
      <c r="AZ667" s="12">
        <v>0.0</v>
      </c>
      <c r="BA667" s="18">
        <f t="shared" si="248"/>
        <v>0</v>
      </c>
      <c r="BB667" s="10">
        <f t="shared" si="16"/>
        <v>62944.88</v>
      </c>
      <c r="BC667" s="16">
        <f t="shared" si="201"/>
        <v>10800</v>
      </c>
      <c r="BD667" s="12">
        <v>0.0</v>
      </c>
      <c r="BE667" s="16">
        <f t="shared" si="249"/>
        <v>0</v>
      </c>
      <c r="BF667" s="6"/>
      <c r="BG667" s="6"/>
      <c r="BH667" s="6"/>
      <c r="BI667" s="29">
        <f t="shared" si="244"/>
        <v>67681.72484</v>
      </c>
      <c r="BJ667" s="6"/>
      <c r="BK667" s="15">
        <f t="shared" si="76"/>
        <v>0.04334109402</v>
      </c>
      <c r="BN667" s="16">
        <f t="shared" si="187"/>
        <v>-64748.32484</v>
      </c>
      <c r="BO667" s="16">
        <f t="shared" si="250"/>
        <v>-328256.2242</v>
      </c>
      <c r="BY667" s="6">
        <f t="shared" si="2"/>
        <v>2025</v>
      </c>
      <c r="BZ667" s="6" t="str">
        <f t="shared" si="3"/>
        <v>agosto</v>
      </c>
      <c r="CA667" s="6" t="str">
        <f t="shared" si="4"/>
        <v>8</v>
      </c>
    </row>
    <row r="668">
      <c r="A668" s="8">
        <v>45875.0</v>
      </c>
      <c r="B668" s="12">
        <v>97191.2</v>
      </c>
      <c r="C668" s="12">
        <v>4444.0</v>
      </c>
      <c r="D668" s="12">
        <v>6154.92</v>
      </c>
      <c r="E668" s="12">
        <v>0.0</v>
      </c>
      <c r="F668" s="12">
        <v>0.0</v>
      </c>
      <c r="G668" s="12">
        <v>0.0</v>
      </c>
      <c r="H668" s="12">
        <f t="shared" si="149"/>
        <v>107790.12</v>
      </c>
      <c r="I668" s="12">
        <v>50563.0</v>
      </c>
      <c r="J668" s="12">
        <v>1865.93</v>
      </c>
      <c r="K668" s="12">
        <v>14756.0</v>
      </c>
      <c r="L668" s="12">
        <v>0.0</v>
      </c>
      <c r="M668" s="12">
        <v>0.0</v>
      </c>
      <c r="N668" s="12">
        <v>0.0</v>
      </c>
      <c r="O668" s="16">
        <f t="shared" si="150"/>
        <v>67184.93</v>
      </c>
      <c r="P668" s="12">
        <v>14720.86</v>
      </c>
      <c r="Q668" s="12">
        <v>3407.074</v>
      </c>
      <c r="R668" s="12">
        <v>3439.26</v>
      </c>
      <c r="S668" s="12">
        <v>0.0</v>
      </c>
      <c r="T668" s="12">
        <v>0.0</v>
      </c>
      <c r="U668" s="12">
        <v>0.0</v>
      </c>
      <c r="V668" s="16">
        <f t="shared" si="151"/>
        <v>21567.194</v>
      </c>
      <c r="W668" s="12">
        <v>1321.05</v>
      </c>
      <c r="X668" s="12">
        <v>0.0</v>
      </c>
      <c r="Y668" s="12">
        <v>21686.32</v>
      </c>
      <c r="Z668" s="12">
        <v>0.0</v>
      </c>
      <c r="AA668" s="12">
        <v>0.0</v>
      </c>
      <c r="AB668" s="12">
        <v>0.0</v>
      </c>
      <c r="AC668" s="16">
        <f t="shared" si="169"/>
        <v>23007.37</v>
      </c>
      <c r="AD668" s="12">
        <v>21590.55</v>
      </c>
      <c r="AE668" s="12">
        <v>1416.82</v>
      </c>
      <c r="AF668" s="12">
        <v>4202.64</v>
      </c>
      <c r="AG668" s="12">
        <v>974.7</v>
      </c>
      <c r="AH668" s="12">
        <v>0.0</v>
      </c>
      <c r="AI668" s="12">
        <v>0.0</v>
      </c>
      <c r="AJ668" s="12">
        <v>0.0</v>
      </c>
      <c r="AK668" s="12">
        <v>0.0</v>
      </c>
      <c r="AL668" s="12">
        <f t="shared" si="192"/>
        <v>5177.34</v>
      </c>
      <c r="AM668" s="12">
        <v>0.0</v>
      </c>
      <c r="AN668" s="12">
        <v>0.0</v>
      </c>
      <c r="AO668" s="12">
        <v>35931.0</v>
      </c>
      <c r="AP668" s="12">
        <v>0.0</v>
      </c>
      <c r="AQ668" s="12">
        <v>0.0</v>
      </c>
      <c r="AR668" s="12">
        <v>0.0</v>
      </c>
      <c r="AS668" s="12">
        <f t="shared" si="234"/>
        <v>35931</v>
      </c>
      <c r="AT668" s="16">
        <f t="shared" si="251"/>
        <v>152867.834</v>
      </c>
      <c r="AU668" s="18">
        <f t="shared" si="246"/>
        <v>163020.234</v>
      </c>
      <c r="AV668" s="12">
        <v>37166.24</v>
      </c>
      <c r="AW668" s="10">
        <f t="shared" si="247"/>
        <v>37166.24</v>
      </c>
      <c r="AX668" s="12">
        <f t="shared" si="171"/>
        <v>190034.074</v>
      </c>
      <c r="AY668" s="12">
        <f t="shared" si="208"/>
        <v>206969.344</v>
      </c>
      <c r="AZ668" s="12">
        <v>6560.76</v>
      </c>
      <c r="BA668" s="18">
        <f t="shared" si="248"/>
        <v>6560.76</v>
      </c>
      <c r="BB668" s="10">
        <f t="shared" si="16"/>
        <v>842271.209</v>
      </c>
      <c r="BC668" s="16">
        <f t="shared" si="201"/>
        <v>7200</v>
      </c>
      <c r="BD668" s="12">
        <v>6782.87</v>
      </c>
      <c r="BE668" s="16">
        <f t="shared" si="249"/>
        <v>6782.87</v>
      </c>
      <c r="BF668" s="6"/>
      <c r="BG668" s="6"/>
      <c r="BH668" s="6"/>
      <c r="BI668" s="29">
        <f t="shared" si="244"/>
        <v>67681.72484</v>
      </c>
      <c r="BK668" s="15">
        <f t="shared" si="76"/>
        <v>2.258627929</v>
      </c>
      <c r="BN668" s="16">
        <f t="shared" si="187"/>
        <v>129135.2192</v>
      </c>
      <c r="BO668" s="16">
        <f t="shared" si="250"/>
        <v>-199121.005</v>
      </c>
      <c r="BY668" s="6">
        <f t="shared" si="2"/>
        <v>2025</v>
      </c>
      <c r="BZ668" s="6" t="str">
        <f t="shared" si="3"/>
        <v>agosto</v>
      </c>
      <c r="CA668" s="6" t="str">
        <f t="shared" si="4"/>
        <v>8</v>
      </c>
    </row>
    <row r="669">
      <c r="A669" s="8">
        <v>45876.0</v>
      </c>
      <c r="B669" s="12">
        <v>54763.0</v>
      </c>
      <c r="C669" s="12">
        <v>3412.0</v>
      </c>
      <c r="D669" s="12">
        <v>20413.0</v>
      </c>
      <c r="E669" s="12">
        <v>3079.21</v>
      </c>
      <c r="F669" s="12">
        <v>0.0</v>
      </c>
      <c r="G669" s="12">
        <v>0.0</v>
      </c>
      <c r="H669" s="12">
        <f t="shared" si="149"/>
        <v>81667.21</v>
      </c>
      <c r="I669" s="12">
        <v>27110.2</v>
      </c>
      <c r="J669" s="12">
        <v>2136.0</v>
      </c>
      <c r="K669" s="12">
        <v>4191.57</v>
      </c>
      <c r="L669" s="12">
        <v>1456.0</v>
      </c>
      <c r="M669" s="12">
        <v>0.0</v>
      </c>
      <c r="N669" s="12">
        <v>0.0</v>
      </c>
      <c r="O669" s="16">
        <f t="shared" si="150"/>
        <v>34893.77</v>
      </c>
      <c r="P669" s="12">
        <v>16338.99</v>
      </c>
      <c r="Q669" s="12">
        <v>892.01</v>
      </c>
      <c r="R669" s="12">
        <v>1106.38</v>
      </c>
      <c r="S669" s="12">
        <v>0.0</v>
      </c>
      <c r="T669" s="12">
        <v>0.0</v>
      </c>
      <c r="U669" s="12">
        <v>0.0</v>
      </c>
      <c r="V669" s="16">
        <f t="shared" si="151"/>
        <v>18337.38</v>
      </c>
      <c r="W669" s="12">
        <v>5002.26</v>
      </c>
      <c r="X669" s="12">
        <v>13599.64</v>
      </c>
      <c r="Y669" s="12">
        <v>12696.12</v>
      </c>
      <c r="Z669" s="12">
        <v>0.36</v>
      </c>
      <c r="AA669" s="12">
        <v>0.0</v>
      </c>
      <c r="AB669" s="12">
        <v>0.0</v>
      </c>
      <c r="AC669" s="16">
        <f t="shared" si="169"/>
        <v>31298.38</v>
      </c>
      <c r="AD669" s="12">
        <v>26293.86</v>
      </c>
      <c r="AE669" s="12">
        <v>5004.52</v>
      </c>
      <c r="AF669" s="12">
        <v>4539.03</v>
      </c>
      <c r="AG669" s="12">
        <v>0.0</v>
      </c>
      <c r="AH669" s="12">
        <v>0.0</v>
      </c>
      <c r="AI669" s="12">
        <v>0.0</v>
      </c>
      <c r="AJ669" s="12">
        <v>0.0</v>
      </c>
      <c r="AK669" s="12">
        <v>0.0</v>
      </c>
      <c r="AL669" s="12">
        <f t="shared" si="192"/>
        <v>4539.03</v>
      </c>
      <c r="AM669" s="12">
        <v>0.0</v>
      </c>
      <c r="AN669" s="12">
        <v>7140.0</v>
      </c>
      <c r="AO669" s="12">
        <v>21230.0</v>
      </c>
      <c r="AP669" s="12">
        <v>0.0</v>
      </c>
      <c r="AQ669" s="12">
        <v>0.0</v>
      </c>
      <c r="AR669" s="12">
        <v>0.0</v>
      </c>
      <c r="AS669" s="12">
        <f t="shared" si="234"/>
        <v>28370</v>
      </c>
      <c r="AT669" s="16">
        <f t="shared" si="251"/>
        <v>117438.56</v>
      </c>
      <c r="AU669" s="18">
        <f t="shared" si="246"/>
        <v>280458.794</v>
      </c>
      <c r="AV669" s="12">
        <v>33110.1</v>
      </c>
      <c r="AW669" s="10">
        <f t="shared" si="247"/>
        <v>70276.34</v>
      </c>
      <c r="AX669" s="12">
        <f t="shared" si="171"/>
        <v>150548.66</v>
      </c>
      <c r="AY669" s="12">
        <f t="shared" si="208"/>
        <v>365031.914</v>
      </c>
      <c r="AZ669" s="12">
        <v>9122.29</v>
      </c>
      <c r="BA669" s="18">
        <f t="shared" si="248"/>
        <v>15683.05</v>
      </c>
      <c r="BB669" s="10">
        <f t="shared" si="16"/>
        <v>1242031.802</v>
      </c>
      <c r="BC669" s="16">
        <f t="shared" si="201"/>
        <v>9023.75</v>
      </c>
      <c r="BD669" s="12">
        <v>7513.91</v>
      </c>
      <c r="BE669" s="16">
        <f t="shared" si="249"/>
        <v>14296.78</v>
      </c>
      <c r="BF669" s="6"/>
      <c r="BG669" s="6"/>
      <c r="BH669" s="6"/>
      <c r="BI669" s="29">
        <f t="shared" si="244"/>
        <v>67681.72484</v>
      </c>
      <c r="BK669" s="15">
        <f t="shared" si="76"/>
        <v>1.735159089</v>
      </c>
      <c r="BN669" s="16">
        <f t="shared" si="187"/>
        <v>90380.84516</v>
      </c>
      <c r="BO669" s="16">
        <f t="shared" si="250"/>
        <v>-108740.1599</v>
      </c>
      <c r="BY669" s="6">
        <f t="shared" si="2"/>
        <v>2025</v>
      </c>
      <c r="BZ669" s="6" t="str">
        <f t="shared" si="3"/>
        <v>agosto</v>
      </c>
      <c r="CA669" s="6" t="str">
        <f t="shared" si="4"/>
        <v>8</v>
      </c>
    </row>
    <row r="670">
      <c r="A670" s="8">
        <v>45877.0</v>
      </c>
      <c r="B670" s="12">
        <v>25463.2</v>
      </c>
      <c r="C670" s="12">
        <v>1111.0</v>
      </c>
      <c r="D670" s="12">
        <v>3312.2</v>
      </c>
      <c r="E670" s="12">
        <v>1800.56</v>
      </c>
      <c r="F670" s="12">
        <v>0.0</v>
      </c>
      <c r="G670" s="12">
        <v>0.0</v>
      </c>
      <c r="H670" s="12">
        <f t="shared" si="149"/>
        <v>31686.96</v>
      </c>
      <c r="I670" s="12">
        <v>10556.0</v>
      </c>
      <c r="J670" s="12">
        <v>1000.0</v>
      </c>
      <c r="K670" s="12">
        <v>3946.02</v>
      </c>
      <c r="L670" s="12">
        <v>2416.0</v>
      </c>
      <c r="M670" s="12">
        <v>0.0</v>
      </c>
      <c r="N670" s="12">
        <v>0.0</v>
      </c>
      <c r="O670" s="16">
        <f t="shared" si="150"/>
        <v>17918.02</v>
      </c>
      <c r="P670" s="12">
        <v>8057.4</v>
      </c>
      <c r="Q670" s="12">
        <v>577.21</v>
      </c>
      <c r="R670" s="12">
        <v>808.71</v>
      </c>
      <c r="S670" s="12">
        <v>0.0</v>
      </c>
      <c r="T670" s="12">
        <v>0.0</v>
      </c>
      <c r="U670" s="12">
        <v>0.0</v>
      </c>
      <c r="V670" s="16">
        <f t="shared" si="151"/>
        <v>9443.32</v>
      </c>
      <c r="W670" s="12">
        <v>930.92</v>
      </c>
      <c r="X670" s="12">
        <v>0.0</v>
      </c>
      <c r="Y670" s="12">
        <v>7399.84</v>
      </c>
      <c r="Z670" s="12">
        <v>0.0</v>
      </c>
      <c r="AA670" s="12">
        <v>0.0</v>
      </c>
      <c r="AB670" s="12">
        <v>0.0</v>
      </c>
      <c r="AC670" s="16">
        <f t="shared" si="169"/>
        <v>8330.76</v>
      </c>
      <c r="AD670" s="12">
        <v>6949.84</v>
      </c>
      <c r="AE670" s="12">
        <v>1429.49</v>
      </c>
      <c r="AF670" s="12">
        <v>6795.62</v>
      </c>
      <c r="AG670" s="12">
        <v>0.0</v>
      </c>
      <c r="AH670" s="12">
        <v>0.0</v>
      </c>
      <c r="AI670" s="12">
        <v>0.0</v>
      </c>
      <c r="AJ670" s="12">
        <v>0.0</v>
      </c>
      <c r="AK670" s="12">
        <v>0.0</v>
      </c>
      <c r="AL670" s="12">
        <f t="shared" si="192"/>
        <v>6795.62</v>
      </c>
      <c r="AM670" s="12">
        <v>0.0</v>
      </c>
      <c r="AN670" s="12">
        <v>0.0</v>
      </c>
      <c r="AO670" s="12">
        <v>10794.0</v>
      </c>
      <c r="AP670" s="12">
        <v>0.0</v>
      </c>
      <c r="AQ670" s="12">
        <v>0.0</v>
      </c>
      <c r="AR670" s="12">
        <v>0.0</v>
      </c>
      <c r="AS670" s="12">
        <f t="shared" si="234"/>
        <v>10794</v>
      </c>
      <c r="AT670" s="16">
        <f t="shared" si="251"/>
        <v>53281.72</v>
      </c>
      <c r="AU670" s="18">
        <f t="shared" si="246"/>
        <v>333740.514</v>
      </c>
      <c r="AV670" s="12">
        <v>10702.67</v>
      </c>
      <c r="AW670" s="10">
        <f t="shared" si="247"/>
        <v>80979.01</v>
      </c>
      <c r="AX670" s="12">
        <f t="shared" si="171"/>
        <v>63984.39</v>
      </c>
      <c r="AY670" s="12">
        <f t="shared" si="208"/>
        <v>431580.844</v>
      </c>
      <c r="AZ670" s="12">
        <v>891.81</v>
      </c>
      <c r="BA670" s="18">
        <f t="shared" si="248"/>
        <v>16574.86</v>
      </c>
      <c r="BB670" s="10">
        <f t="shared" si="16"/>
        <v>1293244.492</v>
      </c>
      <c r="BC670" s="16">
        <f t="shared" si="201"/>
        <v>10152.4</v>
      </c>
      <c r="BD670" s="12">
        <v>2564.54</v>
      </c>
      <c r="BE670" s="16">
        <f t="shared" si="249"/>
        <v>16861.32</v>
      </c>
      <c r="BF670" s="6"/>
      <c r="BG670" s="6"/>
      <c r="BH670" s="6"/>
      <c r="BI670" s="29">
        <f t="shared" si="244"/>
        <v>67681.72484</v>
      </c>
      <c r="BJ670" s="6"/>
      <c r="BK670" s="15">
        <f t="shared" si="76"/>
        <v>0.7872393933</v>
      </c>
      <c r="BN670" s="16">
        <f t="shared" si="187"/>
        <v>-1132.794839</v>
      </c>
      <c r="BO670" s="16">
        <f t="shared" si="250"/>
        <v>-109872.9547</v>
      </c>
      <c r="BY670" s="6">
        <f t="shared" si="2"/>
        <v>2025</v>
      </c>
      <c r="BZ670" s="6" t="str">
        <f t="shared" si="3"/>
        <v>agosto</v>
      </c>
      <c r="CA670" s="6" t="str">
        <f t="shared" si="4"/>
        <v>8</v>
      </c>
    </row>
    <row r="671">
      <c r="A671" s="8">
        <v>45878.0</v>
      </c>
      <c r="B671" s="12">
        <v>0.0</v>
      </c>
      <c r="C671" s="12">
        <v>0.0</v>
      </c>
      <c r="D671" s="12">
        <v>0.0</v>
      </c>
      <c r="E671" s="12">
        <v>0.0</v>
      </c>
      <c r="F671" s="12">
        <v>0.0</v>
      </c>
      <c r="G671" s="12">
        <v>0.0</v>
      </c>
      <c r="H671" s="12">
        <f t="shared" si="149"/>
        <v>0</v>
      </c>
      <c r="I671" s="12">
        <v>0.0</v>
      </c>
      <c r="J671" s="12">
        <v>0.0</v>
      </c>
      <c r="K671" s="12">
        <v>0.0</v>
      </c>
      <c r="L671" s="12">
        <v>0.0</v>
      </c>
      <c r="M671" s="12">
        <v>0.0</v>
      </c>
      <c r="N671" s="12">
        <v>0.0</v>
      </c>
      <c r="O671" s="16">
        <f t="shared" si="150"/>
        <v>0</v>
      </c>
      <c r="P671" s="12">
        <v>0.0</v>
      </c>
      <c r="Q671" s="12">
        <v>0.0</v>
      </c>
      <c r="R671" s="12">
        <v>0.0</v>
      </c>
      <c r="S671" s="12">
        <v>0.0</v>
      </c>
      <c r="T671" s="12">
        <v>0.0</v>
      </c>
      <c r="U671" s="12">
        <v>0.0</v>
      </c>
      <c r="V671" s="16">
        <f t="shared" si="151"/>
        <v>0</v>
      </c>
      <c r="W671" s="12">
        <v>0.0</v>
      </c>
      <c r="X671" s="12">
        <v>0.0</v>
      </c>
      <c r="Y671" s="12">
        <v>0.0</v>
      </c>
      <c r="Z671" s="12">
        <v>0.0</v>
      </c>
      <c r="AA671" s="12">
        <v>0.0</v>
      </c>
      <c r="AB671" s="12">
        <v>0.0</v>
      </c>
      <c r="AC671" s="16">
        <f t="shared" si="169"/>
        <v>0</v>
      </c>
      <c r="AD671" s="12">
        <v>0.0</v>
      </c>
      <c r="AE671" s="12">
        <v>0.0</v>
      </c>
      <c r="AF671" s="12">
        <v>0.0</v>
      </c>
      <c r="AG671" s="12">
        <v>0.0</v>
      </c>
      <c r="AH671" s="12">
        <v>0.0</v>
      </c>
      <c r="AI671" s="12">
        <v>0.0</v>
      </c>
      <c r="AJ671" s="12">
        <v>0.0</v>
      </c>
      <c r="AK671" s="12">
        <v>0.0</v>
      </c>
      <c r="AL671" s="12">
        <f t="shared" si="192"/>
        <v>0</v>
      </c>
      <c r="AM671" s="12">
        <v>0.0</v>
      </c>
      <c r="AN671" s="12">
        <v>0.0</v>
      </c>
      <c r="AO671" s="12">
        <v>0.0</v>
      </c>
      <c r="AP671" s="12">
        <v>0.0</v>
      </c>
      <c r="AQ671" s="12">
        <v>0.0</v>
      </c>
      <c r="AR671" s="12">
        <v>0.0</v>
      </c>
      <c r="AS671" s="12">
        <f t="shared" si="234"/>
        <v>0</v>
      </c>
      <c r="AT671" s="5">
        <v>0.0</v>
      </c>
      <c r="AU671" s="18">
        <f t="shared" si="246"/>
        <v>333740.514</v>
      </c>
      <c r="AV671" s="12">
        <v>0.0</v>
      </c>
      <c r="AW671" s="10">
        <f t="shared" si="247"/>
        <v>80979.01</v>
      </c>
      <c r="AX671" s="12">
        <f t="shared" si="171"/>
        <v>0</v>
      </c>
      <c r="AY671" s="12">
        <f t="shared" si="208"/>
        <v>431580.844</v>
      </c>
      <c r="AZ671" s="12">
        <v>0.0</v>
      </c>
      <c r="BA671" s="18">
        <f t="shared" si="248"/>
        <v>16574.86</v>
      </c>
      <c r="BB671" s="10">
        <f t="shared" si="16"/>
        <v>1149550.659</v>
      </c>
      <c r="BC671" s="16">
        <f t="shared" si="201"/>
        <v>135850.195</v>
      </c>
      <c r="BD671" s="12">
        <v>0.0</v>
      </c>
      <c r="BE671" s="16">
        <f t="shared" si="249"/>
        <v>16861.32</v>
      </c>
      <c r="BF671" s="6"/>
      <c r="BG671" s="6"/>
      <c r="BH671" s="6"/>
      <c r="BI671" s="29">
        <f t="shared" si="244"/>
        <v>67681.72484</v>
      </c>
      <c r="BJ671" s="6"/>
      <c r="BK671" s="15">
        <f t="shared" si="76"/>
        <v>0</v>
      </c>
      <c r="BN671" s="16">
        <f t="shared" si="187"/>
        <v>-67681.72484</v>
      </c>
      <c r="BO671" s="16">
        <f t="shared" si="250"/>
        <v>-177554.6795</v>
      </c>
      <c r="BY671" s="6">
        <f t="shared" si="2"/>
        <v>2025</v>
      </c>
      <c r="BZ671" s="6" t="str">
        <f t="shared" si="3"/>
        <v>agosto</v>
      </c>
      <c r="CA671" s="6" t="str">
        <f t="shared" si="4"/>
        <v>8</v>
      </c>
    </row>
    <row r="672">
      <c r="A672" s="8">
        <v>45879.0</v>
      </c>
      <c r="B672" s="12">
        <v>0.0</v>
      </c>
      <c r="C672" s="12">
        <v>0.0</v>
      </c>
      <c r="D672" s="12">
        <v>0.0</v>
      </c>
      <c r="E672" s="12">
        <v>0.0</v>
      </c>
      <c r="F672" s="12">
        <v>0.0</v>
      </c>
      <c r="G672" s="12">
        <v>0.0</v>
      </c>
      <c r="H672" s="12">
        <f t="shared" si="149"/>
        <v>0</v>
      </c>
      <c r="I672" s="12">
        <v>0.0</v>
      </c>
      <c r="J672" s="12">
        <v>0.0</v>
      </c>
      <c r="K672" s="12">
        <v>0.0</v>
      </c>
      <c r="L672" s="12">
        <v>0.0</v>
      </c>
      <c r="M672" s="12">
        <v>0.0</v>
      </c>
      <c r="N672" s="16"/>
      <c r="O672" s="16">
        <f t="shared" si="150"/>
        <v>0</v>
      </c>
      <c r="P672" s="12">
        <v>0.0</v>
      </c>
      <c r="Q672" s="12">
        <v>0.0</v>
      </c>
      <c r="R672" s="12">
        <v>0.0</v>
      </c>
      <c r="S672" s="12">
        <v>0.0</v>
      </c>
      <c r="T672" s="12">
        <v>0.0</v>
      </c>
      <c r="U672" s="12">
        <v>0.0</v>
      </c>
      <c r="V672" s="16">
        <f t="shared" si="151"/>
        <v>0</v>
      </c>
      <c r="W672" s="12">
        <v>0.0</v>
      </c>
      <c r="X672" s="12">
        <v>0.0</v>
      </c>
      <c r="Y672" s="12">
        <v>0.0</v>
      </c>
      <c r="Z672" s="12">
        <v>0.0</v>
      </c>
      <c r="AA672" s="12">
        <v>0.0</v>
      </c>
      <c r="AB672" s="12">
        <v>0.0</v>
      </c>
      <c r="AC672" s="16">
        <f t="shared" si="169"/>
        <v>0</v>
      </c>
      <c r="AD672" s="12">
        <v>0.0</v>
      </c>
      <c r="AE672" s="12">
        <v>0.0</v>
      </c>
      <c r="AF672" s="12">
        <v>0.0</v>
      </c>
      <c r="AG672" s="12">
        <v>0.0</v>
      </c>
      <c r="AH672" s="12">
        <v>0.0</v>
      </c>
      <c r="AI672" s="12">
        <v>0.0</v>
      </c>
      <c r="AJ672" s="12">
        <v>0.0</v>
      </c>
      <c r="AK672" s="12">
        <v>0.0</v>
      </c>
      <c r="AL672" s="12">
        <f t="shared" si="192"/>
        <v>0</v>
      </c>
      <c r="AM672" s="12">
        <v>0.0</v>
      </c>
      <c r="AN672" s="12">
        <v>0.0</v>
      </c>
      <c r="AO672" s="12">
        <v>0.0</v>
      </c>
      <c r="AP672" s="12">
        <v>0.0</v>
      </c>
      <c r="AQ672" s="12">
        <v>0.0</v>
      </c>
      <c r="AR672" s="12">
        <v>0.0</v>
      </c>
      <c r="AS672" s="12">
        <f t="shared" si="234"/>
        <v>0</v>
      </c>
      <c r="AT672" s="5">
        <v>0.0</v>
      </c>
      <c r="AU672" s="18">
        <f t="shared" si="246"/>
        <v>333740.514</v>
      </c>
      <c r="AV672" s="12">
        <v>0.0</v>
      </c>
      <c r="AW672" s="10">
        <f t="shared" si="247"/>
        <v>80979.01</v>
      </c>
      <c r="AX672" s="12">
        <f t="shared" si="171"/>
        <v>0</v>
      </c>
      <c r="AY672" s="12">
        <f t="shared" si="208"/>
        <v>431580.844</v>
      </c>
      <c r="AZ672" s="12">
        <v>0.0</v>
      </c>
      <c r="BA672" s="18">
        <f t="shared" si="248"/>
        <v>16574.86</v>
      </c>
      <c r="BB672" s="10">
        <f t="shared" si="16"/>
        <v>1034595.593</v>
      </c>
      <c r="BC672" s="16">
        <f t="shared" si="201"/>
        <v>200327.71</v>
      </c>
      <c r="BD672" s="12">
        <v>0.0</v>
      </c>
      <c r="BE672" s="16">
        <f t="shared" si="249"/>
        <v>16861.32</v>
      </c>
      <c r="BF672" s="6"/>
      <c r="BG672" s="6"/>
      <c r="BH672" s="6"/>
      <c r="BI672" s="29">
        <f t="shared" si="244"/>
        <v>67681.72484</v>
      </c>
      <c r="BJ672" s="6"/>
      <c r="BK672" s="15">
        <f t="shared" si="76"/>
        <v>0</v>
      </c>
      <c r="BN672" s="16">
        <f t="shared" si="187"/>
        <v>-67681.72484</v>
      </c>
      <c r="BO672" s="16">
        <f t="shared" si="250"/>
        <v>-245236.4044</v>
      </c>
      <c r="BY672" s="6">
        <f t="shared" si="2"/>
        <v>2025</v>
      </c>
      <c r="BZ672" s="6" t="str">
        <f t="shared" si="3"/>
        <v>agosto</v>
      </c>
      <c r="CA672" s="6" t="str">
        <f t="shared" si="4"/>
        <v>8</v>
      </c>
    </row>
    <row r="673">
      <c r="A673" s="8">
        <v>45880.0</v>
      </c>
      <c r="B673" s="12">
        <v>21456.0</v>
      </c>
      <c r="C673" s="12">
        <v>2617.85</v>
      </c>
      <c r="D673" s="12">
        <v>10411.0</v>
      </c>
      <c r="E673" s="12">
        <v>2110.2</v>
      </c>
      <c r="F673" s="12">
        <v>0.0</v>
      </c>
      <c r="G673" s="12">
        <v>0.0</v>
      </c>
      <c r="H673" s="12">
        <f t="shared" si="149"/>
        <v>36595.05</v>
      </c>
      <c r="I673" s="12">
        <v>16880.68</v>
      </c>
      <c r="J673" s="12">
        <v>2003.2</v>
      </c>
      <c r="K673" s="12">
        <v>1745.0</v>
      </c>
      <c r="L673" s="12">
        <v>2000.0</v>
      </c>
      <c r="M673" s="12">
        <v>0.0</v>
      </c>
      <c r="N673" s="12">
        <v>0.0</v>
      </c>
      <c r="O673" s="16">
        <f t="shared" si="150"/>
        <v>22628.88</v>
      </c>
      <c r="P673" s="12">
        <v>6849.34</v>
      </c>
      <c r="Q673" s="12">
        <v>800.2</v>
      </c>
      <c r="R673" s="12">
        <v>1043.57</v>
      </c>
      <c r="S673" s="12">
        <v>0.0</v>
      </c>
      <c r="T673" s="12">
        <v>0.0</v>
      </c>
      <c r="U673" s="12">
        <v>0.0</v>
      </c>
      <c r="V673" s="16">
        <f t="shared" si="151"/>
        <v>8693.11</v>
      </c>
      <c r="W673" s="12">
        <v>657.31</v>
      </c>
      <c r="X673" s="12">
        <v>0.0</v>
      </c>
      <c r="Y673" s="12">
        <v>0.0</v>
      </c>
      <c r="Z673" s="12">
        <v>0.0</v>
      </c>
      <c r="AA673" s="12">
        <v>0.0</v>
      </c>
      <c r="AB673" s="12">
        <v>0.0</v>
      </c>
      <c r="AC673" s="16">
        <f t="shared" si="169"/>
        <v>657.31</v>
      </c>
      <c r="AD673" s="12">
        <v>0.0</v>
      </c>
      <c r="AE673" s="12">
        <v>657.31</v>
      </c>
      <c r="AF673" s="12">
        <v>8075.38</v>
      </c>
      <c r="AG673" s="12">
        <v>389.72</v>
      </c>
      <c r="AH673" s="12">
        <v>0.0</v>
      </c>
      <c r="AI673" s="12">
        <v>0.0</v>
      </c>
      <c r="AJ673" s="12">
        <v>0.0</v>
      </c>
      <c r="AK673" s="12">
        <v>0.0</v>
      </c>
      <c r="AL673" s="12">
        <f t="shared" si="192"/>
        <v>8465.1</v>
      </c>
      <c r="AM673" s="12">
        <v>0.0</v>
      </c>
      <c r="AN673" s="12">
        <v>0.0</v>
      </c>
      <c r="AO673" s="12">
        <v>0.0</v>
      </c>
      <c r="AP673" s="12">
        <v>0.0</v>
      </c>
      <c r="AQ673" s="12">
        <v>0.0</v>
      </c>
      <c r="AR673" s="12">
        <v>0.0</v>
      </c>
      <c r="AS673" s="12">
        <f t="shared" si="234"/>
        <v>0</v>
      </c>
      <c r="AT673" s="16">
        <f t="shared" ref="AT673:AT676" si="252">IF(AS673+AL673+AC673+V673+O673=0,"",AS673+AL673+AC673+V673+O673)</f>
        <v>40444.4</v>
      </c>
      <c r="AU673" s="18">
        <f t="shared" si="246"/>
        <v>374184.914</v>
      </c>
      <c r="AV673" s="12">
        <v>17535.14</v>
      </c>
      <c r="AW673" s="10">
        <f t="shared" si="247"/>
        <v>98514.15</v>
      </c>
      <c r="AX673" s="12">
        <f t="shared" si="171"/>
        <v>57979.54</v>
      </c>
      <c r="AY673" s="12">
        <f t="shared" si="208"/>
        <v>489560.384</v>
      </c>
      <c r="AZ673" s="12">
        <v>3857.98</v>
      </c>
      <c r="BA673" s="18">
        <f t="shared" si="248"/>
        <v>20432.84</v>
      </c>
      <c r="BB673" s="10">
        <f t="shared" si="16"/>
        <v>1054521.121</v>
      </c>
      <c r="BC673" s="16">
        <f t="shared" si="201"/>
        <v>208587.8213</v>
      </c>
      <c r="BD673" s="12">
        <v>0.0</v>
      </c>
      <c r="BE673" s="16">
        <f t="shared" si="249"/>
        <v>16861.32</v>
      </c>
      <c r="BF673" s="6"/>
      <c r="BG673" s="6"/>
      <c r="BH673" s="6"/>
      <c r="BI673" s="29">
        <f t="shared" si="244"/>
        <v>67681.72484</v>
      </c>
      <c r="BJ673" s="6"/>
      <c r="BK673" s="15">
        <f t="shared" si="76"/>
        <v>0.5975675132</v>
      </c>
      <c r="BN673" s="16">
        <f t="shared" si="187"/>
        <v>-9702.184839</v>
      </c>
      <c r="BO673" s="16">
        <f t="shared" si="250"/>
        <v>-254938.5892</v>
      </c>
      <c r="BY673" s="6">
        <f t="shared" si="2"/>
        <v>2025</v>
      </c>
      <c r="BZ673" s="6" t="str">
        <f t="shared" si="3"/>
        <v>agosto</v>
      </c>
      <c r="CA673" s="6" t="str">
        <f t="shared" si="4"/>
        <v>8</v>
      </c>
    </row>
    <row r="674">
      <c r="A674" s="8">
        <v>45881.0</v>
      </c>
      <c r="B674" s="12">
        <v>40112.3</v>
      </c>
      <c r="C674" s="12">
        <v>4694.74</v>
      </c>
      <c r="D674" s="12">
        <v>0.0</v>
      </c>
      <c r="E674" s="12">
        <v>3244.0</v>
      </c>
      <c r="F674" s="12">
        <v>0.0</v>
      </c>
      <c r="G674" s="12">
        <v>0.0</v>
      </c>
      <c r="H674" s="12">
        <f t="shared" si="149"/>
        <v>48051.04</v>
      </c>
      <c r="I674" s="12">
        <v>74215.03</v>
      </c>
      <c r="J674" s="12">
        <v>2222.3</v>
      </c>
      <c r="K674" s="12">
        <v>4852.04</v>
      </c>
      <c r="L674" s="12">
        <v>0.0</v>
      </c>
      <c r="M674" s="12">
        <v>0.0</v>
      </c>
      <c r="N674" s="12">
        <v>0.0</v>
      </c>
      <c r="O674" s="16">
        <f t="shared" si="150"/>
        <v>81289.37</v>
      </c>
      <c r="P674" s="12">
        <v>5287.96</v>
      </c>
      <c r="Q674" s="12">
        <v>1729.54</v>
      </c>
      <c r="R674" s="12">
        <v>0.0</v>
      </c>
      <c r="S674" s="12">
        <v>0.0</v>
      </c>
      <c r="T674" s="12">
        <v>0.0</v>
      </c>
      <c r="U674" s="12">
        <v>0.0</v>
      </c>
      <c r="V674" s="16">
        <f t="shared" si="151"/>
        <v>7017.5</v>
      </c>
      <c r="W674" s="12">
        <v>1508.53</v>
      </c>
      <c r="X674" s="12">
        <v>10964.05</v>
      </c>
      <c r="Y674" s="12">
        <v>0.0</v>
      </c>
      <c r="Z674" s="12">
        <v>0.0</v>
      </c>
      <c r="AA674" s="12">
        <v>0.0</v>
      </c>
      <c r="AB674" s="12">
        <v>0.0</v>
      </c>
      <c r="AC674" s="16">
        <f t="shared" si="169"/>
        <v>12472.58</v>
      </c>
      <c r="AD674" s="12">
        <v>2606.9</v>
      </c>
      <c r="AE674" s="12">
        <v>9865.68</v>
      </c>
      <c r="AF674" s="12">
        <v>3185.81</v>
      </c>
      <c r="AG674" s="12">
        <v>15812.58</v>
      </c>
      <c r="AH674" s="12">
        <v>0.0</v>
      </c>
      <c r="AI674" s="12">
        <v>0.0</v>
      </c>
      <c r="AJ674" s="12">
        <v>0.0</v>
      </c>
      <c r="AK674" s="12">
        <v>0.0</v>
      </c>
      <c r="AL674" s="12">
        <f t="shared" si="192"/>
        <v>18998.39</v>
      </c>
      <c r="AM674" s="12">
        <v>0.0</v>
      </c>
      <c r="AN674" s="12">
        <v>1340.0</v>
      </c>
      <c r="AO674" s="12">
        <v>0.0</v>
      </c>
      <c r="AP674" s="12">
        <v>0.0</v>
      </c>
      <c r="AQ674" s="12">
        <v>0.0</v>
      </c>
      <c r="AR674" s="12">
        <v>0.0</v>
      </c>
      <c r="AS674" s="12">
        <f t="shared" si="234"/>
        <v>1340</v>
      </c>
      <c r="AT674" s="16">
        <f t="shared" si="252"/>
        <v>121117.84</v>
      </c>
      <c r="AU674" s="18">
        <f t="shared" si="246"/>
        <v>495302.754</v>
      </c>
      <c r="AV674" s="12">
        <v>16899.74</v>
      </c>
      <c r="AW674" s="10">
        <f t="shared" si="247"/>
        <v>115413.89</v>
      </c>
      <c r="AX674" s="12">
        <f t="shared" si="171"/>
        <v>138017.58</v>
      </c>
      <c r="AY674" s="12">
        <f t="shared" si="208"/>
        <v>628789.124</v>
      </c>
      <c r="AZ674" s="12">
        <v>21340.67</v>
      </c>
      <c r="BA674" s="18">
        <f t="shared" si="248"/>
        <v>41773.51</v>
      </c>
      <c r="BB674" s="10">
        <f t="shared" si="16"/>
        <v>1279532.115</v>
      </c>
      <c r="BC674" s="16">
        <f t="shared" si="201"/>
        <v>185411.3967</v>
      </c>
      <c r="BD674" s="12">
        <v>1211.16</v>
      </c>
      <c r="BE674" s="16">
        <f t="shared" si="249"/>
        <v>18072.48</v>
      </c>
      <c r="BF674" s="6"/>
      <c r="BG674" s="6"/>
      <c r="BH674" s="6"/>
      <c r="BI674" s="29">
        <f t="shared" si="244"/>
        <v>67681.72484</v>
      </c>
      <c r="BK674" s="15">
        <f t="shared" si="76"/>
        <v>1.789520588</v>
      </c>
      <c r="BN674" s="16">
        <f t="shared" si="187"/>
        <v>71547.01516</v>
      </c>
      <c r="BO674" s="16">
        <f t="shared" si="250"/>
        <v>-183391.5741</v>
      </c>
      <c r="BY674" s="6">
        <f t="shared" si="2"/>
        <v>2025</v>
      </c>
      <c r="BZ674" s="6" t="str">
        <f t="shared" si="3"/>
        <v>agosto</v>
      </c>
      <c r="CA674" s="6" t="str">
        <f t="shared" si="4"/>
        <v>8</v>
      </c>
    </row>
    <row r="675">
      <c r="A675" s="8">
        <v>45882.0</v>
      </c>
      <c r="B675" s="12">
        <v>64322.0</v>
      </c>
      <c r="C675" s="12">
        <v>3412.0</v>
      </c>
      <c r="D675" s="12">
        <v>0.0</v>
      </c>
      <c r="E675" s="12">
        <v>3015.94</v>
      </c>
      <c r="F675" s="12">
        <v>0.0</v>
      </c>
      <c r="G675" s="12">
        <v>0.0</v>
      </c>
      <c r="H675" s="12">
        <f t="shared" si="149"/>
        <v>70749.94</v>
      </c>
      <c r="I675" s="12">
        <v>4200.05</v>
      </c>
      <c r="J675" s="12">
        <v>1000.0</v>
      </c>
      <c r="K675" s="12">
        <v>0.0</v>
      </c>
      <c r="L675" s="12">
        <v>0.0</v>
      </c>
      <c r="M675" s="12">
        <v>0.0</v>
      </c>
      <c r="N675" s="12">
        <v>0.0</v>
      </c>
      <c r="O675" s="16">
        <f t="shared" si="150"/>
        <v>5200.05</v>
      </c>
      <c r="P675" s="12">
        <v>3124.24</v>
      </c>
      <c r="Q675" s="12">
        <v>194.72</v>
      </c>
      <c r="R675" s="12">
        <v>0.0</v>
      </c>
      <c r="S675" s="12">
        <v>0.0</v>
      </c>
      <c r="T675" s="12">
        <v>0.0</v>
      </c>
      <c r="U675" s="12">
        <v>0.0</v>
      </c>
      <c r="V675" s="16">
        <f t="shared" si="151"/>
        <v>3318.96</v>
      </c>
      <c r="W675" s="12">
        <v>2417.55</v>
      </c>
      <c r="X675" s="12">
        <v>0.0</v>
      </c>
      <c r="Y675" s="12">
        <v>0.0</v>
      </c>
      <c r="Z675" s="12">
        <v>0.0</v>
      </c>
      <c r="AA675" s="12">
        <v>0.0</v>
      </c>
      <c r="AB675" s="12">
        <v>0.0</v>
      </c>
      <c r="AC675" s="16">
        <f t="shared" si="169"/>
        <v>2417.55</v>
      </c>
      <c r="AD675" s="12">
        <v>0.0</v>
      </c>
      <c r="AE675" s="12">
        <v>2582.93</v>
      </c>
      <c r="AF675" s="12">
        <v>1663.85</v>
      </c>
      <c r="AG675" s="12">
        <v>16951.01</v>
      </c>
      <c r="AH675" s="12">
        <v>0.0</v>
      </c>
      <c r="AI675" s="12">
        <v>0.0</v>
      </c>
      <c r="AJ675" s="12">
        <v>0.0</v>
      </c>
      <c r="AK675" s="12">
        <v>0.0</v>
      </c>
      <c r="AL675" s="12">
        <f t="shared" si="192"/>
        <v>18614.86</v>
      </c>
      <c r="AM675" s="12">
        <v>0.0</v>
      </c>
      <c r="AN675" s="12">
        <v>0.0</v>
      </c>
      <c r="AO675" s="12">
        <v>0.0</v>
      </c>
      <c r="AP675" s="12">
        <v>0.0</v>
      </c>
      <c r="AQ675" s="12">
        <v>0.0</v>
      </c>
      <c r="AR675" s="12">
        <v>0.0</v>
      </c>
      <c r="AS675" s="12">
        <f t="shared" si="234"/>
        <v>0</v>
      </c>
      <c r="AT675" s="16">
        <f t="shared" si="252"/>
        <v>29551.42</v>
      </c>
      <c r="AU675" s="18">
        <f t="shared" si="246"/>
        <v>524854.174</v>
      </c>
      <c r="AV675" s="12">
        <v>9571.08</v>
      </c>
      <c r="AW675" s="10">
        <f t="shared" si="247"/>
        <v>124984.97</v>
      </c>
      <c r="AX675" s="12">
        <f t="shared" si="171"/>
        <v>39122.5</v>
      </c>
      <c r="AY675" s="12">
        <f t="shared" si="208"/>
        <v>667911.624</v>
      </c>
      <c r="AZ675" s="12">
        <v>0.0</v>
      </c>
      <c r="BA675" s="18">
        <f t="shared" si="248"/>
        <v>41773.51</v>
      </c>
      <c r="BB675" s="10">
        <f t="shared" si="16"/>
        <v>1251575.338</v>
      </c>
      <c r="BC675" s="16">
        <f t="shared" si="201"/>
        <v>166870.257</v>
      </c>
      <c r="BD675" s="12">
        <v>0.0</v>
      </c>
      <c r="BE675" s="16">
        <f t="shared" si="249"/>
        <v>18072.48</v>
      </c>
      <c r="BF675" s="6"/>
      <c r="BG675" s="6"/>
      <c r="BH675" s="6"/>
      <c r="BI675" s="29">
        <f t="shared" si="244"/>
        <v>67681.72484</v>
      </c>
      <c r="BJ675" s="6"/>
      <c r="BK675" s="15">
        <f t="shared" si="76"/>
        <v>0.4366233288</v>
      </c>
      <c r="BN675" s="16">
        <f t="shared" si="187"/>
        <v>-28559.22484</v>
      </c>
      <c r="BO675" s="16">
        <f t="shared" si="250"/>
        <v>-211950.7989</v>
      </c>
      <c r="BY675" s="6">
        <f t="shared" si="2"/>
        <v>2025</v>
      </c>
      <c r="BZ675" s="6" t="str">
        <f t="shared" si="3"/>
        <v>agosto</v>
      </c>
      <c r="CA675" s="6" t="str">
        <f t="shared" si="4"/>
        <v>8</v>
      </c>
    </row>
    <row r="676">
      <c r="A676" s="8">
        <v>45883.0</v>
      </c>
      <c r="B676" s="12">
        <v>30412.0</v>
      </c>
      <c r="C676" s="12">
        <v>0.0</v>
      </c>
      <c r="D676" s="12">
        <v>3222.0</v>
      </c>
      <c r="E676" s="12">
        <v>2550.81</v>
      </c>
      <c r="F676" s="12">
        <v>0.0</v>
      </c>
      <c r="G676" s="12">
        <v>0.0</v>
      </c>
      <c r="H676" s="12">
        <f t="shared" si="149"/>
        <v>36184.81</v>
      </c>
      <c r="I676" s="12">
        <v>8466.3</v>
      </c>
      <c r="J676" s="12">
        <v>0.0</v>
      </c>
      <c r="K676" s="12">
        <v>1082.85</v>
      </c>
      <c r="L676" s="12">
        <v>1000.0</v>
      </c>
      <c r="M676" s="12">
        <v>0.0</v>
      </c>
      <c r="N676" s="12">
        <v>0.0</v>
      </c>
      <c r="O676" s="16">
        <f t="shared" si="150"/>
        <v>10549.15</v>
      </c>
      <c r="P676" s="12">
        <v>6480.19</v>
      </c>
      <c r="Q676" s="12">
        <v>0.0</v>
      </c>
      <c r="R676" s="12">
        <v>435.62</v>
      </c>
      <c r="S676" s="12">
        <v>0.0</v>
      </c>
      <c r="T676" s="12">
        <v>0.0</v>
      </c>
      <c r="U676" s="12">
        <v>0.0</v>
      </c>
      <c r="V676" s="16">
        <f t="shared" si="151"/>
        <v>6915.81</v>
      </c>
      <c r="W676" s="12">
        <v>2082.05</v>
      </c>
      <c r="X676" s="12">
        <v>0.0</v>
      </c>
      <c r="Y676" s="12">
        <v>0.0</v>
      </c>
      <c r="Z676" s="12">
        <v>0.0</v>
      </c>
      <c r="AA676" s="12">
        <v>0.0</v>
      </c>
      <c r="AB676" s="12">
        <v>0.0</v>
      </c>
      <c r="AC676" s="16">
        <f t="shared" si="169"/>
        <v>2082.05</v>
      </c>
      <c r="AD676" s="12">
        <v>0.0</v>
      </c>
      <c r="AE676" s="12">
        <v>2082.05</v>
      </c>
      <c r="AF676" s="12">
        <v>1675.66</v>
      </c>
      <c r="AG676" s="12">
        <v>0.0</v>
      </c>
      <c r="AH676" s="12">
        <v>0.0</v>
      </c>
      <c r="AI676" s="12">
        <v>0.0</v>
      </c>
      <c r="AJ676" s="12">
        <v>0.0</v>
      </c>
      <c r="AK676" s="12">
        <v>0.0</v>
      </c>
      <c r="AL676" s="12">
        <f t="shared" si="192"/>
        <v>1675.66</v>
      </c>
      <c r="AM676" s="12">
        <v>0.0</v>
      </c>
      <c r="AN676" s="12">
        <v>0.0</v>
      </c>
      <c r="AO676" s="12">
        <v>0.0</v>
      </c>
      <c r="AP676" s="12">
        <v>0.0</v>
      </c>
      <c r="AQ676" s="12">
        <v>0.0</v>
      </c>
      <c r="AR676" s="12">
        <v>0.0</v>
      </c>
      <c r="AS676" s="12">
        <f t="shared" si="234"/>
        <v>0</v>
      </c>
      <c r="AT676" s="16">
        <f t="shared" si="252"/>
        <v>21222.67</v>
      </c>
      <c r="AU676" s="18">
        <f t="shared" si="246"/>
        <v>546076.844</v>
      </c>
      <c r="AV676" s="12">
        <v>9296.48</v>
      </c>
      <c r="AW676" s="10">
        <f t="shared" si="247"/>
        <v>134281.45</v>
      </c>
      <c r="AX676" s="12">
        <f t="shared" si="171"/>
        <v>30519.15</v>
      </c>
      <c r="AY676" s="12">
        <f t="shared" si="208"/>
        <v>698430.774</v>
      </c>
      <c r="AZ676" s="12">
        <v>1790.39</v>
      </c>
      <c r="BA676" s="18">
        <f t="shared" si="248"/>
        <v>43563.9</v>
      </c>
      <c r="BB676" s="10">
        <f t="shared" si="16"/>
        <v>1209170.155</v>
      </c>
      <c r="BC676" s="16">
        <f t="shared" si="201"/>
        <v>170084.0518</v>
      </c>
      <c r="BD676" s="12">
        <v>0.0</v>
      </c>
      <c r="BE676" s="16">
        <f t="shared" si="249"/>
        <v>18072.48</v>
      </c>
      <c r="BF676" s="6"/>
      <c r="BG676" s="6"/>
      <c r="BH676" s="6"/>
      <c r="BI676" s="29">
        <f t="shared" ref="BI676:BI693" si="253">IF(AT676="","",$BG$632/DAY(EOMONTH(A676,0)))</f>
        <v>65842.94226</v>
      </c>
      <c r="BJ676" s="6"/>
      <c r="BK676" s="15">
        <f t="shared" si="76"/>
        <v>0.3223226252</v>
      </c>
      <c r="BN676" s="16">
        <f t="shared" si="187"/>
        <v>-35323.79226</v>
      </c>
      <c r="BO676" s="16">
        <f t="shared" si="250"/>
        <v>-247274.5912</v>
      </c>
      <c r="BY676" s="6">
        <f t="shared" si="2"/>
        <v>2025</v>
      </c>
      <c r="BZ676" s="6" t="str">
        <f t="shared" si="3"/>
        <v>agosto</v>
      </c>
      <c r="CA676" s="6" t="str">
        <f t="shared" si="4"/>
        <v>8</v>
      </c>
    </row>
    <row r="677">
      <c r="A677" s="8">
        <v>45884.0</v>
      </c>
      <c r="B677" s="12">
        <v>0.0</v>
      </c>
      <c r="C677" s="12">
        <v>0.0</v>
      </c>
      <c r="D677" s="12">
        <v>0.0</v>
      </c>
      <c r="E677" s="12">
        <v>0.0</v>
      </c>
      <c r="F677" s="12">
        <v>0.0</v>
      </c>
      <c r="G677" s="12">
        <v>0.0</v>
      </c>
      <c r="H677" s="12">
        <f t="shared" si="149"/>
        <v>0</v>
      </c>
      <c r="I677" s="12">
        <v>0.0</v>
      </c>
      <c r="J677" s="12">
        <v>0.0</v>
      </c>
      <c r="K677" s="12">
        <v>0.0</v>
      </c>
      <c r="L677" s="12">
        <v>0.0</v>
      </c>
      <c r="M677" s="12">
        <v>0.0</v>
      </c>
      <c r="N677" s="12">
        <v>0.0</v>
      </c>
      <c r="O677" s="16">
        <f t="shared" si="150"/>
        <v>0</v>
      </c>
      <c r="P677" s="12">
        <v>0.0</v>
      </c>
      <c r="Q677" s="12">
        <v>0.0</v>
      </c>
      <c r="R677" s="12">
        <v>0.0</v>
      </c>
      <c r="S677" s="12">
        <v>0.0</v>
      </c>
      <c r="T677" s="12">
        <v>0.0</v>
      </c>
      <c r="U677" s="12">
        <v>0.0</v>
      </c>
      <c r="V677" s="16">
        <f t="shared" si="151"/>
        <v>0</v>
      </c>
      <c r="W677" s="12">
        <v>0.0</v>
      </c>
      <c r="X677" s="12">
        <v>0.0</v>
      </c>
      <c r="Y677" s="12">
        <v>0.0</v>
      </c>
      <c r="Z677" s="12">
        <v>0.0</v>
      </c>
      <c r="AA677" s="12">
        <v>0.0</v>
      </c>
      <c r="AB677" s="12">
        <v>0.0</v>
      </c>
      <c r="AC677" s="16">
        <f t="shared" si="169"/>
        <v>0</v>
      </c>
      <c r="AD677" s="12">
        <v>0.0</v>
      </c>
      <c r="AE677" s="12">
        <v>0.0</v>
      </c>
      <c r="AF677" s="12">
        <v>0.0</v>
      </c>
      <c r="AG677" s="12">
        <v>0.0</v>
      </c>
      <c r="AH677" s="12">
        <v>0.0</v>
      </c>
      <c r="AI677" s="12">
        <v>0.0</v>
      </c>
      <c r="AJ677" s="12">
        <v>0.0</v>
      </c>
      <c r="AK677" s="12">
        <v>0.0</v>
      </c>
      <c r="AL677" s="12">
        <f t="shared" si="192"/>
        <v>0</v>
      </c>
      <c r="AM677" s="12">
        <v>0.0</v>
      </c>
      <c r="AN677" s="12">
        <v>0.0</v>
      </c>
      <c r="AO677" s="12">
        <v>0.0</v>
      </c>
      <c r="AP677" s="12">
        <v>0.0</v>
      </c>
      <c r="AQ677" s="12">
        <v>0.0</v>
      </c>
      <c r="AR677" s="12">
        <v>0.0</v>
      </c>
      <c r="AS677" s="12">
        <f t="shared" si="234"/>
        <v>0</v>
      </c>
      <c r="AT677" s="5">
        <v>0.0</v>
      </c>
      <c r="AU677" s="18">
        <f t="shared" si="246"/>
        <v>546076.844</v>
      </c>
      <c r="AV677" s="12">
        <v>0.0</v>
      </c>
      <c r="AW677" s="10">
        <f t="shared" si="247"/>
        <v>134281.45</v>
      </c>
      <c r="AX677" s="12">
        <f t="shared" si="171"/>
        <v>0</v>
      </c>
      <c r="AY677" s="12">
        <f t="shared" si="208"/>
        <v>698430.774</v>
      </c>
      <c r="AZ677" s="12">
        <v>0.0</v>
      </c>
      <c r="BA677" s="18">
        <f t="shared" si="248"/>
        <v>43563.9</v>
      </c>
      <c r="BB677" s="10">
        <f t="shared" si="16"/>
        <v>1128558.811</v>
      </c>
      <c r="BC677" s="16">
        <f t="shared" si="201"/>
        <v>206376.1475</v>
      </c>
      <c r="BD677" s="12">
        <v>0.0</v>
      </c>
      <c r="BE677" s="16">
        <f t="shared" si="249"/>
        <v>18072.48</v>
      </c>
      <c r="BF677" s="6"/>
      <c r="BG677" s="6"/>
      <c r="BH677" s="6"/>
      <c r="BI677" s="29">
        <f t="shared" si="253"/>
        <v>65842.94226</v>
      </c>
      <c r="BJ677" s="6"/>
      <c r="BK677" s="15">
        <f t="shared" si="76"/>
        <v>0</v>
      </c>
      <c r="BN677" s="16">
        <f t="shared" si="187"/>
        <v>-65842.94226</v>
      </c>
      <c r="BO677" s="16">
        <f t="shared" si="250"/>
        <v>-313117.5334</v>
      </c>
      <c r="BY677" s="6">
        <f t="shared" si="2"/>
        <v>2025</v>
      </c>
      <c r="BZ677" s="6" t="str">
        <f t="shared" si="3"/>
        <v>agosto</v>
      </c>
      <c r="CA677" s="6" t="str">
        <f t="shared" si="4"/>
        <v>8</v>
      </c>
    </row>
    <row r="678">
      <c r="A678" s="8">
        <v>45885.0</v>
      </c>
      <c r="B678" s="12">
        <v>0.0</v>
      </c>
      <c r="C678" s="12">
        <v>0.0</v>
      </c>
      <c r="D678" s="12">
        <v>0.0</v>
      </c>
      <c r="E678" s="12">
        <v>0.0</v>
      </c>
      <c r="F678" s="12">
        <v>0.0</v>
      </c>
      <c r="G678" s="12">
        <v>0.0</v>
      </c>
      <c r="H678" s="12">
        <f t="shared" si="149"/>
        <v>0</v>
      </c>
      <c r="I678" s="12">
        <v>0.0</v>
      </c>
      <c r="J678" s="12">
        <v>0.0</v>
      </c>
      <c r="K678" s="12">
        <v>0.0</v>
      </c>
      <c r="L678" s="12">
        <v>0.0</v>
      </c>
      <c r="M678" s="12">
        <v>0.0</v>
      </c>
      <c r="N678" s="12">
        <v>0.0</v>
      </c>
      <c r="O678" s="16">
        <f t="shared" si="150"/>
        <v>0</v>
      </c>
      <c r="P678" s="12">
        <v>0.0</v>
      </c>
      <c r="Q678" s="12">
        <v>0.0</v>
      </c>
      <c r="R678" s="12">
        <v>0.0</v>
      </c>
      <c r="S678" s="12">
        <v>0.0</v>
      </c>
      <c r="T678" s="12">
        <v>0.0</v>
      </c>
      <c r="U678" s="12">
        <v>0.0</v>
      </c>
      <c r="V678" s="16">
        <f t="shared" si="151"/>
        <v>0</v>
      </c>
      <c r="W678" s="12">
        <v>0.0</v>
      </c>
      <c r="X678" s="12">
        <v>0.0</v>
      </c>
      <c r="Y678" s="12">
        <v>0.0</v>
      </c>
      <c r="Z678" s="12">
        <v>0.0</v>
      </c>
      <c r="AA678" s="12">
        <v>0.0</v>
      </c>
      <c r="AB678" s="12">
        <v>0.0</v>
      </c>
      <c r="AC678" s="16">
        <f t="shared" si="169"/>
        <v>0</v>
      </c>
      <c r="AD678" s="12">
        <v>0.0</v>
      </c>
      <c r="AE678" s="12">
        <v>0.0</v>
      </c>
      <c r="AF678" s="12">
        <v>0.0</v>
      </c>
      <c r="AG678" s="12">
        <v>0.0</v>
      </c>
      <c r="AH678" s="12">
        <v>0.0</v>
      </c>
      <c r="AI678" s="12">
        <v>0.0</v>
      </c>
      <c r="AJ678" s="12">
        <v>0.0</v>
      </c>
      <c r="AK678" s="12">
        <v>0.0</v>
      </c>
      <c r="AL678" s="12">
        <f t="shared" si="192"/>
        <v>0</v>
      </c>
      <c r="AM678" s="12">
        <v>0.0</v>
      </c>
      <c r="AN678" s="12">
        <v>0.0</v>
      </c>
      <c r="AO678" s="12">
        <v>0.0</v>
      </c>
      <c r="AP678" s="12">
        <v>0.0</v>
      </c>
      <c r="AQ678" s="12">
        <v>0.0</v>
      </c>
      <c r="AR678" s="12">
        <v>0.0</v>
      </c>
      <c r="AS678" s="12">
        <f t="shared" si="234"/>
        <v>0</v>
      </c>
      <c r="AT678" s="5">
        <v>0.0</v>
      </c>
      <c r="AU678" s="18">
        <f t="shared" si="246"/>
        <v>546076.844</v>
      </c>
      <c r="AV678" s="12">
        <v>0.0</v>
      </c>
      <c r="AW678" s="10">
        <f t="shared" si="247"/>
        <v>134281.45</v>
      </c>
      <c r="AX678" s="12">
        <f t="shared" si="171"/>
        <v>0</v>
      </c>
      <c r="AY678" s="12">
        <f t="shared" si="208"/>
        <v>698430.774</v>
      </c>
      <c r="AZ678" s="12">
        <v>0.0</v>
      </c>
      <c r="BA678" s="18">
        <f t="shared" si="248"/>
        <v>43563.9</v>
      </c>
      <c r="BB678" s="10">
        <f t="shared" si="16"/>
        <v>1058023.885</v>
      </c>
      <c r="BC678" s="16">
        <f t="shared" si="201"/>
        <v>201866.99</v>
      </c>
      <c r="BD678" s="12">
        <v>0.0</v>
      </c>
      <c r="BE678" s="16">
        <f t="shared" si="249"/>
        <v>18072.48</v>
      </c>
      <c r="BF678" s="6"/>
      <c r="BG678" s="6"/>
      <c r="BH678" s="6"/>
      <c r="BI678" s="29">
        <f t="shared" si="253"/>
        <v>65842.94226</v>
      </c>
      <c r="BJ678" s="6"/>
      <c r="BK678" s="15">
        <f t="shared" si="76"/>
        <v>0</v>
      </c>
      <c r="BN678" s="16">
        <f t="shared" si="187"/>
        <v>-65842.94226</v>
      </c>
      <c r="BO678" s="16">
        <f t="shared" si="250"/>
        <v>-378960.4757</v>
      </c>
      <c r="BY678" s="6">
        <f t="shared" si="2"/>
        <v>2025</v>
      </c>
      <c r="BZ678" s="6" t="str">
        <f t="shared" si="3"/>
        <v>agosto</v>
      </c>
      <c r="CA678" s="6" t="str">
        <f t="shared" si="4"/>
        <v>8</v>
      </c>
    </row>
    <row r="679">
      <c r="A679" s="8">
        <v>45886.0</v>
      </c>
      <c r="B679" s="12">
        <v>0.0</v>
      </c>
      <c r="C679" s="12">
        <v>0.0</v>
      </c>
      <c r="D679" s="12">
        <v>0.0</v>
      </c>
      <c r="E679" s="12">
        <v>0.0</v>
      </c>
      <c r="F679" s="12">
        <v>0.0</v>
      </c>
      <c r="G679" s="12">
        <v>0.0</v>
      </c>
      <c r="H679" s="12">
        <f t="shared" si="149"/>
        <v>0</v>
      </c>
      <c r="I679" s="12">
        <v>0.0</v>
      </c>
      <c r="J679" s="12">
        <v>0.0</v>
      </c>
      <c r="K679" s="12">
        <v>0.0</v>
      </c>
      <c r="L679" s="12">
        <v>0.0</v>
      </c>
      <c r="M679" s="12">
        <v>0.0</v>
      </c>
      <c r="N679" s="12">
        <v>0.0</v>
      </c>
      <c r="O679" s="16">
        <f t="shared" si="150"/>
        <v>0</v>
      </c>
      <c r="P679" s="12">
        <v>0.0</v>
      </c>
      <c r="Q679" s="12">
        <v>0.0</v>
      </c>
      <c r="R679" s="12">
        <v>0.0</v>
      </c>
      <c r="S679" s="12">
        <v>0.0</v>
      </c>
      <c r="T679" s="12">
        <v>0.0</v>
      </c>
      <c r="U679" s="12">
        <v>0.0</v>
      </c>
      <c r="V679" s="16">
        <f t="shared" si="151"/>
        <v>0</v>
      </c>
      <c r="W679" s="12">
        <v>0.0</v>
      </c>
      <c r="X679" s="12">
        <v>0.0</v>
      </c>
      <c r="Y679" s="12">
        <v>0.0</v>
      </c>
      <c r="Z679" s="12">
        <v>0.0</v>
      </c>
      <c r="AA679" s="12">
        <v>0.0</v>
      </c>
      <c r="AB679" s="12">
        <v>0.0</v>
      </c>
      <c r="AC679" s="16">
        <f t="shared" si="169"/>
        <v>0</v>
      </c>
      <c r="AD679" s="12">
        <v>0.0</v>
      </c>
      <c r="AE679" s="12">
        <v>0.0</v>
      </c>
      <c r="AF679" s="12">
        <v>0.0</v>
      </c>
      <c r="AG679" s="12">
        <v>0.0</v>
      </c>
      <c r="AH679" s="12">
        <v>0.0</v>
      </c>
      <c r="AI679" s="12">
        <v>0.0</v>
      </c>
      <c r="AJ679" s="12">
        <v>0.0</v>
      </c>
      <c r="AK679" s="12">
        <v>0.0</v>
      </c>
      <c r="AL679" s="12">
        <f t="shared" si="192"/>
        <v>0</v>
      </c>
      <c r="AM679" s="12">
        <v>0.0</v>
      </c>
      <c r="AN679" s="12">
        <v>0.0</v>
      </c>
      <c r="AO679" s="12">
        <v>0.0</v>
      </c>
      <c r="AP679" s="12">
        <v>0.0</v>
      </c>
      <c r="AQ679" s="12">
        <v>0.0</v>
      </c>
      <c r="AR679" s="12">
        <v>0.0</v>
      </c>
      <c r="AS679" s="12">
        <f t="shared" si="234"/>
        <v>0</v>
      </c>
      <c r="AT679" s="5">
        <v>0.0</v>
      </c>
      <c r="AU679" s="18">
        <f t="shared" si="246"/>
        <v>546076.844</v>
      </c>
      <c r="AV679" s="12">
        <v>0.0</v>
      </c>
      <c r="AW679" s="10">
        <f t="shared" si="247"/>
        <v>134281.45</v>
      </c>
      <c r="AX679" s="12">
        <f t="shared" si="171"/>
        <v>0</v>
      </c>
      <c r="AY679" s="12">
        <f t="shared" si="208"/>
        <v>698430.774</v>
      </c>
      <c r="AZ679" s="12">
        <v>0.0</v>
      </c>
      <c r="BA679" s="18">
        <f t="shared" si="248"/>
        <v>43563.9</v>
      </c>
      <c r="BB679" s="10">
        <f t="shared" si="16"/>
        <v>995787.1861</v>
      </c>
      <c r="BC679" s="16">
        <f t="shared" si="201"/>
        <v>195027.4443</v>
      </c>
      <c r="BD679" s="12">
        <v>0.0</v>
      </c>
      <c r="BE679" s="16">
        <f t="shared" si="249"/>
        <v>18072.48</v>
      </c>
      <c r="BF679" s="6"/>
      <c r="BG679" s="6"/>
      <c r="BH679" s="6"/>
      <c r="BI679" s="29">
        <f t="shared" si="253"/>
        <v>65842.94226</v>
      </c>
      <c r="BJ679" s="6"/>
      <c r="BK679" s="15">
        <f t="shared" si="76"/>
        <v>0</v>
      </c>
      <c r="BN679" s="16">
        <f t="shared" si="187"/>
        <v>-65842.94226</v>
      </c>
      <c r="BO679" s="16">
        <f t="shared" si="250"/>
        <v>-444803.4179</v>
      </c>
      <c r="BY679" s="6">
        <f t="shared" si="2"/>
        <v>2025</v>
      </c>
      <c r="BZ679" s="6" t="str">
        <f t="shared" si="3"/>
        <v>agosto</v>
      </c>
      <c r="CA679" s="6" t="str">
        <f t="shared" si="4"/>
        <v>8</v>
      </c>
    </row>
    <row r="680">
      <c r="A680" s="8">
        <v>45887.0</v>
      </c>
      <c r="B680" s="12">
        <v>55410.3</v>
      </c>
      <c r="C680" s="12">
        <v>4153.68</v>
      </c>
      <c r="D680" s="12">
        <v>10888.0</v>
      </c>
      <c r="E680" s="12">
        <v>0.0</v>
      </c>
      <c r="F680" s="12">
        <v>0.0</v>
      </c>
      <c r="G680" s="12">
        <v>0.0</v>
      </c>
      <c r="H680" s="12">
        <f t="shared" si="149"/>
        <v>70451.98</v>
      </c>
      <c r="I680" s="12">
        <v>64122.0</v>
      </c>
      <c r="J680" s="12">
        <v>5754.72</v>
      </c>
      <c r="K680" s="12">
        <v>2443.2</v>
      </c>
      <c r="L680" s="12">
        <v>0.0</v>
      </c>
      <c r="M680" s="12">
        <v>0.0</v>
      </c>
      <c r="N680" s="12">
        <v>0.0</v>
      </c>
      <c r="O680" s="16">
        <f t="shared" si="150"/>
        <v>72319.92</v>
      </c>
      <c r="P680" s="12">
        <v>24954.02</v>
      </c>
      <c r="Q680" s="12">
        <v>725.48</v>
      </c>
      <c r="R680" s="12">
        <v>3965.3</v>
      </c>
      <c r="S680" s="12">
        <v>0.0</v>
      </c>
      <c r="T680" s="12">
        <v>0.0</v>
      </c>
      <c r="U680" s="12">
        <v>0.0</v>
      </c>
      <c r="V680" s="16">
        <f t="shared" si="151"/>
        <v>29644.8</v>
      </c>
      <c r="W680" s="12">
        <v>372.17</v>
      </c>
      <c r="X680" s="12">
        <v>0.0</v>
      </c>
      <c r="Y680" s="12">
        <v>2.65</v>
      </c>
      <c r="Z680" s="12">
        <v>0.0</v>
      </c>
      <c r="AA680" s="12">
        <v>0.0</v>
      </c>
      <c r="AB680" s="12">
        <v>0.0</v>
      </c>
      <c r="AC680" s="16">
        <f t="shared" si="169"/>
        <v>374.82</v>
      </c>
      <c r="AD680" s="12">
        <v>0.0</v>
      </c>
      <c r="AE680" s="12">
        <v>374.82</v>
      </c>
      <c r="AF680" s="12">
        <v>4442.89</v>
      </c>
      <c r="AG680" s="12">
        <v>0.0</v>
      </c>
      <c r="AH680" s="12">
        <v>0.0</v>
      </c>
      <c r="AI680" s="12">
        <v>0.0</v>
      </c>
      <c r="AJ680" s="12">
        <v>0.0</v>
      </c>
      <c r="AK680" s="12">
        <v>0.0</v>
      </c>
      <c r="AL680" s="12">
        <f t="shared" si="192"/>
        <v>4442.89</v>
      </c>
      <c r="AM680" s="12">
        <v>0.0</v>
      </c>
      <c r="AN680" s="12">
        <v>0.0</v>
      </c>
      <c r="AO680" s="12">
        <v>0.0</v>
      </c>
      <c r="AP680" s="12">
        <v>0.0</v>
      </c>
      <c r="AQ680" s="12">
        <v>0.0</v>
      </c>
      <c r="AR680" s="12">
        <v>0.0</v>
      </c>
      <c r="AS680" s="12">
        <f t="shared" si="234"/>
        <v>0</v>
      </c>
      <c r="AT680" s="16">
        <f t="shared" ref="AT680:AT684" si="254">IF(AS680+AL680+AC680+V680+O680=0,"",AS680+AL680+AC680+V680+O680)</f>
        <v>106782.43</v>
      </c>
      <c r="AU680" s="18">
        <f t="shared" si="246"/>
        <v>652859.274</v>
      </c>
      <c r="AV680" s="12">
        <v>31097.1</v>
      </c>
      <c r="AW680" s="10">
        <f t="shared" si="247"/>
        <v>165378.55</v>
      </c>
      <c r="AX680" s="12">
        <f t="shared" si="171"/>
        <v>137879.53</v>
      </c>
      <c r="AY680" s="12">
        <f t="shared" si="208"/>
        <v>836310.304</v>
      </c>
      <c r="AZ680" s="12">
        <v>6128.53</v>
      </c>
      <c r="BA680" s="18">
        <f t="shared" si="248"/>
        <v>49692.43</v>
      </c>
      <c r="BB680" s="10">
        <f t="shared" si="16"/>
        <v>1124368.75</v>
      </c>
      <c r="BC680" s="16">
        <f t="shared" si="201"/>
        <v>182025.6147</v>
      </c>
      <c r="BD680" s="12">
        <v>0.0</v>
      </c>
      <c r="BE680" s="16">
        <f t="shared" si="249"/>
        <v>18072.48</v>
      </c>
      <c r="BF680" s="6"/>
      <c r="BG680" s="6"/>
      <c r="BH680" s="6"/>
      <c r="BI680" s="29">
        <f t="shared" si="253"/>
        <v>65842.94226</v>
      </c>
      <c r="BK680" s="15">
        <f t="shared" si="76"/>
        <v>1.621774883</v>
      </c>
      <c r="BN680" s="16">
        <f t="shared" si="187"/>
        <v>72036.58774</v>
      </c>
      <c r="BO680" s="16">
        <f t="shared" si="250"/>
        <v>-372766.8302</v>
      </c>
      <c r="BY680" s="6">
        <f t="shared" si="2"/>
        <v>2025</v>
      </c>
      <c r="BZ680" s="6" t="str">
        <f t="shared" si="3"/>
        <v>agosto</v>
      </c>
      <c r="CA680" s="6" t="str">
        <f t="shared" si="4"/>
        <v>8</v>
      </c>
    </row>
    <row r="681">
      <c r="A681" s="8">
        <v>45888.0</v>
      </c>
      <c r="B681" s="12">
        <v>74569.3</v>
      </c>
      <c r="C681" s="12">
        <v>9856.0</v>
      </c>
      <c r="D681" s="12">
        <v>14755.0</v>
      </c>
      <c r="E681" s="12">
        <v>2049.6</v>
      </c>
      <c r="F681" s="12">
        <v>0.0</v>
      </c>
      <c r="G681" s="12">
        <v>0.0</v>
      </c>
      <c r="H681" s="12">
        <f t="shared" si="149"/>
        <v>101229.9</v>
      </c>
      <c r="I681" s="12">
        <v>54633.0</v>
      </c>
      <c r="J681" s="12">
        <v>1333.22</v>
      </c>
      <c r="K681" s="12">
        <v>3416.0</v>
      </c>
      <c r="L681" s="12">
        <v>3149.91</v>
      </c>
      <c r="M681" s="12">
        <v>0.0</v>
      </c>
      <c r="N681" s="12">
        <v>0.0</v>
      </c>
      <c r="O681" s="16">
        <f t="shared" si="150"/>
        <v>62532.13</v>
      </c>
      <c r="P681" s="12">
        <v>25082.95</v>
      </c>
      <c r="Q681" s="12">
        <v>1018.54</v>
      </c>
      <c r="R681" s="12">
        <v>2271.59</v>
      </c>
      <c r="S681" s="12">
        <v>0.0</v>
      </c>
      <c r="T681" s="12">
        <v>0.0</v>
      </c>
      <c r="U681" s="12">
        <v>0.0</v>
      </c>
      <c r="V681" s="16">
        <f t="shared" si="151"/>
        <v>28373.08</v>
      </c>
      <c r="W681" s="12">
        <v>11045.58</v>
      </c>
      <c r="X681" s="12">
        <v>336.72</v>
      </c>
      <c r="Y681" s="12">
        <v>0.0</v>
      </c>
      <c r="Z681" s="12">
        <v>0.0</v>
      </c>
      <c r="AA681" s="12">
        <v>0.0</v>
      </c>
      <c r="AB681" s="12">
        <v>0.0</v>
      </c>
      <c r="AC681" s="16">
        <f t="shared" si="169"/>
        <v>11382.3</v>
      </c>
      <c r="AD681" s="12">
        <v>8897.98</v>
      </c>
      <c r="AE681" s="12">
        <v>2484.32</v>
      </c>
      <c r="AF681" s="12">
        <v>7645.46</v>
      </c>
      <c r="AG681" s="12">
        <v>0.0</v>
      </c>
      <c r="AH681" s="12">
        <v>580.62</v>
      </c>
      <c r="AI681" s="12">
        <v>0.0</v>
      </c>
      <c r="AJ681" s="12">
        <v>0.0</v>
      </c>
      <c r="AK681" s="12">
        <v>0.0</v>
      </c>
      <c r="AL681" s="12">
        <f t="shared" si="192"/>
        <v>8226.08</v>
      </c>
      <c r="AM681" s="12">
        <v>9737.0</v>
      </c>
      <c r="AN681" s="12">
        <v>0.0</v>
      </c>
      <c r="AO681" s="12">
        <v>0.0</v>
      </c>
      <c r="AP681" s="12">
        <v>0.0</v>
      </c>
      <c r="AQ681" s="12">
        <v>0.0</v>
      </c>
      <c r="AR681" s="12">
        <v>0.0</v>
      </c>
      <c r="AS681" s="12">
        <f t="shared" si="234"/>
        <v>9737</v>
      </c>
      <c r="AT681" s="16">
        <f t="shared" si="254"/>
        <v>120250.59</v>
      </c>
      <c r="AU681" s="18">
        <f t="shared" si="246"/>
        <v>773109.864</v>
      </c>
      <c r="AV681" s="12">
        <v>33544.85</v>
      </c>
      <c r="AW681" s="10">
        <f t="shared" si="247"/>
        <v>198923.4</v>
      </c>
      <c r="AX681" s="12">
        <f t="shared" si="171"/>
        <v>153795.44</v>
      </c>
      <c r="AY681" s="12">
        <f t="shared" si="208"/>
        <v>992972.414</v>
      </c>
      <c r="AZ681" s="12">
        <v>13351.31</v>
      </c>
      <c r="BA681" s="18">
        <f t="shared" si="248"/>
        <v>63043.74</v>
      </c>
      <c r="BB681" s="10">
        <f t="shared" si="16"/>
        <v>1261389.778</v>
      </c>
      <c r="BC681" s="16">
        <f t="shared" si="201"/>
        <v>170649.0138</v>
      </c>
      <c r="BD681" s="12">
        <v>2866.67</v>
      </c>
      <c r="BE681" s="16">
        <f t="shared" si="249"/>
        <v>20939.15</v>
      </c>
      <c r="BF681" s="6"/>
      <c r="BG681" s="6"/>
      <c r="BH681" s="6"/>
      <c r="BI681" s="29">
        <f t="shared" si="253"/>
        <v>65842.94226</v>
      </c>
      <c r="BK681" s="15">
        <f t="shared" si="76"/>
        <v>1.826324673</v>
      </c>
      <c r="BN681" s="16">
        <f t="shared" si="187"/>
        <v>90819.16774</v>
      </c>
      <c r="BO681" s="16">
        <f t="shared" si="250"/>
        <v>-281947.6625</v>
      </c>
      <c r="BY681" s="6">
        <f t="shared" si="2"/>
        <v>2025</v>
      </c>
      <c r="BZ681" s="6" t="str">
        <f t="shared" si="3"/>
        <v>agosto</v>
      </c>
      <c r="CA681" s="6" t="str">
        <f t="shared" si="4"/>
        <v>8</v>
      </c>
    </row>
    <row r="682">
      <c r="A682" s="8">
        <v>45889.0</v>
      </c>
      <c r="B682" s="12">
        <v>5332.65</v>
      </c>
      <c r="C682" s="12">
        <v>1000.2</v>
      </c>
      <c r="D682" s="12">
        <v>3211.0</v>
      </c>
      <c r="E682" s="12">
        <v>0.0</v>
      </c>
      <c r="F682" s="12">
        <v>0.0</v>
      </c>
      <c r="G682" s="12">
        <v>0.0</v>
      </c>
      <c r="H682" s="12">
        <f t="shared" si="149"/>
        <v>9543.85</v>
      </c>
      <c r="I682" s="12">
        <v>8412.0</v>
      </c>
      <c r="J682" s="12">
        <v>1000.2</v>
      </c>
      <c r="K682" s="12">
        <v>1114.28</v>
      </c>
      <c r="L682" s="12">
        <v>0.0</v>
      </c>
      <c r="M682" s="12">
        <v>0.0</v>
      </c>
      <c r="N682" s="12">
        <v>0.0</v>
      </c>
      <c r="O682" s="16">
        <f t="shared" si="150"/>
        <v>10526.48</v>
      </c>
      <c r="P682" s="12">
        <v>3174.65</v>
      </c>
      <c r="Q682" s="12">
        <v>266.05</v>
      </c>
      <c r="R682" s="12">
        <v>919.9</v>
      </c>
      <c r="S682" s="12">
        <v>0.0</v>
      </c>
      <c r="T682" s="12">
        <v>0.0</v>
      </c>
      <c r="U682" s="12">
        <v>0.0</v>
      </c>
      <c r="V682" s="16">
        <f t="shared" si="151"/>
        <v>4360.6</v>
      </c>
      <c r="W682" s="12">
        <v>11758.63</v>
      </c>
      <c r="X682" s="12">
        <v>0.0</v>
      </c>
      <c r="Y682" s="12">
        <v>19831.48</v>
      </c>
      <c r="Z682" s="12">
        <v>0.0</v>
      </c>
      <c r="AA682" s="12">
        <v>0.0</v>
      </c>
      <c r="AB682" s="12">
        <v>0.0</v>
      </c>
      <c r="AC682" s="16">
        <f t="shared" si="169"/>
        <v>31590.11</v>
      </c>
      <c r="AD682" s="12">
        <v>30926.78</v>
      </c>
      <c r="AE682" s="12">
        <v>663.33</v>
      </c>
      <c r="AF682" s="12">
        <v>1834.98</v>
      </c>
      <c r="AG682" s="12">
        <v>0.0</v>
      </c>
      <c r="AH682" s="12">
        <v>401.25</v>
      </c>
      <c r="AI682" s="12">
        <v>0.0</v>
      </c>
      <c r="AJ682" s="12">
        <v>0.0</v>
      </c>
      <c r="AK682" s="12">
        <v>0.0</v>
      </c>
      <c r="AL682" s="12">
        <f t="shared" si="192"/>
        <v>2236.23</v>
      </c>
      <c r="AM682" s="12">
        <v>12602.0</v>
      </c>
      <c r="AN682" s="12">
        <v>0.0</v>
      </c>
      <c r="AO682" s="12">
        <v>32961.0</v>
      </c>
      <c r="AP682" s="12">
        <v>0.0</v>
      </c>
      <c r="AQ682" s="12">
        <v>0.0</v>
      </c>
      <c r="AR682" s="12">
        <v>0.0</v>
      </c>
      <c r="AS682" s="12">
        <f t="shared" si="234"/>
        <v>45563</v>
      </c>
      <c r="AT682" s="16">
        <f t="shared" si="254"/>
        <v>94276.42</v>
      </c>
      <c r="AU682" s="18">
        <f t="shared" si="246"/>
        <v>867386.284</v>
      </c>
      <c r="AV682" s="12">
        <v>5179.47</v>
      </c>
      <c r="AW682" s="10">
        <f t="shared" si="247"/>
        <v>204102.87</v>
      </c>
      <c r="AX682" s="12">
        <f t="shared" si="171"/>
        <v>99455.89</v>
      </c>
      <c r="AY682" s="12">
        <f t="shared" si="208"/>
        <v>1108753.544</v>
      </c>
      <c r="AZ682" s="12">
        <v>906.24</v>
      </c>
      <c r="BA682" s="18">
        <f t="shared" si="248"/>
        <v>63949.98</v>
      </c>
      <c r="BB682" s="10">
        <f t="shared" si="16"/>
        <v>1344448.74</v>
      </c>
      <c r="BC682" s="16">
        <f t="shared" si="201"/>
        <v>160610.8365</v>
      </c>
      <c r="BD682" s="12">
        <v>16325.24</v>
      </c>
      <c r="BE682" s="16">
        <f t="shared" si="249"/>
        <v>37264.39</v>
      </c>
      <c r="BF682" s="6"/>
      <c r="BG682" s="6"/>
      <c r="BH682" s="6"/>
      <c r="BI682" s="29">
        <f t="shared" si="253"/>
        <v>65842.94226</v>
      </c>
      <c r="BK682" s="15">
        <f t="shared" si="76"/>
        <v>1.431837897</v>
      </c>
      <c r="BN682" s="16">
        <f t="shared" si="187"/>
        <v>49938.18774</v>
      </c>
      <c r="BO682" s="16">
        <f t="shared" si="250"/>
        <v>-232009.4747</v>
      </c>
      <c r="BY682" s="6">
        <f t="shared" si="2"/>
        <v>2025</v>
      </c>
      <c r="BZ682" s="6" t="str">
        <f t="shared" si="3"/>
        <v>agosto</v>
      </c>
      <c r="CA682" s="6" t="str">
        <f t="shared" si="4"/>
        <v>8</v>
      </c>
    </row>
    <row r="683">
      <c r="A683" s="8">
        <v>45890.0</v>
      </c>
      <c r="B683" s="12">
        <v>41236.0</v>
      </c>
      <c r="C683" s="12">
        <v>4125.0</v>
      </c>
      <c r="D683" s="12">
        <v>8166.63</v>
      </c>
      <c r="E683" s="12">
        <v>0.0</v>
      </c>
      <c r="F683" s="12">
        <v>0.0</v>
      </c>
      <c r="G683" s="12">
        <v>0.0</v>
      </c>
      <c r="H683" s="12">
        <f t="shared" si="149"/>
        <v>53527.63</v>
      </c>
      <c r="I683" s="12">
        <v>28963.0</v>
      </c>
      <c r="J683" s="12">
        <v>1002.3</v>
      </c>
      <c r="K683" s="12">
        <v>2941.69</v>
      </c>
      <c r="L683" s="12">
        <v>0.0</v>
      </c>
      <c r="M683" s="12">
        <v>0.0</v>
      </c>
      <c r="N683" s="12">
        <v>0.0</v>
      </c>
      <c r="O683" s="16">
        <f t="shared" si="150"/>
        <v>32906.99</v>
      </c>
      <c r="P683" s="12">
        <v>6849.53</v>
      </c>
      <c r="Q683" s="12">
        <v>767.03</v>
      </c>
      <c r="R683" s="12">
        <v>741.32</v>
      </c>
      <c r="S683" s="12">
        <v>0.0</v>
      </c>
      <c r="T683" s="12">
        <v>0.0</v>
      </c>
      <c r="U683" s="12">
        <v>0.0</v>
      </c>
      <c r="V683" s="16">
        <f t="shared" si="151"/>
        <v>8357.88</v>
      </c>
      <c r="W683" s="12">
        <v>2595.95</v>
      </c>
      <c r="X683" s="12">
        <v>0.0</v>
      </c>
      <c r="Y683" s="12">
        <v>4058.07</v>
      </c>
      <c r="Z683" s="12">
        <v>0.0</v>
      </c>
      <c r="AA683" s="12">
        <v>0.0</v>
      </c>
      <c r="AB683" s="12">
        <v>0.0</v>
      </c>
      <c r="AC683" s="16">
        <f t="shared" si="169"/>
        <v>6654.02</v>
      </c>
      <c r="AD683" s="12">
        <v>6411.8</v>
      </c>
      <c r="AE683" s="12">
        <v>242.23</v>
      </c>
      <c r="AF683" s="12">
        <v>3399.0</v>
      </c>
      <c r="AG683" s="12">
        <v>0.0</v>
      </c>
      <c r="AH683" s="12">
        <v>0.0</v>
      </c>
      <c r="AI683" s="12">
        <v>0.0</v>
      </c>
      <c r="AJ683" s="12">
        <v>0.0</v>
      </c>
      <c r="AK683" s="12">
        <v>0.0</v>
      </c>
      <c r="AL683" s="12">
        <f t="shared" si="192"/>
        <v>3399</v>
      </c>
      <c r="AM683" s="12">
        <v>1873.0</v>
      </c>
      <c r="AN683" s="12">
        <v>0.0</v>
      </c>
      <c r="AO683" s="12">
        <v>6571.0</v>
      </c>
      <c r="AP683" s="12">
        <v>0.0</v>
      </c>
      <c r="AQ683" s="12">
        <v>0.0</v>
      </c>
      <c r="AR683" s="12">
        <v>0.0</v>
      </c>
      <c r="AS683" s="12">
        <f t="shared" si="234"/>
        <v>8444</v>
      </c>
      <c r="AT683" s="16">
        <f t="shared" si="254"/>
        <v>59761.89</v>
      </c>
      <c r="AU683" s="18">
        <f t="shared" si="246"/>
        <v>927148.174</v>
      </c>
      <c r="AV683" s="12">
        <v>14240.84</v>
      </c>
      <c r="AW683" s="10">
        <f t="shared" si="247"/>
        <v>218343.71</v>
      </c>
      <c r="AX683" s="12">
        <f t="shared" si="171"/>
        <v>74002.73</v>
      </c>
      <c r="AY683" s="12">
        <f t="shared" si="208"/>
        <v>1185338.134</v>
      </c>
      <c r="AZ683" s="12">
        <v>1434.29</v>
      </c>
      <c r="BA683" s="18">
        <f t="shared" si="248"/>
        <v>65384.27</v>
      </c>
      <c r="BB683" s="10">
        <f t="shared" si="16"/>
        <v>1368647.304</v>
      </c>
      <c r="BC683" s="16">
        <f t="shared" si="201"/>
        <v>181349.7983</v>
      </c>
      <c r="BD683" s="12">
        <v>2581.86</v>
      </c>
      <c r="BE683" s="16">
        <f t="shared" si="249"/>
        <v>39846.25</v>
      </c>
      <c r="BF683" s="6"/>
      <c r="BG683" s="6"/>
      <c r="BH683" s="6"/>
      <c r="BI683" s="29">
        <f t="shared" si="253"/>
        <v>65842.94226</v>
      </c>
      <c r="BJ683" s="6"/>
      <c r="BK683" s="15">
        <f t="shared" si="76"/>
        <v>0.9076430662</v>
      </c>
      <c r="BN683" s="16">
        <f t="shared" si="187"/>
        <v>10741.64774</v>
      </c>
      <c r="BO683" s="16">
        <f t="shared" si="250"/>
        <v>-221267.827</v>
      </c>
      <c r="BY683" s="6">
        <f t="shared" si="2"/>
        <v>2025</v>
      </c>
      <c r="BZ683" s="6" t="str">
        <f t="shared" si="3"/>
        <v>agosto</v>
      </c>
      <c r="CA683" s="6" t="str">
        <f t="shared" si="4"/>
        <v>8</v>
      </c>
    </row>
    <row r="684">
      <c r="A684" s="8">
        <v>45891.0</v>
      </c>
      <c r="B684" s="12">
        <v>27829.0</v>
      </c>
      <c r="C684" s="12">
        <v>2436.0</v>
      </c>
      <c r="D684" s="12">
        <v>2431.58</v>
      </c>
      <c r="E684" s="12">
        <v>1288.0</v>
      </c>
      <c r="F684" s="12">
        <v>0.0</v>
      </c>
      <c r="G684" s="12">
        <v>0.0</v>
      </c>
      <c r="H684" s="12">
        <f t="shared" si="149"/>
        <v>33984.58</v>
      </c>
      <c r="I684" s="12">
        <v>10243.0</v>
      </c>
      <c r="J684" s="12">
        <v>2013.0</v>
      </c>
      <c r="K684" s="12">
        <v>2754.91</v>
      </c>
      <c r="L684" s="12">
        <v>0.0</v>
      </c>
      <c r="M684" s="12">
        <v>0.0</v>
      </c>
      <c r="N684" s="12">
        <v>0.0</v>
      </c>
      <c r="O684" s="16">
        <f t="shared" si="150"/>
        <v>15010.91</v>
      </c>
      <c r="P684" s="12">
        <v>8837.55</v>
      </c>
      <c r="Q684" s="12">
        <v>2742.35</v>
      </c>
      <c r="R684" s="12">
        <v>1338.37</v>
      </c>
      <c r="S684" s="12">
        <v>0.0</v>
      </c>
      <c r="T684" s="12">
        <v>0.0</v>
      </c>
      <c r="U684" s="12">
        <v>0.0</v>
      </c>
      <c r="V684" s="16">
        <f t="shared" si="151"/>
        <v>12918.27</v>
      </c>
      <c r="W684" s="12">
        <v>538.32</v>
      </c>
      <c r="X684" s="12">
        <v>4209.38</v>
      </c>
      <c r="Y684" s="12">
        <v>4823.58</v>
      </c>
      <c r="Z684" s="12">
        <v>232.01</v>
      </c>
      <c r="AA684" s="12">
        <v>0.0</v>
      </c>
      <c r="AB684" s="12">
        <v>0.0</v>
      </c>
      <c r="AC684" s="16">
        <f t="shared" si="169"/>
        <v>9803.29</v>
      </c>
      <c r="AD684" s="12">
        <v>4823.58</v>
      </c>
      <c r="AE684" s="12">
        <v>4979.71</v>
      </c>
      <c r="AF684" s="12">
        <v>0.0</v>
      </c>
      <c r="AG684" s="12">
        <v>3281.58</v>
      </c>
      <c r="AH684" s="12">
        <v>0.0</v>
      </c>
      <c r="AI684" s="12">
        <v>0.0</v>
      </c>
      <c r="AJ684" s="12">
        <v>0.0</v>
      </c>
      <c r="AK684" s="12">
        <v>0.0</v>
      </c>
      <c r="AL684" s="12">
        <f t="shared" si="192"/>
        <v>3281.58</v>
      </c>
      <c r="AM684" s="12">
        <v>0.0</v>
      </c>
      <c r="AN684" s="12">
        <v>0.0</v>
      </c>
      <c r="AO684" s="12">
        <v>8024.0</v>
      </c>
      <c r="AP684" s="12">
        <v>0.0</v>
      </c>
      <c r="AQ684" s="12">
        <v>0.0</v>
      </c>
      <c r="AR684" s="12">
        <v>0.0</v>
      </c>
      <c r="AS684" s="12">
        <f t="shared" si="234"/>
        <v>8024</v>
      </c>
      <c r="AT684" s="16">
        <f t="shared" si="254"/>
        <v>49038.05</v>
      </c>
      <c r="AU684" s="18">
        <f t="shared" si="246"/>
        <v>976186.224</v>
      </c>
      <c r="AV684" s="12">
        <v>12245.79</v>
      </c>
      <c r="AW684" s="10">
        <f t="shared" si="247"/>
        <v>230589.5</v>
      </c>
      <c r="AX684" s="12">
        <f t="shared" si="171"/>
        <v>61283.84</v>
      </c>
      <c r="AY684" s="12">
        <f t="shared" si="208"/>
        <v>1248023.414</v>
      </c>
      <c r="AZ684" s="12">
        <v>8646.85</v>
      </c>
      <c r="BA684" s="18">
        <f t="shared" si="248"/>
        <v>74031.12</v>
      </c>
      <c r="BB684" s="10">
        <f t="shared" si="16"/>
        <v>1375535.134</v>
      </c>
      <c r="BC684" s="16">
        <f t="shared" si="201"/>
        <v>203449.9642</v>
      </c>
      <c r="BD684" s="12">
        <v>1401.44</v>
      </c>
      <c r="BE684" s="16">
        <f t="shared" si="249"/>
        <v>41247.69</v>
      </c>
      <c r="BF684" s="6"/>
      <c r="BG684" s="6"/>
      <c r="BH684" s="6"/>
      <c r="BI684" s="29">
        <f t="shared" si="253"/>
        <v>65842.94226</v>
      </c>
      <c r="BJ684" s="6"/>
      <c r="BK684" s="15">
        <f t="shared" si="76"/>
        <v>0.7447730663</v>
      </c>
      <c r="BN684" s="16">
        <f t="shared" si="187"/>
        <v>-3157.662258</v>
      </c>
      <c r="BO684" s="16">
        <f t="shared" si="250"/>
        <v>-224425.4892</v>
      </c>
      <c r="BY684" s="6">
        <f t="shared" si="2"/>
        <v>2025</v>
      </c>
      <c r="BZ684" s="6" t="str">
        <f t="shared" si="3"/>
        <v>agosto</v>
      </c>
      <c r="CA684" s="6" t="str">
        <f t="shared" si="4"/>
        <v>8</v>
      </c>
    </row>
    <row r="685">
      <c r="A685" s="8">
        <v>45892.0</v>
      </c>
      <c r="B685" s="12">
        <v>0.0</v>
      </c>
      <c r="C685" s="12">
        <v>0.0</v>
      </c>
      <c r="D685" s="12">
        <v>0.0</v>
      </c>
      <c r="E685" s="12">
        <v>0.0</v>
      </c>
      <c r="F685" s="12">
        <v>0.0</v>
      </c>
      <c r="G685" s="12">
        <v>0.0</v>
      </c>
      <c r="H685" s="12">
        <f t="shared" si="149"/>
        <v>0</v>
      </c>
      <c r="I685" s="12">
        <v>0.0</v>
      </c>
      <c r="J685" s="12">
        <v>0.0</v>
      </c>
      <c r="K685" s="12">
        <v>0.0</v>
      </c>
      <c r="L685" s="12">
        <v>0.0</v>
      </c>
      <c r="M685" s="12">
        <v>0.0</v>
      </c>
      <c r="N685" s="12">
        <v>0.0</v>
      </c>
      <c r="O685" s="16">
        <f t="shared" si="150"/>
        <v>0</v>
      </c>
      <c r="P685" s="12">
        <v>0.0</v>
      </c>
      <c r="Q685" s="12">
        <v>0.0</v>
      </c>
      <c r="R685" s="12">
        <v>0.0</v>
      </c>
      <c r="S685" s="12">
        <v>0.0</v>
      </c>
      <c r="T685" s="12">
        <v>0.0</v>
      </c>
      <c r="U685" s="12">
        <v>0.0</v>
      </c>
      <c r="V685" s="16">
        <f t="shared" si="151"/>
        <v>0</v>
      </c>
      <c r="W685" s="12">
        <v>0.0</v>
      </c>
      <c r="X685" s="12">
        <v>0.0</v>
      </c>
      <c r="Y685" s="12">
        <v>0.0</v>
      </c>
      <c r="Z685" s="12">
        <v>0.0</v>
      </c>
      <c r="AA685" s="12">
        <v>0.0</v>
      </c>
      <c r="AB685" s="12">
        <v>0.0</v>
      </c>
      <c r="AC685" s="16">
        <f t="shared" si="169"/>
        <v>0</v>
      </c>
      <c r="AD685" s="12">
        <v>0.0</v>
      </c>
      <c r="AE685" s="12">
        <v>0.0</v>
      </c>
      <c r="AF685" s="12">
        <v>0.0</v>
      </c>
      <c r="AG685" s="12">
        <v>0.0</v>
      </c>
      <c r="AH685" s="12">
        <v>0.0</v>
      </c>
      <c r="AI685" s="12">
        <v>0.0</v>
      </c>
      <c r="AJ685" s="12">
        <v>0.0</v>
      </c>
      <c r="AK685" s="12">
        <v>0.0</v>
      </c>
      <c r="AL685" s="12">
        <f t="shared" si="192"/>
        <v>0</v>
      </c>
      <c r="AM685" s="12">
        <v>0.0</v>
      </c>
      <c r="AN685" s="12">
        <v>0.0</v>
      </c>
      <c r="AO685" s="12">
        <v>0.0</v>
      </c>
      <c r="AP685" s="12">
        <v>0.0</v>
      </c>
      <c r="AQ685" s="12">
        <v>0.0</v>
      </c>
      <c r="AR685" s="12">
        <v>0.0</v>
      </c>
      <c r="AS685" s="12">
        <f t="shared" si="234"/>
        <v>0</v>
      </c>
      <c r="AT685" s="12">
        <v>0.0</v>
      </c>
      <c r="AU685" s="18">
        <f t="shared" si="246"/>
        <v>976186.224</v>
      </c>
      <c r="AV685" s="12">
        <v>0.0</v>
      </c>
      <c r="AW685" s="10">
        <f t="shared" si="247"/>
        <v>230589.5</v>
      </c>
      <c r="AX685" s="12">
        <f t="shared" si="171"/>
        <v>0</v>
      </c>
      <c r="AY685" s="12">
        <f t="shared" si="208"/>
        <v>1248023.414</v>
      </c>
      <c r="AZ685" s="12">
        <v>0.0</v>
      </c>
      <c r="BA685" s="18">
        <f t="shared" si="248"/>
        <v>74031.12</v>
      </c>
      <c r="BB685" s="10">
        <f t="shared" si="16"/>
        <v>1315729.258</v>
      </c>
      <c r="BC685" s="16">
        <f t="shared" si="201"/>
        <v>216846.571</v>
      </c>
      <c r="BD685" s="12">
        <v>0.0</v>
      </c>
      <c r="BE685" s="16">
        <f t="shared" si="249"/>
        <v>41247.69</v>
      </c>
      <c r="BF685" s="6"/>
      <c r="BG685" s="6"/>
      <c r="BH685" s="6"/>
      <c r="BI685" s="29">
        <f t="shared" si="253"/>
        <v>65842.94226</v>
      </c>
      <c r="BJ685" s="6"/>
      <c r="BK685" s="15">
        <f t="shared" si="76"/>
        <v>0</v>
      </c>
      <c r="BN685" s="16">
        <f t="shared" si="187"/>
        <v>-65842.94226</v>
      </c>
      <c r="BO685" s="16">
        <f t="shared" si="250"/>
        <v>-290268.4315</v>
      </c>
      <c r="BY685" s="6">
        <f t="shared" si="2"/>
        <v>2025</v>
      </c>
      <c r="BZ685" s="6" t="str">
        <f t="shared" si="3"/>
        <v>agosto</v>
      </c>
      <c r="CA685" s="6" t="str">
        <f t="shared" si="4"/>
        <v>8</v>
      </c>
    </row>
    <row r="686">
      <c r="A686" s="8">
        <v>45893.0</v>
      </c>
      <c r="B686" s="12">
        <v>0.0</v>
      </c>
      <c r="C686" s="12">
        <v>0.0</v>
      </c>
      <c r="D686" s="12">
        <v>0.0</v>
      </c>
      <c r="E686" s="12">
        <v>0.0</v>
      </c>
      <c r="F686" s="12">
        <v>0.0</v>
      </c>
      <c r="G686" s="12">
        <v>0.0</v>
      </c>
      <c r="H686" s="12">
        <f t="shared" si="149"/>
        <v>0</v>
      </c>
      <c r="I686" s="12">
        <v>0.0</v>
      </c>
      <c r="J686" s="12">
        <v>0.0</v>
      </c>
      <c r="K686" s="12">
        <v>0.0</v>
      </c>
      <c r="L686" s="12">
        <v>0.0</v>
      </c>
      <c r="M686" s="12">
        <v>0.0</v>
      </c>
      <c r="N686" s="12">
        <v>0.0</v>
      </c>
      <c r="O686" s="16">
        <f t="shared" si="150"/>
        <v>0</v>
      </c>
      <c r="P686" s="12">
        <v>0.0</v>
      </c>
      <c r="Q686" s="12">
        <v>0.0</v>
      </c>
      <c r="R686" s="12">
        <v>0.0</v>
      </c>
      <c r="S686" s="12">
        <v>0.0</v>
      </c>
      <c r="T686" s="12">
        <v>0.0</v>
      </c>
      <c r="U686" s="12">
        <v>0.0</v>
      </c>
      <c r="V686" s="16">
        <f t="shared" si="151"/>
        <v>0</v>
      </c>
      <c r="W686" s="12">
        <v>0.0</v>
      </c>
      <c r="X686" s="12">
        <v>0.0</v>
      </c>
      <c r="Y686" s="12">
        <v>0.0</v>
      </c>
      <c r="Z686" s="12">
        <v>0.0</v>
      </c>
      <c r="AA686" s="12">
        <v>0.0</v>
      </c>
      <c r="AB686" s="12">
        <v>0.0</v>
      </c>
      <c r="AC686" s="16">
        <f t="shared" si="169"/>
        <v>0</v>
      </c>
      <c r="AD686" s="12">
        <v>0.0</v>
      </c>
      <c r="AE686" s="12">
        <v>0.0</v>
      </c>
      <c r="AF686" s="12">
        <v>0.0</v>
      </c>
      <c r="AG686" s="12">
        <v>0.0</v>
      </c>
      <c r="AH686" s="12">
        <v>0.0</v>
      </c>
      <c r="AI686" s="12">
        <v>0.0</v>
      </c>
      <c r="AJ686" s="12">
        <v>0.0</v>
      </c>
      <c r="AK686" s="12">
        <v>0.0</v>
      </c>
      <c r="AL686" s="12">
        <f t="shared" si="192"/>
        <v>0</v>
      </c>
      <c r="AM686" s="12">
        <v>0.0</v>
      </c>
      <c r="AN686" s="12">
        <v>0.0</v>
      </c>
      <c r="AO686" s="12">
        <v>0.0</v>
      </c>
      <c r="AP686" s="12">
        <v>0.0</v>
      </c>
      <c r="AQ686" s="12">
        <v>0.0</v>
      </c>
      <c r="AR686" s="12">
        <v>0.0</v>
      </c>
      <c r="AS686" s="12">
        <f t="shared" si="234"/>
        <v>0</v>
      </c>
      <c r="AT686" s="12">
        <v>0.0</v>
      </c>
      <c r="AU686" s="18">
        <f t="shared" si="246"/>
        <v>976186.224</v>
      </c>
      <c r="AV686" s="12">
        <v>0.0</v>
      </c>
      <c r="AW686" s="10">
        <f t="shared" si="247"/>
        <v>230589.5</v>
      </c>
      <c r="AX686" s="12">
        <f t="shared" si="171"/>
        <v>0</v>
      </c>
      <c r="AY686" s="12">
        <f t="shared" si="208"/>
        <v>1248023.414</v>
      </c>
      <c r="AZ686" s="12">
        <v>0.0</v>
      </c>
      <c r="BA686" s="18">
        <f t="shared" si="248"/>
        <v>74031.12</v>
      </c>
      <c r="BB686" s="10">
        <f t="shared" si="16"/>
        <v>1260907.206</v>
      </c>
      <c r="BC686" s="16">
        <f t="shared" si="201"/>
        <v>220749.5652</v>
      </c>
      <c r="BD686" s="12">
        <v>0.0</v>
      </c>
      <c r="BE686" s="16">
        <f t="shared" si="249"/>
        <v>41247.69</v>
      </c>
      <c r="BF686" s="6"/>
      <c r="BG686" s="6"/>
      <c r="BH686" s="6"/>
      <c r="BI686" s="29">
        <f t="shared" si="253"/>
        <v>65842.94226</v>
      </c>
      <c r="BJ686" s="6"/>
      <c r="BK686" s="15">
        <f t="shared" si="76"/>
        <v>0</v>
      </c>
      <c r="BN686" s="16">
        <f t="shared" si="187"/>
        <v>-65842.94226</v>
      </c>
      <c r="BO686" s="16">
        <f t="shared" si="250"/>
        <v>-356111.3737</v>
      </c>
      <c r="BY686" s="6">
        <f t="shared" si="2"/>
        <v>2025</v>
      </c>
      <c r="BZ686" s="6" t="str">
        <f t="shared" si="3"/>
        <v>agosto</v>
      </c>
      <c r="CA686" s="6" t="str">
        <f t="shared" si="4"/>
        <v>8</v>
      </c>
    </row>
    <row r="687">
      <c r="A687" s="8">
        <v>45894.0</v>
      </c>
      <c r="B687" s="12">
        <v>26983.97</v>
      </c>
      <c r="C687" s="12">
        <v>0.0</v>
      </c>
      <c r="D687" s="12">
        <v>8546.0</v>
      </c>
      <c r="E687" s="12">
        <v>0.0</v>
      </c>
      <c r="F687" s="12">
        <v>0.0</v>
      </c>
      <c r="G687" s="12">
        <v>0.0</v>
      </c>
      <c r="H687" s="12">
        <f t="shared" si="149"/>
        <v>35529.97</v>
      </c>
      <c r="I687" s="12">
        <v>9727.4</v>
      </c>
      <c r="J687" s="12">
        <v>0.0</v>
      </c>
      <c r="K687" s="12">
        <v>9666.0</v>
      </c>
      <c r="L687" s="12">
        <v>0.0</v>
      </c>
      <c r="M687" s="12">
        <v>0.0</v>
      </c>
      <c r="N687" s="12">
        <v>0.0</v>
      </c>
      <c r="O687" s="16">
        <f t="shared" si="150"/>
        <v>19393.4</v>
      </c>
      <c r="P687" s="12">
        <v>8756.06</v>
      </c>
      <c r="Q687" s="12">
        <v>0.0</v>
      </c>
      <c r="R687" s="12">
        <v>861.82</v>
      </c>
      <c r="S687" s="12">
        <v>0.0</v>
      </c>
      <c r="T687" s="12">
        <v>0.0</v>
      </c>
      <c r="U687" s="12">
        <v>0.0</v>
      </c>
      <c r="V687" s="16">
        <f t="shared" si="151"/>
        <v>9617.88</v>
      </c>
      <c r="W687" s="12">
        <v>377.96</v>
      </c>
      <c r="X687" s="12">
        <v>0.0</v>
      </c>
      <c r="Y687" s="12">
        <v>5481.23</v>
      </c>
      <c r="Z687" s="12">
        <v>0.0</v>
      </c>
      <c r="AA687" s="12">
        <v>0.0</v>
      </c>
      <c r="AB687" s="12">
        <v>0.0</v>
      </c>
      <c r="AC687" s="16">
        <f t="shared" si="169"/>
        <v>5859.19</v>
      </c>
      <c r="AD687" s="12">
        <v>5480.77</v>
      </c>
      <c r="AE687" s="12">
        <v>378.42</v>
      </c>
      <c r="AF687" s="12">
        <v>3243.37</v>
      </c>
      <c r="AG687" s="12">
        <v>0.0</v>
      </c>
      <c r="AH687" s="12">
        <v>0.0</v>
      </c>
      <c r="AI687" s="12">
        <v>0.0</v>
      </c>
      <c r="AJ687" s="12">
        <v>0.0</v>
      </c>
      <c r="AK687" s="12">
        <v>0.0</v>
      </c>
      <c r="AL687" s="12">
        <f t="shared" si="192"/>
        <v>3243.37</v>
      </c>
      <c r="AM687" s="12">
        <v>0.0</v>
      </c>
      <c r="AN687" s="12">
        <v>0.0</v>
      </c>
      <c r="AO687" s="12">
        <v>9677.0</v>
      </c>
      <c r="AP687" s="12">
        <v>0.0</v>
      </c>
      <c r="AQ687" s="12">
        <v>0.0</v>
      </c>
      <c r="AR687" s="12">
        <v>0.0</v>
      </c>
      <c r="AS687" s="12">
        <f t="shared" si="234"/>
        <v>9677</v>
      </c>
      <c r="AT687" s="16">
        <f t="shared" ref="AT687:AT691" si="255">IF(AS687+AL687+AC687+V687+O687=0,"",AS687+AL687+AC687+V687+O687)</f>
        <v>47790.84</v>
      </c>
      <c r="AU687" s="18">
        <f t="shared" si="246"/>
        <v>1023977.064</v>
      </c>
      <c r="AV687" s="12">
        <v>12925.44</v>
      </c>
      <c r="AW687" s="10">
        <f t="shared" si="247"/>
        <v>243514.94</v>
      </c>
      <c r="AX687" s="12">
        <f t="shared" si="171"/>
        <v>60716.28</v>
      </c>
      <c r="AY687" s="12">
        <f t="shared" si="208"/>
        <v>1310235.814</v>
      </c>
      <c r="AZ687" s="12">
        <v>1565.47</v>
      </c>
      <c r="BA687" s="18">
        <f t="shared" si="248"/>
        <v>75596.59</v>
      </c>
      <c r="BB687" s="10">
        <f t="shared" si="16"/>
        <v>1269731.559</v>
      </c>
      <c r="BC687" s="16">
        <f t="shared" si="201"/>
        <v>221860.5055</v>
      </c>
      <c r="BD687" s="12">
        <v>1496.12</v>
      </c>
      <c r="BE687" s="16">
        <f t="shared" si="249"/>
        <v>42743.81</v>
      </c>
      <c r="BF687" s="6"/>
      <c r="BG687" s="6"/>
      <c r="BH687" s="6"/>
      <c r="BI687" s="29">
        <f t="shared" si="253"/>
        <v>65842.94226</v>
      </c>
      <c r="BJ687" s="6"/>
      <c r="BK687" s="15">
        <f t="shared" si="76"/>
        <v>0.7258308691</v>
      </c>
      <c r="BN687" s="16">
        <f t="shared" si="187"/>
        <v>-3630.542258</v>
      </c>
      <c r="BO687" s="16">
        <f t="shared" si="250"/>
        <v>-359741.916</v>
      </c>
      <c r="BY687" s="6">
        <f t="shared" si="2"/>
        <v>2025</v>
      </c>
      <c r="BZ687" s="6" t="str">
        <f t="shared" si="3"/>
        <v>agosto</v>
      </c>
      <c r="CA687" s="6" t="str">
        <f t="shared" si="4"/>
        <v>8</v>
      </c>
    </row>
    <row r="688">
      <c r="A688" s="8">
        <v>45895.0</v>
      </c>
      <c r="B688" s="12">
        <v>20126.0</v>
      </c>
      <c r="C688" s="12">
        <v>2153.0</v>
      </c>
      <c r="D688" s="12">
        <v>2859.72</v>
      </c>
      <c r="E688" s="12">
        <v>1400.03</v>
      </c>
      <c r="F688" s="12">
        <v>0.0</v>
      </c>
      <c r="G688" s="12">
        <v>0.0</v>
      </c>
      <c r="H688" s="12">
        <f t="shared" si="149"/>
        <v>26538.75</v>
      </c>
      <c r="I688" s="12">
        <v>12456.3</v>
      </c>
      <c r="J688" s="12">
        <v>1000.0</v>
      </c>
      <c r="K688" s="12">
        <v>1426.0</v>
      </c>
      <c r="L688" s="12">
        <v>1398.07</v>
      </c>
      <c r="M688" s="12">
        <v>0.0</v>
      </c>
      <c r="N688" s="12">
        <v>0.0</v>
      </c>
      <c r="O688" s="16">
        <f t="shared" si="150"/>
        <v>16280.37</v>
      </c>
      <c r="P688" s="12">
        <v>7755.76</v>
      </c>
      <c r="Q688" s="12">
        <v>915.7</v>
      </c>
      <c r="R688" s="12">
        <v>485.11</v>
      </c>
      <c r="S688" s="12">
        <v>0.0</v>
      </c>
      <c r="T688" s="12">
        <v>0.0</v>
      </c>
      <c r="U688" s="12">
        <v>0.0</v>
      </c>
      <c r="V688" s="16">
        <f t="shared" si="151"/>
        <v>9156.57</v>
      </c>
      <c r="W688" s="12">
        <v>4132.34</v>
      </c>
      <c r="X688" s="12">
        <v>213.24</v>
      </c>
      <c r="Y688" s="12">
        <v>5486.77</v>
      </c>
      <c r="Z688" s="12">
        <v>0.0</v>
      </c>
      <c r="AA688" s="12">
        <v>0.0</v>
      </c>
      <c r="AB688" s="12">
        <v>0.0</v>
      </c>
      <c r="AC688" s="16">
        <f t="shared" si="169"/>
        <v>9832.35</v>
      </c>
      <c r="AD688" s="12">
        <v>8430.42</v>
      </c>
      <c r="AE688" s="12">
        <v>1401.93</v>
      </c>
      <c r="AF688" s="12">
        <v>4359.72</v>
      </c>
      <c r="AG688" s="12">
        <v>0.0</v>
      </c>
      <c r="AH688" s="12">
        <v>0.0</v>
      </c>
      <c r="AI688" s="12">
        <v>0.0</v>
      </c>
      <c r="AJ688" s="12">
        <v>0.0</v>
      </c>
      <c r="AK688" s="12">
        <v>0.0</v>
      </c>
      <c r="AL688" s="12">
        <f t="shared" si="192"/>
        <v>4359.72</v>
      </c>
      <c r="AM688" s="12">
        <v>2921.0</v>
      </c>
      <c r="AN688" s="12">
        <v>0.0</v>
      </c>
      <c r="AO688" s="12">
        <v>9691.0</v>
      </c>
      <c r="AP688" s="12">
        <v>0.0</v>
      </c>
      <c r="AQ688" s="12">
        <v>0.0</v>
      </c>
      <c r="AR688" s="12">
        <v>0.0</v>
      </c>
      <c r="AS688" s="12">
        <f t="shared" si="234"/>
        <v>12612</v>
      </c>
      <c r="AT688" s="16">
        <f t="shared" si="255"/>
        <v>52241.01</v>
      </c>
      <c r="AU688" s="18">
        <f t="shared" si="246"/>
        <v>1076218.074</v>
      </c>
      <c r="AV688" s="12">
        <v>10453.02</v>
      </c>
      <c r="AW688" s="10">
        <f t="shared" si="247"/>
        <v>253967.96</v>
      </c>
      <c r="AX688" s="12">
        <f t="shared" si="171"/>
        <v>62694.03</v>
      </c>
      <c r="AY688" s="12">
        <f t="shared" si="208"/>
        <v>1375288.974</v>
      </c>
      <c r="AZ688" s="12">
        <v>2047.26</v>
      </c>
      <c r="BA688" s="18">
        <f t="shared" si="248"/>
        <v>77643.85</v>
      </c>
      <c r="BB688" s="10">
        <f t="shared" si="16"/>
        <v>1283183.088</v>
      </c>
      <c r="BC688" s="16">
        <f t="shared" si="201"/>
        <v>212214.3965</v>
      </c>
      <c r="BD688" s="12">
        <v>2359.13</v>
      </c>
      <c r="BE688" s="16">
        <f t="shared" si="249"/>
        <v>45102.94</v>
      </c>
      <c r="BF688" s="6"/>
      <c r="BG688" s="6"/>
      <c r="BH688" s="6"/>
      <c r="BI688" s="29">
        <f t="shared" si="253"/>
        <v>65842.94226</v>
      </c>
      <c r="BJ688" s="6"/>
      <c r="BK688" s="15">
        <f t="shared" si="76"/>
        <v>0.7934185231</v>
      </c>
      <c r="BN688" s="16">
        <f t="shared" si="187"/>
        <v>-789.7822581</v>
      </c>
      <c r="BO688" s="16">
        <f t="shared" si="250"/>
        <v>-360531.6983</v>
      </c>
      <c r="BY688" s="6">
        <f t="shared" si="2"/>
        <v>2025</v>
      </c>
      <c r="BZ688" s="6" t="str">
        <f t="shared" si="3"/>
        <v>agosto</v>
      </c>
      <c r="CA688" s="6" t="str">
        <f t="shared" si="4"/>
        <v>8</v>
      </c>
    </row>
    <row r="689">
      <c r="A689" s="8">
        <v>45896.0</v>
      </c>
      <c r="B689" s="12">
        <v>20411.0</v>
      </c>
      <c r="C689" s="12">
        <v>0.0</v>
      </c>
      <c r="D689" s="12">
        <v>3477.0</v>
      </c>
      <c r="E689" s="12">
        <v>2273.37</v>
      </c>
      <c r="F689" s="12">
        <v>0.0</v>
      </c>
      <c r="G689" s="12">
        <v>0.0</v>
      </c>
      <c r="H689" s="12">
        <f t="shared" si="149"/>
        <v>26161.37</v>
      </c>
      <c r="I689" s="12">
        <v>7455.0</v>
      </c>
      <c r="J689" s="12">
        <v>0.0</v>
      </c>
      <c r="K689" s="12">
        <v>1795.37</v>
      </c>
      <c r="L689" s="12">
        <v>1000.3</v>
      </c>
      <c r="M689" s="12">
        <v>0.0</v>
      </c>
      <c r="N689" s="12">
        <v>0.0</v>
      </c>
      <c r="O689" s="16">
        <f t="shared" si="150"/>
        <v>10250.67</v>
      </c>
      <c r="P689" s="12">
        <v>5569.93</v>
      </c>
      <c r="Q689" s="12">
        <v>0.0</v>
      </c>
      <c r="R689" s="12">
        <v>935.57</v>
      </c>
      <c r="S689" s="12">
        <v>0.0</v>
      </c>
      <c r="T689" s="12">
        <v>0.0</v>
      </c>
      <c r="U689" s="12">
        <v>0.0</v>
      </c>
      <c r="V689" s="16">
        <f t="shared" si="151"/>
        <v>6505.5</v>
      </c>
      <c r="W689" s="12">
        <v>1319.58</v>
      </c>
      <c r="X689" s="12">
        <v>0.0</v>
      </c>
      <c r="Y689" s="12">
        <v>0.0</v>
      </c>
      <c r="Z689" s="12">
        <v>0.0</v>
      </c>
      <c r="AA689" s="12">
        <v>0.0</v>
      </c>
      <c r="AB689" s="12">
        <v>0.0</v>
      </c>
      <c r="AC689" s="16">
        <f t="shared" si="169"/>
        <v>1319.58</v>
      </c>
      <c r="AD689" s="12">
        <v>0.0</v>
      </c>
      <c r="AE689" s="12">
        <v>1319.58</v>
      </c>
      <c r="AF689" s="12">
        <v>3519.56</v>
      </c>
      <c r="AG689" s="12">
        <v>0.0</v>
      </c>
      <c r="AH689" s="12">
        <v>1952.73</v>
      </c>
      <c r="AI689" s="12">
        <v>0.0</v>
      </c>
      <c r="AJ689" s="12">
        <v>0.0</v>
      </c>
      <c r="AK689" s="12">
        <v>0.0</v>
      </c>
      <c r="AL689" s="12">
        <f t="shared" si="192"/>
        <v>5472.29</v>
      </c>
      <c r="AM689" s="12">
        <v>0.0</v>
      </c>
      <c r="AN689" s="12">
        <v>0.0</v>
      </c>
      <c r="AO689" s="12">
        <v>0.0</v>
      </c>
      <c r="AP689" s="12">
        <v>0.0</v>
      </c>
      <c r="AQ689" s="12">
        <v>0.0</v>
      </c>
      <c r="AR689" s="12">
        <v>0.0</v>
      </c>
      <c r="AS689" s="12">
        <f t="shared" si="234"/>
        <v>0</v>
      </c>
      <c r="AT689" s="16">
        <f t="shared" si="255"/>
        <v>23548.04</v>
      </c>
      <c r="AU689" s="18">
        <f t="shared" si="246"/>
        <v>1099766.114</v>
      </c>
      <c r="AV689" s="12">
        <v>10520.23</v>
      </c>
      <c r="AW689" s="10">
        <f t="shared" si="247"/>
        <v>264488.19</v>
      </c>
      <c r="AX689" s="12">
        <f t="shared" si="171"/>
        <v>34068.27</v>
      </c>
      <c r="AY689" s="12">
        <f t="shared" si="208"/>
        <v>1409357.244</v>
      </c>
      <c r="AZ689" s="12">
        <v>6373.1</v>
      </c>
      <c r="BA689" s="18">
        <f t="shared" si="248"/>
        <v>84016.95</v>
      </c>
      <c r="BB689" s="10">
        <f t="shared" si="16"/>
        <v>1262694.427</v>
      </c>
      <c r="BC689" s="16">
        <f t="shared" si="201"/>
        <v>203372.13</v>
      </c>
      <c r="BD689" s="12">
        <v>0.0</v>
      </c>
      <c r="BE689" s="16">
        <f t="shared" si="249"/>
        <v>45102.94</v>
      </c>
      <c r="BF689" s="6"/>
      <c r="BG689" s="6"/>
      <c r="BH689" s="6"/>
      <c r="BI689" s="29">
        <f t="shared" si="253"/>
        <v>65842.94226</v>
      </c>
      <c r="BJ689" s="6"/>
      <c r="BK689" s="15">
        <f t="shared" si="76"/>
        <v>0.3576395464</v>
      </c>
      <c r="BN689" s="16">
        <f t="shared" si="187"/>
        <v>-31774.67226</v>
      </c>
      <c r="BO689" s="16">
        <f t="shared" si="250"/>
        <v>-392306.3705</v>
      </c>
      <c r="BY689" s="6">
        <f t="shared" si="2"/>
        <v>2025</v>
      </c>
      <c r="BZ689" s="6" t="str">
        <f t="shared" si="3"/>
        <v>agosto</v>
      </c>
      <c r="CA689" s="6" t="str">
        <f t="shared" si="4"/>
        <v>8</v>
      </c>
    </row>
    <row r="690">
      <c r="A690" s="8">
        <v>45897.0</v>
      </c>
      <c r="B690" s="12">
        <v>29653.0</v>
      </c>
      <c r="C690" s="12">
        <v>5737.71</v>
      </c>
      <c r="D690" s="12">
        <v>0.0</v>
      </c>
      <c r="E690" s="12">
        <v>0.0</v>
      </c>
      <c r="F690" s="12">
        <v>0.0</v>
      </c>
      <c r="G690" s="12">
        <v>0.0</v>
      </c>
      <c r="H690" s="12">
        <f t="shared" si="149"/>
        <v>35390.71</v>
      </c>
      <c r="I690" s="12">
        <v>19999.6</v>
      </c>
      <c r="J690" s="12">
        <v>1530.21</v>
      </c>
      <c r="K690" s="12">
        <v>0.0</v>
      </c>
      <c r="L690" s="12">
        <v>0.0</v>
      </c>
      <c r="M690" s="12">
        <v>0.0</v>
      </c>
      <c r="N690" s="12">
        <v>0.0</v>
      </c>
      <c r="O690" s="16">
        <f t="shared" si="150"/>
        <v>21529.81</v>
      </c>
      <c r="P690" s="12">
        <v>7971.79</v>
      </c>
      <c r="Q690" s="12">
        <v>563.79</v>
      </c>
      <c r="R690" s="12">
        <v>0.0</v>
      </c>
      <c r="S690" s="12">
        <v>0.0</v>
      </c>
      <c r="T690" s="12">
        <v>0.0</v>
      </c>
      <c r="U690" s="12">
        <v>0.0</v>
      </c>
      <c r="V690" s="16">
        <f t="shared" si="151"/>
        <v>8535.58</v>
      </c>
      <c r="W690" s="12">
        <v>5577.22</v>
      </c>
      <c r="X690" s="12">
        <v>0.54</v>
      </c>
      <c r="Y690" s="12">
        <v>0.0</v>
      </c>
      <c r="Z690" s="12">
        <v>0.0</v>
      </c>
      <c r="AA690" s="12">
        <v>0.0</v>
      </c>
      <c r="AB690" s="12">
        <v>0.0</v>
      </c>
      <c r="AC690" s="16">
        <f t="shared" si="169"/>
        <v>5577.76</v>
      </c>
      <c r="AD690" s="12">
        <v>5382.35</v>
      </c>
      <c r="AE690" s="12">
        <v>195.41</v>
      </c>
      <c r="AF690" s="12">
        <v>538.54</v>
      </c>
      <c r="AG690" s="12">
        <v>0.0</v>
      </c>
      <c r="AH690" s="12">
        <v>0.0</v>
      </c>
      <c r="AI690" s="12">
        <v>0.0</v>
      </c>
      <c r="AJ690" s="12">
        <v>0.0</v>
      </c>
      <c r="AK690" s="12">
        <v>0.0</v>
      </c>
      <c r="AL690" s="12">
        <f t="shared" si="192"/>
        <v>538.54</v>
      </c>
      <c r="AM690" s="12">
        <v>8457.0</v>
      </c>
      <c r="AN690" s="12">
        <v>0.0</v>
      </c>
      <c r="AO690" s="12">
        <v>0.0</v>
      </c>
      <c r="AP690" s="12">
        <v>0.0</v>
      </c>
      <c r="AQ690" s="12">
        <v>0.0</v>
      </c>
      <c r="AR690" s="12">
        <v>0.0</v>
      </c>
      <c r="AS690" s="12">
        <f t="shared" si="234"/>
        <v>8457</v>
      </c>
      <c r="AT690" s="16">
        <f t="shared" si="255"/>
        <v>44638.69</v>
      </c>
      <c r="AU690" s="18">
        <f t="shared" si="246"/>
        <v>1144404.804</v>
      </c>
      <c r="AV690" s="12">
        <v>13609.5</v>
      </c>
      <c r="AW690" s="10">
        <f t="shared" si="247"/>
        <v>278097.69</v>
      </c>
      <c r="AX690" s="12">
        <f t="shared" si="171"/>
        <v>58248.19</v>
      </c>
      <c r="AY690" s="12">
        <f t="shared" si="208"/>
        <v>1469067.734</v>
      </c>
      <c r="AZ690" s="12">
        <v>4010.24</v>
      </c>
      <c r="BA690" s="18">
        <f t="shared" si="248"/>
        <v>88027.19</v>
      </c>
      <c r="BB690" s="10">
        <f t="shared" si="16"/>
        <v>1267019.604</v>
      </c>
      <c r="BC690" s="16">
        <f t="shared" si="201"/>
        <v>204795.4128</v>
      </c>
      <c r="BD690" s="12">
        <v>1462.3</v>
      </c>
      <c r="BE690" s="16">
        <f t="shared" si="249"/>
        <v>46565.24</v>
      </c>
      <c r="BF690" s="6"/>
      <c r="BG690" s="6"/>
      <c r="BH690" s="6"/>
      <c r="BI690" s="29">
        <f t="shared" si="253"/>
        <v>65842.94226</v>
      </c>
      <c r="BJ690" s="6"/>
      <c r="BK690" s="15">
        <f t="shared" si="76"/>
        <v>0.6779570971</v>
      </c>
      <c r="BN690" s="16">
        <f t="shared" si="187"/>
        <v>-6132.452258</v>
      </c>
      <c r="BO690" s="16">
        <f t="shared" si="250"/>
        <v>-398438.8228</v>
      </c>
      <c r="BY690" s="6">
        <f t="shared" si="2"/>
        <v>2025</v>
      </c>
      <c r="BZ690" s="6" t="str">
        <f t="shared" si="3"/>
        <v>agosto</v>
      </c>
      <c r="CA690" s="6" t="str">
        <f t="shared" si="4"/>
        <v>8</v>
      </c>
    </row>
    <row r="691">
      <c r="A691" s="8">
        <v>45898.0</v>
      </c>
      <c r="B691" s="12">
        <v>36452.0</v>
      </c>
      <c r="C691" s="12">
        <v>2883.44</v>
      </c>
      <c r="D691" s="12">
        <v>3412.0</v>
      </c>
      <c r="E691" s="12">
        <v>0.0</v>
      </c>
      <c r="F691" s="12">
        <v>0.0</v>
      </c>
      <c r="G691" s="12">
        <v>0.0</v>
      </c>
      <c r="H691" s="12">
        <f t="shared" si="149"/>
        <v>42747.44</v>
      </c>
      <c r="I691" s="12">
        <v>30412.0</v>
      </c>
      <c r="J691" s="12">
        <v>2111.0</v>
      </c>
      <c r="K691" s="12">
        <v>2429.58</v>
      </c>
      <c r="L691" s="12">
        <v>0.0</v>
      </c>
      <c r="M691" s="12">
        <v>0.0</v>
      </c>
      <c r="N691" s="12">
        <v>0.0</v>
      </c>
      <c r="O691" s="16">
        <f t="shared" si="150"/>
        <v>34952.58</v>
      </c>
      <c r="P691" s="12">
        <v>12914.32</v>
      </c>
      <c r="Q691" s="12">
        <v>314.59</v>
      </c>
      <c r="R691" s="12">
        <v>2709.14</v>
      </c>
      <c r="S691" s="12">
        <v>0.0</v>
      </c>
      <c r="T691" s="12">
        <v>0.0</v>
      </c>
      <c r="U691" s="12">
        <v>0.0</v>
      </c>
      <c r="V691" s="16">
        <f t="shared" si="151"/>
        <v>15938.05</v>
      </c>
      <c r="W691" s="12">
        <v>1042.4</v>
      </c>
      <c r="X691" s="12">
        <v>0.0</v>
      </c>
      <c r="Y691" s="12">
        <v>1.42</v>
      </c>
      <c r="Z691" s="12">
        <v>0.0</v>
      </c>
      <c r="AA691" s="12">
        <v>0.0</v>
      </c>
      <c r="AB691" s="12">
        <v>0.0</v>
      </c>
      <c r="AC691" s="16">
        <f t="shared" si="169"/>
        <v>1043.82</v>
      </c>
      <c r="AD691" s="12">
        <v>0.0</v>
      </c>
      <c r="AE691" s="12">
        <v>1043.82</v>
      </c>
      <c r="AF691" s="12">
        <v>1833.03</v>
      </c>
      <c r="AG691" s="12">
        <v>0.0</v>
      </c>
      <c r="AH691" s="12">
        <v>0.0</v>
      </c>
      <c r="AI691" s="12">
        <v>0.0</v>
      </c>
      <c r="AJ691" s="12">
        <v>0.0</v>
      </c>
      <c r="AK691" s="12">
        <v>0.0</v>
      </c>
      <c r="AL691" s="12">
        <f t="shared" si="192"/>
        <v>1833.03</v>
      </c>
      <c r="AM691" s="12">
        <v>0.0</v>
      </c>
      <c r="AN691" s="12">
        <v>0.0</v>
      </c>
      <c r="AO691" s="12">
        <v>0.0</v>
      </c>
      <c r="AP691" s="12">
        <v>0.0</v>
      </c>
      <c r="AQ691" s="12">
        <v>0.0</v>
      </c>
      <c r="AR691" s="12">
        <v>0.0</v>
      </c>
      <c r="AS691" s="12">
        <f t="shared" si="234"/>
        <v>0</v>
      </c>
      <c r="AT691" s="16">
        <f t="shared" si="255"/>
        <v>53767.48</v>
      </c>
      <c r="AU691" s="18">
        <f t="shared" si="246"/>
        <v>1198172.284</v>
      </c>
      <c r="AV691" s="12">
        <v>18616.21</v>
      </c>
      <c r="AW691" s="10">
        <f t="shared" si="247"/>
        <v>296713.9</v>
      </c>
      <c r="AX691" s="12">
        <f t="shared" si="171"/>
        <v>72383.69</v>
      </c>
      <c r="AY691" s="12">
        <f t="shared" si="208"/>
        <v>1541451.424</v>
      </c>
      <c r="AZ691" s="12">
        <v>5641.27</v>
      </c>
      <c r="BA691" s="18">
        <f t="shared" si="248"/>
        <v>93668.46</v>
      </c>
      <c r="BB691" s="10">
        <f t="shared" si="16"/>
        <v>1280804.855</v>
      </c>
      <c r="BC691" s="16">
        <f t="shared" si="201"/>
        <v>206965.0142</v>
      </c>
      <c r="BD691" s="12">
        <v>0.0</v>
      </c>
      <c r="BE691" s="16">
        <f t="shared" si="249"/>
        <v>46565.24</v>
      </c>
      <c r="BF691" s="6"/>
      <c r="BG691" s="6"/>
      <c r="BH691" s="6"/>
      <c r="BI691" s="29">
        <f t="shared" si="253"/>
        <v>65842.94226</v>
      </c>
      <c r="BJ691" s="6"/>
      <c r="BK691" s="15">
        <f t="shared" si="76"/>
        <v>0.8166020253</v>
      </c>
      <c r="BN691" s="16">
        <f t="shared" si="187"/>
        <v>6540.747742</v>
      </c>
      <c r="BO691" s="16">
        <f t="shared" si="250"/>
        <v>-391898.075</v>
      </c>
      <c r="BY691" s="6">
        <f t="shared" si="2"/>
        <v>2025</v>
      </c>
      <c r="BZ691" s="6" t="str">
        <f t="shared" si="3"/>
        <v>agosto</v>
      </c>
      <c r="CA691" s="6" t="str">
        <f t="shared" si="4"/>
        <v>8</v>
      </c>
    </row>
    <row r="692">
      <c r="A692" s="8">
        <v>45899.0</v>
      </c>
      <c r="B692" s="12">
        <v>0.0</v>
      </c>
      <c r="C692" s="12">
        <v>0.0</v>
      </c>
      <c r="D692" s="12">
        <v>0.0</v>
      </c>
      <c r="E692" s="12">
        <v>0.0</v>
      </c>
      <c r="F692" s="12">
        <v>0.0</v>
      </c>
      <c r="G692" s="12">
        <v>0.0</v>
      </c>
      <c r="H692" s="12">
        <f t="shared" si="149"/>
        <v>0</v>
      </c>
      <c r="I692" s="12">
        <v>0.0</v>
      </c>
      <c r="J692" s="12">
        <v>0.0</v>
      </c>
      <c r="K692" s="12">
        <v>0.0</v>
      </c>
      <c r="L692" s="12">
        <v>0.0</v>
      </c>
      <c r="M692" s="12">
        <v>0.0</v>
      </c>
      <c r="N692" s="12">
        <v>0.0</v>
      </c>
      <c r="O692" s="16">
        <f t="shared" si="150"/>
        <v>0</v>
      </c>
      <c r="P692" s="12">
        <v>0.0</v>
      </c>
      <c r="Q692" s="12">
        <v>0.0</v>
      </c>
      <c r="R692" s="12">
        <v>0.0</v>
      </c>
      <c r="S692" s="12">
        <v>0.0</v>
      </c>
      <c r="T692" s="12">
        <v>0.0</v>
      </c>
      <c r="U692" s="12">
        <v>0.0</v>
      </c>
      <c r="V692" s="16">
        <f t="shared" si="151"/>
        <v>0</v>
      </c>
      <c r="W692" s="12">
        <v>0.0</v>
      </c>
      <c r="X692" s="12">
        <v>0.0</v>
      </c>
      <c r="Y692" s="12">
        <v>0.0</v>
      </c>
      <c r="Z692" s="12">
        <v>0.0</v>
      </c>
      <c r="AA692" s="12">
        <v>0.0</v>
      </c>
      <c r="AB692" s="12">
        <v>0.0</v>
      </c>
      <c r="AC692" s="16">
        <f t="shared" si="169"/>
        <v>0</v>
      </c>
      <c r="AD692" s="12">
        <v>0.0</v>
      </c>
      <c r="AE692" s="12">
        <v>0.0</v>
      </c>
      <c r="AF692" s="12">
        <v>0.0</v>
      </c>
      <c r="AG692" s="12">
        <v>0.0</v>
      </c>
      <c r="AH692" s="12">
        <v>0.0</v>
      </c>
      <c r="AI692" s="12">
        <v>0.0</v>
      </c>
      <c r="AJ692" s="12">
        <v>0.0</v>
      </c>
      <c r="AK692" s="12">
        <v>0.0</v>
      </c>
      <c r="AL692" s="12">
        <f t="shared" si="192"/>
        <v>0</v>
      </c>
      <c r="AM692" s="12">
        <v>0.0</v>
      </c>
      <c r="AN692" s="12">
        <v>0.0</v>
      </c>
      <c r="AO692" s="12">
        <v>0.0</v>
      </c>
      <c r="AP692" s="12">
        <v>0.0</v>
      </c>
      <c r="AQ692" s="12">
        <v>0.0</v>
      </c>
      <c r="AR692" s="12">
        <v>0.0</v>
      </c>
      <c r="AS692" s="12">
        <f t="shared" si="234"/>
        <v>0</v>
      </c>
      <c r="AT692" s="12">
        <v>0.0</v>
      </c>
      <c r="AU692" s="18">
        <f t="shared" si="246"/>
        <v>1198172.284</v>
      </c>
      <c r="AV692" s="12">
        <v>18616.21</v>
      </c>
      <c r="AW692" s="10">
        <f t="shared" si="247"/>
        <v>315330.11</v>
      </c>
      <c r="AX692" s="12">
        <f t="shared" si="171"/>
        <v>18616.21</v>
      </c>
      <c r="AY692" s="12">
        <f t="shared" si="208"/>
        <v>1560067.634</v>
      </c>
      <c r="AZ692" s="12">
        <v>0.0</v>
      </c>
      <c r="BA692" s="18">
        <f t="shared" si="248"/>
        <v>93668.46</v>
      </c>
      <c r="BB692" s="10">
        <f t="shared" si="16"/>
        <v>1238111.36</v>
      </c>
      <c r="BC692" s="16">
        <f t="shared" si="201"/>
        <v>203660.3915</v>
      </c>
      <c r="BD692" s="12">
        <v>0.0</v>
      </c>
      <c r="BE692" s="16">
        <f t="shared" si="249"/>
        <v>46565.24</v>
      </c>
      <c r="BF692" s="6"/>
      <c r="BG692" s="6"/>
      <c r="BH692" s="6"/>
      <c r="BI692" s="29">
        <f t="shared" si="253"/>
        <v>65842.94226</v>
      </c>
      <c r="BJ692" s="6"/>
      <c r="BK692" s="15">
        <f t="shared" si="76"/>
        <v>0</v>
      </c>
      <c r="BN692" s="16">
        <f t="shared" si="187"/>
        <v>-47226.73226</v>
      </c>
      <c r="BO692" s="16">
        <f t="shared" si="250"/>
        <v>-439124.8073</v>
      </c>
      <c r="BY692" s="6">
        <f t="shared" si="2"/>
        <v>2025</v>
      </c>
      <c r="BZ692" s="6" t="str">
        <f t="shared" si="3"/>
        <v>agosto</v>
      </c>
      <c r="CA692" s="6" t="str">
        <f t="shared" si="4"/>
        <v>8</v>
      </c>
    </row>
    <row r="693">
      <c r="A693" s="8">
        <v>45900.0</v>
      </c>
      <c r="B693" s="12">
        <v>64514.0</v>
      </c>
      <c r="C693" s="12">
        <v>18554.0</v>
      </c>
      <c r="D693" s="12">
        <v>8545.0</v>
      </c>
      <c r="E693" s="12">
        <v>0.0</v>
      </c>
      <c r="F693" s="12">
        <v>0.0</v>
      </c>
      <c r="G693" s="12">
        <v>0.0</v>
      </c>
      <c r="H693" s="12">
        <f t="shared" si="149"/>
        <v>91613</v>
      </c>
      <c r="I693" s="12">
        <f>68492.62+38451+1845.92</f>
        <v>108789.54</v>
      </c>
      <c r="J693" s="12">
        <v>30993.74</v>
      </c>
      <c r="K693" s="12">
        <v>44542.2</v>
      </c>
      <c r="L693" s="12">
        <f>4855+6393.64</f>
        <v>11248.64</v>
      </c>
      <c r="M693" s="12">
        <v>0.0</v>
      </c>
      <c r="N693" s="12">
        <v>0.0</v>
      </c>
      <c r="O693" s="16">
        <f t="shared" si="150"/>
        <v>195574.12</v>
      </c>
      <c r="P693" s="12">
        <f>51650.31+15126.45+1591.93+1694.92</f>
        <v>70063.61</v>
      </c>
      <c r="Q693" s="12">
        <f>1170.19+1194.82</f>
        <v>2365.01</v>
      </c>
      <c r="R693" s="12">
        <f>10042.36+3445.26</f>
        <v>13487.62</v>
      </c>
      <c r="S693" s="12">
        <v>0.0</v>
      </c>
      <c r="T693" s="12">
        <v>0.0</v>
      </c>
      <c r="U693" s="12">
        <v>0.0</v>
      </c>
      <c r="V693" s="16">
        <f t="shared" si="151"/>
        <v>85916.24</v>
      </c>
      <c r="W693" s="12">
        <f>476.84+2175.32+10.8+550</f>
        <v>3212.96</v>
      </c>
      <c r="X693" s="12">
        <f>0.62+0.97</f>
        <v>1.59</v>
      </c>
      <c r="Y693" s="12">
        <f>2.47+621.94</f>
        <v>624.41</v>
      </c>
      <c r="Z693" s="12">
        <v>0.0</v>
      </c>
      <c r="AA693" s="12">
        <v>0.0</v>
      </c>
      <c r="AB693" s="12">
        <v>0.0</v>
      </c>
      <c r="AC693" s="16">
        <f t="shared" si="169"/>
        <v>3838.96</v>
      </c>
      <c r="AD693" s="12">
        <f>17304.79+3206.25</f>
        <v>20511.04</v>
      </c>
      <c r="AE693" s="12">
        <f>479.93+550+2809.03</f>
        <v>3838.96</v>
      </c>
      <c r="AF693" s="12">
        <f>4827.7+8832.72+997.03+1260.09</f>
        <v>15917.54</v>
      </c>
      <c r="AG693" s="12">
        <v>379.45</v>
      </c>
      <c r="AH693" s="12">
        <v>0.0</v>
      </c>
      <c r="AI693" s="12">
        <v>0.0</v>
      </c>
      <c r="AJ693" s="12">
        <v>0.0</v>
      </c>
      <c r="AK693" s="12">
        <v>0.0</v>
      </c>
      <c r="AL693" s="12">
        <f t="shared" si="192"/>
        <v>16296.99</v>
      </c>
      <c r="AM693" s="12">
        <f>18643+2230</f>
        <v>20873</v>
      </c>
      <c r="AN693" s="12">
        <v>0.0</v>
      </c>
      <c r="AO693" s="12">
        <v>0.0</v>
      </c>
      <c r="AP693" s="12">
        <v>0.0</v>
      </c>
      <c r="AQ693" s="12">
        <v>0.0</v>
      </c>
      <c r="AR693" s="12">
        <v>0.0</v>
      </c>
      <c r="AS693" s="12">
        <f t="shared" si="234"/>
        <v>20873</v>
      </c>
      <c r="AT693" s="16">
        <f t="shared" ref="AT693:AT698" si="256">IF(AS693+AL693+AC693+V693+O693=0,"",AS693+AL693+AC693+V693+O693)</f>
        <v>322499.31</v>
      </c>
      <c r="AU693" s="18">
        <f t="shared" si="246"/>
        <v>1520671.594</v>
      </c>
      <c r="AV693" s="10">
        <f>52472.49+28739.83+4749.56+9257.6</f>
        <v>95219.48</v>
      </c>
      <c r="AW693" s="10">
        <f t="shared" si="247"/>
        <v>410549.59</v>
      </c>
      <c r="AX693" s="12">
        <f t="shared" si="171"/>
        <v>417718.79</v>
      </c>
      <c r="AY693" s="12">
        <f t="shared" si="208"/>
        <v>2019770.684</v>
      </c>
      <c r="AZ693" s="12">
        <f>13200.32+14901.58+2254.51</f>
        <v>30356.41</v>
      </c>
      <c r="BA693" s="18">
        <f t="shared" si="248"/>
        <v>124024.87</v>
      </c>
      <c r="BB693" s="10">
        <f t="shared" si="16"/>
        <v>1520671.594</v>
      </c>
      <c r="BC693" s="16">
        <f t="shared" si="201"/>
        <v>204358.0007</v>
      </c>
      <c r="BD693" s="12">
        <f>5533.47+2690.28+860.93+1146.64+8609.96+21533.39+1500+109.59</f>
        <v>41984.26</v>
      </c>
      <c r="BE693" s="16">
        <f t="shared" si="249"/>
        <v>88549.5</v>
      </c>
      <c r="BF693" s="6"/>
      <c r="BG693" s="6"/>
      <c r="BH693" s="6"/>
      <c r="BI693" s="29">
        <f t="shared" si="253"/>
        <v>65842.94226</v>
      </c>
      <c r="BK693" s="15">
        <f t="shared" si="76"/>
        <v>4.898008791</v>
      </c>
      <c r="BN693" s="16">
        <f t="shared" si="187"/>
        <v>393860.1077</v>
      </c>
      <c r="BO693" s="16">
        <f t="shared" si="250"/>
        <v>-45264.69955</v>
      </c>
      <c r="BY693" s="6">
        <f t="shared" si="2"/>
        <v>2025</v>
      </c>
      <c r="BZ693" s="6" t="str">
        <f t="shared" si="3"/>
        <v>agosto</v>
      </c>
      <c r="CA693" s="6" t="str">
        <f t="shared" si="4"/>
        <v>8</v>
      </c>
    </row>
    <row r="694">
      <c r="A694" s="8">
        <v>45901.0</v>
      </c>
      <c r="B694" s="12">
        <v>24584.0</v>
      </c>
      <c r="C694" s="12">
        <v>12544.0</v>
      </c>
      <c r="D694" s="12">
        <v>0.0</v>
      </c>
      <c r="E694" s="12">
        <v>0.0</v>
      </c>
      <c r="F694" s="12">
        <v>0.0</v>
      </c>
      <c r="G694" s="12">
        <v>0.0</v>
      </c>
      <c r="H694" s="12">
        <f t="shared" si="149"/>
        <v>37128</v>
      </c>
      <c r="I694" s="12">
        <v>18451.0</v>
      </c>
      <c r="J694" s="12">
        <v>1847.0</v>
      </c>
      <c r="K694" s="12">
        <v>3451.0</v>
      </c>
      <c r="L694" s="12">
        <v>0.0</v>
      </c>
      <c r="M694" s="12">
        <v>0.0</v>
      </c>
      <c r="N694" s="12">
        <v>0.0</v>
      </c>
      <c r="O694" s="16">
        <f t="shared" si="150"/>
        <v>23749</v>
      </c>
      <c r="P694" s="12">
        <v>1141.0</v>
      </c>
      <c r="Q694" s="12">
        <v>254.0</v>
      </c>
      <c r="R694" s="12">
        <v>254.0</v>
      </c>
      <c r="S694" s="12">
        <v>0.0</v>
      </c>
      <c r="T694" s="12">
        <v>0.0</v>
      </c>
      <c r="U694" s="12">
        <v>0.0</v>
      </c>
      <c r="V694" s="16">
        <f t="shared" si="151"/>
        <v>1649</v>
      </c>
      <c r="W694" s="12">
        <v>458.0</v>
      </c>
      <c r="X694" s="12">
        <v>0.0</v>
      </c>
      <c r="Y694" s="12">
        <v>0.0</v>
      </c>
      <c r="Z694" s="12">
        <v>0.0</v>
      </c>
      <c r="AA694" s="12">
        <v>0.0</v>
      </c>
      <c r="AB694" s="12">
        <v>0.0</v>
      </c>
      <c r="AC694" s="16">
        <f t="shared" si="169"/>
        <v>458</v>
      </c>
      <c r="AD694" s="12">
        <v>0.0</v>
      </c>
      <c r="AE694" s="16">
        <f t="shared" ref="AE694:AE696" si="257">AC694-AD694</f>
        <v>458</v>
      </c>
      <c r="AF694" s="12">
        <v>1321.0</v>
      </c>
      <c r="AG694" s="12">
        <v>0.0</v>
      </c>
      <c r="AH694" s="12">
        <v>0.0</v>
      </c>
      <c r="AI694" s="12">
        <v>0.0</v>
      </c>
      <c r="AJ694" s="12">
        <v>0.0</v>
      </c>
      <c r="AK694" s="12">
        <v>0.0</v>
      </c>
      <c r="AL694" s="12">
        <f t="shared" si="192"/>
        <v>1321</v>
      </c>
      <c r="AM694" s="12">
        <v>0.0</v>
      </c>
      <c r="AN694" s="12">
        <v>0.0</v>
      </c>
      <c r="AO694" s="12">
        <v>0.0</v>
      </c>
      <c r="AP694" s="12">
        <v>0.0</v>
      </c>
      <c r="AQ694" s="12">
        <v>0.0</v>
      </c>
      <c r="AR694" s="12">
        <v>0.0</v>
      </c>
      <c r="AS694" s="12">
        <f t="shared" si="234"/>
        <v>0</v>
      </c>
      <c r="AT694" s="16">
        <f t="shared" si="256"/>
        <v>27177</v>
      </c>
      <c r="AU694" s="18">
        <f>IF(AT694="","",AT694)</f>
        <v>27177</v>
      </c>
      <c r="AV694" s="12">
        <v>7454.0</v>
      </c>
      <c r="AW694" s="10">
        <f>IF(AV694="","",+AV694)</f>
        <v>7454</v>
      </c>
      <c r="AX694" s="12">
        <f t="shared" si="171"/>
        <v>34631</v>
      </c>
      <c r="AY694" s="12">
        <f t="shared" si="208"/>
        <v>34631</v>
      </c>
      <c r="AZ694" s="12">
        <v>2451.0</v>
      </c>
      <c r="BA694" s="18">
        <f>IF(AZ694="","",AZ694)</f>
        <v>2451</v>
      </c>
      <c r="BB694" s="10">
        <f t="shared" si="16"/>
        <v>815310</v>
      </c>
      <c r="BC694" s="16">
        <f t="shared" si="201"/>
        <v>206581.4283</v>
      </c>
      <c r="BD694" s="12">
        <v>0.0</v>
      </c>
      <c r="BE694" s="12">
        <v>0.0</v>
      </c>
      <c r="BF694" s="6"/>
      <c r="BG694" s="12">
        <v>2294562.52</v>
      </c>
      <c r="BH694" s="6"/>
      <c r="BI694" s="29">
        <f t="shared" ref="BI694:BI723" si="258">IF(AT694="","",$BG$694/DAY(EOMONTH(A694,0)))</f>
        <v>76485.41733</v>
      </c>
      <c r="BJ694" s="6"/>
      <c r="BK694" s="15">
        <f t="shared" si="76"/>
        <v>0.3553226347</v>
      </c>
      <c r="BN694" s="16">
        <f t="shared" si="187"/>
        <v>-41854.41733</v>
      </c>
      <c r="BO694" s="16">
        <f t="shared" si="250"/>
        <v>-87119.11688</v>
      </c>
      <c r="BY694" s="6">
        <f t="shared" si="2"/>
        <v>2025</v>
      </c>
      <c r="BZ694" s="6" t="str">
        <f t="shared" si="3"/>
        <v>septiembre</v>
      </c>
      <c r="CA694" s="6" t="str">
        <f t="shared" si="4"/>
        <v>9</v>
      </c>
    </row>
    <row r="695">
      <c r="A695" s="8">
        <v>45902.0</v>
      </c>
      <c r="B695" s="12">
        <v>78455.0</v>
      </c>
      <c r="C695" s="12">
        <v>9874.0</v>
      </c>
      <c r="D695" s="12">
        <v>4515.0</v>
      </c>
      <c r="E695" s="12">
        <v>0.0</v>
      </c>
      <c r="F695" s="12">
        <v>0.0</v>
      </c>
      <c r="G695" s="12">
        <v>0.0</v>
      </c>
      <c r="H695" s="12">
        <f t="shared" si="149"/>
        <v>92844</v>
      </c>
      <c r="I695" s="12">
        <v>8541.0</v>
      </c>
      <c r="J695" s="12">
        <v>0.0</v>
      </c>
      <c r="K695" s="12">
        <v>2544.0</v>
      </c>
      <c r="L695" s="12">
        <v>0.0</v>
      </c>
      <c r="M695" s="12">
        <v>0.0</v>
      </c>
      <c r="N695" s="12">
        <v>0.0</v>
      </c>
      <c r="O695" s="16">
        <f t="shared" si="150"/>
        <v>11085</v>
      </c>
      <c r="P695" s="12">
        <v>8648.0</v>
      </c>
      <c r="Q695" s="12">
        <v>114.0</v>
      </c>
      <c r="R695" s="12">
        <v>0.0</v>
      </c>
      <c r="S695" s="12">
        <v>0.0</v>
      </c>
      <c r="T695" s="12">
        <v>0.0</v>
      </c>
      <c r="U695" s="12">
        <v>0.0</v>
      </c>
      <c r="V695" s="16">
        <f t="shared" si="151"/>
        <v>8762</v>
      </c>
      <c r="W695" s="12">
        <v>296.0</v>
      </c>
      <c r="X695" s="12">
        <v>0.0</v>
      </c>
      <c r="Y695" s="12">
        <v>0.0</v>
      </c>
      <c r="Z695" s="12">
        <v>0.0</v>
      </c>
      <c r="AA695" s="12">
        <v>0.0</v>
      </c>
      <c r="AB695" s="12">
        <v>0.0</v>
      </c>
      <c r="AC695" s="16">
        <f t="shared" si="169"/>
        <v>296</v>
      </c>
      <c r="AD695" s="12">
        <v>0.0</v>
      </c>
      <c r="AE695" s="16">
        <f t="shared" si="257"/>
        <v>296</v>
      </c>
      <c r="AF695" s="12">
        <v>3215.0</v>
      </c>
      <c r="AG695" s="12">
        <v>0.0</v>
      </c>
      <c r="AH695" s="12">
        <v>0.0</v>
      </c>
      <c r="AI695" s="12">
        <v>0.0</v>
      </c>
      <c r="AJ695" s="12">
        <v>0.0</v>
      </c>
      <c r="AK695" s="12">
        <v>0.0</v>
      </c>
      <c r="AL695" s="12">
        <f t="shared" si="192"/>
        <v>3215</v>
      </c>
      <c r="AM695" s="12">
        <v>0.0</v>
      </c>
      <c r="AN695" s="12">
        <v>0.0</v>
      </c>
      <c r="AO695" s="12">
        <v>0.0</v>
      </c>
      <c r="AP695" s="12">
        <v>0.0</v>
      </c>
      <c r="AQ695" s="12">
        <v>0.0</v>
      </c>
      <c r="AR695" s="12">
        <v>0.0</v>
      </c>
      <c r="AS695" s="12">
        <f t="shared" si="234"/>
        <v>0</v>
      </c>
      <c r="AT695" s="16">
        <f t="shared" si="256"/>
        <v>23358</v>
      </c>
      <c r="AU695" s="18">
        <f t="shared" ref="AU695:AU702" si="259">IF(AT695="","",AT695+AU694)</f>
        <v>50535</v>
      </c>
      <c r="AV695" s="12">
        <v>8545.0</v>
      </c>
      <c r="AW695" s="10">
        <f t="shared" ref="AW695:AW703" si="260">IF(AV695="","",AW694+AV695)</f>
        <v>15999</v>
      </c>
      <c r="AX695" s="12">
        <f t="shared" si="171"/>
        <v>31903</v>
      </c>
      <c r="AY695" s="12">
        <f t="shared" si="208"/>
        <v>66534</v>
      </c>
      <c r="AZ695" s="12">
        <v>1984.0</v>
      </c>
      <c r="BA695" s="18">
        <f t="shared" ref="BA695:BA702" si="261">IF(AZ695="","",AZ695+BA694)</f>
        <v>4435</v>
      </c>
      <c r="BB695" s="10">
        <f t="shared" si="16"/>
        <v>758025</v>
      </c>
      <c r="BC695" s="16">
        <f t="shared" si="201"/>
        <v>199695.3807</v>
      </c>
      <c r="BD695" s="12">
        <v>0.0</v>
      </c>
      <c r="BE695" s="12">
        <v>0.0</v>
      </c>
      <c r="BF695" s="6"/>
      <c r="BG695" s="6"/>
      <c r="BH695" s="6"/>
      <c r="BI695" s="29">
        <f t="shared" si="258"/>
        <v>76485.41733</v>
      </c>
      <c r="BJ695" s="6"/>
      <c r="BK695" s="15">
        <f t="shared" si="76"/>
        <v>0.305391548</v>
      </c>
      <c r="BN695" s="16">
        <f t="shared" si="187"/>
        <v>-44582.41733</v>
      </c>
      <c r="BO695" s="16">
        <f t="shared" si="250"/>
        <v>-131701.5342</v>
      </c>
      <c r="BQ695" s="16"/>
      <c r="BR695" s="12">
        <v>90796.64</v>
      </c>
      <c r="BS695" s="12">
        <v>19766.53</v>
      </c>
      <c r="BT695" s="12">
        <v>2798.23</v>
      </c>
      <c r="BU695" s="12">
        <v>9212.17</v>
      </c>
      <c r="BV695" s="12">
        <v>0.0</v>
      </c>
      <c r="BW695" s="16">
        <f t="shared" ref="BW695:BW697" si="262">BV695+BU695+BT695+BS695+BR695</f>
        <v>122573.57</v>
      </c>
      <c r="BY695" s="6">
        <f t="shared" si="2"/>
        <v>2025</v>
      </c>
      <c r="BZ695" s="6" t="str">
        <f t="shared" si="3"/>
        <v>septiembre</v>
      </c>
      <c r="CA695" s="6" t="str">
        <f t="shared" si="4"/>
        <v>9</v>
      </c>
    </row>
    <row r="696">
      <c r="A696" s="8">
        <v>45903.0</v>
      </c>
      <c r="B696" s="12">
        <v>96458.0</v>
      </c>
      <c r="C696" s="12">
        <v>8648.0</v>
      </c>
      <c r="D696" s="12">
        <v>8645.0</v>
      </c>
      <c r="E696" s="12">
        <v>0.0</v>
      </c>
      <c r="F696" s="12">
        <v>0.0</v>
      </c>
      <c r="G696" s="12">
        <v>0.0</v>
      </c>
      <c r="H696" s="12">
        <f t="shared" si="149"/>
        <v>113751</v>
      </c>
      <c r="I696" s="12">
        <v>20214.0</v>
      </c>
      <c r="J696" s="12">
        <v>878.0</v>
      </c>
      <c r="K696" s="12">
        <v>1477.0</v>
      </c>
      <c r="L696" s="12">
        <v>0.0</v>
      </c>
      <c r="M696" s="12">
        <v>0.0</v>
      </c>
      <c r="N696" s="12">
        <v>0.0</v>
      </c>
      <c r="O696" s="16">
        <f t="shared" si="150"/>
        <v>22569</v>
      </c>
      <c r="P696" s="12">
        <v>5451.0</v>
      </c>
      <c r="Q696" s="12">
        <v>263.0</v>
      </c>
      <c r="R696" s="12">
        <v>365.0</v>
      </c>
      <c r="S696" s="12">
        <v>0.0</v>
      </c>
      <c r="T696" s="12">
        <v>0.0</v>
      </c>
      <c r="U696" s="12">
        <v>0.0</v>
      </c>
      <c r="V696" s="16">
        <f t="shared" si="151"/>
        <v>6079</v>
      </c>
      <c r="W696" s="12">
        <v>120.0</v>
      </c>
      <c r="X696" s="12">
        <v>0.0</v>
      </c>
      <c r="Y696" s="12">
        <v>0.0</v>
      </c>
      <c r="Z696" s="12">
        <v>0.0</v>
      </c>
      <c r="AA696" s="12">
        <v>0.0</v>
      </c>
      <c r="AB696" s="12">
        <v>0.0</v>
      </c>
      <c r="AC696" s="16">
        <f t="shared" si="169"/>
        <v>120</v>
      </c>
      <c r="AD696" s="12">
        <v>0.0</v>
      </c>
      <c r="AE696" s="16">
        <f t="shared" si="257"/>
        <v>120</v>
      </c>
      <c r="AF696" s="12">
        <v>965.0</v>
      </c>
      <c r="AG696" s="12">
        <v>548.0</v>
      </c>
      <c r="AH696" s="12">
        <v>0.0</v>
      </c>
      <c r="AI696" s="12">
        <v>0.0</v>
      </c>
      <c r="AJ696" s="12">
        <v>0.0</v>
      </c>
      <c r="AK696" s="12">
        <v>0.0</v>
      </c>
      <c r="AL696" s="12">
        <f t="shared" si="192"/>
        <v>1513</v>
      </c>
      <c r="AM696" s="12">
        <v>0.0</v>
      </c>
      <c r="AN696" s="12">
        <v>0.0</v>
      </c>
      <c r="AO696" s="12">
        <v>0.0</v>
      </c>
      <c r="AP696" s="12">
        <v>0.0</v>
      </c>
      <c r="AQ696" s="12">
        <v>0.0</v>
      </c>
      <c r="AR696" s="12">
        <v>0.0</v>
      </c>
      <c r="AS696" s="12">
        <f t="shared" si="234"/>
        <v>0</v>
      </c>
      <c r="AT696" s="16">
        <f t="shared" si="256"/>
        <v>30281</v>
      </c>
      <c r="AU696" s="18">
        <f t="shared" si="259"/>
        <v>80816</v>
      </c>
      <c r="AV696" s="12">
        <v>7444.0</v>
      </c>
      <c r="AW696" s="10">
        <f t="shared" si="260"/>
        <v>23443</v>
      </c>
      <c r="AX696" s="12">
        <f t="shared" si="171"/>
        <v>37725</v>
      </c>
      <c r="AY696" s="12">
        <f t="shared" si="208"/>
        <v>104259</v>
      </c>
      <c r="AZ696" s="12">
        <v>985.0</v>
      </c>
      <c r="BA696" s="18">
        <f t="shared" si="261"/>
        <v>5420</v>
      </c>
      <c r="BB696" s="10">
        <f t="shared" si="16"/>
        <v>808160</v>
      </c>
      <c r="BC696" s="16">
        <f t="shared" si="201"/>
        <v>245269.6119</v>
      </c>
      <c r="BD696" s="12">
        <v>0.0</v>
      </c>
      <c r="BE696" s="12">
        <v>0.0</v>
      </c>
      <c r="BF696" s="6"/>
      <c r="BG696" s="6"/>
      <c r="BH696" s="6"/>
      <c r="BI696" s="29">
        <f t="shared" si="258"/>
        <v>76485.41733</v>
      </c>
      <c r="BJ696" s="6"/>
      <c r="BK696" s="15">
        <f t="shared" si="76"/>
        <v>0.3959055341</v>
      </c>
      <c r="BN696" s="16">
        <f t="shared" si="187"/>
        <v>-38760.41733</v>
      </c>
      <c r="BO696" s="16">
        <f t="shared" si="250"/>
        <v>-170461.9515</v>
      </c>
      <c r="BR696" s="12">
        <v>18389.17</v>
      </c>
      <c r="BS696" s="12">
        <v>1591.93</v>
      </c>
      <c r="BT696" s="12">
        <v>10.8</v>
      </c>
      <c r="BU696" s="12">
        <v>997.03</v>
      </c>
      <c r="BV696" s="12">
        <v>2230.0</v>
      </c>
      <c r="BW696" s="16">
        <f t="shared" si="262"/>
        <v>23218.93</v>
      </c>
      <c r="BY696" s="6">
        <f t="shared" si="2"/>
        <v>2025</v>
      </c>
      <c r="BZ696" s="6" t="str">
        <f t="shared" si="3"/>
        <v>septiembre</v>
      </c>
      <c r="CA696" s="6" t="str">
        <f t="shared" si="4"/>
        <v>9</v>
      </c>
    </row>
    <row r="697">
      <c r="A697" s="8">
        <v>45904.0</v>
      </c>
      <c r="B697" s="12">
        <v>124125.0</v>
      </c>
      <c r="C697" s="12">
        <v>2154.0</v>
      </c>
      <c r="D697" s="12">
        <v>6352.0</v>
      </c>
      <c r="E697" s="12">
        <v>0.0</v>
      </c>
      <c r="F697" s="12">
        <v>0.0</v>
      </c>
      <c r="G697" s="12">
        <v>0.0</v>
      </c>
      <c r="H697" s="12">
        <f t="shared" si="149"/>
        <v>132631</v>
      </c>
      <c r="I697" s="12">
        <v>19665.0</v>
      </c>
      <c r="J697" s="12">
        <v>2648.0</v>
      </c>
      <c r="K697" s="12">
        <v>0.0</v>
      </c>
      <c r="L697" s="12">
        <v>0.0</v>
      </c>
      <c r="M697" s="12">
        <v>0.0</v>
      </c>
      <c r="N697" s="12">
        <v>0.0</v>
      </c>
      <c r="O697" s="16">
        <f t="shared" si="150"/>
        <v>22313</v>
      </c>
      <c r="P697" s="12">
        <v>6311.0</v>
      </c>
      <c r="Q697" s="12">
        <v>695.0</v>
      </c>
      <c r="R697" s="12">
        <v>120.0</v>
      </c>
      <c r="S697" s="12">
        <v>0.0</v>
      </c>
      <c r="T697" s="12">
        <v>0.0</v>
      </c>
      <c r="U697" s="12">
        <v>0.0</v>
      </c>
      <c r="V697" s="16">
        <f t="shared" si="151"/>
        <v>7126</v>
      </c>
      <c r="W697" s="12">
        <v>95.0</v>
      </c>
      <c r="X697" s="12">
        <v>0.0</v>
      </c>
      <c r="Y697" s="12">
        <v>0.0</v>
      </c>
      <c r="Z697" s="12">
        <v>0.0</v>
      </c>
      <c r="AA697" s="12">
        <v>0.0</v>
      </c>
      <c r="AB697" s="12">
        <v>0.0</v>
      </c>
      <c r="AC697" s="16">
        <f t="shared" si="169"/>
        <v>95</v>
      </c>
      <c r="AD697" s="12">
        <v>8172.47</v>
      </c>
      <c r="AE697" s="12">
        <v>95.0</v>
      </c>
      <c r="AF697" s="12">
        <v>0.0</v>
      </c>
      <c r="AG697" s="12">
        <v>0.0</v>
      </c>
      <c r="AH697" s="12">
        <v>0.0</v>
      </c>
      <c r="AI697" s="12">
        <v>0.0</v>
      </c>
      <c r="AJ697" s="12">
        <v>0.0</v>
      </c>
      <c r="AK697" s="12">
        <v>0.0</v>
      </c>
      <c r="AL697" s="12">
        <f t="shared" si="192"/>
        <v>0</v>
      </c>
      <c r="AM697" s="12">
        <v>7734.0</v>
      </c>
      <c r="AN697" s="12">
        <v>0.0</v>
      </c>
      <c r="AO697" s="12">
        <v>0.0</v>
      </c>
      <c r="AP697" s="12">
        <v>0.0</v>
      </c>
      <c r="AQ697" s="12">
        <v>0.0</v>
      </c>
      <c r="AR697" s="12">
        <v>0.0</v>
      </c>
      <c r="AS697" s="12">
        <f t="shared" si="234"/>
        <v>7734</v>
      </c>
      <c r="AT697" s="16">
        <f t="shared" si="256"/>
        <v>37268</v>
      </c>
      <c r="AU697" s="18">
        <f t="shared" si="259"/>
        <v>118084</v>
      </c>
      <c r="AV697" s="12">
        <v>14511.0</v>
      </c>
      <c r="AW697" s="10">
        <f t="shared" si="260"/>
        <v>37954</v>
      </c>
      <c r="AX697" s="12">
        <f t="shared" si="171"/>
        <v>51779</v>
      </c>
      <c r="AY697" s="12">
        <f t="shared" si="208"/>
        <v>158693.99</v>
      </c>
      <c r="AZ697" s="12">
        <v>1411.0</v>
      </c>
      <c r="BA697" s="18">
        <f t="shared" si="261"/>
        <v>6831</v>
      </c>
      <c r="BB697" s="10">
        <f t="shared" si="16"/>
        <v>885630</v>
      </c>
      <c r="BC697" s="16">
        <f t="shared" si="201"/>
        <v>135885</v>
      </c>
      <c r="BD697" s="12">
        <v>2655.99</v>
      </c>
      <c r="BE697" s="16">
        <f t="shared" ref="BE697:BE698" si="263">IF(AT697="","",BD697+BE696)</f>
        <v>2655.99</v>
      </c>
      <c r="BF697" s="6"/>
      <c r="BG697" s="6"/>
      <c r="BH697" s="6"/>
      <c r="BI697" s="29">
        <f t="shared" si="258"/>
        <v>76485.41733</v>
      </c>
      <c r="BJ697" s="6"/>
      <c r="BK697" s="15">
        <f t="shared" si="76"/>
        <v>0.487256281</v>
      </c>
      <c r="BN697" s="16">
        <f t="shared" si="187"/>
        <v>-22050.42733</v>
      </c>
      <c r="BO697" s="16">
        <f t="shared" si="250"/>
        <v>-192512.3789</v>
      </c>
      <c r="BR697" s="12">
        <v>1845.92</v>
      </c>
      <c r="BS697" s="12">
        <v>1694.92</v>
      </c>
      <c r="BT697" s="12">
        <v>550.0</v>
      </c>
      <c r="BU697" s="12">
        <v>1260.09</v>
      </c>
      <c r="BV697" s="12">
        <v>0.0</v>
      </c>
      <c r="BW697" s="16">
        <f t="shared" si="262"/>
        <v>5350.93</v>
      </c>
      <c r="BY697" s="6">
        <f t="shared" si="2"/>
        <v>2025</v>
      </c>
      <c r="BZ697" s="6" t="str">
        <f t="shared" si="3"/>
        <v>septiembre</v>
      </c>
      <c r="CA697" s="6" t="str">
        <f t="shared" si="4"/>
        <v>9</v>
      </c>
    </row>
    <row r="698">
      <c r="A698" s="8">
        <v>45905.0</v>
      </c>
      <c r="B698" s="12">
        <v>45845.0</v>
      </c>
      <c r="C698" s="12">
        <v>19664.0</v>
      </c>
      <c r="D698" s="12">
        <v>2648.0</v>
      </c>
      <c r="E698" s="12">
        <v>0.0</v>
      </c>
      <c r="F698" s="12">
        <v>0.0</v>
      </c>
      <c r="G698" s="12">
        <v>0.0</v>
      </c>
      <c r="H698" s="12">
        <f t="shared" si="149"/>
        <v>68157</v>
      </c>
      <c r="I698" s="12">
        <v>35451.0</v>
      </c>
      <c r="J698" s="12">
        <v>1004.0</v>
      </c>
      <c r="K698" s="12">
        <v>968.0</v>
      </c>
      <c r="L698" s="12">
        <v>0.0</v>
      </c>
      <c r="M698" s="12">
        <v>0.0</v>
      </c>
      <c r="N698" s="12">
        <v>0.0</v>
      </c>
      <c r="O698" s="16">
        <f t="shared" si="150"/>
        <v>37423</v>
      </c>
      <c r="P698" s="12">
        <v>11000.0</v>
      </c>
      <c r="Q698" s="12">
        <v>125.0</v>
      </c>
      <c r="R698" s="12">
        <v>0.0</v>
      </c>
      <c r="S698" s="12">
        <v>0.0</v>
      </c>
      <c r="T698" s="12">
        <v>0.0</v>
      </c>
      <c r="U698" s="12">
        <v>0.0</v>
      </c>
      <c r="V698" s="16">
        <f t="shared" si="151"/>
        <v>11125</v>
      </c>
      <c r="W698" s="12">
        <v>0.0</v>
      </c>
      <c r="X698" s="12">
        <v>0.0</v>
      </c>
      <c r="Y698" s="12">
        <v>0.0</v>
      </c>
      <c r="Z698" s="12">
        <v>0.0</v>
      </c>
      <c r="AA698" s="12">
        <v>0.0</v>
      </c>
      <c r="AB698" s="12">
        <v>0.0</v>
      </c>
      <c r="AC698" s="16">
        <f t="shared" si="169"/>
        <v>0</v>
      </c>
      <c r="AD698" s="12">
        <f>5416.9+5599.49</f>
        <v>11016.39</v>
      </c>
      <c r="AE698" s="12">
        <v>0.0</v>
      </c>
      <c r="AF698" s="12">
        <v>2545.0</v>
      </c>
      <c r="AG698" s="12">
        <v>0.0</v>
      </c>
      <c r="AH698" s="12">
        <v>0.0</v>
      </c>
      <c r="AI698" s="12">
        <v>0.0</v>
      </c>
      <c r="AJ698" s="12">
        <v>0.0</v>
      </c>
      <c r="AK698" s="12">
        <v>0.0</v>
      </c>
      <c r="AL698" s="12">
        <f t="shared" si="192"/>
        <v>2545</v>
      </c>
      <c r="AM698" s="12">
        <v>5032.0</v>
      </c>
      <c r="AN698" s="12">
        <v>0.0</v>
      </c>
      <c r="AO698" s="12">
        <v>9916.0</v>
      </c>
      <c r="AP698" s="12">
        <v>0.0</v>
      </c>
      <c r="AQ698" s="12">
        <v>0.0</v>
      </c>
      <c r="AR698" s="12">
        <v>0.0</v>
      </c>
      <c r="AS698" s="12">
        <f t="shared" si="234"/>
        <v>14948</v>
      </c>
      <c r="AT698" s="16">
        <f t="shared" si="256"/>
        <v>66041</v>
      </c>
      <c r="AU698" s="18">
        <f t="shared" si="259"/>
        <v>184125</v>
      </c>
      <c r="AV698" s="12">
        <v>5451.0</v>
      </c>
      <c r="AW698" s="10">
        <f t="shared" si="260"/>
        <v>43405</v>
      </c>
      <c r="AX698" s="12">
        <f t="shared" si="171"/>
        <v>71492</v>
      </c>
      <c r="AY698" s="12">
        <f t="shared" si="208"/>
        <v>233422.96</v>
      </c>
      <c r="AZ698" s="12">
        <v>1000.0</v>
      </c>
      <c r="BA698" s="18">
        <f t="shared" si="261"/>
        <v>7831</v>
      </c>
      <c r="BB698" s="10">
        <f t="shared" si="16"/>
        <v>1104750</v>
      </c>
      <c r="BC698" s="16">
        <f t="shared" si="201"/>
        <v>126337.5</v>
      </c>
      <c r="BD698" s="12">
        <f>1723.94+1513.03</f>
        <v>3236.97</v>
      </c>
      <c r="BE698" s="16">
        <f t="shared" si="263"/>
        <v>5892.96</v>
      </c>
      <c r="BF698" s="6"/>
      <c r="BG698" s="6"/>
      <c r="BH698" s="6"/>
      <c r="BI698" s="29">
        <f t="shared" si="258"/>
        <v>76485.41733</v>
      </c>
      <c r="BJ698" s="6"/>
      <c r="BK698" s="15">
        <f t="shared" si="76"/>
        <v>0.8634456384</v>
      </c>
      <c r="BN698" s="16">
        <f t="shared" si="187"/>
        <v>-1756.447333</v>
      </c>
      <c r="BO698" s="16">
        <f t="shared" si="250"/>
        <v>-194268.8262</v>
      </c>
      <c r="BY698" s="6">
        <f t="shared" si="2"/>
        <v>2025</v>
      </c>
      <c r="BZ698" s="6" t="str">
        <f t="shared" si="3"/>
        <v>septiembre</v>
      </c>
      <c r="CA698" s="6" t="str">
        <f t="shared" si="4"/>
        <v>9</v>
      </c>
    </row>
    <row r="699">
      <c r="A699" s="8">
        <v>45906.0</v>
      </c>
      <c r="B699" s="12">
        <v>0.0</v>
      </c>
      <c r="C699" s="12">
        <v>0.0</v>
      </c>
      <c r="D699" s="12">
        <v>0.0</v>
      </c>
      <c r="E699" s="12">
        <v>0.0</v>
      </c>
      <c r="F699" s="12">
        <v>0.0</v>
      </c>
      <c r="G699" s="12">
        <v>0.0</v>
      </c>
      <c r="H699" s="12">
        <f t="shared" si="149"/>
        <v>0</v>
      </c>
      <c r="I699" s="12">
        <v>0.0</v>
      </c>
      <c r="J699" s="12">
        <v>0.0</v>
      </c>
      <c r="K699" s="12">
        <v>0.0</v>
      </c>
      <c r="L699" s="12">
        <v>0.0</v>
      </c>
      <c r="M699" s="12">
        <v>0.0</v>
      </c>
      <c r="N699" s="12">
        <v>0.0</v>
      </c>
      <c r="O699" s="16">
        <f t="shared" si="150"/>
        <v>0</v>
      </c>
      <c r="P699" s="12">
        <v>0.0</v>
      </c>
      <c r="Q699" s="12">
        <v>0.0</v>
      </c>
      <c r="R699" s="12">
        <v>0.0</v>
      </c>
      <c r="S699" s="12">
        <v>0.0</v>
      </c>
      <c r="T699" s="12">
        <v>0.0</v>
      </c>
      <c r="U699" s="12">
        <v>0.0</v>
      </c>
      <c r="V699" s="16">
        <f t="shared" si="151"/>
        <v>0</v>
      </c>
      <c r="W699" s="12">
        <v>0.0</v>
      </c>
      <c r="X699" s="12">
        <v>0.0</v>
      </c>
      <c r="Y699" s="12">
        <v>0.0</v>
      </c>
      <c r="Z699" s="12">
        <v>0.0</v>
      </c>
      <c r="AA699" s="12">
        <v>0.0</v>
      </c>
      <c r="AB699" s="12">
        <v>0.0</v>
      </c>
      <c r="AC699" s="16">
        <f t="shared" si="169"/>
        <v>0</v>
      </c>
      <c r="AD699" s="12">
        <v>0.0</v>
      </c>
      <c r="AE699" s="16">
        <f t="shared" ref="AE699:AE700" si="264">AD699-AC699</f>
        <v>0</v>
      </c>
      <c r="AF699" s="12">
        <v>0.0</v>
      </c>
      <c r="AG699" s="12">
        <v>0.0</v>
      </c>
      <c r="AH699" s="12">
        <v>0.0</v>
      </c>
      <c r="AI699" s="12">
        <v>0.0</v>
      </c>
      <c r="AJ699" s="12">
        <v>0.0</v>
      </c>
      <c r="AK699" s="12">
        <v>0.0</v>
      </c>
      <c r="AL699" s="12">
        <f t="shared" si="192"/>
        <v>0</v>
      </c>
      <c r="AM699" s="12">
        <v>0.0</v>
      </c>
      <c r="AN699" s="12">
        <v>0.0</v>
      </c>
      <c r="AO699" s="12">
        <v>0.0</v>
      </c>
      <c r="AP699" s="12">
        <v>0.0</v>
      </c>
      <c r="AQ699" s="12">
        <v>0.0</v>
      </c>
      <c r="AR699" s="12">
        <v>0.0</v>
      </c>
      <c r="AS699" s="12">
        <f t="shared" si="234"/>
        <v>0</v>
      </c>
      <c r="AT699" s="12">
        <v>0.0</v>
      </c>
      <c r="AU699" s="18">
        <f t="shared" si="259"/>
        <v>184125</v>
      </c>
      <c r="AV699" s="12">
        <v>0.0</v>
      </c>
      <c r="AW699" s="10">
        <f t="shared" si="260"/>
        <v>43405</v>
      </c>
      <c r="AX699" s="12">
        <f t="shared" si="171"/>
        <v>0</v>
      </c>
      <c r="AY699" s="12">
        <f t="shared" si="208"/>
        <v>233422.96</v>
      </c>
      <c r="AZ699" s="12">
        <v>0.0</v>
      </c>
      <c r="BA699" s="18">
        <f t="shared" si="261"/>
        <v>7831</v>
      </c>
      <c r="BB699" s="10">
        <f t="shared" si="16"/>
        <v>920625</v>
      </c>
      <c r="BC699" s="16">
        <f t="shared" si="201"/>
        <v>134693.3333</v>
      </c>
      <c r="BD699" s="12">
        <v>0.0</v>
      </c>
      <c r="BE699" s="12">
        <v>5892.96</v>
      </c>
      <c r="BF699" s="6"/>
      <c r="BG699" s="6"/>
      <c r="BH699" s="6"/>
      <c r="BI699" s="29">
        <f t="shared" si="258"/>
        <v>76485.41733</v>
      </c>
      <c r="BJ699" s="6"/>
      <c r="BK699" s="15">
        <f t="shared" si="76"/>
        <v>0</v>
      </c>
      <c r="BN699" s="16">
        <f t="shared" si="187"/>
        <v>-76485.41733</v>
      </c>
      <c r="BO699" s="16">
        <f t="shared" si="250"/>
        <v>-270754.2435</v>
      </c>
      <c r="BY699" s="6">
        <f t="shared" si="2"/>
        <v>2025</v>
      </c>
      <c r="BZ699" s="6" t="str">
        <f t="shared" si="3"/>
        <v>septiembre</v>
      </c>
      <c r="CA699" s="6" t="str">
        <f t="shared" si="4"/>
        <v>9</v>
      </c>
    </row>
    <row r="700">
      <c r="A700" s="8">
        <v>45907.0</v>
      </c>
      <c r="B700" s="12">
        <v>0.0</v>
      </c>
      <c r="C700" s="12">
        <v>0.0</v>
      </c>
      <c r="D700" s="12">
        <v>0.0</v>
      </c>
      <c r="E700" s="12">
        <v>0.0</v>
      </c>
      <c r="F700" s="12">
        <v>0.0</v>
      </c>
      <c r="G700" s="12">
        <v>0.0</v>
      </c>
      <c r="H700" s="12">
        <f t="shared" si="149"/>
        <v>0</v>
      </c>
      <c r="I700" s="12">
        <v>0.0</v>
      </c>
      <c r="J700" s="12">
        <v>0.0</v>
      </c>
      <c r="K700" s="12">
        <v>0.0</v>
      </c>
      <c r="L700" s="12">
        <v>0.0</v>
      </c>
      <c r="M700" s="12">
        <v>0.0</v>
      </c>
      <c r="N700" s="12">
        <v>0.0</v>
      </c>
      <c r="O700" s="16">
        <f t="shared" si="150"/>
        <v>0</v>
      </c>
      <c r="P700" s="12">
        <v>0.0</v>
      </c>
      <c r="Q700" s="12">
        <v>0.0</v>
      </c>
      <c r="R700" s="12">
        <v>0.0</v>
      </c>
      <c r="S700" s="12">
        <v>0.0</v>
      </c>
      <c r="T700" s="12">
        <v>0.0</v>
      </c>
      <c r="U700" s="12">
        <v>0.0</v>
      </c>
      <c r="V700" s="16">
        <f t="shared" si="151"/>
        <v>0</v>
      </c>
      <c r="W700" s="12">
        <v>0.0</v>
      </c>
      <c r="X700" s="12">
        <v>0.0</v>
      </c>
      <c r="Y700" s="12">
        <v>0.0</v>
      </c>
      <c r="Z700" s="12">
        <v>0.0</v>
      </c>
      <c r="AA700" s="12">
        <v>0.0</v>
      </c>
      <c r="AB700" s="12">
        <v>0.0</v>
      </c>
      <c r="AC700" s="16">
        <f t="shared" si="169"/>
        <v>0</v>
      </c>
      <c r="AD700" s="12">
        <v>0.0</v>
      </c>
      <c r="AE700" s="16">
        <f t="shared" si="264"/>
        <v>0</v>
      </c>
      <c r="AF700" s="12">
        <v>0.0</v>
      </c>
      <c r="AG700" s="12">
        <v>0.0</v>
      </c>
      <c r="AH700" s="12">
        <v>0.0</v>
      </c>
      <c r="AI700" s="12">
        <v>0.0</v>
      </c>
      <c r="AJ700" s="12">
        <v>0.0</v>
      </c>
      <c r="AK700" s="12">
        <v>0.0</v>
      </c>
      <c r="AL700" s="12">
        <f t="shared" si="192"/>
        <v>0</v>
      </c>
      <c r="AM700" s="12">
        <v>0.0</v>
      </c>
      <c r="AN700" s="12">
        <v>0.0</v>
      </c>
      <c r="AO700" s="12">
        <v>0.0</v>
      </c>
      <c r="AP700" s="12">
        <v>0.0</v>
      </c>
      <c r="AQ700" s="12">
        <v>0.0</v>
      </c>
      <c r="AR700" s="12">
        <v>0.0</v>
      </c>
      <c r="AS700" s="12">
        <f t="shared" si="234"/>
        <v>0</v>
      </c>
      <c r="AT700" s="12">
        <v>0.0</v>
      </c>
      <c r="AU700" s="18">
        <f t="shared" si="259"/>
        <v>184125</v>
      </c>
      <c r="AV700" s="12">
        <v>0.0</v>
      </c>
      <c r="AW700" s="10">
        <f t="shared" si="260"/>
        <v>43405</v>
      </c>
      <c r="AX700" s="12">
        <f t="shared" si="171"/>
        <v>0</v>
      </c>
      <c r="AY700" s="12">
        <f t="shared" si="208"/>
        <v>233422.96</v>
      </c>
      <c r="AZ700" s="12">
        <v>0.0</v>
      </c>
      <c r="BA700" s="18">
        <f t="shared" si="261"/>
        <v>7831</v>
      </c>
      <c r="BB700" s="10">
        <f t="shared" si="16"/>
        <v>789107.1429</v>
      </c>
      <c r="BC700" s="16">
        <f t="shared" si="201"/>
        <v>147605</v>
      </c>
      <c r="BD700" s="12">
        <v>0.0</v>
      </c>
      <c r="BE700" s="12">
        <v>5892.96</v>
      </c>
      <c r="BF700" s="6"/>
      <c r="BG700" s="6"/>
      <c r="BH700" s="6"/>
      <c r="BI700" s="29">
        <f t="shared" si="258"/>
        <v>76485.41733</v>
      </c>
      <c r="BJ700" s="6"/>
      <c r="BK700" s="15">
        <f t="shared" si="76"/>
        <v>0</v>
      </c>
      <c r="BO700" s="16">
        <f t="shared" si="250"/>
        <v>-270754.2435</v>
      </c>
      <c r="BY700" s="6">
        <f t="shared" si="2"/>
        <v>2025</v>
      </c>
      <c r="BZ700" s="6" t="str">
        <f t="shared" si="3"/>
        <v>septiembre</v>
      </c>
      <c r="CA700" s="6" t="str">
        <f t="shared" si="4"/>
        <v>9</v>
      </c>
    </row>
    <row r="701">
      <c r="A701" s="8">
        <v>45908.0</v>
      </c>
      <c r="B701" s="12">
        <v>127814.56</v>
      </c>
      <c r="C701" s="12">
        <v>20215.0</v>
      </c>
      <c r="D701" s="12">
        <v>18669.0</v>
      </c>
      <c r="E701" s="12">
        <v>2485.0</v>
      </c>
      <c r="F701" s="12">
        <v>0.0</v>
      </c>
      <c r="G701" s="12">
        <v>0.0</v>
      </c>
      <c r="H701" s="12">
        <f t="shared" si="149"/>
        <v>169183.56</v>
      </c>
      <c r="I701" s="12">
        <v>14541.0</v>
      </c>
      <c r="J701" s="12">
        <v>1458.0</v>
      </c>
      <c r="K701" s="12">
        <v>2885.35</v>
      </c>
      <c r="L701" s="12">
        <v>2458.0</v>
      </c>
      <c r="M701" s="12">
        <v>985.0</v>
      </c>
      <c r="N701" s="12">
        <v>0.0</v>
      </c>
      <c r="O701" s="16">
        <f t="shared" si="150"/>
        <v>22327.35</v>
      </c>
      <c r="P701" s="12">
        <v>7351.82</v>
      </c>
      <c r="Q701" s="12">
        <v>461.14</v>
      </c>
      <c r="R701" s="12">
        <v>1880.79</v>
      </c>
      <c r="S701" s="12">
        <v>0.0</v>
      </c>
      <c r="T701" s="12">
        <v>0.0</v>
      </c>
      <c r="U701" s="12">
        <v>0.0</v>
      </c>
      <c r="V701" s="16">
        <f t="shared" si="151"/>
        <v>9693.75</v>
      </c>
      <c r="W701" s="12">
        <v>1824.85</v>
      </c>
      <c r="X701" s="12">
        <v>0.06</v>
      </c>
      <c r="Y701" s="12">
        <v>23.62</v>
      </c>
      <c r="Z701" s="12">
        <v>0.0</v>
      </c>
      <c r="AA701" s="12">
        <v>0.0</v>
      </c>
      <c r="AB701" s="12">
        <v>0.0</v>
      </c>
      <c r="AC701" s="16">
        <f t="shared" si="169"/>
        <v>1848.53</v>
      </c>
      <c r="AD701" s="12">
        <v>9870.29</v>
      </c>
      <c r="AE701" s="16">
        <f t="shared" ref="AE701:AE702" si="265">AC701</f>
        <v>1848.53</v>
      </c>
      <c r="AF701" s="12">
        <v>7060.95</v>
      </c>
      <c r="AG701" s="12">
        <v>480.81</v>
      </c>
      <c r="AH701" s="12">
        <v>0.0</v>
      </c>
      <c r="AI701" s="12">
        <v>0.0</v>
      </c>
      <c r="AJ701" s="12">
        <v>0.0</v>
      </c>
      <c r="AK701" s="12">
        <v>0.0</v>
      </c>
      <c r="AL701" s="12">
        <f t="shared" si="192"/>
        <v>7541.76</v>
      </c>
      <c r="AM701" s="12">
        <v>4037.0</v>
      </c>
      <c r="AN701" s="12">
        <v>0.0</v>
      </c>
      <c r="AO701" s="12">
        <v>11798.0</v>
      </c>
      <c r="AP701" s="12">
        <v>0.0</v>
      </c>
      <c r="AQ701" s="12">
        <v>0.0</v>
      </c>
      <c r="AR701" s="12">
        <v>0.0</v>
      </c>
      <c r="AS701" s="12">
        <f t="shared" si="234"/>
        <v>15835</v>
      </c>
      <c r="AT701" s="16">
        <f t="shared" ref="AT701:AT702" si="266">IF(AS701+AL701+AC701+V701+O701=0,"",AS701+AL701+AC701+V701+O701)</f>
        <v>57246.39</v>
      </c>
      <c r="AU701" s="18">
        <f t="shared" si="259"/>
        <v>241371.39</v>
      </c>
      <c r="AV701" s="12">
        <v>20451.46</v>
      </c>
      <c r="AW701" s="10">
        <f t="shared" si="260"/>
        <v>63856.46</v>
      </c>
      <c r="AX701" s="12">
        <f t="shared" si="171"/>
        <v>77697.85</v>
      </c>
      <c r="AY701" s="12">
        <f t="shared" si="208"/>
        <v>313973.84</v>
      </c>
      <c r="AZ701" s="12">
        <v>3435.3</v>
      </c>
      <c r="BA701" s="18">
        <f t="shared" si="261"/>
        <v>11266.3</v>
      </c>
      <c r="BB701" s="10">
        <f t="shared" si="16"/>
        <v>905142.7125</v>
      </c>
      <c r="BC701" s="16">
        <f t="shared" si="201"/>
        <v>184125</v>
      </c>
      <c r="BD701" s="12">
        <v>2853.03</v>
      </c>
      <c r="BE701" s="16">
        <f t="shared" ref="BE701:BE707" si="267">IF(AT701="","",BD701+BE700)</f>
        <v>8745.99</v>
      </c>
      <c r="BF701" s="6"/>
      <c r="BG701" s="6"/>
      <c r="BH701" s="6"/>
      <c r="BI701" s="29">
        <f t="shared" si="258"/>
        <v>76485.41733</v>
      </c>
      <c r="BJ701" s="6"/>
      <c r="BK701" s="15">
        <f t="shared" si="76"/>
        <v>0.7484614976</v>
      </c>
      <c r="BO701" s="16">
        <f t="shared" si="250"/>
        <v>-270754.2435</v>
      </c>
      <c r="BY701" s="6">
        <f t="shared" si="2"/>
        <v>2025</v>
      </c>
      <c r="BZ701" s="6" t="str">
        <f t="shared" si="3"/>
        <v>septiembre</v>
      </c>
      <c r="CA701" s="6" t="str">
        <f t="shared" si="4"/>
        <v>9</v>
      </c>
    </row>
    <row r="702">
      <c r="A702" s="8">
        <v>45909.0</v>
      </c>
      <c r="B702" s="16"/>
      <c r="C702" s="16"/>
      <c r="D702" s="16"/>
      <c r="E702" s="16"/>
      <c r="F702" s="16"/>
      <c r="G702" s="16"/>
      <c r="H702" s="12">
        <f t="shared" si="149"/>
        <v>0</v>
      </c>
      <c r="I702" s="12">
        <v>35408.6</v>
      </c>
      <c r="J702" s="12">
        <v>3451.0</v>
      </c>
      <c r="K702" s="12">
        <v>4014.0</v>
      </c>
      <c r="L702" s="12">
        <v>984.0</v>
      </c>
      <c r="M702" s="12">
        <v>0.0</v>
      </c>
      <c r="N702" s="12">
        <v>0.0</v>
      </c>
      <c r="O702" s="16">
        <f t="shared" si="150"/>
        <v>43857.6</v>
      </c>
      <c r="P702" s="12">
        <v>11514.67</v>
      </c>
      <c r="Q702" s="12">
        <v>1373.02</v>
      </c>
      <c r="R702" s="12">
        <v>2298.09</v>
      </c>
      <c r="S702" s="12">
        <v>0.0</v>
      </c>
      <c r="T702" s="12">
        <v>0.0</v>
      </c>
      <c r="U702" s="12">
        <v>0.0</v>
      </c>
      <c r="V702" s="16">
        <f t="shared" si="151"/>
        <v>15185.78</v>
      </c>
      <c r="W702" s="12">
        <v>1591.11</v>
      </c>
      <c r="X702" s="12">
        <v>96.44</v>
      </c>
      <c r="Y702" s="12">
        <v>420.0</v>
      </c>
      <c r="Z702" s="12">
        <v>0.0</v>
      </c>
      <c r="AA702" s="12">
        <v>0.0</v>
      </c>
      <c r="AB702" s="12">
        <v>0.0</v>
      </c>
      <c r="AC702" s="16">
        <f t="shared" si="169"/>
        <v>2107.55</v>
      </c>
      <c r="AD702" s="12">
        <v>2738.65</v>
      </c>
      <c r="AE702" s="16">
        <f t="shared" si="265"/>
        <v>2107.55</v>
      </c>
      <c r="AF702" s="12">
        <v>4396.95</v>
      </c>
      <c r="AG702" s="12">
        <v>541.77</v>
      </c>
      <c r="AH702" s="12">
        <v>950.06</v>
      </c>
      <c r="AI702" s="12">
        <v>0.0</v>
      </c>
      <c r="AJ702" s="12">
        <v>0.0</v>
      </c>
      <c r="AK702" s="12">
        <v>0.0</v>
      </c>
      <c r="AL702" s="12">
        <f t="shared" si="192"/>
        <v>5888.78</v>
      </c>
      <c r="AM702" s="12">
        <v>2460.0</v>
      </c>
      <c r="AN702" s="12">
        <v>0.0</v>
      </c>
      <c r="AO702" s="12">
        <v>0.0</v>
      </c>
      <c r="AP702" s="12">
        <v>0.0</v>
      </c>
      <c r="AQ702" s="12">
        <v>0.0</v>
      </c>
      <c r="AR702" s="12">
        <v>0.0</v>
      </c>
      <c r="AS702" s="12">
        <f t="shared" si="234"/>
        <v>2460</v>
      </c>
      <c r="AT702" s="16">
        <f t="shared" si="266"/>
        <v>69499.71</v>
      </c>
      <c r="AU702" s="18">
        <f t="shared" si="259"/>
        <v>310871.1</v>
      </c>
      <c r="AV702" s="12">
        <v>23497.18</v>
      </c>
      <c r="AW702" s="10">
        <f t="shared" si="260"/>
        <v>87353.64</v>
      </c>
      <c r="AX702" s="12">
        <f t="shared" si="171"/>
        <v>92996.89</v>
      </c>
      <c r="AY702" s="12">
        <f t="shared" si="208"/>
        <v>407833.74</v>
      </c>
      <c r="AZ702" s="12">
        <v>2810.31</v>
      </c>
      <c r="BA702" s="18">
        <f t="shared" si="261"/>
        <v>14076.61</v>
      </c>
      <c r="BB702" s="10">
        <f t="shared" si="16"/>
        <v>1036237</v>
      </c>
      <c r="BC702" s="16">
        <f t="shared" si="201"/>
        <v>153437.5</v>
      </c>
      <c r="BD702" s="12">
        <v>863.01</v>
      </c>
      <c r="BE702" s="16">
        <f t="shared" si="267"/>
        <v>9609</v>
      </c>
      <c r="BF702" s="6"/>
      <c r="BG702" s="6"/>
      <c r="BH702" s="6"/>
      <c r="BI702" s="29">
        <f t="shared" si="258"/>
        <v>76485.41733</v>
      </c>
      <c r="BJ702" s="6"/>
      <c r="BK702" s="15">
        <f t="shared" si="76"/>
        <v>0.9086661539</v>
      </c>
      <c r="BO702" s="16">
        <f t="shared" si="250"/>
        <v>-270754.2435</v>
      </c>
      <c r="BY702" s="6">
        <f t="shared" si="2"/>
        <v>2025</v>
      </c>
      <c r="BZ702" s="6" t="str">
        <f t="shared" si="3"/>
        <v>septiembre</v>
      </c>
      <c r="CA702" s="6" t="str">
        <f t="shared" si="4"/>
        <v>9</v>
      </c>
    </row>
    <row r="703">
      <c r="A703" s="8">
        <v>45910.0</v>
      </c>
      <c r="B703" s="16"/>
      <c r="C703" s="16"/>
      <c r="D703" s="16"/>
      <c r="E703" s="16"/>
      <c r="F703" s="16"/>
      <c r="G703" s="16"/>
      <c r="H703" s="12">
        <f t="shared" si="149"/>
        <v>0</v>
      </c>
      <c r="I703" s="16"/>
      <c r="J703" s="16"/>
      <c r="K703" s="16"/>
      <c r="L703" s="16"/>
      <c r="M703" s="16"/>
      <c r="N703" s="16"/>
      <c r="O703" s="16">
        <f t="shared" si="150"/>
        <v>0</v>
      </c>
      <c r="P703" s="16"/>
      <c r="Q703" s="16"/>
      <c r="R703" s="16"/>
      <c r="S703" s="16"/>
      <c r="T703" s="16"/>
      <c r="U703" s="16"/>
      <c r="V703" s="16">
        <f t="shared" si="151"/>
        <v>0</v>
      </c>
      <c r="W703" s="16"/>
      <c r="X703" s="16"/>
      <c r="Y703" s="16"/>
      <c r="Z703" s="16"/>
      <c r="AA703" s="16"/>
      <c r="AB703" s="16"/>
      <c r="AC703" s="16">
        <f t="shared" si="169"/>
        <v>0</v>
      </c>
      <c r="AD703" s="16"/>
      <c r="AE703" s="16"/>
      <c r="AF703" s="16"/>
      <c r="AG703" s="16"/>
      <c r="AH703" s="16"/>
      <c r="AI703" s="16"/>
      <c r="AJ703" s="16"/>
      <c r="AK703" s="16"/>
      <c r="AL703" s="12">
        <f t="shared" si="192"/>
        <v>0</v>
      </c>
      <c r="AM703" s="16"/>
      <c r="AN703" s="16"/>
      <c r="AO703" s="16"/>
      <c r="AP703" s="16"/>
      <c r="AQ703" s="16"/>
      <c r="AR703" s="16"/>
      <c r="AS703" s="12">
        <f t="shared" si="234"/>
        <v>0</v>
      </c>
      <c r="AV703" s="16"/>
      <c r="AW703" s="10" t="str">
        <f t="shared" si="260"/>
        <v/>
      </c>
      <c r="AX703" s="12" t="str">
        <f t="shared" si="171"/>
        <v/>
      </c>
      <c r="AY703" s="12" t="str">
        <f t="shared" si="208"/>
        <v/>
      </c>
      <c r="AZ703" s="16"/>
      <c r="BB703" s="10" t="str">
        <f t="shared" si="16"/>
        <v/>
      </c>
      <c r="BC703" s="16">
        <f t="shared" si="201"/>
        <v>131517.8571</v>
      </c>
      <c r="BD703" s="16"/>
      <c r="BE703" s="16" t="str">
        <f t="shared" si="267"/>
        <v/>
      </c>
      <c r="BI703" s="29" t="str">
        <f t="shared" si="258"/>
        <v/>
      </c>
      <c r="BK703" s="15" t="str">
        <f t="shared" si="76"/>
        <v/>
      </c>
      <c r="BO703" s="6" t="str">
        <f t="shared" si="250"/>
        <v/>
      </c>
      <c r="BY703" s="6">
        <f t="shared" si="2"/>
        <v>2025</v>
      </c>
      <c r="BZ703" s="6" t="str">
        <f t="shared" si="3"/>
        <v>septiembre</v>
      </c>
      <c r="CA703" s="6" t="str">
        <f t="shared" si="4"/>
        <v>9</v>
      </c>
    </row>
    <row r="704">
      <c r="A704" s="8">
        <v>45911.0</v>
      </c>
      <c r="B704" s="16"/>
      <c r="C704" s="16"/>
      <c r="D704" s="16"/>
      <c r="E704" s="16"/>
      <c r="F704" s="16"/>
      <c r="G704" s="16"/>
      <c r="H704" s="12">
        <f t="shared" si="149"/>
        <v>0</v>
      </c>
      <c r="I704" s="16"/>
      <c r="J704" s="16"/>
      <c r="K704" s="16"/>
      <c r="L704" s="16"/>
      <c r="M704" s="16"/>
      <c r="N704" s="16"/>
      <c r="O704" s="16">
        <f t="shared" si="150"/>
        <v>0</v>
      </c>
      <c r="P704" s="16"/>
      <c r="Q704" s="16"/>
      <c r="R704" s="16"/>
      <c r="S704" s="16"/>
      <c r="T704" s="16"/>
      <c r="U704" s="16"/>
      <c r="V704" s="16">
        <f t="shared" si="151"/>
        <v>0</v>
      </c>
      <c r="W704" s="16"/>
      <c r="X704" s="16"/>
      <c r="Y704" s="16"/>
      <c r="Z704" s="16"/>
      <c r="AA704" s="16"/>
      <c r="AB704" s="16"/>
      <c r="AC704" s="16">
        <f t="shared" si="169"/>
        <v>0</v>
      </c>
      <c r="AD704" s="16"/>
      <c r="AE704" s="16"/>
      <c r="AF704" s="16"/>
      <c r="AG704" s="16"/>
      <c r="AH704" s="16"/>
      <c r="AI704" s="16"/>
      <c r="AJ704" s="16"/>
      <c r="AK704" s="16"/>
      <c r="AL704" s="12">
        <f t="shared" si="192"/>
        <v>0</v>
      </c>
      <c r="AM704" s="16"/>
      <c r="AN704" s="16"/>
      <c r="AO704" s="16"/>
      <c r="AP704" s="16"/>
      <c r="AQ704" s="16"/>
      <c r="AR704" s="16"/>
      <c r="AS704" s="12">
        <f t="shared" si="234"/>
        <v>0</v>
      </c>
      <c r="AV704" s="16"/>
      <c r="AX704" s="12" t="str">
        <f t="shared" si="171"/>
        <v/>
      </c>
      <c r="AY704" s="12" t="str">
        <f t="shared" si="208"/>
        <v/>
      </c>
      <c r="AZ704" s="16"/>
      <c r="BB704" s="10" t="str">
        <f t="shared" si="16"/>
        <v/>
      </c>
      <c r="BC704" s="16">
        <f t="shared" si="201"/>
        <v>150857.1188</v>
      </c>
      <c r="BD704" s="16"/>
      <c r="BE704" s="16" t="str">
        <f t="shared" si="267"/>
        <v/>
      </c>
      <c r="BI704" s="29" t="str">
        <f t="shared" si="258"/>
        <v/>
      </c>
      <c r="BK704" s="15" t="str">
        <f t="shared" si="76"/>
        <v/>
      </c>
      <c r="BO704" s="6" t="str">
        <f t="shared" si="250"/>
        <v/>
      </c>
      <c r="BY704" s="6">
        <f t="shared" si="2"/>
        <v>2025</v>
      </c>
      <c r="BZ704" s="6" t="str">
        <f t="shared" si="3"/>
        <v>septiembre</v>
      </c>
      <c r="CA704" s="6" t="str">
        <f t="shared" si="4"/>
        <v>9</v>
      </c>
    </row>
    <row r="705">
      <c r="A705" s="8">
        <v>45912.0</v>
      </c>
      <c r="B705" s="16"/>
      <c r="C705" s="16"/>
      <c r="D705" s="16"/>
      <c r="E705" s="16"/>
      <c r="F705" s="16"/>
      <c r="G705" s="16"/>
      <c r="H705" s="12">
        <f t="shared" si="149"/>
        <v>0</v>
      </c>
      <c r="I705" s="16"/>
      <c r="J705" s="16"/>
      <c r="K705" s="16"/>
      <c r="L705" s="16"/>
      <c r="M705" s="16"/>
      <c r="N705" s="16"/>
      <c r="O705" s="16">
        <f t="shared" si="150"/>
        <v>0</v>
      </c>
      <c r="P705" s="16"/>
      <c r="Q705" s="16"/>
      <c r="R705" s="16"/>
      <c r="S705" s="16"/>
      <c r="T705" s="16"/>
      <c r="U705" s="16"/>
      <c r="V705" s="16">
        <f t="shared" si="151"/>
        <v>0</v>
      </c>
      <c r="W705" s="16"/>
      <c r="X705" s="16"/>
      <c r="Y705" s="16"/>
      <c r="Z705" s="16"/>
      <c r="AA705" s="16"/>
      <c r="AB705" s="16"/>
      <c r="AC705" s="16">
        <f t="shared" si="169"/>
        <v>0</v>
      </c>
      <c r="AD705" s="16"/>
      <c r="AE705" s="16"/>
      <c r="AF705" s="16"/>
      <c r="AG705" s="16"/>
      <c r="AH705" s="16"/>
      <c r="AI705" s="16"/>
      <c r="AJ705" s="16"/>
      <c r="AK705" s="16"/>
      <c r="AL705" s="12">
        <f t="shared" si="192"/>
        <v>0</v>
      </c>
      <c r="AM705" s="16"/>
      <c r="AN705" s="16"/>
      <c r="AO705" s="16"/>
      <c r="AP705" s="16"/>
      <c r="AQ705" s="16"/>
      <c r="AR705" s="16"/>
      <c r="AS705" s="12">
        <f t="shared" si="234"/>
        <v>0</v>
      </c>
      <c r="AV705" s="16"/>
      <c r="AX705" s="12" t="str">
        <f t="shared" si="171"/>
        <v/>
      </c>
      <c r="AY705" s="12" t="str">
        <f t="shared" si="208"/>
        <v/>
      </c>
      <c r="AZ705" s="16"/>
      <c r="BB705" s="10" t="str">
        <f t="shared" si="16"/>
        <v/>
      </c>
      <c r="BC705" s="16">
        <f t="shared" si="201"/>
        <v>172706.1667</v>
      </c>
      <c r="BD705" s="16"/>
      <c r="BE705" s="16" t="str">
        <f t="shared" si="267"/>
        <v/>
      </c>
      <c r="BI705" s="29" t="str">
        <f t="shared" si="258"/>
        <v/>
      </c>
      <c r="BK705" s="15" t="str">
        <f t="shared" si="76"/>
        <v/>
      </c>
      <c r="BO705" s="6" t="str">
        <f t="shared" si="250"/>
        <v/>
      </c>
      <c r="BY705" s="6">
        <f t="shared" si="2"/>
        <v>2025</v>
      </c>
      <c r="BZ705" s="6" t="str">
        <f t="shared" si="3"/>
        <v>septiembre</v>
      </c>
      <c r="CA705" s="6" t="str">
        <f t="shared" si="4"/>
        <v>9</v>
      </c>
    </row>
    <row r="706">
      <c r="A706" s="8">
        <v>45913.0</v>
      </c>
      <c r="B706" s="16"/>
      <c r="C706" s="16"/>
      <c r="D706" s="16"/>
      <c r="E706" s="16"/>
      <c r="F706" s="16"/>
      <c r="G706" s="16"/>
      <c r="H706" s="12">
        <f t="shared" si="149"/>
        <v>0</v>
      </c>
      <c r="I706" s="16"/>
      <c r="J706" s="16"/>
      <c r="K706" s="16"/>
      <c r="L706" s="16"/>
      <c r="M706" s="16"/>
      <c r="N706" s="16"/>
      <c r="O706" s="16">
        <f t="shared" si="150"/>
        <v>0</v>
      </c>
      <c r="P706" s="16"/>
      <c r="Q706" s="16"/>
      <c r="R706" s="16"/>
      <c r="S706" s="16"/>
      <c r="T706" s="16"/>
      <c r="U706" s="16"/>
      <c r="V706" s="16">
        <f t="shared" si="151"/>
        <v>0</v>
      </c>
      <c r="W706" s="16"/>
      <c r="X706" s="16"/>
      <c r="Y706" s="16"/>
      <c r="Z706" s="16"/>
      <c r="AA706" s="16"/>
      <c r="AB706" s="16"/>
      <c r="AC706" s="16">
        <f t="shared" si="169"/>
        <v>0</v>
      </c>
      <c r="AD706" s="16"/>
      <c r="AE706" s="16"/>
      <c r="AF706" s="16"/>
      <c r="AG706" s="16"/>
      <c r="AH706" s="16"/>
      <c r="AI706" s="16"/>
      <c r="AJ706" s="16"/>
      <c r="AK706" s="16"/>
      <c r="AL706" s="12">
        <f t="shared" si="192"/>
        <v>0</v>
      </c>
      <c r="AM706" s="16"/>
      <c r="AN706" s="16"/>
      <c r="AO706" s="16"/>
      <c r="AP706" s="16"/>
      <c r="AQ706" s="16"/>
      <c r="AR706" s="16"/>
      <c r="AS706" s="12">
        <f t="shared" si="234"/>
        <v>0</v>
      </c>
      <c r="AV706" s="16"/>
      <c r="AX706" s="12" t="str">
        <f t="shared" si="171"/>
        <v/>
      </c>
      <c r="AY706" s="12" t="str">
        <f t="shared" si="208"/>
        <v/>
      </c>
      <c r="AZ706" s="16"/>
      <c r="BB706" s="10" t="str">
        <f t="shared" si="16"/>
        <v/>
      </c>
      <c r="BC706" s="16">
        <f t="shared" si="201"/>
        <v>0</v>
      </c>
      <c r="BD706" s="16"/>
      <c r="BE706" s="16" t="str">
        <f t="shared" si="267"/>
        <v/>
      </c>
      <c r="BI706" s="29" t="str">
        <f t="shared" si="258"/>
        <v/>
      </c>
      <c r="BK706" s="15" t="str">
        <f t="shared" si="76"/>
        <v/>
      </c>
      <c r="BO706" s="6" t="str">
        <f t="shared" si="250"/>
        <v/>
      </c>
      <c r="BY706" s="6">
        <f t="shared" si="2"/>
        <v>2025</v>
      </c>
      <c r="BZ706" s="6" t="str">
        <f t="shared" si="3"/>
        <v>septiembre</v>
      </c>
      <c r="CA706" s="6" t="str">
        <f t="shared" si="4"/>
        <v>9</v>
      </c>
    </row>
    <row r="707">
      <c r="A707" s="8">
        <v>45914.0</v>
      </c>
      <c r="B707" s="16"/>
      <c r="C707" s="16"/>
      <c r="D707" s="16"/>
      <c r="E707" s="16"/>
      <c r="F707" s="16"/>
      <c r="G707" s="16"/>
      <c r="H707" s="12">
        <f t="shared" si="149"/>
        <v>0</v>
      </c>
      <c r="I707" s="16"/>
      <c r="J707" s="16"/>
      <c r="K707" s="16"/>
      <c r="L707" s="16"/>
      <c r="M707" s="16"/>
      <c r="N707" s="16"/>
      <c r="O707" s="16">
        <f t="shared" si="150"/>
        <v>0</v>
      </c>
      <c r="P707" s="16"/>
      <c r="Q707" s="16"/>
      <c r="R707" s="16"/>
      <c r="S707" s="16"/>
      <c r="T707" s="16"/>
      <c r="U707" s="16"/>
      <c r="V707" s="16">
        <f t="shared" si="151"/>
        <v>0</v>
      </c>
      <c r="W707" s="16"/>
      <c r="X707" s="16"/>
      <c r="Y707" s="16"/>
      <c r="Z707" s="16"/>
      <c r="AA707" s="16"/>
      <c r="AB707" s="16"/>
      <c r="AC707" s="16">
        <f t="shared" si="169"/>
        <v>0</v>
      </c>
      <c r="AD707" s="16"/>
      <c r="AE707" s="16"/>
      <c r="AF707" s="16"/>
      <c r="AG707" s="16"/>
      <c r="AH707" s="16"/>
      <c r="AI707" s="16"/>
      <c r="AJ707" s="16"/>
      <c r="AK707" s="16"/>
      <c r="AL707" s="12">
        <f t="shared" si="192"/>
        <v>0</v>
      </c>
      <c r="AM707" s="16"/>
      <c r="AN707" s="16"/>
      <c r="AO707" s="16"/>
      <c r="AP707" s="16"/>
      <c r="AQ707" s="16"/>
      <c r="AR707" s="16"/>
      <c r="AS707" s="12">
        <f t="shared" si="234"/>
        <v>0</v>
      </c>
      <c r="AV707" s="16"/>
      <c r="AX707" s="16"/>
      <c r="AY707" s="12" t="str">
        <f t="shared" si="208"/>
        <v/>
      </c>
      <c r="AZ707" s="16"/>
      <c r="BB707" s="10" t="str">
        <f t="shared" si="16"/>
        <v/>
      </c>
      <c r="BC707" s="16">
        <f t="shared" si="201"/>
        <v>0</v>
      </c>
      <c r="BD707" s="16"/>
      <c r="BE707" s="16" t="str">
        <f t="shared" si="267"/>
        <v/>
      </c>
      <c r="BI707" s="29" t="str">
        <f t="shared" si="258"/>
        <v/>
      </c>
      <c r="BK707" s="15" t="str">
        <f t="shared" si="76"/>
        <v/>
      </c>
      <c r="BO707" s="6" t="str">
        <f t="shared" si="250"/>
        <v/>
      </c>
      <c r="BY707" s="6">
        <f t="shared" si="2"/>
        <v>2025</v>
      </c>
      <c r="BZ707" s="6" t="str">
        <f t="shared" si="3"/>
        <v>septiembre</v>
      </c>
      <c r="CA707" s="6" t="str">
        <f t="shared" si="4"/>
        <v>9</v>
      </c>
    </row>
    <row r="708">
      <c r="A708" s="8">
        <v>45915.0</v>
      </c>
      <c r="B708" s="16"/>
      <c r="C708" s="16"/>
      <c r="D708" s="16"/>
      <c r="E708" s="16"/>
      <c r="F708" s="16"/>
      <c r="G708" s="16"/>
      <c r="H708" s="12">
        <f t="shared" si="149"/>
        <v>0</v>
      </c>
      <c r="I708" s="16"/>
      <c r="J708" s="16"/>
      <c r="K708" s="16"/>
      <c r="L708" s="16"/>
      <c r="M708" s="16"/>
      <c r="N708" s="16"/>
      <c r="O708" s="16">
        <f t="shared" si="150"/>
        <v>0</v>
      </c>
      <c r="P708" s="16"/>
      <c r="Q708" s="16"/>
      <c r="R708" s="16"/>
      <c r="S708" s="16"/>
      <c r="T708" s="16"/>
      <c r="U708" s="16"/>
      <c r="V708" s="16">
        <f t="shared" si="151"/>
        <v>0</v>
      </c>
      <c r="W708" s="16"/>
      <c r="X708" s="16"/>
      <c r="Y708" s="16"/>
      <c r="Z708" s="16"/>
      <c r="AA708" s="16"/>
      <c r="AB708" s="16"/>
      <c r="AC708" s="16">
        <f t="shared" si="169"/>
        <v>0</v>
      </c>
      <c r="AD708" s="16"/>
      <c r="AE708" s="16"/>
      <c r="AF708" s="16"/>
      <c r="AG708" s="16"/>
      <c r="AH708" s="16"/>
      <c r="AI708" s="16"/>
      <c r="AJ708" s="16"/>
      <c r="AK708" s="16"/>
      <c r="AL708" s="12">
        <f t="shared" si="192"/>
        <v>0</v>
      </c>
      <c r="AM708" s="16"/>
      <c r="AN708" s="16"/>
      <c r="AO708" s="16"/>
      <c r="AP708" s="16"/>
      <c r="AQ708" s="16"/>
      <c r="AR708" s="16"/>
      <c r="AS708" s="12">
        <f t="shared" si="234"/>
        <v>0</v>
      </c>
      <c r="AV708" s="16"/>
      <c r="AX708" s="16"/>
      <c r="AY708" s="16"/>
      <c r="AZ708" s="16"/>
      <c r="BB708" s="10" t="str">
        <f t="shared" si="16"/>
        <v/>
      </c>
      <c r="BC708" s="16">
        <f t="shared" si="201"/>
        <v>0</v>
      </c>
      <c r="BD708" s="16"/>
      <c r="BE708" s="16"/>
      <c r="BI708" s="29" t="str">
        <f t="shared" si="258"/>
        <v/>
      </c>
      <c r="BK708" s="15" t="str">
        <f t="shared" si="76"/>
        <v/>
      </c>
      <c r="BO708" s="6" t="str">
        <f t="shared" si="250"/>
        <v/>
      </c>
      <c r="BY708" s="6">
        <f t="shared" si="2"/>
        <v>2025</v>
      </c>
      <c r="BZ708" s="6" t="str">
        <f t="shared" si="3"/>
        <v>septiembre</v>
      </c>
      <c r="CA708" s="6" t="str">
        <f t="shared" si="4"/>
        <v>9</v>
      </c>
    </row>
    <row r="709">
      <c r="A709" s="8">
        <v>45916.0</v>
      </c>
      <c r="B709" s="16"/>
      <c r="C709" s="16"/>
      <c r="D709" s="16"/>
      <c r="E709" s="16"/>
      <c r="F709" s="16"/>
      <c r="G709" s="16"/>
      <c r="H709" s="12">
        <f t="shared" si="149"/>
        <v>0</v>
      </c>
      <c r="I709" s="16"/>
      <c r="J709" s="16"/>
      <c r="K709" s="16"/>
      <c r="L709" s="16"/>
      <c r="M709" s="16"/>
      <c r="N709" s="16"/>
      <c r="O709" s="16">
        <f t="shared" si="150"/>
        <v>0</v>
      </c>
      <c r="P709" s="16"/>
      <c r="Q709" s="16"/>
      <c r="R709" s="16"/>
      <c r="S709" s="16"/>
      <c r="T709" s="16"/>
      <c r="U709" s="16"/>
      <c r="V709" s="16">
        <f t="shared" si="151"/>
        <v>0</v>
      </c>
      <c r="W709" s="16"/>
      <c r="X709" s="16"/>
      <c r="Y709" s="16"/>
      <c r="Z709" s="16"/>
      <c r="AA709" s="16"/>
      <c r="AB709" s="16"/>
      <c r="AC709" s="16">
        <f t="shared" si="169"/>
        <v>0</v>
      </c>
      <c r="AD709" s="16"/>
      <c r="AE709" s="16"/>
      <c r="AF709" s="16"/>
      <c r="AG709" s="16"/>
      <c r="AH709" s="16"/>
      <c r="AI709" s="16"/>
      <c r="AJ709" s="16"/>
      <c r="AK709" s="16"/>
      <c r="AL709" s="12">
        <f t="shared" si="192"/>
        <v>0</v>
      </c>
      <c r="AM709" s="16"/>
      <c r="AN709" s="16"/>
      <c r="AO709" s="16"/>
      <c r="AP709" s="16"/>
      <c r="AQ709" s="16"/>
      <c r="AR709" s="16"/>
      <c r="AS709" s="12">
        <f t="shared" si="234"/>
        <v>0</v>
      </c>
      <c r="AV709" s="16"/>
      <c r="AX709" s="16"/>
      <c r="AY709" s="16"/>
      <c r="AZ709" s="16"/>
      <c r="BB709" s="10" t="str">
        <f t="shared" si="16"/>
        <v/>
      </c>
      <c r="BC709" s="16"/>
      <c r="BD709" s="16"/>
      <c r="BE709" s="16"/>
      <c r="BI709" s="29" t="str">
        <f t="shared" si="258"/>
        <v/>
      </c>
      <c r="BK709" s="15" t="str">
        <f t="shared" si="76"/>
        <v/>
      </c>
      <c r="BO709" s="6" t="str">
        <f t="shared" si="250"/>
        <v/>
      </c>
      <c r="BY709" s="6">
        <f t="shared" si="2"/>
        <v>2025</v>
      </c>
      <c r="BZ709" s="6" t="str">
        <f t="shared" si="3"/>
        <v>septiembre</v>
      </c>
      <c r="CA709" s="6" t="str">
        <f t="shared" si="4"/>
        <v>9</v>
      </c>
    </row>
    <row r="710">
      <c r="A710" s="8">
        <v>45917.0</v>
      </c>
      <c r="B710" s="16"/>
      <c r="C710" s="16"/>
      <c r="D710" s="16"/>
      <c r="E710" s="16"/>
      <c r="F710" s="16"/>
      <c r="G710" s="16"/>
      <c r="H710" s="12">
        <f t="shared" si="149"/>
        <v>0</v>
      </c>
      <c r="I710" s="16"/>
      <c r="J710" s="16"/>
      <c r="K710" s="16"/>
      <c r="L710" s="16"/>
      <c r="M710" s="16"/>
      <c r="N710" s="16"/>
      <c r="O710" s="16">
        <f t="shared" si="150"/>
        <v>0</v>
      </c>
      <c r="P710" s="16"/>
      <c r="Q710" s="16"/>
      <c r="R710" s="16"/>
      <c r="S710" s="16"/>
      <c r="T710" s="16"/>
      <c r="U710" s="16"/>
      <c r="V710" s="16">
        <f t="shared" si="151"/>
        <v>0</v>
      </c>
      <c r="W710" s="16"/>
      <c r="X710" s="16"/>
      <c r="Y710" s="16"/>
      <c r="Z710" s="16"/>
      <c r="AA710" s="16"/>
      <c r="AB710" s="16"/>
      <c r="AC710" s="16">
        <f t="shared" si="169"/>
        <v>0</v>
      </c>
      <c r="AD710" s="16"/>
      <c r="AE710" s="16"/>
      <c r="AF710" s="16"/>
      <c r="AG710" s="16"/>
      <c r="AH710" s="16"/>
      <c r="AI710" s="16"/>
      <c r="AJ710" s="16"/>
      <c r="AK710" s="16"/>
      <c r="AL710" s="12">
        <f t="shared" si="192"/>
        <v>0</v>
      </c>
      <c r="AM710" s="16"/>
      <c r="AN710" s="16"/>
      <c r="AO710" s="16"/>
      <c r="AP710" s="16"/>
      <c r="AQ710" s="16"/>
      <c r="AR710" s="16"/>
      <c r="AS710" s="12">
        <f t="shared" si="234"/>
        <v>0</v>
      </c>
      <c r="AV710" s="16"/>
      <c r="AX710" s="16"/>
      <c r="AY710" s="16"/>
      <c r="AZ710" s="16"/>
      <c r="BB710" s="10" t="str">
        <f t="shared" si="16"/>
        <v/>
      </c>
      <c r="BC710" s="16"/>
      <c r="BD710" s="16"/>
      <c r="BE710" s="16"/>
      <c r="BI710" s="29" t="str">
        <f t="shared" si="258"/>
        <v/>
      </c>
      <c r="BK710" s="15" t="str">
        <f t="shared" si="76"/>
        <v/>
      </c>
      <c r="BO710" s="6" t="str">
        <f t="shared" si="250"/>
        <v/>
      </c>
      <c r="BY710" s="6">
        <f t="shared" si="2"/>
        <v>2025</v>
      </c>
      <c r="BZ710" s="6" t="str">
        <f t="shared" si="3"/>
        <v>septiembre</v>
      </c>
      <c r="CA710" s="6" t="str">
        <f t="shared" si="4"/>
        <v>9</v>
      </c>
    </row>
    <row r="711">
      <c r="A711" s="8">
        <v>45918.0</v>
      </c>
      <c r="B711" s="16"/>
      <c r="C711" s="16"/>
      <c r="D711" s="16"/>
      <c r="E711" s="16"/>
      <c r="F711" s="16"/>
      <c r="G711" s="16"/>
      <c r="H711" s="12">
        <f t="shared" si="149"/>
        <v>0</v>
      </c>
      <c r="I711" s="16"/>
      <c r="J711" s="16"/>
      <c r="K711" s="16"/>
      <c r="L711" s="16"/>
      <c r="M711" s="16"/>
      <c r="N711" s="16"/>
      <c r="O711" s="16">
        <f t="shared" si="150"/>
        <v>0</v>
      </c>
      <c r="P711" s="16"/>
      <c r="Q711" s="16"/>
      <c r="R711" s="16"/>
      <c r="S711" s="16"/>
      <c r="T711" s="16"/>
      <c r="U711" s="16"/>
      <c r="V711" s="16">
        <f t="shared" si="151"/>
        <v>0</v>
      </c>
      <c r="W711" s="16"/>
      <c r="X711" s="16"/>
      <c r="Y711" s="16"/>
      <c r="Z711" s="16"/>
      <c r="AA711" s="16"/>
      <c r="AB711" s="16"/>
      <c r="AC711" s="16">
        <f t="shared" si="169"/>
        <v>0</v>
      </c>
      <c r="AD711" s="16"/>
      <c r="AE711" s="16"/>
      <c r="AF711" s="16"/>
      <c r="AG711" s="16"/>
      <c r="AH711" s="16"/>
      <c r="AI711" s="16"/>
      <c r="AJ711" s="16"/>
      <c r="AK711" s="16"/>
      <c r="AL711" s="12">
        <f t="shared" si="192"/>
        <v>0</v>
      </c>
      <c r="AM711" s="16"/>
      <c r="AN711" s="16"/>
      <c r="AO711" s="16"/>
      <c r="AP711" s="16"/>
      <c r="AQ711" s="16"/>
      <c r="AR711" s="16"/>
      <c r="AS711" s="12">
        <f t="shared" si="234"/>
        <v>0</v>
      </c>
      <c r="AV711" s="16"/>
      <c r="AX711" s="16"/>
      <c r="AY711" s="16"/>
      <c r="AZ711" s="16"/>
      <c r="BB711" s="10" t="str">
        <f t="shared" si="16"/>
        <v/>
      </c>
      <c r="BC711" s="16"/>
      <c r="BD711" s="16"/>
      <c r="BE711" s="16"/>
      <c r="BI711" s="29" t="str">
        <f t="shared" si="258"/>
        <v/>
      </c>
      <c r="BK711" s="15" t="str">
        <f t="shared" si="76"/>
        <v/>
      </c>
      <c r="BO711" s="6" t="str">
        <f t="shared" si="250"/>
        <v/>
      </c>
      <c r="BY711" s="6">
        <f t="shared" si="2"/>
        <v>2025</v>
      </c>
      <c r="BZ711" s="6" t="str">
        <f t="shared" si="3"/>
        <v>septiembre</v>
      </c>
      <c r="CA711" s="6" t="str">
        <f t="shared" si="4"/>
        <v>9</v>
      </c>
    </row>
    <row r="712">
      <c r="A712" s="8">
        <v>45919.0</v>
      </c>
      <c r="B712" s="16"/>
      <c r="C712" s="16"/>
      <c r="D712" s="16"/>
      <c r="E712" s="16"/>
      <c r="F712" s="16"/>
      <c r="G712" s="16"/>
      <c r="H712" s="12">
        <f t="shared" si="149"/>
        <v>0</v>
      </c>
      <c r="I712" s="16"/>
      <c r="J712" s="16"/>
      <c r="K712" s="16"/>
      <c r="L712" s="16"/>
      <c r="M712" s="16"/>
      <c r="N712" s="16"/>
      <c r="O712" s="16">
        <f t="shared" si="150"/>
        <v>0</v>
      </c>
      <c r="P712" s="16"/>
      <c r="Q712" s="16"/>
      <c r="R712" s="16"/>
      <c r="S712" s="16"/>
      <c r="T712" s="16"/>
      <c r="U712" s="16"/>
      <c r="V712" s="16">
        <f t="shared" si="151"/>
        <v>0</v>
      </c>
      <c r="W712" s="16"/>
      <c r="X712" s="16"/>
      <c r="Y712" s="16"/>
      <c r="Z712" s="16"/>
      <c r="AA712" s="16"/>
      <c r="AB712" s="16"/>
      <c r="AC712" s="16">
        <f t="shared" si="169"/>
        <v>0</v>
      </c>
      <c r="AD712" s="16"/>
      <c r="AE712" s="16"/>
      <c r="AF712" s="16"/>
      <c r="AG712" s="16"/>
      <c r="AH712" s="16"/>
      <c r="AI712" s="16"/>
      <c r="AJ712" s="16"/>
      <c r="AK712" s="16"/>
      <c r="AL712" s="12">
        <f t="shared" si="192"/>
        <v>0</v>
      </c>
      <c r="AM712" s="16"/>
      <c r="AN712" s="16"/>
      <c r="AO712" s="16"/>
      <c r="AP712" s="16"/>
      <c r="AQ712" s="16"/>
      <c r="AR712" s="16"/>
      <c r="AS712" s="12">
        <f t="shared" si="234"/>
        <v>0</v>
      </c>
      <c r="AV712" s="16"/>
      <c r="AX712" s="16"/>
      <c r="AY712" s="16"/>
      <c r="AZ712" s="16"/>
      <c r="BB712" s="10" t="str">
        <f t="shared" si="16"/>
        <v/>
      </c>
      <c r="BC712" s="16"/>
      <c r="BD712" s="16"/>
      <c r="BE712" s="16"/>
      <c r="BI712" s="29" t="str">
        <f t="shared" si="258"/>
        <v/>
      </c>
      <c r="BK712" s="15" t="str">
        <f t="shared" si="76"/>
        <v/>
      </c>
      <c r="BO712" s="6" t="str">
        <f t="shared" si="250"/>
        <v/>
      </c>
      <c r="BY712" s="6">
        <f t="shared" si="2"/>
        <v>2025</v>
      </c>
      <c r="BZ712" s="6" t="str">
        <f t="shared" si="3"/>
        <v>septiembre</v>
      </c>
      <c r="CA712" s="6" t="str">
        <f t="shared" si="4"/>
        <v>9</v>
      </c>
    </row>
    <row r="713">
      <c r="A713" s="8">
        <v>45920.0</v>
      </c>
      <c r="B713" s="16"/>
      <c r="C713" s="16"/>
      <c r="D713" s="16"/>
      <c r="E713" s="16"/>
      <c r="F713" s="16"/>
      <c r="G713" s="16"/>
      <c r="H713" s="12">
        <f t="shared" si="149"/>
        <v>0</v>
      </c>
      <c r="I713" s="16"/>
      <c r="J713" s="16"/>
      <c r="K713" s="16"/>
      <c r="L713" s="16"/>
      <c r="M713" s="16"/>
      <c r="N713" s="16"/>
      <c r="O713" s="16">
        <f t="shared" si="150"/>
        <v>0</v>
      </c>
      <c r="P713" s="16"/>
      <c r="Q713" s="16"/>
      <c r="R713" s="16"/>
      <c r="S713" s="16"/>
      <c r="T713" s="16"/>
      <c r="U713" s="16"/>
      <c r="V713" s="16">
        <f t="shared" si="151"/>
        <v>0</v>
      </c>
      <c r="W713" s="16"/>
      <c r="X713" s="16"/>
      <c r="Y713" s="16"/>
      <c r="Z713" s="16"/>
      <c r="AA713" s="16"/>
      <c r="AB713" s="16"/>
      <c r="AC713" s="16">
        <f t="shared" si="169"/>
        <v>0</v>
      </c>
      <c r="AD713" s="16"/>
      <c r="AE713" s="16"/>
      <c r="AF713" s="16"/>
      <c r="AG713" s="16"/>
      <c r="AH713" s="16"/>
      <c r="AI713" s="16"/>
      <c r="AJ713" s="16"/>
      <c r="AK713" s="16"/>
      <c r="AL713" s="12">
        <f t="shared" si="192"/>
        <v>0</v>
      </c>
      <c r="AM713" s="16"/>
      <c r="AN713" s="16"/>
      <c r="AO713" s="16"/>
      <c r="AP713" s="16"/>
      <c r="AQ713" s="16"/>
      <c r="AR713" s="16"/>
      <c r="AS713" s="12">
        <f t="shared" si="234"/>
        <v>0</v>
      </c>
      <c r="AV713" s="16"/>
      <c r="AX713" s="16"/>
      <c r="AY713" s="16"/>
      <c r="AZ713" s="16"/>
      <c r="BC713" s="16"/>
      <c r="BD713" s="16"/>
      <c r="BE713" s="16"/>
      <c r="BI713" s="29" t="str">
        <f t="shared" si="258"/>
        <v/>
      </c>
      <c r="BK713" s="15" t="str">
        <f t="shared" si="76"/>
        <v/>
      </c>
      <c r="BO713" s="6" t="str">
        <f t="shared" si="250"/>
        <v/>
      </c>
      <c r="BY713" s="6">
        <f t="shared" si="2"/>
        <v>2025</v>
      </c>
      <c r="BZ713" s="6" t="str">
        <f t="shared" si="3"/>
        <v>septiembre</v>
      </c>
      <c r="CA713" s="6" t="str">
        <f t="shared" si="4"/>
        <v>9</v>
      </c>
    </row>
    <row r="714">
      <c r="A714" s="8">
        <v>45921.0</v>
      </c>
      <c r="B714" s="16"/>
      <c r="C714" s="16"/>
      <c r="D714" s="16"/>
      <c r="E714" s="16"/>
      <c r="F714" s="16"/>
      <c r="G714" s="16"/>
      <c r="H714" s="12">
        <f t="shared" si="149"/>
        <v>0</v>
      </c>
      <c r="I714" s="16"/>
      <c r="J714" s="16"/>
      <c r="K714" s="16"/>
      <c r="L714" s="16"/>
      <c r="M714" s="16"/>
      <c r="N714" s="16"/>
      <c r="O714" s="16">
        <f t="shared" si="150"/>
        <v>0</v>
      </c>
      <c r="P714" s="16"/>
      <c r="Q714" s="16"/>
      <c r="R714" s="16"/>
      <c r="S714" s="16"/>
      <c r="T714" s="16"/>
      <c r="U714" s="16"/>
      <c r="V714" s="16">
        <f t="shared" si="151"/>
        <v>0</v>
      </c>
      <c r="W714" s="16"/>
      <c r="X714" s="16"/>
      <c r="Y714" s="16"/>
      <c r="Z714" s="16"/>
      <c r="AA714" s="16"/>
      <c r="AB714" s="16"/>
      <c r="AC714" s="16">
        <f t="shared" si="169"/>
        <v>0</v>
      </c>
      <c r="AD714" s="16"/>
      <c r="AE714" s="16"/>
      <c r="AF714" s="16"/>
      <c r="AG714" s="16"/>
      <c r="AH714" s="16"/>
      <c r="AI714" s="16"/>
      <c r="AJ714" s="16"/>
      <c r="AK714" s="16"/>
      <c r="AL714" s="12">
        <f t="shared" si="192"/>
        <v>0</v>
      </c>
      <c r="AM714" s="16"/>
      <c r="AN714" s="16"/>
      <c r="AO714" s="16"/>
      <c r="AP714" s="16"/>
      <c r="AQ714" s="16"/>
      <c r="AR714" s="16"/>
      <c r="AS714" s="12">
        <f t="shared" si="234"/>
        <v>0</v>
      </c>
      <c r="AV714" s="16"/>
      <c r="AX714" s="16"/>
      <c r="AY714" s="16"/>
      <c r="AZ714" s="16"/>
      <c r="BC714" s="16"/>
      <c r="BD714" s="16"/>
      <c r="BE714" s="16"/>
      <c r="BI714" s="29" t="str">
        <f t="shared" si="258"/>
        <v/>
      </c>
      <c r="BK714" s="15" t="str">
        <f t="shared" si="76"/>
        <v/>
      </c>
      <c r="BO714" s="6" t="str">
        <f t="shared" si="250"/>
        <v/>
      </c>
      <c r="BY714" s="6">
        <f t="shared" si="2"/>
        <v>2025</v>
      </c>
      <c r="BZ714" s="6" t="str">
        <f t="shared" si="3"/>
        <v>septiembre</v>
      </c>
      <c r="CA714" s="6" t="str">
        <f t="shared" si="4"/>
        <v>9</v>
      </c>
    </row>
    <row r="715">
      <c r="A715" s="8">
        <v>45922.0</v>
      </c>
      <c r="B715" s="16"/>
      <c r="C715" s="16"/>
      <c r="D715" s="16"/>
      <c r="E715" s="16"/>
      <c r="F715" s="16"/>
      <c r="G715" s="16"/>
      <c r="H715" s="12">
        <f t="shared" si="149"/>
        <v>0</v>
      </c>
      <c r="I715" s="16"/>
      <c r="J715" s="16"/>
      <c r="K715" s="16"/>
      <c r="L715" s="16"/>
      <c r="M715" s="16"/>
      <c r="N715" s="16"/>
      <c r="O715" s="16">
        <f t="shared" si="150"/>
        <v>0</v>
      </c>
      <c r="P715" s="16"/>
      <c r="Q715" s="16"/>
      <c r="R715" s="16"/>
      <c r="S715" s="16"/>
      <c r="T715" s="16"/>
      <c r="U715" s="16"/>
      <c r="V715" s="16">
        <f t="shared" si="151"/>
        <v>0</v>
      </c>
      <c r="W715" s="16"/>
      <c r="X715" s="16"/>
      <c r="Y715" s="16"/>
      <c r="Z715" s="16"/>
      <c r="AA715" s="16"/>
      <c r="AB715" s="16"/>
      <c r="AC715" s="16">
        <f t="shared" si="169"/>
        <v>0</v>
      </c>
      <c r="AD715" s="16"/>
      <c r="AE715" s="16"/>
      <c r="AF715" s="16"/>
      <c r="AG715" s="16"/>
      <c r="AH715" s="16"/>
      <c r="AI715" s="16"/>
      <c r="AJ715" s="16"/>
      <c r="AK715" s="16"/>
      <c r="AL715" s="12">
        <f t="shared" si="192"/>
        <v>0</v>
      </c>
      <c r="AM715" s="16"/>
      <c r="AN715" s="16"/>
      <c r="AO715" s="16"/>
      <c r="AP715" s="16"/>
      <c r="AQ715" s="16"/>
      <c r="AR715" s="16"/>
      <c r="AS715" s="12">
        <f t="shared" si="234"/>
        <v>0</v>
      </c>
      <c r="AV715" s="16"/>
      <c r="AX715" s="16"/>
      <c r="AY715" s="16"/>
      <c r="AZ715" s="16"/>
      <c r="BC715" s="16"/>
      <c r="BD715" s="16"/>
      <c r="BE715" s="16"/>
      <c r="BI715" s="29" t="str">
        <f t="shared" si="258"/>
        <v/>
      </c>
      <c r="BK715" s="15" t="str">
        <f t="shared" si="76"/>
        <v/>
      </c>
      <c r="BO715" s="6" t="str">
        <f t="shared" si="250"/>
        <v/>
      </c>
      <c r="BY715" s="6">
        <f t="shared" si="2"/>
        <v>2025</v>
      </c>
      <c r="BZ715" s="6" t="str">
        <f t="shared" si="3"/>
        <v>septiembre</v>
      </c>
      <c r="CA715" s="6" t="str">
        <f t="shared" si="4"/>
        <v>9</v>
      </c>
    </row>
    <row r="716">
      <c r="A716" s="8">
        <v>45923.0</v>
      </c>
      <c r="B716" s="16"/>
      <c r="C716" s="16"/>
      <c r="D716" s="16"/>
      <c r="E716" s="16"/>
      <c r="F716" s="16"/>
      <c r="G716" s="16"/>
      <c r="H716" s="12">
        <f t="shared" si="149"/>
        <v>0</v>
      </c>
      <c r="I716" s="16"/>
      <c r="J716" s="16"/>
      <c r="K716" s="16"/>
      <c r="L716" s="16"/>
      <c r="M716" s="16"/>
      <c r="N716" s="16"/>
      <c r="O716" s="16">
        <f t="shared" si="150"/>
        <v>0</v>
      </c>
      <c r="P716" s="16"/>
      <c r="Q716" s="16"/>
      <c r="R716" s="16"/>
      <c r="S716" s="16"/>
      <c r="T716" s="16"/>
      <c r="U716" s="16"/>
      <c r="V716" s="16">
        <f t="shared" si="151"/>
        <v>0</v>
      </c>
      <c r="W716" s="16"/>
      <c r="X716" s="16"/>
      <c r="Y716" s="16"/>
      <c r="Z716" s="16"/>
      <c r="AA716" s="16"/>
      <c r="AB716" s="16"/>
      <c r="AC716" s="16">
        <f t="shared" si="169"/>
        <v>0</v>
      </c>
      <c r="AD716" s="16"/>
      <c r="AE716" s="16"/>
      <c r="AF716" s="16"/>
      <c r="AG716" s="16"/>
      <c r="AH716" s="16"/>
      <c r="AI716" s="16"/>
      <c r="AJ716" s="16"/>
      <c r="AK716" s="16"/>
      <c r="AL716" s="12">
        <f t="shared" si="192"/>
        <v>0</v>
      </c>
      <c r="AM716" s="16"/>
      <c r="AN716" s="16"/>
      <c r="AO716" s="16"/>
      <c r="AP716" s="16"/>
      <c r="AQ716" s="16"/>
      <c r="AR716" s="16"/>
      <c r="AS716" s="12">
        <f t="shared" si="234"/>
        <v>0</v>
      </c>
      <c r="AV716" s="16"/>
      <c r="AX716" s="16"/>
      <c r="AY716" s="16"/>
      <c r="AZ716" s="16"/>
      <c r="BC716" s="16"/>
      <c r="BD716" s="16"/>
      <c r="BE716" s="16"/>
      <c r="BI716" s="29" t="str">
        <f t="shared" si="258"/>
        <v/>
      </c>
      <c r="BK716" s="15" t="str">
        <f t="shared" si="76"/>
        <v/>
      </c>
      <c r="BO716" s="6" t="str">
        <f t="shared" si="250"/>
        <v/>
      </c>
      <c r="BY716" s="6">
        <f t="shared" si="2"/>
        <v>2025</v>
      </c>
      <c r="BZ716" s="6" t="str">
        <f t="shared" si="3"/>
        <v>septiembre</v>
      </c>
      <c r="CA716" s="6" t="str">
        <f t="shared" si="4"/>
        <v>9</v>
      </c>
    </row>
    <row r="717">
      <c r="A717" s="8">
        <v>45924.0</v>
      </c>
      <c r="B717" s="16"/>
      <c r="C717" s="16"/>
      <c r="D717" s="16"/>
      <c r="E717" s="16"/>
      <c r="F717" s="16"/>
      <c r="G717" s="16"/>
      <c r="H717" s="12">
        <f t="shared" si="149"/>
        <v>0</v>
      </c>
      <c r="I717" s="16"/>
      <c r="J717" s="16"/>
      <c r="K717" s="16"/>
      <c r="L717" s="16"/>
      <c r="M717" s="16"/>
      <c r="N717" s="16"/>
      <c r="O717" s="16">
        <f t="shared" si="150"/>
        <v>0</v>
      </c>
      <c r="P717" s="16"/>
      <c r="Q717" s="16"/>
      <c r="R717" s="16"/>
      <c r="S717" s="16"/>
      <c r="T717" s="16"/>
      <c r="U717" s="16"/>
      <c r="V717" s="16">
        <f t="shared" si="151"/>
        <v>0</v>
      </c>
      <c r="W717" s="16"/>
      <c r="X717" s="16"/>
      <c r="Y717" s="16"/>
      <c r="Z717" s="16"/>
      <c r="AA717" s="16"/>
      <c r="AB717" s="16"/>
      <c r="AC717" s="16">
        <f t="shared" si="169"/>
        <v>0</v>
      </c>
      <c r="AD717" s="16"/>
      <c r="AE717" s="16"/>
      <c r="AF717" s="16"/>
      <c r="AG717" s="16"/>
      <c r="AH717" s="16"/>
      <c r="AI717" s="16"/>
      <c r="AJ717" s="16"/>
      <c r="AK717" s="16"/>
      <c r="AL717" s="12">
        <f t="shared" si="192"/>
        <v>0</v>
      </c>
      <c r="AM717" s="16"/>
      <c r="AN717" s="16"/>
      <c r="AO717" s="16"/>
      <c r="AP717" s="16"/>
      <c r="AQ717" s="16"/>
      <c r="AR717" s="16"/>
      <c r="AS717" s="12">
        <f t="shared" si="234"/>
        <v>0</v>
      </c>
      <c r="AV717" s="16"/>
      <c r="AX717" s="16"/>
      <c r="AY717" s="16"/>
      <c r="AZ717" s="16"/>
      <c r="BC717" s="16"/>
      <c r="BD717" s="16"/>
      <c r="BE717" s="16"/>
      <c r="BI717" s="29" t="str">
        <f t="shared" si="258"/>
        <v/>
      </c>
      <c r="BK717" s="15" t="str">
        <f t="shared" si="76"/>
        <v/>
      </c>
      <c r="BO717" s="6" t="str">
        <f t="shared" si="250"/>
        <v/>
      </c>
      <c r="BY717" s="6">
        <f t="shared" si="2"/>
        <v>2025</v>
      </c>
      <c r="BZ717" s="6" t="str">
        <f t="shared" si="3"/>
        <v>septiembre</v>
      </c>
      <c r="CA717" s="6" t="str">
        <f t="shared" si="4"/>
        <v>9</v>
      </c>
    </row>
    <row r="718">
      <c r="A718" s="8">
        <v>45925.0</v>
      </c>
      <c r="B718" s="16"/>
      <c r="C718" s="16"/>
      <c r="D718" s="16"/>
      <c r="E718" s="16"/>
      <c r="F718" s="16"/>
      <c r="G718" s="16"/>
      <c r="H718" s="12">
        <f t="shared" si="149"/>
        <v>0</v>
      </c>
      <c r="I718" s="16"/>
      <c r="J718" s="16"/>
      <c r="K718" s="16"/>
      <c r="L718" s="16"/>
      <c r="M718" s="16"/>
      <c r="N718" s="16"/>
      <c r="O718" s="16">
        <f t="shared" si="150"/>
        <v>0</v>
      </c>
      <c r="P718" s="16"/>
      <c r="Q718" s="16"/>
      <c r="R718" s="16"/>
      <c r="S718" s="16"/>
      <c r="T718" s="16"/>
      <c r="U718" s="16"/>
      <c r="V718" s="16">
        <f t="shared" si="151"/>
        <v>0</v>
      </c>
      <c r="W718" s="16"/>
      <c r="X718" s="16"/>
      <c r="Y718" s="16"/>
      <c r="Z718" s="16"/>
      <c r="AA718" s="16"/>
      <c r="AB718" s="16"/>
      <c r="AC718" s="16">
        <f t="shared" si="169"/>
        <v>0</v>
      </c>
      <c r="AD718" s="16"/>
      <c r="AE718" s="16"/>
      <c r="AF718" s="16"/>
      <c r="AG718" s="16"/>
      <c r="AH718" s="16"/>
      <c r="AI718" s="16"/>
      <c r="AJ718" s="16"/>
      <c r="AK718" s="16"/>
      <c r="AL718" s="12">
        <f t="shared" si="192"/>
        <v>0</v>
      </c>
      <c r="AM718" s="16"/>
      <c r="AN718" s="16"/>
      <c r="AO718" s="16"/>
      <c r="AP718" s="16"/>
      <c r="AQ718" s="16"/>
      <c r="AR718" s="16"/>
      <c r="AS718" s="12">
        <f t="shared" si="234"/>
        <v>0</v>
      </c>
      <c r="AV718" s="16"/>
      <c r="AX718" s="16"/>
      <c r="AY718" s="16"/>
      <c r="AZ718" s="16"/>
      <c r="BC718" s="16"/>
      <c r="BD718" s="16"/>
      <c r="BE718" s="16"/>
      <c r="BI718" s="29" t="str">
        <f t="shared" si="258"/>
        <v/>
      </c>
      <c r="BK718" s="15" t="str">
        <f t="shared" si="76"/>
        <v/>
      </c>
      <c r="BO718" s="6" t="str">
        <f t="shared" si="250"/>
        <v/>
      </c>
      <c r="BY718" s="6">
        <f t="shared" si="2"/>
        <v>2025</v>
      </c>
      <c r="BZ718" s="6" t="str">
        <f t="shared" si="3"/>
        <v>septiembre</v>
      </c>
      <c r="CA718" s="6" t="str">
        <f t="shared" si="4"/>
        <v>9</v>
      </c>
    </row>
    <row r="719">
      <c r="A719" s="8">
        <v>45926.0</v>
      </c>
      <c r="B719" s="16"/>
      <c r="C719" s="16"/>
      <c r="D719" s="16"/>
      <c r="E719" s="16"/>
      <c r="F719" s="16"/>
      <c r="G719" s="16"/>
      <c r="H719" s="12">
        <f t="shared" si="149"/>
        <v>0</v>
      </c>
      <c r="I719" s="16"/>
      <c r="J719" s="16"/>
      <c r="K719" s="16"/>
      <c r="L719" s="16"/>
      <c r="M719" s="16"/>
      <c r="N719" s="16"/>
      <c r="O719" s="16">
        <f t="shared" si="150"/>
        <v>0</v>
      </c>
      <c r="P719" s="16"/>
      <c r="Q719" s="16"/>
      <c r="R719" s="16"/>
      <c r="S719" s="16"/>
      <c r="T719" s="16"/>
      <c r="U719" s="16"/>
      <c r="V719" s="16">
        <f t="shared" si="151"/>
        <v>0</v>
      </c>
      <c r="W719" s="16"/>
      <c r="X719" s="16"/>
      <c r="Y719" s="16"/>
      <c r="Z719" s="16"/>
      <c r="AA719" s="16"/>
      <c r="AB719" s="16"/>
      <c r="AC719" s="16">
        <f t="shared" si="169"/>
        <v>0</v>
      </c>
      <c r="AD719" s="16"/>
      <c r="AE719" s="16"/>
      <c r="AF719" s="16"/>
      <c r="AG719" s="16"/>
      <c r="AH719" s="16"/>
      <c r="AI719" s="16"/>
      <c r="AJ719" s="16"/>
      <c r="AK719" s="16"/>
      <c r="AL719" s="12">
        <f t="shared" si="192"/>
        <v>0</v>
      </c>
      <c r="AM719" s="16"/>
      <c r="AN719" s="16"/>
      <c r="AO719" s="16"/>
      <c r="AP719" s="16"/>
      <c r="AQ719" s="16"/>
      <c r="AR719" s="16"/>
      <c r="AS719" s="12">
        <f t="shared" si="234"/>
        <v>0</v>
      </c>
      <c r="AV719" s="16"/>
      <c r="AX719" s="16"/>
      <c r="AY719" s="16"/>
      <c r="AZ719" s="16"/>
      <c r="BC719" s="16"/>
      <c r="BD719" s="16"/>
      <c r="BE719" s="16"/>
      <c r="BI719" s="29" t="str">
        <f t="shared" si="258"/>
        <v/>
      </c>
      <c r="BK719" s="15" t="str">
        <f t="shared" si="76"/>
        <v/>
      </c>
      <c r="BO719" s="6" t="str">
        <f t="shared" si="250"/>
        <v/>
      </c>
      <c r="BY719" s="6">
        <f t="shared" si="2"/>
        <v>2025</v>
      </c>
      <c r="BZ719" s="6" t="str">
        <f t="shared" si="3"/>
        <v>septiembre</v>
      </c>
      <c r="CA719" s="6" t="str">
        <f t="shared" si="4"/>
        <v>9</v>
      </c>
    </row>
    <row r="720">
      <c r="A720" s="8">
        <v>45927.0</v>
      </c>
      <c r="B720" s="16"/>
      <c r="C720" s="16"/>
      <c r="D720" s="16"/>
      <c r="E720" s="16"/>
      <c r="F720" s="16"/>
      <c r="G720" s="16"/>
      <c r="H720" s="12">
        <f t="shared" si="149"/>
        <v>0</v>
      </c>
      <c r="I720" s="16"/>
      <c r="J720" s="16"/>
      <c r="K720" s="16"/>
      <c r="L720" s="16"/>
      <c r="M720" s="16"/>
      <c r="N720" s="16"/>
      <c r="O720" s="16">
        <f t="shared" si="150"/>
        <v>0</v>
      </c>
      <c r="P720" s="16"/>
      <c r="Q720" s="16"/>
      <c r="R720" s="16"/>
      <c r="S720" s="16"/>
      <c r="T720" s="16"/>
      <c r="U720" s="16"/>
      <c r="V720" s="16">
        <f t="shared" si="151"/>
        <v>0</v>
      </c>
      <c r="W720" s="16"/>
      <c r="X720" s="16"/>
      <c r="Y720" s="16"/>
      <c r="Z720" s="16"/>
      <c r="AA720" s="16"/>
      <c r="AB720" s="16"/>
      <c r="AC720" s="16">
        <f t="shared" si="169"/>
        <v>0</v>
      </c>
      <c r="AD720" s="16"/>
      <c r="AE720" s="16"/>
      <c r="AF720" s="16"/>
      <c r="AG720" s="16"/>
      <c r="AH720" s="16"/>
      <c r="AI720" s="16"/>
      <c r="AJ720" s="16"/>
      <c r="AK720" s="16"/>
      <c r="AL720" s="12">
        <f t="shared" si="192"/>
        <v>0</v>
      </c>
      <c r="AM720" s="16"/>
      <c r="AN720" s="16"/>
      <c r="AO720" s="16"/>
      <c r="AP720" s="16"/>
      <c r="AQ720" s="16"/>
      <c r="AR720" s="16"/>
      <c r="AS720" s="12">
        <f t="shared" si="234"/>
        <v>0</v>
      </c>
      <c r="AV720" s="16"/>
      <c r="AX720" s="16"/>
      <c r="AY720" s="16"/>
      <c r="AZ720" s="16"/>
      <c r="BC720" s="16"/>
      <c r="BD720" s="16"/>
      <c r="BE720" s="16"/>
      <c r="BI720" s="29" t="str">
        <f t="shared" si="258"/>
        <v/>
      </c>
      <c r="BK720" s="15" t="str">
        <f t="shared" si="76"/>
        <v/>
      </c>
      <c r="BO720" s="6" t="str">
        <f t="shared" si="250"/>
        <v/>
      </c>
      <c r="BY720" s="6">
        <f t="shared" si="2"/>
        <v>2025</v>
      </c>
      <c r="BZ720" s="6" t="str">
        <f t="shared" si="3"/>
        <v>septiembre</v>
      </c>
      <c r="CA720" s="6" t="str">
        <f t="shared" si="4"/>
        <v>9</v>
      </c>
    </row>
    <row r="721">
      <c r="A721" s="8">
        <v>45928.0</v>
      </c>
      <c r="B721" s="16"/>
      <c r="C721" s="16"/>
      <c r="D721" s="16"/>
      <c r="E721" s="16"/>
      <c r="F721" s="16"/>
      <c r="G721" s="16"/>
      <c r="H721" s="12">
        <f t="shared" si="149"/>
        <v>0</v>
      </c>
      <c r="I721" s="16"/>
      <c r="J721" s="16"/>
      <c r="K721" s="16"/>
      <c r="L721" s="16"/>
      <c r="M721" s="16"/>
      <c r="N721" s="16"/>
      <c r="O721" s="16">
        <f t="shared" si="150"/>
        <v>0</v>
      </c>
      <c r="P721" s="16"/>
      <c r="Q721" s="16"/>
      <c r="R721" s="16"/>
      <c r="S721" s="16"/>
      <c r="T721" s="16"/>
      <c r="U721" s="16"/>
      <c r="V721" s="16">
        <f t="shared" si="151"/>
        <v>0</v>
      </c>
      <c r="W721" s="16"/>
      <c r="X721" s="16"/>
      <c r="Y721" s="16"/>
      <c r="Z721" s="16"/>
      <c r="AA721" s="16"/>
      <c r="AB721" s="16"/>
      <c r="AC721" s="16">
        <f t="shared" si="169"/>
        <v>0</v>
      </c>
      <c r="AD721" s="16"/>
      <c r="AE721" s="16"/>
      <c r="AF721" s="16"/>
      <c r="AG721" s="16"/>
      <c r="AH721" s="16"/>
      <c r="AI721" s="16"/>
      <c r="AJ721" s="16"/>
      <c r="AK721" s="16"/>
      <c r="AL721" s="12">
        <f t="shared" si="192"/>
        <v>0</v>
      </c>
      <c r="AM721" s="16"/>
      <c r="AN721" s="16"/>
      <c r="AO721" s="16"/>
      <c r="AP721" s="16"/>
      <c r="AQ721" s="16"/>
      <c r="AR721" s="16"/>
      <c r="AS721" s="12">
        <f t="shared" si="234"/>
        <v>0</v>
      </c>
      <c r="AV721" s="16"/>
      <c r="AX721" s="16"/>
      <c r="AY721" s="16"/>
      <c r="AZ721" s="16"/>
      <c r="BC721" s="16"/>
      <c r="BD721" s="16"/>
      <c r="BE721" s="16"/>
      <c r="BI721" s="29" t="str">
        <f t="shared" si="258"/>
        <v/>
      </c>
      <c r="BK721" s="15" t="str">
        <f t="shared" si="76"/>
        <v/>
      </c>
      <c r="BO721" s="6" t="str">
        <f t="shared" si="250"/>
        <v/>
      </c>
      <c r="BY721" s="6">
        <f t="shared" si="2"/>
        <v>2025</v>
      </c>
      <c r="BZ721" s="6" t="str">
        <f t="shared" si="3"/>
        <v>septiembre</v>
      </c>
      <c r="CA721" s="6" t="str">
        <f t="shared" si="4"/>
        <v>9</v>
      </c>
    </row>
    <row r="722">
      <c r="A722" s="8">
        <v>45929.0</v>
      </c>
      <c r="B722" s="16"/>
      <c r="C722" s="16"/>
      <c r="D722" s="16"/>
      <c r="E722" s="16"/>
      <c r="F722" s="16"/>
      <c r="G722" s="16"/>
      <c r="H722" s="12">
        <f t="shared" si="149"/>
        <v>0</v>
      </c>
      <c r="I722" s="16"/>
      <c r="J722" s="16"/>
      <c r="K722" s="16"/>
      <c r="L722" s="16"/>
      <c r="M722" s="16"/>
      <c r="N722" s="16"/>
      <c r="O722" s="16">
        <f t="shared" si="150"/>
        <v>0</v>
      </c>
      <c r="P722" s="16"/>
      <c r="Q722" s="16"/>
      <c r="R722" s="16"/>
      <c r="S722" s="16"/>
      <c r="T722" s="16"/>
      <c r="U722" s="16"/>
      <c r="V722" s="16">
        <f t="shared" si="151"/>
        <v>0</v>
      </c>
      <c r="W722" s="16"/>
      <c r="X722" s="16"/>
      <c r="Y722" s="16"/>
      <c r="Z722" s="16"/>
      <c r="AA722" s="16"/>
      <c r="AB722" s="16"/>
      <c r="AC722" s="16">
        <f t="shared" si="169"/>
        <v>0</v>
      </c>
      <c r="AD722" s="16"/>
      <c r="AE722" s="16"/>
      <c r="AF722" s="16"/>
      <c r="AG722" s="16"/>
      <c r="AH722" s="16"/>
      <c r="AI722" s="16"/>
      <c r="AJ722" s="16"/>
      <c r="AK722" s="16"/>
      <c r="AL722" s="12">
        <f t="shared" si="192"/>
        <v>0</v>
      </c>
      <c r="AM722" s="16"/>
      <c r="AN722" s="16"/>
      <c r="AO722" s="16"/>
      <c r="AP722" s="16"/>
      <c r="AQ722" s="16"/>
      <c r="AR722" s="16"/>
      <c r="AS722" s="12">
        <f t="shared" si="234"/>
        <v>0</v>
      </c>
      <c r="AV722" s="16"/>
      <c r="AX722" s="16"/>
      <c r="AY722" s="16"/>
      <c r="AZ722" s="16"/>
      <c r="BC722" s="16"/>
      <c r="BD722" s="16"/>
      <c r="BE722" s="16"/>
      <c r="BI722" s="29" t="str">
        <f t="shared" si="258"/>
        <v/>
      </c>
      <c r="BK722" s="15" t="str">
        <f t="shared" si="76"/>
        <v/>
      </c>
      <c r="BO722" s="6" t="str">
        <f t="shared" si="250"/>
        <v/>
      </c>
      <c r="BY722" s="6">
        <f t="shared" si="2"/>
        <v>2025</v>
      </c>
      <c r="BZ722" s="6" t="str">
        <f t="shared" si="3"/>
        <v>septiembre</v>
      </c>
      <c r="CA722" s="6" t="str">
        <f t="shared" si="4"/>
        <v>9</v>
      </c>
    </row>
    <row r="723">
      <c r="A723" s="8">
        <v>45930.0</v>
      </c>
      <c r="B723" s="16"/>
      <c r="C723" s="16"/>
      <c r="D723" s="16"/>
      <c r="E723" s="16"/>
      <c r="F723" s="16"/>
      <c r="G723" s="16"/>
      <c r="H723" s="12">
        <f t="shared" si="149"/>
        <v>0</v>
      </c>
      <c r="I723" s="16"/>
      <c r="J723" s="16"/>
      <c r="K723" s="16"/>
      <c r="L723" s="16"/>
      <c r="M723" s="16"/>
      <c r="N723" s="16"/>
      <c r="O723" s="16">
        <f t="shared" si="150"/>
        <v>0</v>
      </c>
      <c r="P723" s="16"/>
      <c r="Q723" s="16"/>
      <c r="R723" s="16"/>
      <c r="S723" s="16"/>
      <c r="T723" s="16"/>
      <c r="U723" s="16"/>
      <c r="V723" s="16">
        <f t="shared" si="151"/>
        <v>0</v>
      </c>
      <c r="W723" s="16"/>
      <c r="X723" s="16"/>
      <c r="Y723" s="16"/>
      <c r="Z723" s="16"/>
      <c r="AA723" s="16"/>
      <c r="AB723" s="16"/>
      <c r="AC723" s="16">
        <f t="shared" si="169"/>
        <v>0</v>
      </c>
      <c r="AD723" s="16"/>
      <c r="AE723" s="16"/>
      <c r="AF723" s="16"/>
      <c r="AG723" s="16"/>
      <c r="AH723" s="16"/>
      <c r="AI723" s="16"/>
      <c r="AJ723" s="16"/>
      <c r="AK723" s="16"/>
      <c r="AL723" s="12">
        <f t="shared" si="192"/>
        <v>0</v>
      </c>
      <c r="AM723" s="16"/>
      <c r="AN723" s="16"/>
      <c r="AO723" s="16"/>
      <c r="AP723" s="16"/>
      <c r="AQ723" s="16"/>
      <c r="AR723" s="16"/>
      <c r="AS723" s="12">
        <f t="shared" si="234"/>
        <v>0</v>
      </c>
      <c r="AV723" s="16"/>
      <c r="AX723" s="16"/>
      <c r="AY723" s="16"/>
      <c r="AZ723" s="16"/>
      <c r="BC723" s="16"/>
      <c r="BD723" s="16"/>
      <c r="BE723" s="16"/>
      <c r="BI723" s="29" t="str">
        <f t="shared" si="258"/>
        <v/>
      </c>
      <c r="BK723" s="15" t="str">
        <f t="shared" si="76"/>
        <v/>
      </c>
      <c r="BO723" s="6" t="str">
        <f t="shared" si="250"/>
        <v/>
      </c>
      <c r="BY723" s="6">
        <f t="shared" si="2"/>
        <v>2025</v>
      </c>
      <c r="BZ723" s="6" t="str">
        <f t="shared" si="3"/>
        <v>septiembre</v>
      </c>
      <c r="CA723" s="6" t="str">
        <f t="shared" si="4"/>
        <v>9</v>
      </c>
    </row>
    <row r="724">
      <c r="A724" s="8">
        <v>45931.0</v>
      </c>
      <c r="B724" s="16"/>
      <c r="C724" s="16"/>
      <c r="D724" s="16"/>
      <c r="E724" s="16"/>
      <c r="F724" s="16"/>
      <c r="G724" s="16"/>
      <c r="H724" s="12">
        <f t="shared" si="149"/>
        <v>0</v>
      </c>
      <c r="I724" s="16"/>
      <c r="J724" s="16"/>
      <c r="K724" s="16"/>
      <c r="L724" s="16"/>
      <c r="M724" s="16"/>
      <c r="N724" s="16"/>
      <c r="O724" s="16">
        <f t="shared" si="150"/>
        <v>0</v>
      </c>
      <c r="P724" s="16"/>
      <c r="Q724" s="16"/>
      <c r="R724" s="16"/>
      <c r="S724" s="16"/>
      <c r="T724" s="16"/>
      <c r="U724" s="16"/>
      <c r="V724" s="16">
        <f t="shared" si="151"/>
        <v>0</v>
      </c>
      <c r="W724" s="16"/>
      <c r="X724" s="16"/>
      <c r="Y724" s="16"/>
      <c r="Z724" s="16"/>
      <c r="AA724" s="16"/>
      <c r="AB724" s="16"/>
      <c r="AC724" s="16">
        <f t="shared" si="169"/>
        <v>0</v>
      </c>
      <c r="AD724" s="16"/>
      <c r="AE724" s="16"/>
      <c r="AF724" s="16"/>
      <c r="AG724" s="16"/>
      <c r="AH724" s="16"/>
      <c r="AI724" s="16"/>
      <c r="AJ724" s="16"/>
      <c r="AK724" s="16"/>
      <c r="AL724" s="12">
        <f t="shared" si="192"/>
        <v>0</v>
      </c>
      <c r="AM724" s="16"/>
      <c r="AN724" s="16"/>
      <c r="AO724" s="16"/>
      <c r="AP724" s="16"/>
      <c r="AQ724" s="16"/>
      <c r="AR724" s="16"/>
      <c r="AS724" s="12">
        <f t="shared" si="234"/>
        <v>0</v>
      </c>
      <c r="AV724" s="16"/>
      <c r="AX724" s="16"/>
      <c r="AY724" s="16"/>
      <c r="AZ724" s="16"/>
      <c r="BC724" s="16"/>
      <c r="BD724" s="16"/>
      <c r="BE724" s="16"/>
      <c r="BI724" s="29" t="str">
        <f t="shared" ref="BI724:BI868" si="268">IF(AT724="","",$BG$632/DAY(EOMONTH(A724,0)))</f>
        <v/>
      </c>
      <c r="BY724" s="6">
        <f t="shared" si="2"/>
        <v>2025</v>
      </c>
      <c r="BZ724" s="6" t="str">
        <f t="shared" si="3"/>
        <v>octubre</v>
      </c>
      <c r="CA724" s="6" t="str">
        <f t="shared" si="4"/>
        <v>10</v>
      </c>
    </row>
    <row r="725">
      <c r="A725" s="8">
        <v>45932.0</v>
      </c>
      <c r="B725" s="16"/>
      <c r="C725" s="16"/>
      <c r="D725" s="16"/>
      <c r="E725" s="16"/>
      <c r="F725" s="16"/>
      <c r="G725" s="16"/>
      <c r="H725" s="12">
        <f t="shared" si="149"/>
        <v>0</v>
      </c>
      <c r="I725" s="16"/>
      <c r="J725" s="16"/>
      <c r="K725" s="16"/>
      <c r="L725" s="16"/>
      <c r="M725" s="16"/>
      <c r="N725" s="16"/>
      <c r="O725" s="16">
        <f t="shared" si="150"/>
        <v>0</v>
      </c>
      <c r="P725" s="16"/>
      <c r="Q725" s="16"/>
      <c r="R725" s="16"/>
      <c r="S725" s="16"/>
      <c r="T725" s="16"/>
      <c r="U725" s="16"/>
      <c r="V725" s="16">
        <f t="shared" si="151"/>
        <v>0</v>
      </c>
      <c r="W725" s="16"/>
      <c r="X725" s="16"/>
      <c r="Y725" s="16"/>
      <c r="Z725" s="16"/>
      <c r="AA725" s="16"/>
      <c r="AB725" s="16"/>
      <c r="AC725" s="16">
        <f t="shared" si="169"/>
        <v>0</v>
      </c>
      <c r="AD725" s="16"/>
      <c r="AE725" s="16"/>
      <c r="AF725" s="16"/>
      <c r="AG725" s="16"/>
      <c r="AH725" s="16"/>
      <c r="AI725" s="16"/>
      <c r="AJ725" s="16"/>
      <c r="AK725" s="16"/>
      <c r="AL725" s="12">
        <f t="shared" si="192"/>
        <v>0</v>
      </c>
      <c r="AM725" s="16"/>
      <c r="AN725" s="16"/>
      <c r="AO725" s="16"/>
      <c r="AP725" s="16"/>
      <c r="AQ725" s="16"/>
      <c r="AR725" s="16"/>
      <c r="AS725" s="12">
        <f t="shared" si="234"/>
        <v>0</v>
      </c>
      <c r="AV725" s="16"/>
      <c r="AX725" s="16"/>
      <c r="AY725" s="16"/>
      <c r="AZ725" s="16"/>
      <c r="BC725" s="16"/>
      <c r="BD725" s="16"/>
      <c r="BE725" s="16"/>
      <c r="BI725" s="29" t="str">
        <f t="shared" si="268"/>
        <v/>
      </c>
      <c r="BY725" s="6">
        <f t="shared" si="2"/>
        <v>2025</v>
      </c>
      <c r="BZ725" s="6" t="str">
        <f t="shared" si="3"/>
        <v>octubre</v>
      </c>
      <c r="CA725" s="6" t="str">
        <f t="shared" si="4"/>
        <v>10</v>
      </c>
    </row>
    <row r="726">
      <c r="A726" s="8">
        <v>45933.0</v>
      </c>
      <c r="B726" s="16"/>
      <c r="C726" s="16"/>
      <c r="D726" s="16"/>
      <c r="E726" s="16"/>
      <c r="F726" s="16"/>
      <c r="G726" s="16"/>
      <c r="H726" s="12">
        <f t="shared" si="149"/>
        <v>0</v>
      </c>
      <c r="I726" s="16"/>
      <c r="J726" s="16"/>
      <c r="K726" s="16"/>
      <c r="L726" s="16"/>
      <c r="M726" s="16"/>
      <c r="N726" s="16"/>
      <c r="O726" s="16">
        <f t="shared" si="150"/>
        <v>0</v>
      </c>
      <c r="P726" s="16"/>
      <c r="Q726" s="16"/>
      <c r="R726" s="16"/>
      <c r="S726" s="16"/>
      <c r="T726" s="16"/>
      <c r="U726" s="16"/>
      <c r="V726" s="16">
        <f t="shared" si="151"/>
        <v>0</v>
      </c>
      <c r="W726" s="16"/>
      <c r="X726" s="16"/>
      <c r="Y726" s="16"/>
      <c r="Z726" s="16"/>
      <c r="AA726" s="16"/>
      <c r="AB726" s="16"/>
      <c r="AC726" s="16">
        <f t="shared" si="169"/>
        <v>0</v>
      </c>
      <c r="AD726" s="16"/>
      <c r="AE726" s="16"/>
      <c r="AF726" s="16"/>
      <c r="AG726" s="16"/>
      <c r="AH726" s="16"/>
      <c r="AI726" s="16"/>
      <c r="AJ726" s="16"/>
      <c r="AK726" s="16"/>
      <c r="AL726" s="12">
        <f t="shared" si="192"/>
        <v>0</v>
      </c>
      <c r="AM726" s="16"/>
      <c r="AN726" s="16"/>
      <c r="AO726" s="16"/>
      <c r="AP726" s="16"/>
      <c r="AQ726" s="16"/>
      <c r="AR726" s="16"/>
      <c r="AS726" s="12">
        <f t="shared" si="234"/>
        <v>0</v>
      </c>
      <c r="AV726" s="16"/>
      <c r="AX726" s="16"/>
      <c r="AY726" s="16"/>
      <c r="AZ726" s="16"/>
      <c r="BC726" s="16"/>
      <c r="BD726" s="16"/>
      <c r="BE726" s="16"/>
      <c r="BI726" s="29" t="str">
        <f t="shared" si="268"/>
        <v/>
      </c>
      <c r="BY726" s="6">
        <f t="shared" si="2"/>
        <v>2025</v>
      </c>
      <c r="BZ726" s="6" t="str">
        <f t="shared" si="3"/>
        <v>octubre</v>
      </c>
      <c r="CA726" s="6" t="str">
        <f t="shared" si="4"/>
        <v>10</v>
      </c>
    </row>
    <row r="727">
      <c r="A727" s="8">
        <v>45934.0</v>
      </c>
      <c r="B727" s="16"/>
      <c r="C727" s="16"/>
      <c r="D727" s="16"/>
      <c r="E727" s="16"/>
      <c r="F727" s="16"/>
      <c r="G727" s="16"/>
      <c r="H727" s="12">
        <f t="shared" si="149"/>
        <v>0</v>
      </c>
      <c r="I727" s="16"/>
      <c r="J727" s="16"/>
      <c r="K727" s="16"/>
      <c r="L727" s="16"/>
      <c r="M727" s="16"/>
      <c r="N727" s="16"/>
      <c r="O727" s="16">
        <f t="shared" si="150"/>
        <v>0</v>
      </c>
      <c r="P727" s="16"/>
      <c r="Q727" s="16"/>
      <c r="R727" s="16"/>
      <c r="S727" s="16"/>
      <c r="T727" s="16"/>
      <c r="U727" s="16"/>
      <c r="V727" s="16">
        <f t="shared" si="151"/>
        <v>0</v>
      </c>
      <c r="W727" s="16"/>
      <c r="X727" s="16"/>
      <c r="Y727" s="16"/>
      <c r="Z727" s="16"/>
      <c r="AA727" s="16"/>
      <c r="AB727" s="16"/>
      <c r="AC727" s="16">
        <f t="shared" si="169"/>
        <v>0</v>
      </c>
      <c r="AD727" s="16"/>
      <c r="AE727" s="16"/>
      <c r="AF727" s="16"/>
      <c r="AG727" s="16"/>
      <c r="AH727" s="16"/>
      <c r="AI727" s="16"/>
      <c r="AJ727" s="16"/>
      <c r="AK727" s="16"/>
      <c r="AL727" s="12">
        <f t="shared" si="192"/>
        <v>0</v>
      </c>
      <c r="AM727" s="16"/>
      <c r="AN727" s="16"/>
      <c r="AO727" s="16"/>
      <c r="AP727" s="16"/>
      <c r="AQ727" s="16"/>
      <c r="AR727" s="16"/>
      <c r="AS727" s="12">
        <f t="shared" si="234"/>
        <v>0</v>
      </c>
      <c r="AV727" s="16"/>
      <c r="AX727" s="16"/>
      <c r="AY727" s="16"/>
      <c r="AZ727" s="16"/>
      <c r="BC727" s="16"/>
      <c r="BD727" s="16"/>
      <c r="BE727" s="16"/>
      <c r="BI727" s="29" t="str">
        <f t="shared" si="268"/>
        <v/>
      </c>
      <c r="BY727" s="6">
        <f t="shared" si="2"/>
        <v>2025</v>
      </c>
      <c r="BZ727" s="6" t="str">
        <f t="shared" si="3"/>
        <v>octubre</v>
      </c>
      <c r="CA727" s="6" t="str">
        <f t="shared" si="4"/>
        <v>10</v>
      </c>
    </row>
    <row r="728">
      <c r="A728" s="8">
        <v>45935.0</v>
      </c>
      <c r="B728" s="16"/>
      <c r="C728" s="16"/>
      <c r="D728" s="16"/>
      <c r="E728" s="16"/>
      <c r="F728" s="16"/>
      <c r="G728" s="16"/>
      <c r="H728" s="12">
        <f t="shared" si="149"/>
        <v>0</v>
      </c>
      <c r="I728" s="16"/>
      <c r="J728" s="16"/>
      <c r="K728" s="16"/>
      <c r="L728" s="16"/>
      <c r="M728" s="16"/>
      <c r="N728" s="16"/>
      <c r="O728" s="16">
        <f t="shared" si="150"/>
        <v>0</v>
      </c>
      <c r="P728" s="16"/>
      <c r="Q728" s="16"/>
      <c r="R728" s="16"/>
      <c r="S728" s="16"/>
      <c r="T728" s="16"/>
      <c r="U728" s="16"/>
      <c r="V728" s="16">
        <f t="shared" si="151"/>
        <v>0</v>
      </c>
      <c r="W728" s="16"/>
      <c r="X728" s="16"/>
      <c r="Y728" s="16"/>
      <c r="Z728" s="16"/>
      <c r="AA728" s="16"/>
      <c r="AB728" s="16"/>
      <c r="AC728" s="16">
        <f t="shared" si="169"/>
        <v>0</v>
      </c>
      <c r="AD728" s="16"/>
      <c r="AE728" s="16"/>
      <c r="AF728" s="16"/>
      <c r="AG728" s="16"/>
      <c r="AH728" s="16"/>
      <c r="AI728" s="16"/>
      <c r="AJ728" s="16"/>
      <c r="AK728" s="16"/>
      <c r="AL728" s="12">
        <f t="shared" si="192"/>
        <v>0</v>
      </c>
      <c r="AM728" s="16"/>
      <c r="AN728" s="16"/>
      <c r="AO728" s="16"/>
      <c r="AP728" s="16"/>
      <c r="AQ728" s="16"/>
      <c r="AR728" s="16"/>
      <c r="AS728" s="12">
        <f t="shared" si="234"/>
        <v>0</v>
      </c>
      <c r="AV728" s="16"/>
      <c r="AX728" s="16"/>
      <c r="AY728" s="16"/>
      <c r="AZ728" s="16"/>
      <c r="BC728" s="16"/>
      <c r="BD728" s="16"/>
      <c r="BE728" s="16"/>
      <c r="BI728" s="29" t="str">
        <f t="shared" si="268"/>
        <v/>
      </c>
      <c r="BY728" s="6">
        <f t="shared" si="2"/>
        <v>2025</v>
      </c>
      <c r="BZ728" s="6" t="str">
        <f t="shared" si="3"/>
        <v>octubre</v>
      </c>
      <c r="CA728" s="6" t="str">
        <f t="shared" si="4"/>
        <v>10</v>
      </c>
    </row>
    <row r="729">
      <c r="A729" s="8">
        <v>45936.0</v>
      </c>
      <c r="B729" s="16"/>
      <c r="C729" s="16"/>
      <c r="D729" s="16"/>
      <c r="E729" s="16"/>
      <c r="F729" s="16"/>
      <c r="G729" s="16"/>
      <c r="H729" s="12">
        <f t="shared" si="149"/>
        <v>0</v>
      </c>
      <c r="I729" s="16"/>
      <c r="J729" s="16"/>
      <c r="K729" s="16"/>
      <c r="L729" s="16"/>
      <c r="M729" s="16"/>
      <c r="N729" s="16"/>
      <c r="O729" s="16">
        <f t="shared" si="150"/>
        <v>0</v>
      </c>
      <c r="P729" s="16"/>
      <c r="Q729" s="16"/>
      <c r="R729" s="16"/>
      <c r="S729" s="16"/>
      <c r="T729" s="16"/>
      <c r="U729" s="16"/>
      <c r="V729" s="16">
        <f t="shared" si="151"/>
        <v>0</v>
      </c>
      <c r="W729" s="16"/>
      <c r="X729" s="16"/>
      <c r="Y729" s="16"/>
      <c r="Z729" s="16"/>
      <c r="AA729" s="16"/>
      <c r="AB729" s="16"/>
      <c r="AC729" s="16">
        <f t="shared" si="169"/>
        <v>0</v>
      </c>
      <c r="AD729" s="16"/>
      <c r="AE729" s="16"/>
      <c r="AF729" s="16"/>
      <c r="AG729" s="16"/>
      <c r="AH729" s="16"/>
      <c r="AI729" s="16"/>
      <c r="AJ729" s="16"/>
      <c r="AK729" s="16"/>
      <c r="AL729" s="12">
        <f t="shared" si="192"/>
        <v>0</v>
      </c>
      <c r="AM729" s="16"/>
      <c r="AN729" s="16"/>
      <c r="AO729" s="16"/>
      <c r="AP729" s="16"/>
      <c r="AQ729" s="16"/>
      <c r="AR729" s="16"/>
      <c r="AS729" s="12">
        <f t="shared" si="234"/>
        <v>0</v>
      </c>
      <c r="AV729" s="16"/>
      <c r="AX729" s="16"/>
      <c r="AY729" s="16"/>
      <c r="AZ729" s="16"/>
      <c r="BC729" s="16"/>
      <c r="BD729" s="16"/>
      <c r="BE729" s="16"/>
      <c r="BI729" s="29" t="str">
        <f t="shared" si="268"/>
        <v/>
      </c>
      <c r="BY729" s="6">
        <f t="shared" si="2"/>
        <v>2025</v>
      </c>
      <c r="BZ729" s="6" t="str">
        <f t="shared" si="3"/>
        <v>octubre</v>
      </c>
      <c r="CA729" s="6" t="str">
        <f t="shared" si="4"/>
        <v>10</v>
      </c>
    </row>
    <row r="730">
      <c r="A730" s="8">
        <v>45937.0</v>
      </c>
      <c r="B730" s="16"/>
      <c r="C730" s="16"/>
      <c r="D730" s="16"/>
      <c r="E730" s="16"/>
      <c r="F730" s="16"/>
      <c r="G730" s="16"/>
      <c r="H730" s="12">
        <f t="shared" si="149"/>
        <v>0</v>
      </c>
      <c r="I730" s="16"/>
      <c r="J730" s="16"/>
      <c r="K730" s="16"/>
      <c r="L730" s="16"/>
      <c r="M730" s="16"/>
      <c r="N730" s="16"/>
      <c r="O730" s="16">
        <f t="shared" si="150"/>
        <v>0</v>
      </c>
      <c r="P730" s="16"/>
      <c r="Q730" s="16"/>
      <c r="R730" s="16"/>
      <c r="S730" s="16"/>
      <c r="T730" s="16"/>
      <c r="U730" s="16"/>
      <c r="V730" s="16">
        <f t="shared" si="151"/>
        <v>0</v>
      </c>
      <c r="W730" s="16"/>
      <c r="X730" s="16"/>
      <c r="Y730" s="16"/>
      <c r="Z730" s="16"/>
      <c r="AA730" s="16"/>
      <c r="AB730" s="16"/>
      <c r="AC730" s="16">
        <f t="shared" si="169"/>
        <v>0</v>
      </c>
      <c r="AD730" s="16"/>
      <c r="AE730" s="16"/>
      <c r="AF730" s="16"/>
      <c r="AG730" s="16"/>
      <c r="AH730" s="16"/>
      <c r="AI730" s="16"/>
      <c r="AJ730" s="16"/>
      <c r="AK730" s="16"/>
      <c r="AL730" s="12">
        <f t="shared" si="192"/>
        <v>0</v>
      </c>
      <c r="AM730" s="16"/>
      <c r="AN730" s="16"/>
      <c r="AO730" s="16"/>
      <c r="AP730" s="16"/>
      <c r="AQ730" s="16"/>
      <c r="AR730" s="16"/>
      <c r="AS730" s="12">
        <f t="shared" si="234"/>
        <v>0</v>
      </c>
      <c r="AV730" s="16"/>
      <c r="AX730" s="16"/>
      <c r="AY730" s="16"/>
      <c r="AZ730" s="16"/>
      <c r="BC730" s="16"/>
      <c r="BD730" s="16"/>
      <c r="BE730" s="16"/>
      <c r="BI730" s="29" t="str">
        <f t="shared" si="268"/>
        <v/>
      </c>
      <c r="BY730" s="6">
        <f t="shared" si="2"/>
        <v>2025</v>
      </c>
      <c r="BZ730" s="6" t="str">
        <f t="shared" si="3"/>
        <v>octubre</v>
      </c>
      <c r="CA730" s="6" t="str">
        <f t="shared" si="4"/>
        <v>10</v>
      </c>
    </row>
    <row r="731">
      <c r="A731" s="8">
        <v>45938.0</v>
      </c>
      <c r="B731" s="16"/>
      <c r="C731" s="16"/>
      <c r="D731" s="16"/>
      <c r="E731" s="16"/>
      <c r="F731" s="16"/>
      <c r="G731" s="16"/>
      <c r="H731" s="12">
        <f t="shared" si="149"/>
        <v>0</v>
      </c>
      <c r="I731" s="16"/>
      <c r="J731" s="16"/>
      <c r="K731" s="16"/>
      <c r="L731" s="16"/>
      <c r="M731" s="16"/>
      <c r="N731" s="16"/>
      <c r="O731" s="16">
        <f t="shared" si="150"/>
        <v>0</v>
      </c>
      <c r="P731" s="16"/>
      <c r="Q731" s="16"/>
      <c r="R731" s="16"/>
      <c r="S731" s="16"/>
      <c r="T731" s="16"/>
      <c r="U731" s="16"/>
      <c r="V731" s="16">
        <f t="shared" si="151"/>
        <v>0</v>
      </c>
      <c r="W731" s="16"/>
      <c r="X731" s="16"/>
      <c r="Y731" s="16"/>
      <c r="Z731" s="16"/>
      <c r="AA731" s="16"/>
      <c r="AB731" s="16"/>
      <c r="AC731" s="16">
        <f t="shared" si="169"/>
        <v>0</v>
      </c>
      <c r="AD731" s="16"/>
      <c r="AE731" s="16"/>
      <c r="AF731" s="16"/>
      <c r="AG731" s="16"/>
      <c r="AH731" s="16"/>
      <c r="AI731" s="16"/>
      <c r="AJ731" s="16"/>
      <c r="AK731" s="16"/>
      <c r="AL731" s="12">
        <f t="shared" si="192"/>
        <v>0</v>
      </c>
      <c r="AM731" s="16"/>
      <c r="AN731" s="16"/>
      <c r="AO731" s="16"/>
      <c r="AP731" s="16"/>
      <c r="AQ731" s="16"/>
      <c r="AR731" s="16"/>
      <c r="AS731" s="12">
        <f t="shared" si="234"/>
        <v>0</v>
      </c>
      <c r="AV731" s="16"/>
      <c r="AX731" s="16"/>
      <c r="AY731" s="16"/>
      <c r="AZ731" s="16"/>
      <c r="BC731" s="16"/>
      <c r="BD731" s="16"/>
      <c r="BE731" s="16"/>
      <c r="BI731" s="29" t="str">
        <f t="shared" si="268"/>
        <v/>
      </c>
      <c r="BY731" s="6">
        <f t="shared" si="2"/>
        <v>2025</v>
      </c>
      <c r="BZ731" s="6" t="str">
        <f t="shared" si="3"/>
        <v>octubre</v>
      </c>
      <c r="CA731" s="6" t="str">
        <f t="shared" si="4"/>
        <v>10</v>
      </c>
    </row>
    <row r="732">
      <c r="A732" s="8">
        <v>45939.0</v>
      </c>
      <c r="B732" s="16"/>
      <c r="C732" s="16"/>
      <c r="D732" s="16"/>
      <c r="E732" s="16"/>
      <c r="F732" s="16"/>
      <c r="G732" s="16"/>
      <c r="H732" s="12">
        <f t="shared" si="149"/>
        <v>0</v>
      </c>
      <c r="I732" s="16"/>
      <c r="J732" s="16"/>
      <c r="K732" s="16"/>
      <c r="L732" s="16"/>
      <c r="M732" s="16"/>
      <c r="N732" s="16"/>
      <c r="O732" s="16">
        <f t="shared" si="150"/>
        <v>0</v>
      </c>
      <c r="P732" s="16"/>
      <c r="Q732" s="16"/>
      <c r="R732" s="16"/>
      <c r="S732" s="16"/>
      <c r="T732" s="16"/>
      <c r="U732" s="16"/>
      <c r="V732" s="16">
        <f t="shared" si="151"/>
        <v>0</v>
      </c>
      <c r="W732" s="16"/>
      <c r="X732" s="16"/>
      <c r="Y732" s="16"/>
      <c r="Z732" s="16"/>
      <c r="AA732" s="16"/>
      <c r="AB732" s="16"/>
      <c r="AC732" s="16">
        <f t="shared" si="169"/>
        <v>0</v>
      </c>
      <c r="AD732" s="16"/>
      <c r="AE732" s="16"/>
      <c r="AF732" s="16"/>
      <c r="AG732" s="16"/>
      <c r="AH732" s="16"/>
      <c r="AI732" s="16"/>
      <c r="AJ732" s="16"/>
      <c r="AK732" s="16"/>
      <c r="AL732" s="12">
        <f t="shared" si="192"/>
        <v>0</v>
      </c>
      <c r="AM732" s="16"/>
      <c r="AN732" s="16"/>
      <c r="AO732" s="16"/>
      <c r="AP732" s="16"/>
      <c r="AQ732" s="16"/>
      <c r="AR732" s="16"/>
      <c r="AS732" s="12">
        <f t="shared" si="234"/>
        <v>0</v>
      </c>
      <c r="AV732" s="16"/>
      <c r="AX732" s="16"/>
      <c r="AY732" s="16"/>
      <c r="AZ732" s="16"/>
      <c r="BC732" s="16"/>
      <c r="BD732" s="16"/>
      <c r="BE732" s="16"/>
      <c r="BI732" s="29" t="str">
        <f t="shared" si="268"/>
        <v/>
      </c>
      <c r="BY732" s="6">
        <f t="shared" si="2"/>
        <v>2025</v>
      </c>
      <c r="BZ732" s="6" t="str">
        <f t="shared" si="3"/>
        <v>octubre</v>
      </c>
      <c r="CA732" s="6" t="str">
        <f t="shared" si="4"/>
        <v>10</v>
      </c>
    </row>
    <row r="733">
      <c r="A733" s="8">
        <v>45940.0</v>
      </c>
      <c r="B733" s="16"/>
      <c r="C733" s="16"/>
      <c r="D733" s="16"/>
      <c r="E733" s="16"/>
      <c r="F733" s="16"/>
      <c r="G733" s="16"/>
      <c r="H733" s="12">
        <f t="shared" si="149"/>
        <v>0</v>
      </c>
      <c r="I733" s="16"/>
      <c r="J733" s="16"/>
      <c r="K733" s="16"/>
      <c r="L733" s="16"/>
      <c r="M733" s="16"/>
      <c r="N733" s="16"/>
      <c r="O733" s="16">
        <f t="shared" si="150"/>
        <v>0</v>
      </c>
      <c r="P733" s="16"/>
      <c r="Q733" s="16"/>
      <c r="R733" s="16"/>
      <c r="S733" s="16"/>
      <c r="T733" s="16"/>
      <c r="U733" s="16"/>
      <c r="V733" s="16">
        <f t="shared" si="151"/>
        <v>0</v>
      </c>
      <c r="W733" s="16"/>
      <c r="X733" s="16"/>
      <c r="Y733" s="16"/>
      <c r="Z733" s="16"/>
      <c r="AA733" s="16"/>
      <c r="AB733" s="16"/>
      <c r="AC733" s="16">
        <f t="shared" si="169"/>
        <v>0</v>
      </c>
      <c r="AD733" s="16"/>
      <c r="AE733" s="16"/>
      <c r="AF733" s="16"/>
      <c r="AG733" s="16"/>
      <c r="AH733" s="16"/>
      <c r="AI733" s="16"/>
      <c r="AJ733" s="16"/>
      <c r="AK733" s="16"/>
      <c r="AL733" s="12">
        <f t="shared" si="192"/>
        <v>0</v>
      </c>
      <c r="AM733" s="16"/>
      <c r="AN733" s="16"/>
      <c r="AO733" s="16"/>
      <c r="AP733" s="16"/>
      <c r="AQ733" s="16"/>
      <c r="AR733" s="16"/>
      <c r="AS733" s="12">
        <f t="shared" si="234"/>
        <v>0</v>
      </c>
      <c r="AV733" s="16"/>
      <c r="AX733" s="16"/>
      <c r="AY733" s="16"/>
      <c r="AZ733" s="16"/>
      <c r="BC733" s="16"/>
      <c r="BD733" s="16"/>
      <c r="BE733" s="16"/>
      <c r="BI733" s="29" t="str">
        <f t="shared" si="268"/>
        <v/>
      </c>
      <c r="BY733" s="6">
        <f t="shared" si="2"/>
        <v>2025</v>
      </c>
      <c r="BZ733" s="6" t="str">
        <f t="shared" si="3"/>
        <v>octubre</v>
      </c>
      <c r="CA733" s="6" t="str">
        <f t="shared" si="4"/>
        <v>10</v>
      </c>
    </row>
    <row r="734">
      <c r="A734" s="8">
        <v>45941.0</v>
      </c>
      <c r="B734" s="16"/>
      <c r="C734" s="16"/>
      <c r="D734" s="16"/>
      <c r="E734" s="16"/>
      <c r="F734" s="16"/>
      <c r="G734" s="16"/>
      <c r="H734" s="12">
        <f t="shared" si="149"/>
        <v>0</v>
      </c>
      <c r="I734" s="16"/>
      <c r="J734" s="16"/>
      <c r="K734" s="16"/>
      <c r="L734" s="16"/>
      <c r="M734" s="16"/>
      <c r="N734" s="16"/>
      <c r="O734" s="16">
        <f t="shared" si="150"/>
        <v>0</v>
      </c>
      <c r="P734" s="16"/>
      <c r="Q734" s="16"/>
      <c r="R734" s="16"/>
      <c r="S734" s="16"/>
      <c r="T734" s="16"/>
      <c r="U734" s="16"/>
      <c r="V734" s="16">
        <f t="shared" si="151"/>
        <v>0</v>
      </c>
      <c r="W734" s="16"/>
      <c r="X734" s="16"/>
      <c r="Y734" s="16"/>
      <c r="Z734" s="16"/>
      <c r="AA734" s="16"/>
      <c r="AB734" s="16"/>
      <c r="AC734" s="16">
        <f t="shared" si="169"/>
        <v>0</v>
      </c>
      <c r="AD734" s="16"/>
      <c r="AE734" s="16"/>
      <c r="AF734" s="16"/>
      <c r="AG734" s="16"/>
      <c r="AH734" s="16"/>
      <c r="AI734" s="16"/>
      <c r="AJ734" s="16"/>
      <c r="AK734" s="16"/>
      <c r="AL734" s="12">
        <f t="shared" si="192"/>
        <v>0</v>
      </c>
      <c r="AM734" s="16"/>
      <c r="AN734" s="16"/>
      <c r="AO734" s="16"/>
      <c r="AP734" s="16"/>
      <c r="AQ734" s="16"/>
      <c r="AR734" s="16"/>
      <c r="AS734" s="12">
        <f t="shared" si="234"/>
        <v>0</v>
      </c>
      <c r="AV734" s="16"/>
      <c r="AX734" s="16"/>
      <c r="AY734" s="16"/>
      <c r="AZ734" s="16"/>
      <c r="BC734" s="16"/>
      <c r="BD734" s="16"/>
      <c r="BE734" s="16"/>
      <c r="BI734" s="29" t="str">
        <f t="shared" si="268"/>
        <v/>
      </c>
      <c r="BY734" s="6">
        <f t="shared" si="2"/>
        <v>2025</v>
      </c>
      <c r="BZ734" s="6" t="str">
        <f t="shared" si="3"/>
        <v>octubre</v>
      </c>
      <c r="CA734" s="6" t="str">
        <f t="shared" si="4"/>
        <v>10</v>
      </c>
    </row>
    <row r="735">
      <c r="A735" s="8">
        <v>45942.0</v>
      </c>
      <c r="B735" s="16"/>
      <c r="C735" s="16"/>
      <c r="D735" s="16"/>
      <c r="E735" s="16"/>
      <c r="F735" s="16"/>
      <c r="G735" s="16"/>
      <c r="H735" s="12">
        <f t="shared" si="149"/>
        <v>0</v>
      </c>
      <c r="I735" s="16"/>
      <c r="J735" s="16"/>
      <c r="K735" s="16"/>
      <c r="L735" s="16"/>
      <c r="M735" s="16"/>
      <c r="N735" s="16"/>
      <c r="O735" s="16">
        <f t="shared" si="150"/>
        <v>0</v>
      </c>
      <c r="P735" s="16"/>
      <c r="Q735" s="16"/>
      <c r="R735" s="16"/>
      <c r="S735" s="16"/>
      <c r="T735" s="16"/>
      <c r="U735" s="16"/>
      <c r="V735" s="16">
        <f t="shared" si="151"/>
        <v>0</v>
      </c>
      <c r="W735" s="16"/>
      <c r="X735" s="16"/>
      <c r="Y735" s="16"/>
      <c r="Z735" s="16"/>
      <c r="AA735" s="16"/>
      <c r="AB735" s="16"/>
      <c r="AC735" s="16">
        <f t="shared" si="169"/>
        <v>0</v>
      </c>
      <c r="AD735" s="16"/>
      <c r="AE735" s="16"/>
      <c r="AF735" s="16"/>
      <c r="AG735" s="16"/>
      <c r="AH735" s="16"/>
      <c r="AI735" s="16"/>
      <c r="AJ735" s="16"/>
      <c r="AK735" s="16"/>
      <c r="AL735" s="12">
        <f t="shared" si="192"/>
        <v>0</v>
      </c>
      <c r="AM735" s="16"/>
      <c r="AN735" s="16"/>
      <c r="AO735" s="16"/>
      <c r="AP735" s="16"/>
      <c r="AQ735" s="16"/>
      <c r="AR735" s="16"/>
      <c r="AS735" s="12">
        <f t="shared" si="234"/>
        <v>0</v>
      </c>
      <c r="AV735" s="16"/>
      <c r="AX735" s="16"/>
      <c r="AY735" s="16"/>
      <c r="AZ735" s="16"/>
      <c r="BC735" s="16"/>
      <c r="BD735" s="16"/>
      <c r="BE735" s="16"/>
      <c r="BI735" s="29" t="str">
        <f t="shared" si="268"/>
        <v/>
      </c>
      <c r="BY735" s="6">
        <f t="shared" si="2"/>
        <v>2025</v>
      </c>
      <c r="BZ735" s="6" t="str">
        <f t="shared" si="3"/>
        <v>octubre</v>
      </c>
      <c r="CA735" s="6" t="str">
        <f t="shared" si="4"/>
        <v>10</v>
      </c>
    </row>
    <row r="736">
      <c r="A736" s="8">
        <v>45943.0</v>
      </c>
      <c r="B736" s="16"/>
      <c r="C736" s="16"/>
      <c r="D736" s="16"/>
      <c r="E736" s="16"/>
      <c r="F736" s="16"/>
      <c r="G736" s="16"/>
      <c r="H736" s="12">
        <f t="shared" si="149"/>
        <v>0</v>
      </c>
      <c r="I736" s="16"/>
      <c r="J736" s="16"/>
      <c r="K736" s="16"/>
      <c r="L736" s="16"/>
      <c r="M736" s="16"/>
      <c r="N736" s="16"/>
      <c r="O736" s="16">
        <f t="shared" si="150"/>
        <v>0</v>
      </c>
      <c r="P736" s="16"/>
      <c r="Q736" s="16"/>
      <c r="R736" s="16"/>
      <c r="S736" s="16"/>
      <c r="T736" s="16"/>
      <c r="U736" s="16"/>
      <c r="V736" s="16">
        <f t="shared" si="151"/>
        <v>0</v>
      </c>
      <c r="W736" s="16"/>
      <c r="X736" s="16"/>
      <c r="Y736" s="16"/>
      <c r="Z736" s="16"/>
      <c r="AA736" s="16"/>
      <c r="AB736" s="16"/>
      <c r="AC736" s="16">
        <f t="shared" si="169"/>
        <v>0</v>
      </c>
      <c r="AD736" s="16"/>
      <c r="AE736" s="16"/>
      <c r="AF736" s="16"/>
      <c r="AG736" s="16"/>
      <c r="AH736" s="16"/>
      <c r="AI736" s="16"/>
      <c r="AJ736" s="16"/>
      <c r="AK736" s="16"/>
      <c r="AL736" s="12">
        <f t="shared" si="192"/>
        <v>0</v>
      </c>
      <c r="AM736" s="16"/>
      <c r="AN736" s="16"/>
      <c r="AO736" s="16"/>
      <c r="AP736" s="16"/>
      <c r="AQ736" s="16"/>
      <c r="AR736" s="16"/>
      <c r="AS736" s="12">
        <f t="shared" si="234"/>
        <v>0</v>
      </c>
      <c r="AV736" s="16"/>
      <c r="AX736" s="16"/>
      <c r="AY736" s="16"/>
      <c r="AZ736" s="16"/>
      <c r="BC736" s="16"/>
      <c r="BD736" s="16"/>
      <c r="BE736" s="16"/>
      <c r="BI736" s="29" t="str">
        <f t="shared" si="268"/>
        <v/>
      </c>
      <c r="BY736" s="6">
        <f t="shared" si="2"/>
        <v>2025</v>
      </c>
      <c r="BZ736" s="6" t="str">
        <f t="shared" si="3"/>
        <v>octubre</v>
      </c>
      <c r="CA736" s="6" t="str">
        <f t="shared" si="4"/>
        <v>10</v>
      </c>
    </row>
    <row r="737">
      <c r="A737" s="8">
        <v>45944.0</v>
      </c>
      <c r="B737" s="16"/>
      <c r="C737" s="16"/>
      <c r="D737" s="16"/>
      <c r="E737" s="16"/>
      <c r="F737" s="16"/>
      <c r="G737" s="16"/>
      <c r="H737" s="12">
        <f t="shared" si="149"/>
        <v>0</v>
      </c>
      <c r="I737" s="16"/>
      <c r="J737" s="16"/>
      <c r="K737" s="16"/>
      <c r="L737" s="16"/>
      <c r="M737" s="16"/>
      <c r="N737" s="16"/>
      <c r="O737" s="16">
        <f t="shared" si="150"/>
        <v>0</v>
      </c>
      <c r="P737" s="16"/>
      <c r="Q737" s="16"/>
      <c r="R737" s="16"/>
      <c r="S737" s="16"/>
      <c r="T737" s="16"/>
      <c r="U737" s="16"/>
      <c r="V737" s="16">
        <f t="shared" si="151"/>
        <v>0</v>
      </c>
      <c r="W737" s="16"/>
      <c r="X737" s="16"/>
      <c r="Y737" s="16"/>
      <c r="Z737" s="16"/>
      <c r="AA737" s="16"/>
      <c r="AB737" s="16"/>
      <c r="AC737" s="16">
        <f t="shared" si="169"/>
        <v>0</v>
      </c>
      <c r="AD737" s="16"/>
      <c r="AE737" s="16"/>
      <c r="AF737" s="16"/>
      <c r="AG737" s="16"/>
      <c r="AH737" s="16"/>
      <c r="AI737" s="16"/>
      <c r="AJ737" s="16"/>
      <c r="AK737" s="16"/>
      <c r="AL737" s="12">
        <f t="shared" si="192"/>
        <v>0</v>
      </c>
      <c r="AM737" s="16"/>
      <c r="AN737" s="16"/>
      <c r="AO737" s="16"/>
      <c r="AP737" s="16"/>
      <c r="AQ737" s="16"/>
      <c r="AR737" s="16"/>
      <c r="AS737" s="12">
        <f t="shared" si="234"/>
        <v>0</v>
      </c>
      <c r="AV737" s="16"/>
      <c r="AX737" s="16"/>
      <c r="AY737" s="16"/>
      <c r="AZ737" s="16"/>
      <c r="BC737" s="16"/>
      <c r="BD737" s="16"/>
      <c r="BE737" s="16"/>
      <c r="BI737" s="29" t="str">
        <f t="shared" si="268"/>
        <v/>
      </c>
      <c r="BY737" s="6">
        <f t="shared" si="2"/>
        <v>2025</v>
      </c>
      <c r="BZ737" s="6" t="str">
        <f t="shared" si="3"/>
        <v>octubre</v>
      </c>
      <c r="CA737" s="6" t="str">
        <f t="shared" si="4"/>
        <v>10</v>
      </c>
    </row>
    <row r="738">
      <c r="A738" s="8">
        <v>45945.0</v>
      </c>
      <c r="B738" s="16"/>
      <c r="C738" s="16"/>
      <c r="D738" s="16"/>
      <c r="E738" s="16"/>
      <c r="F738" s="16"/>
      <c r="G738" s="16"/>
      <c r="H738" s="12">
        <f t="shared" si="149"/>
        <v>0</v>
      </c>
      <c r="I738" s="16"/>
      <c r="J738" s="16"/>
      <c r="K738" s="16"/>
      <c r="L738" s="16"/>
      <c r="M738" s="16"/>
      <c r="N738" s="16"/>
      <c r="O738" s="16">
        <f t="shared" si="150"/>
        <v>0</v>
      </c>
      <c r="P738" s="16"/>
      <c r="Q738" s="16"/>
      <c r="R738" s="16"/>
      <c r="S738" s="16"/>
      <c r="T738" s="16"/>
      <c r="U738" s="16"/>
      <c r="V738" s="16">
        <f t="shared" si="151"/>
        <v>0</v>
      </c>
      <c r="W738" s="16"/>
      <c r="X738" s="16"/>
      <c r="Y738" s="16"/>
      <c r="Z738" s="16"/>
      <c r="AA738" s="16"/>
      <c r="AB738" s="16"/>
      <c r="AC738" s="16">
        <f t="shared" si="169"/>
        <v>0</v>
      </c>
      <c r="AD738" s="16"/>
      <c r="AE738" s="16"/>
      <c r="AF738" s="16"/>
      <c r="AG738" s="16"/>
      <c r="AH738" s="16"/>
      <c r="AI738" s="16"/>
      <c r="AJ738" s="16"/>
      <c r="AK738" s="16"/>
      <c r="AL738" s="12">
        <f t="shared" si="192"/>
        <v>0</v>
      </c>
      <c r="AM738" s="16"/>
      <c r="AN738" s="16"/>
      <c r="AO738" s="16"/>
      <c r="AP738" s="16"/>
      <c r="AQ738" s="16"/>
      <c r="AR738" s="16"/>
      <c r="AS738" s="12">
        <f t="shared" si="234"/>
        <v>0</v>
      </c>
      <c r="AV738" s="16"/>
      <c r="AX738" s="16"/>
      <c r="AY738" s="16"/>
      <c r="AZ738" s="16"/>
      <c r="BC738" s="16"/>
      <c r="BD738" s="16"/>
      <c r="BE738" s="16"/>
      <c r="BI738" s="29" t="str">
        <f t="shared" si="268"/>
        <v/>
      </c>
      <c r="BY738" s="6">
        <f t="shared" si="2"/>
        <v>2025</v>
      </c>
      <c r="BZ738" s="6" t="str">
        <f t="shared" si="3"/>
        <v>octubre</v>
      </c>
      <c r="CA738" s="6" t="str">
        <f t="shared" si="4"/>
        <v>10</v>
      </c>
    </row>
    <row r="739">
      <c r="A739" s="8">
        <v>45946.0</v>
      </c>
      <c r="B739" s="16"/>
      <c r="C739" s="16"/>
      <c r="D739" s="16"/>
      <c r="E739" s="16"/>
      <c r="F739" s="16"/>
      <c r="G739" s="16"/>
      <c r="H739" s="12">
        <f t="shared" si="149"/>
        <v>0</v>
      </c>
      <c r="I739" s="16"/>
      <c r="J739" s="16"/>
      <c r="K739" s="16"/>
      <c r="L739" s="16"/>
      <c r="M739" s="16"/>
      <c r="N739" s="16"/>
      <c r="O739" s="16">
        <f t="shared" si="150"/>
        <v>0</v>
      </c>
      <c r="P739" s="16"/>
      <c r="Q739" s="16"/>
      <c r="R739" s="16"/>
      <c r="S739" s="16"/>
      <c r="T739" s="16"/>
      <c r="U739" s="16"/>
      <c r="V739" s="16">
        <f t="shared" si="151"/>
        <v>0</v>
      </c>
      <c r="W739" s="16"/>
      <c r="X739" s="16"/>
      <c r="Y739" s="16"/>
      <c r="Z739" s="16"/>
      <c r="AA739" s="16"/>
      <c r="AB739" s="16"/>
      <c r="AC739" s="16">
        <f t="shared" si="169"/>
        <v>0</v>
      </c>
      <c r="AD739" s="16"/>
      <c r="AE739" s="16"/>
      <c r="AF739" s="16"/>
      <c r="AG739" s="16"/>
      <c r="AH739" s="16"/>
      <c r="AI739" s="16"/>
      <c r="AJ739" s="16"/>
      <c r="AK739" s="16"/>
      <c r="AL739" s="12">
        <f t="shared" si="192"/>
        <v>0</v>
      </c>
      <c r="AM739" s="16"/>
      <c r="AN739" s="16"/>
      <c r="AO739" s="16"/>
      <c r="AP739" s="16"/>
      <c r="AQ739" s="16"/>
      <c r="AR739" s="16"/>
      <c r="AS739" s="12">
        <f t="shared" si="234"/>
        <v>0</v>
      </c>
      <c r="AV739" s="16"/>
      <c r="AX739" s="16"/>
      <c r="AY739" s="16"/>
      <c r="AZ739" s="16"/>
      <c r="BC739" s="16"/>
      <c r="BD739" s="16"/>
      <c r="BE739" s="16"/>
      <c r="BI739" s="29" t="str">
        <f t="shared" si="268"/>
        <v/>
      </c>
      <c r="BY739" s="6">
        <f t="shared" si="2"/>
        <v>2025</v>
      </c>
      <c r="BZ739" s="6" t="str">
        <f t="shared" si="3"/>
        <v>octubre</v>
      </c>
      <c r="CA739" s="6" t="str">
        <f t="shared" si="4"/>
        <v>10</v>
      </c>
    </row>
    <row r="740">
      <c r="A740" s="8">
        <v>45947.0</v>
      </c>
      <c r="B740" s="16"/>
      <c r="C740" s="16"/>
      <c r="D740" s="16"/>
      <c r="E740" s="16"/>
      <c r="F740" s="16"/>
      <c r="G740" s="16"/>
      <c r="H740" s="12">
        <f t="shared" si="149"/>
        <v>0</v>
      </c>
      <c r="I740" s="16"/>
      <c r="J740" s="16"/>
      <c r="K740" s="16"/>
      <c r="L740" s="16"/>
      <c r="M740" s="16"/>
      <c r="N740" s="16"/>
      <c r="O740" s="16">
        <f t="shared" si="150"/>
        <v>0</v>
      </c>
      <c r="P740" s="16"/>
      <c r="Q740" s="16"/>
      <c r="R740" s="16"/>
      <c r="S740" s="16"/>
      <c r="T740" s="16"/>
      <c r="U740" s="16"/>
      <c r="V740" s="16">
        <f t="shared" si="151"/>
        <v>0</v>
      </c>
      <c r="W740" s="16"/>
      <c r="X740" s="16"/>
      <c r="Y740" s="16"/>
      <c r="Z740" s="16"/>
      <c r="AA740" s="16"/>
      <c r="AB740" s="16"/>
      <c r="AC740" s="16">
        <f t="shared" si="169"/>
        <v>0</v>
      </c>
      <c r="AD740" s="16"/>
      <c r="AE740" s="16"/>
      <c r="AF740" s="16"/>
      <c r="AG740" s="16"/>
      <c r="AH740" s="16"/>
      <c r="AI740" s="16"/>
      <c r="AJ740" s="16"/>
      <c r="AK740" s="16"/>
      <c r="AL740" s="12">
        <f t="shared" si="192"/>
        <v>0</v>
      </c>
      <c r="AM740" s="16"/>
      <c r="AN740" s="16"/>
      <c r="AO740" s="16"/>
      <c r="AP740" s="16"/>
      <c r="AQ740" s="16"/>
      <c r="AR740" s="16"/>
      <c r="AS740" s="12">
        <f t="shared" si="234"/>
        <v>0</v>
      </c>
      <c r="AV740" s="16"/>
      <c r="AX740" s="16"/>
      <c r="AY740" s="16"/>
      <c r="AZ740" s="16"/>
      <c r="BC740" s="16"/>
      <c r="BD740" s="16"/>
      <c r="BE740" s="16"/>
      <c r="BI740" s="29" t="str">
        <f t="shared" si="268"/>
        <v/>
      </c>
      <c r="BY740" s="6">
        <f t="shared" si="2"/>
        <v>2025</v>
      </c>
      <c r="BZ740" s="6" t="str">
        <f t="shared" si="3"/>
        <v>octubre</v>
      </c>
      <c r="CA740" s="6" t="str">
        <f t="shared" si="4"/>
        <v>10</v>
      </c>
    </row>
    <row r="741">
      <c r="A741" s="8">
        <v>45948.0</v>
      </c>
      <c r="B741" s="16"/>
      <c r="C741" s="16"/>
      <c r="D741" s="16"/>
      <c r="E741" s="16"/>
      <c r="F741" s="16"/>
      <c r="G741" s="16"/>
      <c r="H741" s="12">
        <f t="shared" si="149"/>
        <v>0</v>
      </c>
      <c r="I741" s="16"/>
      <c r="J741" s="16"/>
      <c r="K741" s="16"/>
      <c r="L741" s="16"/>
      <c r="M741" s="16"/>
      <c r="N741" s="16"/>
      <c r="O741" s="16">
        <f t="shared" si="150"/>
        <v>0</v>
      </c>
      <c r="P741" s="16"/>
      <c r="Q741" s="16"/>
      <c r="R741" s="16"/>
      <c r="S741" s="16"/>
      <c r="T741" s="16"/>
      <c r="U741" s="16"/>
      <c r="V741" s="16">
        <f t="shared" si="151"/>
        <v>0</v>
      </c>
      <c r="W741" s="16"/>
      <c r="X741" s="16"/>
      <c r="Y741" s="16"/>
      <c r="Z741" s="16"/>
      <c r="AA741" s="16"/>
      <c r="AB741" s="16"/>
      <c r="AC741" s="16">
        <f t="shared" si="169"/>
        <v>0</v>
      </c>
      <c r="AD741" s="16"/>
      <c r="AE741" s="16"/>
      <c r="AF741" s="16"/>
      <c r="AG741" s="16"/>
      <c r="AH741" s="16"/>
      <c r="AI741" s="16"/>
      <c r="AJ741" s="16"/>
      <c r="AK741" s="16"/>
      <c r="AL741" s="12">
        <f t="shared" si="192"/>
        <v>0</v>
      </c>
      <c r="AM741" s="16"/>
      <c r="AN741" s="16"/>
      <c r="AO741" s="16"/>
      <c r="AP741" s="16"/>
      <c r="AQ741" s="16"/>
      <c r="AR741" s="16"/>
      <c r="AS741" s="12">
        <f t="shared" si="234"/>
        <v>0</v>
      </c>
      <c r="AV741" s="16"/>
      <c r="AX741" s="16"/>
      <c r="AY741" s="16"/>
      <c r="AZ741" s="16"/>
      <c r="BC741" s="16"/>
      <c r="BD741" s="16"/>
      <c r="BE741" s="16"/>
      <c r="BI741" s="29" t="str">
        <f t="shared" si="268"/>
        <v/>
      </c>
      <c r="BY741" s="6">
        <f t="shared" si="2"/>
        <v>2025</v>
      </c>
      <c r="BZ741" s="6" t="str">
        <f t="shared" si="3"/>
        <v>octubre</v>
      </c>
      <c r="CA741" s="6" t="str">
        <f t="shared" si="4"/>
        <v>10</v>
      </c>
    </row>
    <row r="742">
      <c r="A742" s="8">
        <v>45949.0</v>
      </c>
      <c r="B742" s="16"/>
      <c r="C742" s="16"/>
      <c r="D742" s="16"/>
      <c r="E742" s="16"/>
      <c r="F742" s="16"/>
      <c r="G742" s="16"/>
      <c r="H742" s="12">
        <f t="shared" si="149"/>
        <v>0</v>
      </c>
      <c r="I742" s="16"/>
      <c r="J742" s="16"/>
      <c r="K742" s="16"/>
      <c r="L742" s="16"/>
      <c r="M742" s="16"/>
      <c r="N742" s="16"/>
      <c r="O742" s="16">
        <f t="shared" si="150"/>
        <v>0</v>
      </c>
      <c r="P742" s="16"/>
      <c r="Q742" s="16"/>
      <c r="R742" s="16"/>
      <c r="S742" s="16"/>
      <c r="T742" s="16"/>
      <c r="U742" s="16"/>
      <c r="V742" s="16">
        <f t="shared" si="151"/>
        <v>0</v>
      </c>
      <c r="W742" s="16"/>
      <c r="X742" s="16"/>
      <c r="Y742" s="16"/>
      <c r="Z742" s="16"/>
      <c r="AA742" s="16"/>
      <c r="AB742" s="16"/>
      <c r="AC742" s="16">
        <f t="shared" si="169"/>
        <v>0</v>
      </c>
      <c r="AD742" s="16"/>
      <c r="AE742" s="16"/>
      <c r="AF742" s="16"/>
      <c r="AG742" s="16"/>
      <c r="AH742" s="16"/>
      <c r="AI742" s="16"/>
      <c r="AJ742" s="16"/>
      <c r="AK742" s="16"/>
      <c r="AL742" s="12">
        <f t="shared" si="192"/>
        <v>0</v>
      </c>
      <c r="AM742" s="16"/>
      <c r="AN742" s="16"/>
      <c r="AO742" s="16"/>
      <c r="AP742" s="16"/>
      <c r="AQ742" s="16"/>
      <c r="AR742" s="16"/>
      <c r="AS742" s="12">
        <f t="shared" si="234"/>
        <v>0</v>
      </c>
      <c r="AV742" s="16"/>
      <c r="AX742" s="16"/>
      <c r="AY742" s="16"/>
      <c r="AZ742" s="16"/>
      <c r="BC742" s="16"/>
      <c r="BD742" s="16"/>
      <c r="BE742" s="16"/>
      <c r="BI742" s="29" t="str">
        <f t="shared" si="268"/>
        <v/>
      </c>
      <c r="BY742" s="6">
        <f t="shared" si="2"/>
        <v>2025</v>
      </c>
      <c r="BZ742" s="6" t="str">
        <f t="shared" si="3"/>
        <v>octubre</v>
      </c>
      <c r="CA742" s="6" t="str">
        <f t="shared" si="4"/>
        <v>10</v>
      </c>
    </row>
    <row r="743">
      <c r="A743" s="8">
        <v>45950.0</v>
      </c>
      <c r="B743" s="16"/>
      <c r="C743" s="16"/>
      <c r="D743" s="16"/>
      <c r="E743" s="16"/>
      <c r="F743" s="16"/>
      <c r="G743" s="16"/>
      <c r="H743" s="12">
        <f t="shared" si="149"/>
        <v>0</v>
      </c>
      <c r="I743" s="16"/>
      <c r="J743" s="16"/>
      <c r="K743" s="16"/>
      <c r="L743" s="16"/>
      <c r="M743" s="16"/>
      <c r="N743" s="16"/>
      <c r="O743" s="16">
        <f t="shared" si="150"/>
        <v>0</v>
      </c>
      <c r="P743" s="16"/>
      <c r="Q743" s="16"/>
      <c r="R743" s="16"/>
      <c r="S743" s="16"/>
      <c r="T743" s="16"/>
      <c r="U743" s="16"/>
      <c r="V743" s="16">
        <f t="shared" si="151"/>
        <v>0</v>
      </c>
      <c r="W743" s="16"/>
      <c r="X743" s="16"/>
      <c r="Y743" s="16"/>
      <c r="Z743" s="16"/>
      <c r="AA743" s="16"/>
      <c r="AB743" s="16"/>
      <c r="AC743" s="16">
        <f t="shared" si="169"/>
        <v>0</v>
      </c>
      <c r="AD743" s="16"/>
      <c r="AE743" s="16"/>
      <c r="AF743" s="16"/>
      <c r="AG743" s="16"/>
      <c r="AH743" s="16"/>
      <c r="AI743" s="16"/>
      <c r="AJ743" s="16"/>
      <c r="AK743" s="16"/>
      <c r="AL743" s="12">
        <f t="shared" si="192"/>
        <v>0</v>
      </c>
      <c r="AM743" s="16"/>
      <c r="AN743" s="16"/>
      <c r="AO743" s="16"/>
      <c r="AP743" s="16"/>
      <c r="AQ743" s="16"/>
      <c r="AR743" s="16"/>
      <c r="AS743" s="12">
        <f t="shared" si="234"/>
        <v>0</v>
      </c>
      <c r="AV743" s="16"/>
      <c r="AX743" s="16"/>
      <c r="AY743" s="16"/>
      <c r="AZ743" s="16"/>
      <c r="BC743" s="16"/>
      <c r="BD743" s="16"/>
      <c r="BE743" s="16"/>
      <c r="BI743" s="29" t="str">
        <f t="shared" si="268"/>
        <v/>
      </c>
      <c r="BY743" s="6">
        <f t="shared" si="2"/>
        <v>2025</v>
      </c>
      <c r="BZ743" s="6" t="str">
        <f t="shared" si="3"/>
        <v>octubre</v>
      </c>
      <c r="CA743" s="6" t="str">
        <f t="shared" si="4"/>
        <v>10</v>
      </c>
    </row>
    <row r="744">
      <c r="A744" s="8">
        <v>45951.0</v>
      </c>
      <c r="B744" s="16"/>
      <c r="C744" s="16"/>
      <c r="D744" s="16"/>
      <c r="E744" s="16"/>
      <c r="F744" s="16"/>
      <c r="G744" s="16"/>
      <c r="H744" s="12">
        <f t="shared" si="149"/>
        <v>0</v>
      </c>
      <c r="I744" s="16"/>
      <c r="J744" s="16"/>
      <c r="K744" s="16"/>
      <c r="L744" s="16"/>
      <c r="M744" s="16"/>
      <c r="N744" s="16"/>
      <c r="O744" s="16">
        <f t="shared" si="150"/>
        <v>0</v>
      </c>
      <c r="P744" s="16"/>
      <c r="Q744" s="16"/>
      <c r="R744" s="16"/>
      <c r="S744" s="16"/>
      <c r="T744" s="16"/>
      <c r="U744" s="16"/>
      <c r="V744" s="16">
        <f t="shared" si="151"/>
        <v>0</v>
      </c>
      <c r="W744" s="16"/>
      <c r="X744" s="16"/>
      <c r="Y744" s="16"/>
      <c r="Z744" s="16"/>
      <c r="AA744" s="16"/>
      <c r="AB744" s="16"/>
      <c r="AC744" s="16">
        <f t="shared" si="169"/>
        <v>0</v>
      </c>
      <c r="AD744" s="16"/>
      <c r="AE744" s="16"/>
      <c r="AF744" s="16"/>
      <c r="AG744" s="16"/>
      <c r="AH744" s="16"/>
      <c r="AI744" s="16"/>
      <c r="AJ744" s="16"/>
      <c r="AK744" s="16"/>
      <c r="AL744" s="12">
        <f t="shared" si="192"/>
        <v>0</v>
      </c>
      <c r="AM744" s="16"/>
      <c r="AN744" s="16"/>
      <c r="AO744" s="16"/>
      <c r="AP744" s="16"/>
      <c r="AQ744" s="16"/>
      <c r="AR744" s="16"/>
      <c r="AS744" s="12">
        <f t="shared" si="234"/>
        <v>0</v>
      </c>
      <c r="AV744" s="16"/>
      <c r="AX744" s="16"/>
      <c r="AY744" s="16"/>
      <c r="AZ744" s="16"/>
      <c r="BC744" s="16"/>
      <c r="BD744" s="16"/>
      <c r="BE744" s="16"/>
      <c r="BI744" s="29" t="str">
        <f t="shared" si="268"/>
        <v/>
      </c>
      <c r="BY744" s="6">
        <f t="shared" si="2"/>
        <v>2025</v>
      </c>
      <c r="BZ744" s="6" t="str">
        <f t="shared" si="3"/>
        <v>octubre</v>
      </c>
      <c r="CA744" s="6" t="str">
        <f t="shared" si="4"/>
        <v>10</v>
      </c>
    </row>
    <row r="745">
      <c r="A745" s="8">
        <v>45952.0</v>
      </c>
      <c r="B745" s="16"/>
      <c r="C745" s="16"/>
      <c r="D745" s="16"/>
      <c r="E745" s="16"/>
      <c r="F745" s="16"/>
      <c r="G745" s="16"/>
      <c r="H745" s="12">
        <f t="shared" si="149"/>
        <v>0</v>
      </c>
      <c r="I745" s="16"/>
      <c r="J745" s="16"/>
      <c r="K745" s="16"/>
      <c r="L745" s="16"/>
      <c r="M745" s="16"/>
      <c r="N745" s="16"/>
      <c r="O745" s="16">
        <f t="shared" si="150"/>
        <v>0</v>
      </c>
      <c r="P745" s="16"/>
      <c r="Q745" s="16"/>
      <c r="R745" s="16"/>
      <c r="S745" s="16"/>
      <c r="T745" s="16"/>
      <c r="U745" s="16"/>
      <c r="V745" s="16">
        <f t="shared" si="151"/>
        <v>0</v>
      </c>
      <c r="W745" s="16"/>
      <c r="X745" s="16"/>
      <c r="Y745" s="16"/>
      <c r="Z745" s="16"/>
      <c r="AA745" s="16"/>
      <c r="AB745" s="16"/>
      <c r="AC745" s="16">
        <f t="shared" si="169"/>
        <v>0</v>
      </c>
      <c r="AD745" s="16"/>
      <c r="AE745" s="16"/>
      <c r="AF745" s="16"/>
      <c r="AG745" s="16"/>
      <c r="AH745" s="16"/>
      <c r="AI745" s="16"/>
      <c r="AJ745" s="16"/>
      <c r="AK745" s="16"/>
      <c r="AL745" s="12">
        <f t="shared" si="192"/>
        <v>0</v>
      </c>
      <c r="AM745" s="16"/>
      <c r="AN745" s="16"/>
      <c r="AO745" s="16"/>
      <c r="AP745" s="16"/>
      <c r="AQ745" s="16"/>
      <c r="AR745" s="16"/>
      <c r="AS745" s="12">
        <f t="shared" si="234"/>
        <v>0</v>
      </c>
      <c r="AV745" s="16"/>
      <c r="AX745" s="16"/>
      <c r="AY745" s="16"/>
      <c r="AZ745" s="16"/>
      <c r="BC745" s="16"/>
      <c r="BD745" s="16"/>
      <c r="BE745" s="16"/>
      <c r="BI745" s="29" t="str">
        <f t="shared" si="268"/>
        <v/>
      </c>
      <c r="BY745" s="6">
        <f t="shared" si="2"/>
        <v>2025</v>
      </c>
      <c r="BZ745" s="6" t="str">
        <f t="shared" si="3"/>
        <v>octubre</v>
      </c>
      <c r="CA745" s="6" t="str">
        <f t="shared" si="4"/>
        <v>10</v>
      </c>
    </row>
    <row r="746">
      <c r="A746" s="8">
        <v>45953.0</v>
      </c>
      <c r="B746" s="16"/>
      <c r="C746" s="16"/>
      <c r="D746" s="16"/>
      <c r="E746" s="16"/>
      <c r="F746" s="16"/>
      <c r="G746" s="16"/>
      <c r="H746" s="12">
        <f t="shared" si="149"/>
        <v>0</v>
      </c>
      <c r="I746" s="16"/>
      <c r="J746" s="16"/>
      <c r="K746" s="16"/>
      <c r="L746" s="16"/>
      <c r="M746" s="16"/>
      <c r="N746" s="16"/>
      <c r="O746" s="16">
        <f t="shared" si="150"/>
        <v>0</v>
      </c>
      <c r="P746" s="16"/>
      <c r="Q746" s="16"/>
      <c r="R746" s="16"/>
      <c r="S746" s="16"/>
      <c r="T746" s="16"/>
      <c r="U746" s="16"/>
      <c r="V746" s="16">
        <f t="shared" si="151"/>
        <v>0</v>
      </c>
      <c r="W746" s="16"/>
      <c r="X746" s="16"/>
      <c r="Y746" s="16"/>
      <c r="Z746" s="16"/>
      <c r="AA746" s="16"/>
      <c r="AB746" s="16"/>
      <c r="AC746" s="16">
        <f t="shared" si="169"/>
        <v>0</v>
      </c>
      <c r="AD746" s="16"/>
      <c r="AE746" s="16"/>
      <c r="AF746" s="16"/>
      <c r="AG746" s="16"/>
      <c r="AH746" s="16"/>
      <c r="AI746" s="16"/>
      <c r="AJ746" s="16"/>
      <c r="AK746" s="16"/>
      <c r="AL746" s="12">
        <f t="shared" si="192"/>
        <v>0</v>
      </c>
      <c r="AM746" s="16"/>
      <c r="AN746" s="16"/>
      <c r="AO746" s="16"/>
      <c r="AP746" s="16"/>
      <c r="AQ746" s="16"/>
      <c r="AR746" s="16"/>
      <c r="AS746" s="12">
        <f t="shared" si="234"/>
        <v>0</v>
      </c>
      <c r="AV746" s="16"/>
      <c r="AX746" s="16"/>
      <c r="AY746" s="16"/>
      <c r="AZ746" s="16"/>
      <c r="BC746" s="16"/>
      <c r="BD746" s="16"/>
      <c r="BE746" s="16"/>
      <c r="BI746" s="29" t="str">
        <f t="shared" si="268"/>
        <v/>
      </c>
      <c r="BY746" s="6">
        <f t="shared" si="2"/>
        <v>2025</v>
      </c>
      <c r="BZ746" s="6" t="str">
        <f t="shared" si="3"/>
        <v>octubre</v>
      </c>
      <c r="CA746" s="6" t="str">
        <f t="shared" si="4"/>
        <v>10</v>
      </c>
    </row>
    <row r="747">
      <c r="A747" s="8">
        <v>45954.0</v>
      </c>
      <c r="B747" s="16"/>
      <c r="C747" s="16"/>
      <c r="D747" s="16"/>
      <c r="E747" s="16"/>
      <c r="F747" s="16"/>
      <c r="G747" s="16"/>
      <c r="H747" s="12">
        <f t="shared" si="149"/>
        <v>0</v>
      </c>
      <c r="I747" s="16"/>
      <c r="J747" s="16"/>
      <c r="K747" s="16"/>
      <c r="L747" s="16"/>
      <c r="M747" s="16"/>
      <c r="N747" s="16"/>
      <c r="O747" s="16">
        <f t="shared" si="150"/>
        <v>0</v>
      </c>
      <c r="P747" s="16"/>
      <c r="Q747" s="16"/>
      <c r="R747" s="16"/>
      <c r="S747" s="16"/>
      <c r="T747" s="16"/>
      <c r="U747" s="16"/>
      <c r="V747" s="16">
        <f t="shared" si="151"/>
        <v>0</v>
      </c>
      <c r="W747" s="16"/>
      <c r="X747" s="16"/>
      <c r="Y747" s="16"/>
      <c r="Z747" s="16"/>
      <c r="AA747" s="16"/>
      <c r="AB747" s="16"/>
      <c r="AC747" s="16">
        <f t="shared" si="169"/>
        <v>0</v>
      </c>
      <c r="AD747" s="16"/>
      <c r="AE747" s="16"/>
      <c r="AF747" s="16"/>
      <c r="AG747" s="16"/>
      <c r="AH747" s="16"/>
      <c r="AI747" s="16"/>
      <c r="AJ747" s="16"/>
      <c r="AK747" s="16"/>
      <c r="AL747" s="12">
        <f t="shared" si="192"/>
        <v>0</v>
      </c>
      <c r="AM747" s="16"/>
      <c r="AN747" s="16"/>
      <c r="AO747" s="16"/>
      <c r="AP747" s="16"/>
      <c r="AQ747" s="16"/>
      <c r="AR747" s="16"/>
      <c r="AS747" s="12">
        <f t="shared" si="234"/>
        <v>0</v>
      </c>
      <c r="AV747" s="16"/>
      <c r="AX747" s="16"/>
      <c r="AY747" s="16"/>
      <c r="AZ747" s="16"/>
      <c r="BC747" s="16"/>
      <c r="BD747" s="16"/>
      <c r="BE747" s="16"/>
      <c r="BI747" s="29" t="str">
        <f t="shared" si="268"/>
        <v/>
      </c>
      <c r="BY747" s="6">
        <f t="shared" si="2"/>
        <v>2025</v>
      </c>
      <c r="BZ747" s="6" t="str">
        <f t="shared" si="3"/>
        <v>octubre</v>
      </c>
      <c r="CA747" s="6" t="str">
        <f t="shared" si="4"/>
        <v>10</v>
      </c>
    </row>
    <row r="748">
      <c r="A748" s="8">
        <v>45955.0</v>
      </c>
      <c r="B748" s="16"/>
      <c r="C748" s="16"/>
      <c r="D748" s="16"/>
      <c r="E748" s="16"/>
      <c r="F748" s="16"/>
      <c r="G748" s="16"/>
      <c r="H748" s="12">
        <f t="shared" si="149"/>
        <v>0</v>
      </c>
      <c r="I748" s="16"/>
      <c r="J748" s="16"/>
      <c r="K748" s="16"/>
      <c r="L748" s="16"/>
      <c r="M748" s="16"/>
      <c r="N748" s="16"/>
      <c r="O748" s="16">
        <f t="shared" si="150"/>
        <v>0</v>
      </c>
      <c r="P748" s="16"/>
      <c r="Q748" s="16"/>
      <c r="R748" s="16"/>
      <c r="S748" s="16"/>
      <c r="T748" s="16"/>
      <c r="U748" s="16"/>
      <c r="V748" s="16">
        <f t="shared" si="151"/>
        <v>0</v>
      </c>
      <c r="W748" s="16"/>
      <c r="X748" s="16"/>
      <c r="Y748" s="16"/>
      <c r="Z748" s="16"/>
      <c r="AA748" s="16"/>
      <c r="AB748" s="16"/>
      <c r="AC748" s="16">
        <f t="shared" si="169"/>
        <v>0</v>
      </c>
      <c r="AD748" s="16"/>
      <c r="AE748" s="16"/>
      <c r="AF748" s="16"/>
      <c r="AG748" s="16"/>
      <c r="AH748" s="16"/>
      <c r="AI748" s="16"/>
      <c r="AJ748" s="16"/>
      <c r="AK748" s="16"/>
      <c r="AL748" s="12">
        <f t="shared" si="192"/>
        <v>0</v>
      </c>
      <c r="AM748" s="16"/>
      <c r="AN748" s="16"/>
      <c r="AO748" s="16"/>
      <c r="AP748" s="16"/>
      <c r="AQ748" s="16"/>
      <c r="AR748" s="16"/>
      <c r="AS748" s="12">
        <f t="shared" si="234"/>
        <v>0</v>
      </c>
      <c r="AV748" s="16"/>
      <c r="AX748" s="16"/>
      <c r="AY748" s="16"/>
      <c r="AZ748" s="16"/>
      <c r="BC748" s="16"/>
      <c r="BD748" s="16"/>
      <c r="BE748" s="16"/>
      <c r="BI748" s="29" t="str">
        <f t="shared" si="268"/>
        <v/>
      </c>
      <c r="BY748" s="6">
        <f t="shared" si="2"/>
        <v>2025</v>
      </c>
      <c r="BZ748" s="6" t="str">
        <f t="shared" si="3"/>
        <v>octubre</v>
      </c>
      <c r="CA748" s="6" t="str">
        <f t="shared" si="4"/>
        <v>10</v>
      </c>
    </row>
    <row r="749">
      <c r="A749" s="8">
        <v>45956.0</v>
      </c>
      <c r="B749" s="16"/>
      <c r="C749" s="16"/>
      <c r="D749" s="16"/>
      <c r="E749" s="16"/>
      <c r="F749" s="16"/>
      <c r="G749" s="16"/>
      <c r="H749" s="12">
        <f t="shared" si="149"/>
        <v>0</v>
      </c>
      <c r="I749" s="16"/>
      <c r="J749" s="16"/>
      <c r="K749" s="16"/>
      <c r="L749" s="16"/>
      <c r="M749" s="16"/>
      <c r="N749" s="16"/>
      <c r="O749" s="16">
        <f t="shared" si="150"/>
        <v>0</v>
      </c>
      <c r="P749" s="16"/>
      <c r="Q749" s="16"/>
      <c r="R749" s="16"/>
      <c r="S749" s="16"/>
      <c r="T749" s="16"/>
      <c r="U749" s="16"/>
      <c r="V749" s="16">
        <f t="shared" si="151"/>
        <v>0</v>
      </c>
      <c r="W749" s="16"/>
      <c r="X749" s="16"/>
      <c r="Y749" s="16"/>
      <c r="Z749" s="16"/>
      <c r="AA749" s="16"/>
      <c r="AB749" s="16"/>
      <c r="AC749" s="16">
        <f t="shared" si="169"/>
        <v>0</v>
      </c>
      <c r="AD749" s="16"/>
      <c r="AE749" s="16"/>
      <c r="AF749" s="16"/>
      <c r="AG749" s="16"/>
      <c r="AH749" s="16"/>
      <c r="AI749" s="16"/>
      <c r="AJ749" s="16"/>
      <c r="AK749" s="16"/>
      <c r="AL749" s="12">
        <f t="shared" si="192"/>
        <v>0</v>
      </c>
      <c r="AM749" s="16"/>
      <c r="AN749" s="16"/>
      <c r="AO749" s="16"/>
      <c r="AP749" s="16"/>
      <c r="AQ749" s="16"/>
      <c r="AR749" s="16"/>
      <c r="AS749" s="12">
        <f t="shared" si="234"/>
        <v>0</v>
      </c>
      <c r="AV749" s="16"/>
      <c r="AX749" s="16"/>
      <c r="AY749" s="16"/>
      <c r="AZ749" s="16"/>
      <c r="BC749" s="16"/>
      <c r="BD749" s="16"/>
      <c r="BE749" s="16"/>
      <c r="BI749" s="29" t="str">
        <f t="shared" si="268"/>
        <v/>
      </c>
      <c r="BY749" s="6">
        <f t="shared" si="2"/>
        <v>2025</v>
      </c>
      <c r="BZ749" s="6" t="str">
        <f t="shared" si="3"/>
        <v>octubre</v>
      </c>
      <c r="CA749" s="6" t="str">
        <f t="shared" si="4"/>
        <v>10</v>
      </c>
    </row>
    <row r="750">
      <c r="A750" s="8">
        <v>45957.0</v>
      </c>
      <c r="B750" s="16"/>
      <c r="C750" s="16"/>
      <c r="D750" s="16"/>
      <c r="E750" s="16"/>
      <c r="F750" s="16"/>
      <c r="G750" s="16"/>
      <c r="H750" s="12">
        <f t="shared" si="149"/>
        <v>0</v>
      </c>
      <c r="I750" s="16"/>
      <c r="J750" s="16"/>
      <c r="K750" s="16"/>
      <c r="L750" s="16"/>
      <c r="M750" s="16"/>
      <c r="N750" s="16"/>
      <c r="O750" s="16">
        <f t="shared" si="150"/>
        <v>0</v>
      </c>
      <c r="P750" s="16"/>
      <c r="Q750" s="16"/>
      <c r="R750" s="16"/>
      <c r="S750" s="16"/>
      <c r="T750" s="16"/>
      <c r="U750" s="16"/>
      <c r="V750" s="16">
        <f t="shared" si="151"/>
        <v>0</v>
      </c>
      <c r="W750" s="16"/>
      <c r="X750" s="16"/>
      <c r="Y750" s="16"/>
      <c r="Z750" s="16"/>
      <c r="AA750" s="16"/>
      <c r="AB750" s="16"/>
      <c r="AC750" s="16">
        <f t="shared" si="169"/>
        <v>0</v>
      </c>
      <c r="AD750" s="16"/>
      <c r="AE750" s="16"/>
      <c r="AF750" s="16"/>
      <c r="AG750" s="16"/>
      <c r="AH750" s="16"/>
      <c r="AI750" s="16"/>
      <c r="AJ750" s="16"/>
      <c r="AK750" s="16"/>
      <c r="AL750" s="12">
        <f t="shared" si="192"/>
        <v>0</v>
      </c>
      <c r="AM750" s="16"/>
      <c r="AN750" s="16"/>
      <c r="AO750" s="16"/>
      <c r="AP750" s="16"/>
      <c r="AQ750" s="16"/>
      <c r="AR750" s="16"/>
      <c r="AS750" s="12">
        <f t="shared" si="234"/>
        <v>0</v>
      </c>
      <c r="AV750" s="16"/>
      <c r="AX750" s="16"/>
      <c r="AY750" s="16"/>
      <c r="AZ750" s="16"/>
      <c r="BC750" s="16"/>
      <c r="BD750" s="16"/>
      <c r="BE750" s="16"/>
      <c r="BI750" s="29" t="str">
        <f t="shared" si="268"/>
        <v/>
      </c>
      <c r="BY750" s="6">
        <f t="shared" si="2"/>
        <v>2025</v>
      </c>
      <c r="BZ750" s="6" t="str">
        <f t="shared" si="3"/>
        <v>octubre</v>
      </c>
      <c r="CA750" s="6" t="str">
        <f t="shared" si="4"/>
        <v>10</v>
      </c>
    </row>
    <row r="751">
      <c r="A751" s="8">
        <v>45958.0</v>
      </c>
      <c r="B751" s="16"/>
      <c r="C751" s="16"/>
      <c r="D751" s="16"/>
      <c r="E751" s="16"/>
      <c r="F751" s="16"/>
      <c r="G751" s="16"/>
      <c r="H751" s="12">
        <f t="shared" si="149"/>
        <v>0</v>
      </c>
      <c r="I751" s="16"/>
      <c r="J751" s="16"/>
      <c r="K751" s="16"/>
      <c r="L751" s="16"/>
      <c r="M751" s="16"/>
      <c r="N751" s="16"/>
      <c r="O751" s="16">
        <f t="shared" si="150"/>
        <v>0</v>
      </c>
      <c r="P751" s="16"/>
      <c r="Q751" s="16"/>
      <c r="R751" s="16"/>
      <c r="S751" s="16"/>
      <c r="T751" s="16"/>
      <c r="U751" s="16"/>
      <c r="V751" s="16">
        <f t="shared" si="151"/>
        <v>0</v>
      </c>
      <c r="W751" s="16"/>
      <c r="X751" s="16"/>
      <c r="Y751" s="16"/>
      <c r="Z751" s="16"/>
      <c r="AA751" s="16"/>
      <c r="AB751" s="16"/>
      <c r="AC751" s="16">
        <f t="shared" si="169"/>
        <v>0</v>
      </c>
      <c r="AD751" s="16"/>
      <c r="AE751" s="16"/>
      <c r="AF751" s="16"/>
      <c r="AG751" s="16"/>
      <c r="AH751" s="16"/>
      <c r="AI751" s="16"/>
      <c r="AJ751" s="16"/>
      <c r="AK751" s="16"/>
      <c r="AL751" s="12">
        <f t="shared" si="192"/>
        <v>0</v>
      </c>
      <c r="AM751" s="16"/>
      <c r="AN751" s="16"/>
      <c r="AO751" s="16"/>
      <c r="AP751" s="16"/>
      <c r="AQ751" s="16"/>
      <c r="AR751" s="16"/>
      <c r="AS751" s="12">
        <f t="shared" si="234"/>
        <v>0</v>
      </c>
      <c r="AV751" s="16"/>
      <c r="AX751" s="16"/>
      <c r="AY751" s="16"/>
      <c r="AZ751" s="16"/>
      <c r="BC751" s="16"/>
      <c r="BD751" s="16"/>
      <c r="BE751" s="16"/>
      <c r="BI751" s="29" t="str">
        <f t="shared" si="268"/>
        <v/>
      </c>
      <c r="BY751" s="6">
        <f t="shared" si="2"/>
        <v>2025</v>
      </c>
      <c r="BZ751" s="6" t="str">
        <f t="shared" si="3"/>
        <v>octubre</v>
      </c>
      <c r="CA751" s="6" t="str">
        <f t="shared" si="4"/>
        <v>10</v>
      </c>
    </row>
    <row r="752">
      <c r="A752" s="8">
        <v>45959.0</v>
      </c>
      <c r="B752" s="16"/>
      <c r="C752" s="16"/>
      <c r="D752" s="16"/>
      <c r="E752" s="16"/>
      <c r="F752" s="16"/>
      <c r="G752" s="16"/>
      <c r="H752" s="12">
        <f t="shared" si="149"/>
        <v>0</v>
      </c>
      <c r="I752" s="16"/>
      <c r="J752" s="16"/>
      <c r="K752" s="16"/>
      <c r="L752" s="16"/>
      <c r="M752" s="16"/>
      <c r="N752" s="16"/>
      <c r="O752" s="16">
        <f t="shared" si="150"/>
        <v>0</v>
      </c>
      <c r="P752" s="16"/>
      <c r="Q752" s="16"/>
      <c r="R752" s="16"/>
      <c r="S752" s="16"/>
      <c r="T752" s="16"/>
      <c r="U752" s="16"/>
      <c r="V752" s="16">
        <f t="shared" si="151"/>
        <v>0</v>
      </c>
      <c r="W752" s="16"/>
      <c r="X752" s="16"/>
      <c r="Y752" s="16"/>
      <c r="Z752" s="16"/>
      <c r="AA752" s="16"/>
      <c r="AB752" s="16"/>
      <c r="AC752" s="16">
        <f t="shared" si="169"/>
        <v>0</v>
      </c>
      <c r="AD752" s="16"/>
      <c r="AE752" s="16"/>
      <c r="AF752" s="16"/>
      <c r="AG752" s="16"/>
      <c r="AH752" s="16"/>
      <c r="AI752" s="16"/>
      <c r="AJ752" s="16"/>
      <c r="AK752" s="16"/>
      <c r="AL752" s="12">
        <f t="shared" si="192"/>
        <v>0</v>
      </c>
      <c r="AM752" s="16"/>
      <c r="AN752" s="16"/>
      <c r="AO752" s="16"/>
      <c r="AP752" s="16"/>
      <c r="AQ752" s="16"/>
      <c r="AR752" s="16"/>
      <c r="AS752" s="12">
        <f t="shared" si="234"/>
        <v>0</v>
      </c>
      <c r="AV752" s="16"/>
      <c r="AX752" s="16"/>
      <c r="AY752" s="16"/>
      <c r="AZ752" s="16"/>
      <c r="BC752" s="16"/>
      <c r="BD752" s="16"/>
      <c r="BE752" s="16"/>
      <c r="BI752" s="29" t="str">
        <f t="shared" si="268"/>
        <v/>
      </c>
      <c r="BY752" s="6">
        <f t="shared" si="2"/>
        <v>2025</v>
      </c>
      <c r="BZ752" s="6" t="str">
        <f t="shared" si="3"/>
        <v>octubre</v>
      </c>
      <c r="CA752" s="6" t="str">
        <f t="shared" si="4"/>
        <v>10</v>
      </c>
    </row>
    <row r="753">
      <c r="A753" s="8">
        <v>45960.0</v>
      </c>
      <c r="B753" s="16"/>
      <c r="C753" s="16"/>
      <c r="D753" s="16"/>
      <c r="E753" s="16"/>
      <c r="F753" s="16"/>
      <c r="G753" s="16"/>
      <c r="H753" s="12">
        <f t="shared" si="149"/>
        <v>0</v>
      </c>
      <c r="I753" s="16"/>
      <c r="J753" s="16"/>
      <c r="K753" s="16"/>
      <c r="L753" s="16"/>
      <c r="M753" s="16"/>
      <c r="N753" s="16"/>
      <c r="O753" s="16">
        <f t="shared" si="150"/>
        <v>0</v>
      </c>
      <c r="P753" s="16"/>
      <c r="Q753" s="16"/>
      <c r="R753" s="16"/>
      <c r="S753" s="16"/>
      <c r="T753" s="16"/>
      <c r="U753" s="16"/>
      <c r="V753" s="16">
        <f t="shared" si="151"/>
        <v>0</v>
      </c>
      <c r="W753" s="16"/>
      <c r="X753" s="16"/>
      <c r="Y753" s="16"/>
      <c r="Z753" s="16"/>
      <c r="AA753" s="16"/>
      <c r="AB753" s="16"/>
      <c r="AC753" s="16">
        <f t="shared" si="169"/>
        <v>0</v>
      </c>
      <c r="AD753" s="16"/>
      <c r="AE753" s="16"/>
      <c r="AF753" s="16"/>
      <c r="AG753" s="16"/>
      <c r="AH753" s="16"/>
      <c r="AI753" s="16"/>
      <c r="AJ753" s="16"/>
      <c r="AK753" s="16"/>
      <c r="AL753" s="12">
        <f t="shared" si="192"/>
        <v>0</v>
      </c>
      <c r="AM753" s="16"/>
      <c r="AN753" s="16"/>
      <c r="AO753" s="16"/>
      <c r="AP753" s="16"/>
      <c r="AQ753" s="16"/>
      <c r="AR753" s="16"/>
      <c r="AS753" s="12">
        <f t="shared" si="234"/>
        <v>0</v>
      </c>
      <c r="AV753" s="16"/>
      <c r="AX753" s="16"/>
      <c r="AY753" s="16"/>
      <c r="AZ753" s="16"/>
      <c r="BC753" s="16"/>
      <c r="BD753" s="16"/>
      <c r="BE753" s="16"/>
      <c r="BI753" s="29" t="str">
        <f t="shared" si="268"/>
        <v/>
      </c>
      <c r="BY753" s="6">
        <f t="shared" si="2"/>
        <v>2025</v>
      </c>
      <c r="BZ753" s="6" t="str">
        <f t="shared" si="3"/>
        <v>octubre</v>
      </c>
      <c r="CA753" s="6" t="str">
        <f t="shared" si="4"/>
        <v>10</v>
      </c>
    </row>
    <row r="754">
      <c r="A754" s="8">
        <v>45961.0</v>
      </c>
      <c r="B754" s="16"/>
      <c r="C754" s="16"/>
      <c r="D754" s="16"/>
      <c r="E754" s="16"/>
      <c r="F754" s="16"/>
      <c r="G754" s="16"/>
      <c r="H754" s="12">
        <f t="shared" si="149"/>
        <v>0</v>
      </c>
      <c r="I754" s="16"/>
      <c r="J754" s="16"/>
      <c r="K754" s="16"/>
      <c r="L754" s="16"/>
      <c r="M754" s="16"/>
      <c r="N754" s="16"/>
      <c r="O754" s="16">
        <f t="shared" si="150"/>
        <v>0</v>
      </c>
      <c r="P754" s="16"/>
      <c r="Q754" s="16"/>
      <c r="R754" s="16"/>
      <c r="S754" s="16"/>
      <c r="T754" s="16"/>
      <c r="U754" s="16"/>
      <c r="V754" s="16">
        <f t="shared" si="151"/>
        <v>0</v>
      </c>
      <c r="W754" s="16"/>
      <c r="X754" s="16"/>
      <c r="Y754" s="16"/>
      <c r="Z754" s="16"/>
      <c r="AA754" s="16"/>
      <c r="AB754" s="16"/>
      <c r="AC754" s="16">
        <f t="shared" si="169"/>
        <v>0</v>
      </c>
      <c r="AD754" s="16"/>
      <c r="AE754" s="16"/>
      <c r="AF754" s="16"/>
      <c r="AG754" s="16"/>
      <c r="AH754" s="16"/>
      <c r="AI754" s="16"/>
      <c r="AJ754" s="16"/>
      <c r="AK754" s="16"/>
      <c r="AL754" s="12">
        <f t="shared" si="192"/>
        <v>0</v>
      </c>
      <c r="AM754" s="16"/>
      <c r="AN754" s="16"/>
      <c r="AO754" s="16"/>
      <c r="AP754" s="16"/>
      <c r="AQ754" s="16"/>
      <c r="AR754" s="16"/>
      <c r="AS754" s="12">
        <f t="shared" si="234"/>
        <v>0</v>
      </c>
      <c r="AV754" s="16"/>
      <c r="AX754" s="16"/>
      <c r="AY754" s="16"/>
      <c r="AZ754" s="16"/>
      <c r="BC754" s="16"/>
      <c r="BD754" s="16"/>
      <c r="BE754" s="16"/>
      <c r="BI754" s="29" t="str">
        <f t="shared" si="268"/>
        <v/>
      </c>
      <c r="BY754" s="6">
        <f t="shared" si="2"/>
        <v>2025</v>
      </c>
      <c r="BZ754" s="6" t="str">
        <f t="shared" si="3"/>
        <v>octubre</v>
      </c>
      <c r="CA754" s="6" t="str">
        <f t="shared" si="4"/>
        <v>10</v>
      </c>
    </row>
    <row r="755">
      <c r="A755" s="8">
        <v>45962.0</v>
      </c>
      <c r="B755" s="16"/>
      <c r="C755" s="16"/>
      <c r="D755" s="16"/>
      <c r="E755" s="16"/>
      <c r="F755" s="16"/>
      <c r="G755" s="16"/>
      <c r="H755" s="12">
        <f t="shared" si="149"/>
        <v>0</v>
      </c>
      <c r="I755" s="16"/>
      <c r="J755" s="16"/>
      <c r="K755" s="16"/>
      <c r="L755" s="16"/>
      <c r="M755" s="16"/>
      <c r="N755" s="16"/>
      <c r="O755" s="16">
        <f t="shared" si="150"/>
        <v>0</v>
      </c>
      <c r="P755" s="16"/>
      <c r="Q755" s="16"/>
      <c r="R755" s="16"/>
      <c r="S755" s="16"/>
      <c r="T755" s="16"/>
      <c r="U755" s="16"/>
      <c r="V755" s="16">
        <f t="shared" si="151"/>
        <v>0</v>
      </c>
      <c r="W755" s="16"/>
      <c r="X755" s="16"/>
      <c r="Y755" s="16"/>
      <c r="Z755" s="16"/>
      <c r="AA755" s="16"/>
      <c r="AB755" s="16"/>
      <c r="AC755" s="16">
        <f t="shared" si="169"/>
        <v>0</v>
      </c>
      <c r="AD755" s="16"/>
      <c r="AE755" s="16"/>
      <c r="AF755" s="16"/>
      <c r="AG755" s="16"/>
      <c r="AH755" s="16"/>
      <c r="AI755" s="16"/>
      <c r="AJ755" s="16"/>
      <c r="AK755" s="16"/>
      <c r="AL755" s="12">
        <f t="shared" si="192"/>
        <v>0</v>
      </c>
      <c r="AM755" s="16"/>
      <c r="AN755" s="16"/>
      <c r="AO755" s="16"/>
      <c r="AP755" s="16"/>
      <c r="AQ755" s="16"/>
      <c r="AR755" s="16"/>
      <c r="AS755" s="12">
        <f t="shared" si="234"/>
        <v>0</v>
      </c>
      <c r="AV755" s="16"/>
      <c r="AX755" s="16"/>
      <c r="AY755" s="16"/>
      <c r="AZ755" s="16"/>
      <c r="BC755" s="16"/>
      <c r="BD755" s="16"/>
      <c r="BE755" s="16"/>
      <c r="BI755" s="29" t="str">
        <f t="shared" si="268"/>
        <v/>
      </c>
      <c r="BY755" s="6">
        <f t="shared" si="2"/>
        <v>2025</v>
      </c>
      <c r="BZ755" s="6" t="str">
        <f t="shared" si="3"/>
        <v>noviembre</v>
      </c>
      <c r="CA755" s="6" t="str">
        <f t="shared" si="4"/>
        <v>11</v>
      </c>
    </row>
    <row r="756">
      <c r="A756" s="8">
        <v>45963.0</v>
      </c>
      <c r="B756" s="16"/>
      <c r="C756" s="16"/>
      <c r="D756" s="16"/>
      <c r="E756" s="16"/>
      <c r="F756" s="16"/>
      <c r="G756" s="16"/>
      <c r="H756" s="12">
        <f t="shared" si="149"/>
        <v>0</v>
      </c>
      <c r="I756" s="16"/>
      <c r="J756" s="16"/>
      <c r="K756" s="16"/>
      <c r="L756" s="16"/>
      <c r="M756" s="16"/>
      <c r="N756" s="16"/>
      <c r="O756" s="16">
        <f t="shared" si="150"/>
        <v>0</v>
      </c>
      <c r="P756" s="16"/>
      <c r="Q756" s="16"/>
      <c r="R756" s="16"/>
      <c r="S756" s="16"/>
      <c r="T756" s="16"/>
      <c r="U756" s="16"/>
      <c r="V756" s="16">
        <f t="shared" si="151"/>
        <v>0</v>
      </c>
      <c r="W756" s="16"/>
      <c r="X756" s="16"/>
      <c r="Y756" s="16"/>
      <c r="Z756" s="16"/>
      <c r="AA756" s="16"/>
      <c r="AB756" s="16"/>
      <c r="AC756" s="16">
        <f t="shared" si="169"/>
        <v>0</v>
      </c>
      <c r="AD756" s="16"/>
      <c r="AE756" s="16"/>
      <c r="AF756" s="16"/>
      <c r="AG756" s="16"/>
      <c r="AH756" s="16"/>
      <c r="AI756" s="16"/>
      <c r="AJ756" s="16"/>
      <c r="AK756" s="16"/>
      <c r="AL756" s="12">
        <f t="shared" si="192"/>
        <v>0</v>
      </c>
      <c r="AM756" s="16"/>
      <c r="AN756" s="16"/>
      <c r="AO756" s="16"/>
      <c r="AP756" s="16"/>
      <c r="AQ756" s="16"/>
      <c r="AR756" s="16"/>
      <c r="AS756" s="12">
        <f t="shared" si="234"/>
        <v>0</v>
      </c>
      <c r="AV756" s="16"/>
      <c r="AX756" s="16"/>
      <c r="AY756" s="16"/>
      <c r="AZ756" s="16"/>
      <c r="BC756" s="16"/>
      <c r="BD756" s="16"/>
      <c r="BE756" s="16"/>
      <c r="BI756" s="29" t="str">
        <f t="shared" si="268"/>
        <v/>
      </c>
      <c r="BY756" s="6">
        <f t="shared" si="2"/>
        <v>2025</v>
      </c>
      <c r="BZ756" s="6" t="str">
        <f t="shared" si="3"/>
        <v>noviembre</v>
      </c>
      <c r="CA756" s="6" t="str">
        <f t="shared" si="4"/>
        <v>11</v>
      </c>
    </row>
    <row r="757">
      <c r="A757" s="8">
        <v>45964.0</v>
      </c>
      <c r="B757" s="16"/>
      <c r="C757" s="16"/>
      <c r="D757" s="16"/>
      <c r="E757" s="16"/>
      <c r="F757" s="16"/>
      <c r="G757" s="16"/>
      <c r="H757" s="12">
        <f t="shared" si="149"/>
        <v>0</v>
      </c>
      <c r="I757" s="16"/>
      <c r="J757" s="16"/>
      <c r="K757" s="16"/>
      <c r="L757" s="16"/>
      <c r="M757" s="16"/>
      <c r="N757" s="16"/>
      <c r="O757" s="16">
        <f t="shared" si="150"/>
        <v>0</v>
      </c>
      <c r="P757" s="16"/>
      <c r="Q757" s="16"/>
      <c r="R757" s="16"/>
      <c r="S757" s="16"/>
      <c r="T757" s="16"/>
      <c r="U757" s="16"/>
      <c r="V757" s="16">
        <f t="shared" si="151"/>
        <v>0</v>
      </c>
      <c r="W757" s="16"/>
      <c r="X757" s="16"/>
      <c r="Y757" s="16"/>
      <c r="Z757" s="16"/>
      <c r="AA757" s="16"/>
      <c r="AB757" s="16"/>
      <c r="AC757" s="16">
        <f t="shared" si="169"/>
        <v>0</v>
      </c>
      <c r="AD757" s="16"/>
      <c r="AE757" s="16"/>
      <c r="AF757" s="16"/>
      <c r="AG757" s="16"/>
      <c r="AH757" s="16"/>
      <c r="AI757" s="16"/>
      <c r="AJ757" s="16"/>
      <c r="AK757" s="16"/>
      <c r="AL757" s="12">
        <f t="shared" si="192"/>
        <v>0</v>
      </c>
      <c r="AM757" s="16"/>
      <c r="AN757" s="16"/>
      <c r="AO757" s="16"/>
      <c r="AP757" s="16"/>
      <c r="AQ757" s="16"/>
      <c r="AR757" s="16"/>
      <c r="AS757" s="12">
        <f t="shared" si="234"/>
        <v>0</v>
      </c>
      <c r="AV757" s="16"/>
      <c r="AX757" s="16"/>
      <c r="AY757" s="16"/>
      <c r="AZ757" s="16"/>
      <c r="BC757" s="16"/>
      <c r="BD757" s="16"/>
      <c r="BE757" s="16"/>
      <c r="BI757" s="29" t="str">
        <f t="shared" si="268"/>
        <v/>
      </c>
      <c r="BY757" s="6">
        <f t="shared" si="2"/>
        <v>2025</v>
      </c>
      <c r="BZ757" s="6" t="str">
        <f t="shared" si="3"/>
        <v>noviembre</v>
      </c>
      <c r="CA757" s="6" t="str">
        <f t="shared" si="4"/>
        <v>11</v>
      </c>
    </row>
    <row r="758">
      <c r="A758" s="8">
        <v>45965.0</v>
      </c>
      <c r="B758" s="16"/>
      <c r="C758" s="16"/>
      <c r="D758" s="16"/>
      <c r="E758" s="16"/>
      <c r="F758" s="16"/>
      <c r="G758" s="16"/>
      <c r="H758" s="12">
        <f t="shared" si="149"/>
        <v>0</v>
      </c>
      <c r="I758" s="16"/>
      <c r="J758" s="16"/>
      <c r="K758" s="16"/>
      <c r="L758" s="16"/>
      <c r="M758" s="16"/>
      <c r="N758" s="16"/>
      <c r="O758" s="16">
        <f t="shared" si="150"/>
        <v>0</v>
      </c>
      <c r="P758" s="16"/>
      <c r="Q758" s="16"/>
      <c r="R758" s="16"/>
      <c r="S758" s="16"/>
      <c r="T758" s="16"/>
      <c r="U758" s="16"/>
      <c r="V758" s="16">
        <f t="shared" si="151"/>
        <v>0</v>
      </c>
      <c r="W758" s="16"/>
      <c r="X758" s="16"/>
      <c r="Y758" s="16"/>
      <c r="Z758" s="16"/>
      <c r="AA758" s="16"/>
      <c r="AB758" s="16"/>
      <c r="AC758" s="16">
        <f t="shared" si="169"/>
        <v>0</v>
      </c>
      <c r="AD758" s="16"/>
      <c r="AE758" s="16"/>
      <c r="AF758" s="16"/>
      <c r="AG758" s="16"/>
      <c r="AH758" s="16"/>
      <c r="AI758" s="16"/>
      <c r="AJ758" s="16"/>
      <c r="AK758" s="16"/>
      <c r="AL758" s="12">
        <f t="shared" si="192"/>
        <v>0</v>
      </c>
      <c r="AM758" s="16"/>
      <c r="AN758" s="16"/>
      <c r="AO758" s="16"/>
      <c r="AP758" s="16"/>
      <c r="AQ758" s="16"/>
      <c r="AR758" s="16"/>
      <c r="AS758" s="12">
        <f t="shared" si="234"/>
        <v>0</v>
      </c>
      <c r="AV758" s="16"/>
      <c r="AX758" s="16"/>
      <c r="AY758" s="16"/>
      <c r="AZ758" s="16"/>
      <c r="BC758" s="16"/>
      <c r="BD758" s="16"/>
      <c r="BE758" s="16"/>
      <c r="BI758" s="29" t="str">
        <f t="shared" si="268"/>
        <v/>
      </c>
      <c r="BY758" s="6">
        <f t="shared" si="2"/>
        <v>2025</v>
      </c>
      <c r="BZ758" s="6" t="str">
        <f t="shared" si="3"/>
        <v>noviembre</v>
      </c>
      <c r="CA758" s="6" t="str">
        <f t="shared" si="4"/>
        <v>11</v>
      </c>
    </row>
    <row r="759">
      <c r="A759" s="8">
        <v>45966.0</v>
      </c>
      <c r="B759" s="16"/>
      <c r="C759" s="16"/>
      <c r="D759" s="16"/>
      <c r="E759" s="16"/>
      <c r="F759" s="16"/>
      <c r="G759" s="16"/>
      <c r="H759" s="12">
        <f t="shared" si="149"/>
        <v>0</v>
      </c>
      <c r="I759" s="16"/>
      <c r="J759" s="16"/>
      <c r="K759" s="16"/>
      <c r="L759" s="16"/>
      <c r="M759" s="16"/>
      <c r="N759" s="16"/>
      <c r="O759" s="16">
        <f t="shared" si="150"/>
        <v>0</v>
      </c>
      <c r="P759" s="16"/>
      <c r="Q759" s="16"/>
      <c r="R759" s="16"/>
      <c r="S759" s="16"/>
      <c r="T759" s="16"/>
      <c r="U759" s="16"/>
      <c r="V759" s="16">
        <f t="shared" si="151"/>
        <v>0</v>
      </c>
      <c r="W759" s="16"/>
      <c r="X759" s="16"/>
      <c r="Y759" s="16"/>
      <c r="Z759" s="16"/>
      <c r="AA759" s="16"/>
      <c r="AB759" s="16"/>
      <c r="AC759" s="16">
        <f t="shared" si="169"/>
        <v>0</v>
      </c>
      <c r="AD759" s="16"/>
      <c r="AE759" s="16"/>
      <c r="AF759" s="16"/>
      <c r="AG759" s="16"/>
      <c r="AH759" s="16"/>
      <c r="AI759" s="16"/>
      <c r="AJ759" s="16"/>
      <c r="AK759" s="16"/>
      <c r="AL759" s="12">
        <f t="shared" si="192"/>
        <v>0</v>
      </c>
      <c r="AM759" s="16"/>
      <c r="AN759" s="16"/>
      <c r="AO759" s="16"/>
      <c r="AP759" s="16"/>
      <c r="AQ759" s="16"/>
      <c r="AR759" s="16"/>
      <c r="AS759" s="12">
        <f t="shared" si="234"/>
        <v>0</v>
      </c>
      <c r="AV759" s="16"/>
      <c r="AX759" s="16"/>
      <c r="AY759" s="16"/>
      <c r="AZ759" s="16"/>
      <c r="BC759" s="16"/>
      <c r="BD759" s="16"/>
      <c r="BE759" s="16"/>
      <c r="BI759" s="29" t="str">
        <f t="shared" si="268"/>
        <v/>
      </c>
      <c r="BY759" s="6">
        <f t="shared" si="2"/>
        <v>2025</v>
      </c>
      <c r="BZ759" s="6" t="str">
        <f t="shared" si="3"/>
        <v>noviembre</v>
      </c>
      <c r="CA759" s="6" t="str">
        <f t="shared" si="4"/>
        <v>11</v>
      </c>
    </row>
    <row r="760">
      <c r="A760" s="8">
        <v>45967.0</v>
      </c>
      <c r="B760" s="16"/>
      <c r="C760" s="16"/>
      <c r="D760" s="16"/>
      <c r="E760" s="16"/>
      <c r="F760" s="16"/>
      <c r="G760" s="16"/>
      <c r="H760" s="12">
        <f t="shared" si="149"/>
        <v>0</v>
      </c>
      <c r="I760" s="16"/>
      <c r="J760" s="16"/>
      <c r="K760" s="16"/>
      <c r="L760" s="16"/>
      <c r="M760" s="16"/>
      <c r="N760" s="16"/>
      <c r="O760" s="16">
        <f t="shared" si="150"/>
        <v>0</v>
      </c>
      <c r="P760" s="16"/>
      <c r="Q760" s="16"/>
      <c r="R760" s="16"/>
      <c r="S760" s="16"/>
      <c r="T760" s="16"/>
      <c r="U760" s="16"/>
      <c r="V760" s="16">
        <f t="shared" si="151"/>
        <v>0</v>
      </c>
      <c r="W760" s="16"/>
      <c r="X760" s="16"/>
      <c r="Y760" s="16"/>
      <c r="Z760" s="16"/>
      <c r="AA760" s="16"/>
      <c r="AB760" s="16"/>
      <c r="AC760" s="16">
        <f t="shared" si="169"/>
        <v>0</v>
      </c>
      <c r="AD760" s="16"/>
      <c r="AE760" s="16"/>
      <c r="AF760" s="16"/>
      <c r="AG760" s="16"/>
      <c r="AH760" s="16"/>
      <c r="AI760" s="16"/>
      <c r="AJ760" s="16"/>
      <c r="AK760" s="16"/>
      <c r="AL760" s="12">
        <f t="shared" si="192"/>
        <v>0</v>
      </c>
      <c r="AM760" s="16"/>
      <c r="AN760" s="16"/>
      <c r="AO760" s="16"/>
      <c r="AP760" s="16"/>
      <c r="AQ760" s="16"/>
      <c r="AR760" s="16"/>
      <c r="AS760" s="12">
        <f t="shared" si="234"/>
        <v>0</v>
      </c>
      <c r="AV760" s="16"/>
      <c r="AX760" s="16"/>
      <c r="AY760" s="16"/>
      <c r="AZ760" s="16"/>
      <c r="BC760" s="16"/>
      <c r="BD760" s="16"/>
      <c r="BE760" s="16"/>
      <c r="BI760" s="29" t="str">
        <f t="shared" si="268"/>
        <v/>
      </c>
      <c r="BY760" s="6">
        <f t="shared" si="2"/>
        <v>2025</v>
      </c>
      <c r="BZ760" s="6" t="str">
        <f t="shared" si="3"/>
        <v>noviembre</v>
      </c>
      <c r="CA760" s="6" t="str">
        <f t="shared" si="4"/>
        <v>11</v>
      </c>
    </row>
    <row r="761">
      <c r="A761" s="8">
        <v>45968.0</v>
      </c>
      <c r="B761" s="16"/>
      <c r="C761" s="16"/>
      <c r="D761" s="16"/>
      <c r="E761" s="16"/>
      <c r="F761" s="16"/>
      <c r="G761" s="16"/>
      <c r="H761" s="12">
        <f t="shared" si="149"/>
        <v>0</v>
      </c>
      <c r="I761" s="16"/>
      <c r="J761" s="16"/>
      <c r="K761" s="16"/>
      <c r="L761" s="16"/>
      <c r="M761" s="16"/>
      <c r="N761" s="16"/>
      <c r="O761" s="16">
        <f t="shared" si="150"/>
        <v>0</v>
      </c>
      <c r="P761" s="16"/>
      <c r="Q761" s="16"/>
      <c r="R761" s="16"/>
      <c r="S761" s="16"/>
      <c r="T761" s="16"/>
      <c r="U761" s="16"/>
      <c r="V761" s="16">
        <f t="shared" si="151"/>
        <v>0</v>
      </c>
      <c r="W761" s="16"/>
      <c r="X761" s="16"/>
      <c r="Y761" s="16"/>
      <c r="Z761" s="16"/>
      <c r="AA761" s="16"/>
      <c r="AB761" s="16"/>
      <c r="AC761" s="16">
        <f t="shared" si="169"/>
        <v>0</v>
      </c>
      <c r="AD761" s="16"/>
      <c r="AE761" s="16"/>
      <c r="AF761" s="16"/>
      <c r="AG761" s="16"/>
      <c r="AH761" s="16"/>
      <c r="AI761" s="16"/>
      <c r="AJ761" s="16"/>
      <c r="AK761" s="16"/>
      <c r="AL761" s="12">
        <f t="shared" si="192"/>
        <v>0</v>
      </c>
      <c r="AM761" s="16"/>
      <c r="AN761" s="16"/>
      <c r="AO761" s="16"/>
      <c r="AP761" s="16"/>
      <c r="AQ761" s="16"/>
      <c r="AR761" s="16"/>
      <c r="AS761" s="12">
        <f t="shared" si="234"/>
        <v>0</v>
      </c>
      <c r="AV761" s="16"/>
      <c r="AX761" s="16"/>
      <c r="AY761" s="16"/>
      <c r="AZ761" s="16"/>
      <c r="BC761" s="16"/>
      <c r="BD761" s="16"/>
      <c r="BE761" s="16"/>
      <c r="BI761" s="29" t="str">
        <f t="shared" si="268"/>
        <v/>
      </c>
      <c r="BY761" s="6">
        <f t="shared" si="2"/>
        <v>2025</v>
      </c>
      <c r="BZ761" s="6" t="str">
        <f t="shared" si="3"/>
        <v>noviembre</v>
      </c>
      <c r="CA761" s="6" t="str">
        <f t="shared" si="4"/>
        <v>11</v>
      </c>
    </row>
    <row r="762">
      <c r="A762" s="8">
        <v>45969.0</v>
      </c>
      <c r="B762" s="16"/>
      <c r="C762" s="16"/>
      <c r="D762" s="16"/>
      <c r="E762" s="16"/>
      <c r="F762" s="16"/>
      <c r="G762" s="16"/>
      <c r="H762" s="12">
        <f t="shared" si="149"/>
        <v>0</v>
      </c>
      <c r="I762" s="16"/>
      <c r="J762" s="16"/>
      <c r="K762" s="16"/>
      <c r="L762" s="16"/>
      <c r="M762" s="16"/>
      <c r="N762" s="16"/>
      <c r="O762" s="16">
        <f t="shared" si="150"/>
        <v>0</v>
      </c>
      <c r="P762" s="16"/>
      <c r="Q762" s="16"/>
      <c r="R762" s="16"/>
      <c r="S762" s="16"/>
      <c r="T762" s="16"/>
      <c r="U762" s="16"/>
      <c r="V762" s="16">
        <f t="shared" si="151"/>
        <v>0</v>
      </c>
      <c r="W762" s="16"/>
      <c r="X762" s="16"/>
      <c r="Y762" s="16"/>
      <c r="Z762" s="16"/>
      <c r="AA762" s="16"/>
      <c r="AB762" s="16"/>
      <c r="AC762" s="16">
        <f t="shared" si="169"/>
        <v>0</v>
      </c>
      <c r="AD762" s="16"/>
      <c r="AE762" s="16"/>
      <c r="AF762" s="16"/>
      <c r="AG762" s="16"/>
      <c r="AH762" s="16"/>
      <c r="AI762" s="16"/>
      <c r="AJ762" s="16"/>
      <c r="AK762" s="16"/>
      <c r="AL762" s="12">
        <f t="shared" si="192"/>
        <v>0</v>
      </c>
      <c r="AM762" s="16"/>
      <c r="AN762" s="16"/>
      <c r="AO762" s="16"/>
      <c r="AP762" s="16"/>
      <c r="AQ762" s="16"/>
      <c r="AR762" s="16"/>
      <c r="AS762" s="12">
        <f t="shared" si="234"/>
        <v>0</v>
      </c>
      <c r="AV762" s="16"/>
      <c r="AX762" s="16"/>
      <c r="AY762" s="16"/>
      <c r="AZ762" s="16"/>
      <c r="BC762" s="16"/>
      <c r="BD762" s="16"/>
      <c r="BE762" s="16"/>
      <c r="BI762" s="29" t="str">
        <f t="shared" si="268"/>
        <v/>
      </c>
      <c r="BY762" s="6">
        <f t="shared" si="2"/>
        <v>2025</v>
      </c>
      <c r="BZ762" s="6" t="str">
        <f t="shared" si="3"/>
        <v>noviembre</v>
      </c>
      <c r="CA762" s="6" t="str">
        <f t="shared" si="4"/>
        <v>11</v>
      </c>
    </row>
    <row r="763">
      <c r="A763" s="8">
        <v>45970.0</v>
      </c>
      <c r="B763" s="16"/>
      <c r="C763" s="16"/>
      <c r="D763" s="16"/>
      <c r="E763" s="16"/>
      <c r="F763" s="16"/>
      <c r="G763" s="16"/>
      <c r="H763" s="12">
        <f t="shared" si="149"/>
        <v>0</v>
      </c>
      <c r="I763" s="16"/>
      <c r="J763" s="16"/>
      <c r="K763" s="16"/>
      <c r="L763" s="16"/>
      <c r="M763" s="16"/>
      <c r="N763" s="16"/>
      <c r="O763" s="16">
        <f t="shared" si="150"/>
        <v>0</v>
      </c>
      <c r="P763" s="16"/>
      <c r="Q763" s="16"/>
      <c r="R763" s="16"/>
      <c r="S763" s="16"/>
      <c r="T763" s="16"/>
      <c r="U763" s="16"/>
      <c r="V763" s="16">
        <f t="shared" si="151"/>
        <v>0</v>
      </c>
      <c r="W763" s="16"/>
      <c r="X763" s="16"/>
      <c r="Y763" s="16"/>
      <c r="Z763" s="16"/>
      <c r="AA763" s="16"/>
      <c r="AB763" s="16"/>
      <c r="AC763" s="16">
        <f t="shared" si="169"/>
        <v>0</v>
      </c>
      <c r="AD763" s="16"/>
      <c r="AE763" s="16"/>
      <c r="AF763" s="16"/>
      <c r="AG763" s="16"/>
      <c r="AH763" s="16"/>
      <c r="AI763" s="16"/>
      <c r="AJ763" s="16"/>
      <c r="AK763" s="16"/>
      <c r="AL763" s="12">
        <f t="shared" si="192"/>
        <v>0</v>
      </c>
      <c r="AM763" s="16"/>
      <c r="AN763" s="16"/>
      <c r="AO763" s="16"/>
      <c r="AP763" s="16"/>
      <c r="AQ763" s="16"/>
      <c r="AR763" s="16"/>
      <c r="AS763" s="12">
        <f t="shared" si="234"/>
        <v>0</v>
      </c>
      <c r="AV763" s="16"/>
      <c r="AX763" s="16"/>
      <c r="AY763" s="16"/>
      <c r="AZ763" s="16"/>
      <c r="BC763" s="16"/>
      <c r="BD763" s="16"/>
      <c r="BE763" s="16"/>
      <c r="BI763" s="29" t="str">
        <f t="shared" si="268"/>
        <v/>
      </c>
      <c r="BY763" s="6">
        <f t="shared" si="2"/>
        <v>2025</v>
      </c>
      <c r="BZ763" s="6" t="str">
        <f t="shared" si="3"/>
        <v>noviembre</v>
      </c>
      <c r="CA763" s="6" t="str">
        <f t="shared" si="4"/>
        <v>11</v>
      </c>
    </row>
    <row r="764">
      <c r="A764" s="8">
        <v>45971.0</v>
      </c>
      <c r="B764" s="16"/>
      <c r="C764" s="16"/>
      <c r="D764" s="16"/>
      <c r="E764" s="16"/>
      <c r="F764" s="16"/>
      <c r="G764" s="16"/>
      <c r="H764" s="12">
        <f t="shared" si="149"/>
        <v>0</v>
      </c>
      <c r="I764" s="16"/>
      <c r="J764" s="16"/>
      <c r="K764" s="16"/>
      <c r="L764" s="16"/>
      <c r="M764" s="16"/>
      <c r="N764" s="16"/>
      <c r="O764" s="16">
        <f t="shared" si="150"/>
        <v>0</v>
      </c>
      <c r="P764" s="16"/>
      <c r="Q764" s="16"/>
      <c r="R764" s="16"/>
      <c r="S764" s="16"/>
      <c r="T764" s="16"/>
      <c r="U764" s="16"/>
      <c r="V764" s="16">
        <f t="shared" si="151"/>
        <v>0</v>
      </c>
      <c r="W764" s="16"/>
      <c r="X764" s="16"/>
      <c r="Y764" s="16"/>
      <c r="Z764" s="16"/>
      <c r="AA764" s="16"/>
      <c r="AB764" s="16"/>
      <c r="AC764" s="16">
        <f t="shared" si="169"/>
        <v>0</v>
      </c>
      <c r="AD764" s="16"/>
      <c r="AE764" s="16"/>
      <c r="AF764" s="16"/>
      <c r="AG764" s="16"/>
      <c r="AH764" s="16"/>
      <c r="AI764" s="16"/>
      <c r="AJ764" s="16"/>
      <c r="AK764" s="16"/>
      <c r="AL764" s="12">
        <f t="shared" si="192"/>
        <v>0</v>
      </c>
      <c r="AM764" s="16"/>
      <c r="AN764" s="16"/>
      <c r="AO764" s="16"/>
      <c r="AP764" s="16"/>
      <c r="AQ764" s="16"/>
      <c r="AR764" s="16"/>
      <c r="AS764" s="12">
        <f t="shared" si="234"/>
        <v>0</v>
      </c>
      <c r="AV764" s="16"/>
      <c r="AX764" s="16"/>
      <c r="AY764" s="16"/>
      <c r="AZ764" s="16"/>
      <c r="BC764" s="16"/>
      <c r="BD764" s="16"/>
      <c r="BE764" s="16"/>
      <c r="BI764" s="29" t="str">
        <f t="shared" si="268"/>
        <v/>
      </c>
      <c r="BY764" s="6">
        <f t="shared" si="2"/>
        <v>2025</v>
      </c>
      <c r="BZ764" s="6" t="str">
        <f t="shared" si="3"/>
        <v>noviembre</v>
      </c>
      <c r="CA764" s="6" t="str">
        <f t="shared" si="4"/>
        <v>11</v>
      </c>
    </row>
    <row r="765">
      <c r="A765" s="8">
        <v>45972.0</v>
      </c>
      <c r="B765" s="16"/>
      <c r="C765" s="16"/>
      <c r="D765" s="16"/>
      <c r="E765" s="16"/>
      <c r="F765" s="16"/>
      <c r="G765" s="16"/>
      <c r="H765" s="12">
        <f t="shared" si="149"/>
        <v>0</v>
      </c>
      <c r="I765" s="16"/>
      <c r="J765" s="16"/>
      <c r="K765" s="16"/>
      <c r="L765" s="16"/>
      <c r="M765" s="16"/>
      <c r="N765" s="16"/>
      <c r="O765" s="16">
        <f t="shared" si="150"/>
        <v>0</v>
      </c>
      <c r="P765" s="16"/>
      <c r="Q765" s="16"/>
      <c r="R765" s="16"/>
      <c r="S765" s="16"/>
      <c r="T765" s="16"/>
      <c r="U765" s="16"/>
      <c r="V765" s="16">
        <f t="shared" si="151"/>
        <v>0</v>
      </c>
      <c r="W765" s="16"/>
      <c r="X765" s="16"/>
      <c r="Y765" s="16"/>
      <c r="Z765" s="16"/>
      <c r="AA765" s="16"/>
      <c r="AB765" s="16"/>
      <c r="AC765" s="16">
        <f t="shared" si="169"/>
        <v>0</v>
      </c>
      <c r="AD765" s="16"/>
      <c r="AE765" s="16"/>
      <c r="AF765" s="16"/>
      <c r="AG765" s="16"/>
      <c r="AH765" s="16"/>
      <c r="AI765" s="16"/>
      <c r="AJ765" s="16"/>
      <c r="AK765" s="16"/>
      <c r="AL765" s="12">
        <f t="shared" si="192"/>
        <v>0</v>
      </c>
      <c r="AM765" s="16"/>
      <c r="AN765" s="16"/>
      <c r="AO765" s="16"/>
      <c r="AP765" s="16"/>
      <c r="AQ765" s="16"/>
      <c r="AR765" s="16"/>
      <c r="AS765" s="12">
        <f t="shared" si="234"/>
        <v>0</v>
      </c>
      <c r="AV765" s="16"/>
      <c r="AX765" s="16"/>
      <c r="AY765" s="16"/>
      <c r="AZ765" s="16"/>
      <c r="BC765" s="16"/>
      <c r="BD765" s="16"/>
      <c r="BE765" s="16"/>
      <c r="BI765" s="29" t="str">
        <f t="shared" si="268"/>
        <v/>
      </c>
      <c r="BY765" s="6">
        <f t="shared" si="2"/>
        <v>2025</v>
      </c>
      <c r="BZ765" s="6" t="str">
        <f t="shared" si="3"/>
        <v>noviembre</v>
      </c>
      <c r="CA765" s="6" t="str">
        <f t="shared" si="4"/>
        <v>11</v>
      </c>
    </row>
    <row r="766">
      <c r="A766" s="8">
        <v>45973.0</v>
      </c>
      <c r="B766" s="16"/>
      <c r="C766" s="16"/>
      <c r="D766" s="16"/>
      <c r="E766" s="16"/>
      <c r="F766" s="16"/>
      <c r="G766" s="16"/>
      <c r="H766" s="12">
        <f t="shared" si="149"/>
        <v>0</v>
      </c>
      <c r="I766" s="16"/>
      <c r="J766" s="16"/>
      <c r="K766" s="16"/>
      <c r="L766" s="16"/>
      <c r="M766" s="16"/>
      <c r="N766" s="16"/>
      <c r="O766" s="16">
        <f t="shared" si="150"/>
        <v>0</v>
      </c>
      <c r="P766" s="16"/>
      <c r="Q766" s="16"/>
      <c r="R766" s="16"/>
      <c r="S766" s="16"/>
      <c r="T766" s="16"/>
      <c r="U766" s="16"/>
      <c r="V766" s="16">
        <f t="shared" si="151"/>
        <v>0</v>
      </c>
      <c r="W766" s="16"/>
      <c r="X766" s="16"/>
      <c r="Y766" s="16"/>
      <c r="Z766" s="16"/>
      <c r="AA766" s="16"/>
      <c r="AB766" s="16"/>
      <c r="AC766" s="16">
        <f t="shared" si="169"/>
        <v>0</v>
      </c>
      <c r="AD766" s="16"/>
      <c r="AE766" s="16"/>
      <c r="AF766" s="16"/>
      <c r="AG766" s="16"/>
      <c r="AH766" s="16"/>
      <c r="AI766" s="16"/>
      <c r="AJ766" s="16"/>
      <c r="AK766" s="16"/>
      <c r="AL766" s="12">
        <f t="shared" si="192"/>
        <v>0</v>
      </c>
      <c r="AM766" s="16"/>
      <c r="AN766" s="16"/>
      <c r="AO766" s="16"/>
      <c r="AP766" s="16"/>
      <c r="AQ766" s="16"/>
      <c r="AR766" s="16"/>
      <c r="AS766" s="12">
        <f t="shared" si="234"/>
        <v>0</v>
      </c>
      <c r="AV766" s="16"/>
      <c r="AX766" s="16"/>
      <c r="AY766" s="16"/>
      <c r="AZ766" s="16"/>
      <c r="BC766" s="16"/>
      <c r="BD766" s="16"/>
      <c r="BE766" s="16"/>
      <c r="BI766" s="29" t="str">
        <f t="shared" si="268"/>
        <v/>
      </c>
      <c r="BY766" s="6">
        <f t="shared" si="2"/>
        <v>2025</v>
      </c>
      <c r="BZ766" s="6" t="str">
        <f t="shared" si="3"/>
        <v>noviembre</v>
      </c>
      <c r="CA766" s="6" t="str">
        <f t="shared" si="4"/>
        <v>11</v>
      </c>
    </row>
    <row r="767">
      <c r="A767" s="8">
        <v>45974.0</v>
      </c>
      <c r="B767" s="16"/>
      <c r="C767" s="16"/>
      <c r="D767" s="16"/>
      <c r="E767" s="16"/>
      <c r="F767" s="16"/>
      <c r="G767" s="16"/>
      <c r="H767" s="12">
        <f t="shared" si="149"/>
        <v>0</v>
      </c>
      <c r="I767" s="16"/>
      <c r="J767" s="16"/>
      <c r="K767" s="16"/>
      <c r="L767" s="16"/>
      <c r="M767" s="16"/>
      <c r="N767" s="16"/>
      <c r="O767" s="16">
        <f t="shared" si="150"/>
        <v>0</v>
      </c>
      <c r="P767" s="16"/>
      <c r="Q767" s="16"/>
      <c r="R767" s="16"/>
      <c r="S767" s="16"/>
      <c r="T767" s="16"/>
      <c r="U767" s="16"/>
      <c r="V767" s="16">
        <f t="shared" si="151"/>
        <v>0</v>
      </c>
      <c r="W767" s="16"/>
      <c r="X767" s="16"/>
      <c r="Y767" s="16"/>
      <c r="Z767" s="16"/>
      <c r="AA767" s="16"/>
      <c r="AB767" s="16"/>
      <c r="AC767" s="16">
        <f t="shared" si="169"/>
        <v>0</v>
      </c>
      <c r="AD767" s="16"/>
      <c r="AE767" s="16"/>
      <c r="AF767" s="16"/>
      <c r="AG767" s="16"/>
      <c r="AH767" s="16"/>
      <c r="AI767" s="16"/>
      <c r="AJ767" s="16"/>
      <c r="AK767" s="16"/>
      <c r="AL767" s="12">
        <f t="shared" si="192"/>
        <v>0</v>
      </c>
      <c r="AM767" s="16"/>
      <c r="AN767" s="16"/>
      <c r="AO767" s="16"/>
      <c r="AP767" s="16"/>
      <c r="AQ767" s="16"/>
      <c r="AR767" s="16"/>
      <c r="AS767" s="12">
        <f t="shared" si="234"/>
        <v>0</v>
      </c>
      <c r="AV767" s="16"/>
      <c r="AX767" s="16"/>
      <c r="AY767" s="16"/>
      <c r="AZ767" s="16"/>
      <c r="BC767" s="16"/>
      <c r="BD767" s="16"/>
      <c r="BE767" s="16"/>
      <c r="BI767" s="29" t="str">
        <f t="shared" si="268"/>
        <v/>
      </c>
      <c r="BY767" s="6">
        <f t="shared" si="2"/>
        <v>2025</v>
      </c>
      <c r="BZ767" s="6" t="str">
        <f t="shared" si="3"/>
        <v>noviembre</v>
      </c>
      <c r="CA767" s="6" t="str">
        <f t="shared" si="4"/>
        <v>11</v>
      </c>
    </row>
    <row r="768">
      <c r="A768" s="8">
        <v>45975.0</v>
      </c>
      <c r="B768" s="16"/>
      <c r="C768" s="16"/>
      <c r="D768" s="16"/>
      <c r="E768" s="16"/>
      <c r="F768" s="16"/>
      <c r="G768" s="16"/>
      <c r="H768" s="12">
        <f t="shared" si="149"/>
        <v>0</v>
      </c>
      <c r="I768" s="16"/>
      <c r="J768" s="16"/>
      <c r="K768" s="16"/>
      <c r="L768" s="16"/>
      <c r="M768" s="16"/>
      <c r="N768" s="16"/>
      <c r="O768" s="16">
        <f t="shared" si="150"/>
        <v>0</v>
      </c>
      <c r="P768" s="16"/>
      <c r="Q768" s="16"/>
      <c r="R768" s="16"/>
      <c r="S768" s="16"/>
      <c r="T768" s="16"/>
      <c r="U768" s="16"/>
      <c r="V768" s="16">
        <f t="shared" si="151"/>
        <v>0</v>
      </c>
      <c r="W768" s="16"/>
      <c r="X768" s="16"/>
      <c r="Y768" s="16"/>
      <c r="Z768" s="16"/>
      <c r="AA768" s="16"/>
      <c r="AB768" s="16"/>
      <c r="AC768" s="16">
        <f t="shared" si="169"/>
        <v>0</v>
      </c>
      <c r="AD768" s="16"/>
      <c r="AE768" s="16"/>
      <c r="AF768" s="16"/>
      <c r="AG768" s="16"/>
      <c r="AH768" s="16"/>
      <c r="AI768" s="16"/>
      <c r="AJ768" s="16"/>
      <c r="AK768" s="16"/>
      <c r="AL768" s="12">
        <f t="shared" si="192"/>
        <v>0</v>
      </c>
      <c r="AM768" s="16"/>
      <c r="AN768" s="16"/>
      <c r="AO768" s="16"/>
      <c r="AP768" s="16"/>
      <c r="AQ768" s="16"/>
      <c r="AR768" s="16"/>
      <c r="AS768" s="12">
        <f t="shared" si="234"/>
        <v>0</v>
      </c>
      <c r="AV768" s="16"/>
      <c r="AX768" s="16"/>
      <c r="AY768" s="16"/>
      <c r="AZ768" s="16"/>
      <c r="BC768" s="16"/>
      <c r="BD768" s="16"/>
      <c r="BE768" s="16"/>
      <c r="BI768" s="29" t="str">
        <f t="shared" si="268"/>
        <v/>
      </c>
      <c r="BY768" s="6">
        <f t="shared" si="2"/>
        <v>2025</v>
      </c>
      <c r="BZ768" s="6" t="str">
        <f t="shared" si="3"/>
        <v>noviembre</v>
      </c>
      <c r="CA768" s="6" t="str">
        <f t="shared" si="4"/>
        <v>11</v>
      </c>
    </row>
    <row r="769">
      <c r="A769" s="8">
        <v>45976.0</v>
      </c>
      <c r="B769" s="16"/>
      <c r="C769" s="16"/>
      <c r="D769" s="16"/>
      <c r="E769" s="16"/>
      <c r="F769" s="16"/>
      <c r="G769" s="16"/>
      <c r="H769" s="12">
        <f t="shared" si="149"/>
        <v>0</v>
      </c>
      <c r="I769" s="16"/>
      <c r="J769" s="16"/>
      <c r="K769" s="16"/>
      <c r="L769" s="16"/>
      <c r="M769" s="16"/>
      <c r="N769" s="16"/>
      <c r="O769" s="16">
        <f t="shared" si="150"/>
        <v>0</v>
      </c>
      <c r="P769" s="16"/>
      <c r="Q769" s="16"/>
      <c r="R769" s="16"/>
      <c r="S769" s="16"/>
      <c r="T769" s="16"/>
      <c r="U769" s="16"/>
      <c r="V769" s="16">
        <f t="shared" si="151"/>
        <v>0</v>
      </c>
      <c r="W769" s="16"/>
      <c r="X769" s="16"/>
      <c r="Y769" s="16"/>
      <c r="Z769" s="16"/>
      <c r="AA769" s="16"/>
      <c r="AB769" s="16"/>
      <c r="AC769" s="16">
        <f t="shared" si="169"/>
        <v>0</v>
      </c>
      <c r="AD769" s="16"/>
      <c r="AE769" s="16"/>
      <c r="AF769" s="16"/>
      <c r="AG769" s="16"/>
      <c r="AH769" s="16"/>
      <c r="AI769" s="16"/>
      <c r="AJ769" s="16"/>
      <c r="AK769" s="16"/>
      <c r="AL769" s="12">
        <f t="shared" si="192"/>
        <v>0</v>
      </c>
      <c r="AM769" s="16"/>
      <c r="AN769" s="16"/>
      <c r="AO769" s="16"/>
      <c r="AP769" s="16"/>
      <c r="AQ769" s="16"/>
      <c r="AR769" s="16"/>
      <c r="AS769" s="12">
        <f t="shared" si="234"/>
        <v>0</v>
      </c>
      <c r="AV769" s="16"/>
      <c r="AX769" s="16"/>
      <c r="AY769" s="16"/>
      <c r="AZ769" s="16"/>
      <c r="BC769" s="16"/>
      <c r="BD769" s="16"/>
      <c r="BE769" s="16"/>
      <c r="BI769" s="29" t="str">
        <f t="shared" si="268"/>
        <v/>
      </c>
      <c r="BY769" s="6">
        <f t="shared" si="2"/>
        <v>2025</v>
      </c>
      <c r="BZ769" s="6" t="str">
        <f t="shared" si="3"/>
        <v>noviembre</v>
      </c>
      <c r="CA769" s="6" t="str">
        <f t="shared" si="4"/>
        <v>11</v>
      </c>
    </row>
    <row r="770">
      <c r="A770" s="8">
        <v>45977.0</v>
      </c>
      <c r="B770" s="16"/>
      <c r="C770" s="16"/>
      <c r="D770" s="16"/>
      <c r="E770" s="16"/>
      <c r="F770" s="16"/>
      <c r="G770" s="16"/>
      <c r="H770" s="12">
        <f t="shared" si="149"/>
        <v>0</v>
      </c>
      <c r="I770" s="16"/>
      <c r="J770" s="16"/>
      <c r="K770" s="16"/>
      <c r="L770" s="16"/>
      <c r="M770" s="16"/>
      <c r="N770" s="16"/>
      <c r="O770" s="16">
        <f t="shared" si="150"/>
        <v>0</v>
      </c>
      <c r="P770" s="16"/>
      <c r="Q770" s="16"/>
      <c r="R770" s="16"/>
      <c r="S770" s="16"/>
      <c r="T770" s="16"/>
      <c r="U770" s="16"/>
      <c r="V770" s="16">
        <f t="shared" si="151"/>
        <v>0</v>
      </c>
      <c r="W770" s="16"/>
      <c r="X770" s="16"/>
      <c r="Y770" s="16"/>
      <c r="Z770" s="16"/>
      <c r="AA770" s="16"/>
      <c r="AB770" s="16"/>
      <c r="AC770" s="16">
        <f t="shared" si="169"/>
        <v>0</v>
      </c>
      <c r="AD770" s="16"/>
      <c r="AE770" s="16"/>
      <c r="AF770" s="16"/>
      <c r="AG770" s="16"/>
      <c r="AH770" s="16"/>
      <c r="AI770" s="16"/>
      <c r="AJ770" s="16"/>
      <c r="AK770" s="16"/>
      <c r="AL770" s="12">
        <f t="shared" si="192"/>
        <v>0</v>
      </c>
      <c r="AM770" s="16"/>
      <c r="AN770" s="16"/>
      <c r="AO770" s="16"/>
      <c r="AP770" s="16"/>
      <c r="AQ770" s="16"/>
      <c r="AR770" s="16"/>
      <c r="AS770" s="12">
        <f t="shared" si="234"/>
        <v>0</v>
      </c>
      <c r="AV770" s="16"/>
      <c r="AX770" s="16"/>
      <c r="AY770" s="16"/>
      <c r="AZ770" s="16"/>
      <c r="BC770" s="16"/>
      <c r="BD770" s="16"/>
      <c r="BE770" s="16"/>
      <c r="BI770" s="29" t="str">
        <f t="shared" si="268"/>
        <v/>
      </c>
      <c r="BY770" s="6">
        <f t="shared" si="2"/>
        <v>2025</v>
      </c>
      <c r="BZ770" s="6" t="str">
        <f t="shared" si="3"/>
        <v>noviembre</v>
      </c>
      <c r="CA770" s="6" t="str">
        <f t="shared" si="4"/>
        <v>11</v>
      </c>
    </row>
    <row r="771">
      <c r="A771" s="8">
        <v>45978.0</v>
      </c>
      <c r="B771" s="16"/>
      <c r="C771" s="16"/>
      <c r="D771" s="16"/>
      <c r="E771" s="16"/>
      <c r="F771" s="16"/>
      <c r="G771" s="16"/>
      <c r="H771" s="12">
        <f t="shared" si="149"/>
        <v>0</v>
      </c>
      <c r="I771" s="16"/>
      <c r="J771" s="16"/>
      <c r="K771" s="16"/>
      <c r="L771" s="16"/>
      <c r="M771" s="16"/>
      <c r="N771" s="16"/>
      <c r="O771" s="16">
        <f t="shared" si="150"/>
        <v>0</v>
      </c>
      <c r="P771" s="16"/>
      <c r="Q771" s="16"/>
      <c r="R771" s="16"/>
      <c r="S771" s="16"/>
      <c r="T771" s="16"/>
      <c r="U771" s="16"/>
      <c r="V771" s="16">
        <f t="shared" si="151"/>
        <v>0</v>
      </c>
      <c r="W771" s="16"/>
      <c r="X771" s="16"/>
      <c r="Y771" s="16"/>
      <c r="Z771" s="16"/>
      <c r="AA771" s="16"/>
      <c r="AB771" s="16"/>
      <c r="AC771" s="16">
        <f t="shared" si="169"/>
        <v>0</v>
      </c>
      <c r="AD771" s="16"/>
      <c r="AE771" s="16"/>
      <c r="AF771" s="16"/>
      <c r="AG771" s="16"/>
      <c r="AH771" s="16"/>
      <c r="AI771" s="16"/>
      <c r="AJ771" s="16"/>
      <c r="AK771" s="16"/>
      <c r="AL771" s="12">
        <f t="shared" si="192"/>
        <v>0</v>
      </c>
      <c r="AM771" s="16"/>
      <c r="AN771" s="16"/>
      <c r="AO771" s="16"/>
      <c r="AP771" s="16"/>
      <c r="AQ771" s="16"/>
      <c r="AR771" s="16"/>
      <c r="AS771" s="12">
        <f t="shared" si="234"/>
        <v>0</v>
      </c>
      <c r="AV771" s="16"/>
      <c r="AX771" s="16"/>
      <c r="AY771" s="16"/>
      <c r="AZ771" s="16"/>
      <c r="BC771" s="16"/>
      <c r="BD771" s="16"/>
      <c r="BE771" s="16"/>
      <c r="BI771" s="29" t="str">
        <f t="shared" si="268"/>
        <v/>
      </c>
      <c r="BY771" s="6">
        <f t="shared" si="2"/>
        <v>2025</v>
      </c>
      <c r="BZ771" s="6" t="str">
        <f t="shared" si="3"/>
        <v>noviembre</v>
      </c>
      <c r="CA771" s="6" t="str">
        <f t="shared" si="4"/>
        <v>11</v>
      </c>
    </row>
    <row r="772">
      <c r="A772" s="8">
        <v>45979.0</v>
      </c>
      <c r="B772" s="16"/>
      <c r="C772" s="16"/>
      <c r="D772" s="16"/>
      <c r="E772" s="16"/>
      <c r="F772" s="16"/>
      <c r="G772" s="16"/>
      <c r="H772" s="12">
        <f t="shared" si="149"/>
        <v>0</v>
      </c>
      <c r="I772" s="16"/>
      <c r="J772" s="16"/>
      <c r="K772" s="16"/>
      <c r="L772" s="16"/>
      <c r="M772" s="16"/>
      <c r="N772" s="16"/>
      <c r="O772" s="16">
        <f t="shared" si="150"/>
        <v>0</v>
      </c>
      <c r="P772" s="16"/>
      <c r="Q772" s="16"/>
      <c r="R772" s="16"/>
      <c r="S772" s="16"/>
      <c r="T772" s="16"/>
      <c r="U772" s="16"/>
      <c r="V772" s="16">
        <f t="shared" si="151"/>
        <v>0</v>
      </c>
      <c r="W772" s="16"/>
      <c r="X772" s="16"/>
      <c r="Y772" s="16"/>
      <c r="Z772" s="16"/>
      <c r="AA772" s="16"/>
      <c r="AB772" s="16"/>
      <c r="AC772" s="16">
        <f t="shared" si="169"/>
        <v>0</v>
      </c>
      <c r="AD772" s="16"/>
      <c r="AE772" s="16"/>
      <c r="AF772" s="16"/>
      <c r="AG772" s="16"/>
      <c r="AH772" s="16"/>
      <c r="AI772" s="16"/>
      <c r="AJ772" s="16"/>
      <c r="AK772" s="16"/>
      <c r="AL772" s="12">
        <f t="shared" si="192"/>
        <v>0</v>
      </c>
      <c r="AM772" s="16"/>
      <c r="AN772" s="16"/>
      <c r="AO772" s="16"/>
      <c r="AP772" s="16"/>
      <c r="AQ772" s="16"/>
      <c r="AR772" s="16"/>
      <c r="AS772" s="12">
        <f t="shared" si="234"/>
        <v>0</v>
      </c>
      <c r="AV772" s="16"/>
      <c r="AX772" s="16"/>
      <c r="AY772" s="16"/>
      <c r="AZ772" s="16"/>
      <c r="BC772" s="16"/>
      <c r="BD772" s="16"/>
      <c r="BE772" s="16"/>
      <c r="BI772" s="29" t="str">
        <f t="shared" si="268"/>
        <v/>
      </c>
      <c r="BY772" s="6">
        <f t="shared" si="2"/>
        <v>2025</v>
      </c>
      <c r="BZ772" s="6" t="str">
        <f t="shared" si="3"/>
        <v>noviembre</v>
      </c>
      <c r="CA772" s="6" t="str">
        <f t="shared" si="4"/>
        <v>11</v>
      </c>
    </row>
    <row r="773">
      <c r="A773" s="8">
        <v>45980.0</v>
      </c>
      <c r="B773" s="16"/>
      <c r="C773" s="16"/>
      <c r="D773" s="16"/>
      <c r="E773" s="16"/>
      <c r="F773" s="16"/>
      <c r="G773" s="16"/>
      <c r="H773" s="12">
        <f t="shared" si="149"/>
        <v>0</v>
      </c>
      <c r="I773" s="16"/>
      <c r="J773" s="16"/>
      <c r="K773" s="16"/>
      <c r="L773" s="16"/>
      <c r="M773" s="16"/>
      <c r="N773" s="16"/>
      <c r="O773" s="16">
        <f t="shared" si="150"/>
        <v>0</v>
      </c>
      <c r="P773" s="16"/>
      <c r="Q773" s="16"/>
      <c r="R773" s="16"/>
      <c r="S773" s="16"/>
      <c r="T773" s="16"/>
      <c r="U773" s="16"/>
      <c r="V773" s="16">
        <f t="shared" si="151"/>
        <v>0</v>
      </c>
      <c r="W773" s="16"/>
      <c r="X773" s="16"/>
      <c r="Y773" s="16"/>
      <c r="Z773" s="16"/>
      <c r="AA773" s="16"/>
      <c r="AB773" s="16"/>
      <c r="AC773" s="16">
        <f t="shared" si="169"/>
        <v>0</v>
      </c>
      <c r="AD773" s="16"/>
      <c r="AE773" s="16"/>
      <c r="AF773" s="16"/>
      <c r="AG773" s="16"/>
      <c r="AH773" s="16"/>
      <c r="AI773" s="16"/>
      <c r="AJ773" s="16"/>
      <c r="AK773" s="16"/>
      <c r="AL773" s="12">
        <f t="shared" si="192"/>
        <v>0</v>
      </c>
      <c r="AM773" s="16"/>
      <c r="AN773" s="16"/>
      <c r="AO773" s="16"/>
      <c r="AP773" s="16"/>
      <c r="AQ773" s="16"/>
      <c r="AR773" s="16"/>
      <c r="AS773" s="12">
        <f t="shared" si="234"/>
        <v>0</v>
      </c>
      <c r="AV773" s="16"/>
      <c r="AX773" s="16"/>
      <c r="AY773" s="16"/>
      <c r="AZ773" s="16"/>
      <c r="BC773" s="16"/>
      <c r="BD773" s="16"/>
      <c r="BE773" s="16"/>
      <c r="BI773" s="29" t="str">
        <f t="shared" si="268"/>
        <v/>
      </c>
      <c r="BY773" s="6">
        <f t="shared" si="2"/>
        <v>2025</v>
      </c>
      <c r="BZ773" s="6" t="str">
        <f t="shared" si="3"/>
        <v>noviembre</v>
      </c>
      <c r="CA773" s="6" t="str">
        <f t="shared" si="4"/>
        <v>11</v>
      </c>
    </row>
    <row r="774">
      <c r="A774" s="8">
        <v>45981.0</v>
      </c>
      <c r="B774" s="16"/>
      <c r="C774" s="16"/>
      <c r="D774" s="16"/>
      <c r="E774" s="16"/>
      <c r="F774" s="16"/>
      <c r="G774" s="16"/>
      <c r="H774" s="12">
        <f t="shared" si="149"/>
        <v>0</v>
      </c>
      <c r="I774" s="16"/>
      <c r="J774" s="16"/>
      <c r="K774" s="16"/>
      <c r="L774" s="16"/>
      <c r="M774" s="16"/>
      <c r="N774" s="16"/>
      <c r="O774" s="16">
        <f t="shared" si="150"/>
        <v>0</v>
      </c>
      <c r="P774" s="16"/>
      <c r="Q774" s="16"/>
      <c r="R774" s="16"/>
      <c r="S774" s="16"/>
      <c r="T774" s="16"/>
      <c r="U774" s="16"/>
      <c r="V774" s="16">
        <f t="shared" si="151"/>
        <v>0</v>
      </c>
      <c r="W774" s="16"/>
      <c r="X774" s="16"/>
      <c r="Y774" s="16"/>
      <c r="Z774" s="16"/>
      <c r="AA774" s="16"/>
      <c r="AB774" s="16"/>
      <c r="AC774" s="16">
        <f t="shared" si="169"/>
        <v>0</v>
      </c>
      <c r="AD774" s="16"/>
      <c r="AE774" s="16"/>
      <c r="AF774" s="16"/>
      <c r="AG774" s="16"/>
      <c r="AH774" s="16"/>
      <c r="AI774" s="16"/>
      <c r="AJ774" s="16"/>
      <c r="AK774" s="16"/>
      <c r="AL774" s="12">
        <f t="shared" si="192"/>
        <v>0</v>
      </c>
      <c r="AM774" s="16"/>
      <c r="AN774" s="16"/>
      <c r="AO774" s="16"/>
      <c r="AP774" s="16"/>
      <c r="AQ774" s="16"/>
      <c r="AR774" s="16"/>
      <c r="AS774" s="12">
        <f t="shared" si="234"/>
        <v>0</v>
      </c>
      <c r="AV774" s="16"/>
      <c r="AX774" s="16"/>
      <c r="AY774" s="16"/>
      <c r="AZ774" s="16"/>
      <c r="BC774" s="16"/>
      <c r="BD774" s="16"/>
      <c r="BE774" s="16"/>
      <c r="BI774" s="29" t="str">
        <f t="shared" si="268"/>
        <v/>
      </c>
      <c r="BY774" s="6">
        <f t="shared" si="2"/>
        <v>2025</v>
      </c>
      <c r="BZ774" s="6" t="str">
        <f t="shared" si="3"/>
        <v>noviembre</v>
      </c>
      <c r="CA774" s="6" t="str">
        <f t="shared" si="4"/>
        <v>11</v>
      </c>
    </row>
    <row r="775">
      <c r="A775" s="8">
        <v>45982.0</v>
      </c>
      <c r="B775" s="16"/>
      <c r="C775" s="16"/>
      <c r="D775" s="16"/>
      <c r="E775" s="16"/>
      <c r="F775" s="16"/>
      <c r="G775" s="16"/>
      <c r="H775" s="12">
        <f t="shared" si="149"/>
        <v>0</v>
      </c>
      <c r="I775" s="16"/>
      <c r="J775" s="16"/>
      <c r="K775" s="16"/>
      <c r="L775" s="16"/>
      <c r="M775" s="16"/>
      <c r="N775" s="16"/>
      <c r="O775" s="16">
        <f t="shared" si="150"/>
        <v>0</v>
      </c>
      <c r="P775" s="16"/>
      <c r="Q775" s="16"/>
      <c r="R775" s="16"/>
      <c r="S775" s="16"/>
      <c r="T775" s="16"/>
      <c r="U775" s="16"/>
      <c r="V775" s="16">
        <f t="shared" si="151"/>
        <v>0</v>
      </c>
      <c r="W775" s="16"/>
      <c r="X775" s="16"/>
      <c r="Y775" s="16"/>
      <c r="Z775" s="16"/>
      <c r="AA775" s="16"/>
      <c r="AB775" s="16"/>
      <c r="AC775" s="16">
        <f t="shared" si="169"/>
        <v>0</v>
      </c>
      <c r="AD775" s="16"/>
      <c r="AE775" s="16"/>
      <c r="AF775" s="16"/>
      <c r="AG775" s="16"/>
      <c r="AH775" s="16"/>
      <c r="AI775" s="16"/>
      <c r="AJ775" s="16"/>
      <c r="AK775" s="16"/>
      <c r="AL775" s="12">
        <f t="shared" si="192"/>
        <v>0</v>
      </c>
      <c r="AM775" s="16"/>
      <c r="AN775" s="16"/>
      <c r="AO775" s="16"/>
      <c r="AP775" s="16"/>
      <c r="AQ775" s="16"/>
      <c r="AR775" s="16"/>
      <c r="AS775" s="12">
        <f t="shared" si="234"/>
        <v>0</v>
      </c>
      <c r="AV775" s="16"/>
      <c r="AX775" s="16"/>
      <c r="AY775" s="16"/>
      <c r="AZ775" s="16"/>
      <c r="BC775" s="16"/>
      <c r="BD775" s="16"/>
      <c r="BE775" s="16"/>
      <c r="BI775" s="29" t="str">
        <f t="shared" si="268"/>
        <v/>
      </c>
      <c r="BY775" s="6">
        <f t="shared" si="2"/>
        <v>2025</v>
      </c>
      <c r="BZ775" s="6" t="str">
        <f t="shared" si="3"/>
        <v>noviembre</v>
      </c>
      <c r="CA775" s="6" t="str">
        <f t="shared" si="4"/>
        <v>11</v>
      </c>
    </row>
    <row r="776">
      <c r="A776" s="8">
        <v>45983.0</v>
      </c>
      <c r="B776" s="16"/>
      <c r="C776" s="16"/>
      <c r="D776" s="16"/>
      <c r="E776" s="16"/>
      <c r="F776" s="16"/>
      <c r="G776" s="16"/>
      <c r="H776" s="12">
        <f t="shared" si="149"/>
        <v>0</v>
      </c>
      <c r="I776" s="16"/>
      <c r="J776" s="16"/>
      <c r="K776" s="16"/>
      <c r="L776" s="16"/>
      <c r="M776" s="16"/>
      <c r="N776" s="16"/>
      <c r="O776" s="16">
        <f t="shared" si="150"/>
        <v>0</v>
      </c>
      <c r="P776" s="16"/>
      <c r="Q776" s="16"/>
      <c r="R776" s="16"/>
      <c r="S776" s="16"/>
      <c r="T776" s="16"/>
      <c r="U776" s="16"/>
      <c r="V776" s="16">
        <f t="shared" si="151"/>
        <v>0</v>
      </c>
      <c r="W776" s="16"/>
      <c r="X776" s="16"/>
      <c r="Y776" s="16"/>
      <c r="Z776" s="16"/>
      <c r="AA776" s="16"/>
      <c r="AB776" s="16"/>
      <c r="AC776" s="16">
        <f t="shared" si="169"/>
        <v>0</v>
      </c>
      <c r="AD776" s="16"/>
      <c r="AE776" s="16"/>
      <c r="AF776" s="16"/>
      <c r="AG776" s="16"/>
      <c r="AH776" s="16"/>
      <c r="AI776" s="16"/>
      <c r="AJ776" s="16"/>
      <c r="AK776" s="16"/>
      <c r="AL776" s="12">
        <f t="shared" si="192"/>
        <v>0</v>
      </c>
      <c r="AM776" s="16"/>
      <c r="AN776" s="16"/>
      <c r="AO776" s="16"/>
      <c r="AP776" s="16"/>
      <c r="AQ776" s="16"/>
      <c r="AR776" s="16"/>
      <c r="AS776" s="12">
        <f t="shared" si="234"/>
        <v>0</v>
      </c>
      <c r="AV776" s="16"/>
      <c r="AX776" s="16"/>
      <c r="AY776" s="16"/>
      <c r="AZ776" s="16"/>
      <c r="BC776" s="16"/>
      <c r="BD776" s="16"/>
      <c r="BE776" s="16"/>
      <c r="BI776" s="29" t="str">
        <f t="shared" si="268"/>
        <v/>
      </c>
      <c r="BY776" s="6">
        <f t="shared" si="2"/>
        <v>2025</v>
      </c>
      <c r="BZ776" s="6" t="str">
        <f t="shared" si="3"/>
        <v>noviembre</v>
      </c>
      <c r="CA776" s="6" t="str">
        <f t="shared" si="4"/>
        <v>11</v>
      </c>
    </row>
    <row r="777">
      <c r="A777" s="8">
        <v>45984.0</v>
      </c>
      <c r="B777" s="16"/>
      <c r="C777" s="16"/>
      <c r="D777" s="16"/>
      <c r="E777" s="16"/>
      <c r="F777" s="16"/>
      <c r="G777" s="16"/>
      <c r="H777" s="12">
        <f t="shared" si="149"/>
        <v>0</v>
      </c>
      <c r="I777" s="16"/>
      <c r="J777" s="16"/>
      <c r="K777" s="16"/>
      <c r="L777" s="16"/>
      <c r="M777" s="16"/>
      <c r="N777" s="16"/>
      <c r="O777" s="16">
        <f t="shared" si="150"/>
        <v>0</v>
      </c>
      <c r="P777" s="16"/>
      <c r="Q777" s="16"/>
      <c r="R777" s="16"/>
      <c r="S777" s="16"/>
      <c r="T777" s="16"/>
      <c r="U777" s="16"/>
      <c r="V777" s="16">
        <f t="shared" si="151"/>
        <v>0</v>
      </c>
      <c r="W777" s="16"/>
      <c r="X777" s="16"/>
      <c r="Y777" s="16"/>
      <c r="Z777" s="16"/>
      <c r="AA777" s="16"/>
      <c r="AB777" s="16"/>
      <c r="AC777" s="16">
        <f t="shared" si="169"/>
        <v>0</v>
      </c>
      <c r="AD777" s="16"/>
      <c r="AE777" s="16"/>
      <c r="AF777" s="16"/>
      <c r="AG777" s="16"/>
      <c r="AH777" s="16"/>
      <c r="AI777" s="16"/>
      <c r="AJ777" s="16"/>
      <c r="AK777" s="16"/>
      <c r="AL777" s="12">
        <f t="shared" si="192"/>
        <v>0</v>
      </c>
      <c r="AM777" s="16"/>
      <c r="AN777" s="16"/>
      <c r="AO777" s="16"/>
      <c r="AP777" s="16"/>
      <c r="AQ777" s="16"/>
      <c r="AR777" s="16"/>
      <c r="AS777" s="12">
        <f t="shared" si="234"/>
        <v>0</v>
      </c>
      <c r="AV777" s="16"/>
      <c r="AX777" s="16"/>
      <c r="AY777" s="16"/>
      <c r="AZ777" s="16"/>
      <c r="BC777" s="16"/>
      <c r="BD777" s="16"/>
      <c r="BE777" s="16"/>
      <c r="BI777" s="29" t="str">
        <f t="shared" si="268"/>
        <v/>
      </c>
      <c r="BY777" s="6">
        <f t="shared" si="2"/>
        <v>2025</v>
      </c>
      <c r="BZ777" s="6" t="str">
        <f t="shared" si="3"/>
        <v>noviembre</v>
      </c>
      <c r="CA777" s="6" t="str">
        <f t="shared" si="4"/>
        <v>11</v>
      </c>
    </row>
    <row r="778">
      <c r="A778" s="8">
        <v>45985.0</v>
      </c>
      <c r="B778" s="16"/>
      <c r="C778" s="16"/>
      <c r="D778" s="16"/>
      <c r="E778" s="16"/>
      <c r="F778" s="16"/>
      <c r="G778" s="16"/>
      <c r="H778" s="12">
        <f t="shared" si="149"/>
        <v>0</v>
      </c>
      <c r="I778" s="16"/>
      <c r="J778" s="16"/>
      <c r="K778" s="16"/>
      <c r="L778" s="16"/>
      <c r="M778" s="16"/>
      <c r="N778" s="16"/>
      <c r="O778" s="16">
        <f t="shared" si="150"/>
        <v>0</v>
      </c>
      <c r="P778" s="16"/>
      <c r="Q778" s="16"/>
      <c r="R778" s="16"/>
      <c r="S778" s="16"/>
      <c r="T778" s="16"/>
      <c r="U778" s="16"/>
      <c r="V778" s="16">
        <f t="shared" si="151"/>
        <v>0</v>
      </c>
      <c r="W778" s="16"/>
      <c r="X778" s="16"/>
      <c r="Y778" s="16"/>
      <c r="Z778" s="16"/>
      <c r="AA778" s="16"/>
      <c r="AB778" s="16"/>
      <c r="AC778" s="16">
        <f t="shared" si="169"/>
        <v>0</v>
      </c>
      <c r="AD778" s="16"/>
      <c r="AE778" s="16"/>
      <c r="AF778" s="16"/>
      <c r="AG778" s="16"/>
      <c r="AH778" s="16"/>
      <c r="AI778" s="16"/>
      <c r="AJ778" s="16"/>
      <c r="AK778" s="16"/>
      <c r="AL778" s="12">
        <f t="shared" si="192"/>
        <v>0</v>
      </c>
      <c r="AM778" s="16"/>
      <c r="AN778" s="16"/>
      <c r="AO778" s="16"/>
      <c r="AP778" s="16"/>
      <c r="AQ778" s="16"/>
      <c r="AR778" s="16"/>
      <c r="AS778" s="12">
        <f t="shared" si="234"/>
        <v>0</v>
      </c>
      <c r="AV778" s="16"/>
      <c r="AX778" s="16"/>
      <c r="AY778" s="16"/>
      <c r="AZ778" s="16"/>
      <c r="BC778" s="16"/>
      <c r="BD778" s="16"/>
      <c r="BE778" s="16"/>
      <c r="BI778" s="29" t="str">
        <f t="shared" si="268"/>
        <v/>
      </c>
      <c r="BY778" s="6">
        <f t="shared" si="2"/>
        <v>2025</v>
      </c>
      <c r="BZ778" s="6" t="str">
        <f t="shared" si="3"/>
        <v>noviembre</v>
      </c>
      <c r="CA778" s="6" t="str">
        <f t="shared" si="4"/>
        <v>11</v>
      </c>
    </row>
    <row r="779">
      <c r="A779" s="8">
        <v>45986.0</v>
      </c>
      <c r="B779" s="16"/>
      <c r="C779" s="16"/>
      <c r="D779" s="16"/>
      <c r="E779" s="16"/>
      <c r="F779" s="16"/>
      <c r="G779" s="16"/>
      <c r="H779" s="12">
        <f t="shared" si="149"/>
        <v>0</v>
      </c>
      <c r="I779" s="16"/>
      <c r="J779" s="16"/>
      <c r="K779" s="16"/>
      <c r="L779" s="16"/>
      <c r="M779" s="16"/>
      <c r="N779" s="16"/>
      <c r="O779" s="16">
        <f t="shared" si="150"/>
        <v>0</v>
      </c>
      <c r="P779" s="16"/>
      <c r="Q779" s="16"/>
      <c r="R779" s="16"/>
      <c r="S779" s="16"/>
      <c r="T779" s="16"/>
      <c r="U779" s="16"/>
      <c r="V779" s="16">
        <f t="shared" si="151"/>
        <v>0</v>
      </c>
      <c r="W779" s="16"/>
      <c r="X779" s="16"/>
      <c r="Y779" s="16"/>
      <c r="Z779" s="16"/>
      <c r="AA779" s="16"/>
      <c r="AB779" s="16"/>
      <c r="AC779" s="16">
        <f t="shared" si="169"/>
        <v>0</v>
      </c>
      <c r="AD779" s="16"/>
      <c r="AE779" s="16"/>
      <c r="AF779" s="16"/>
      <c r="AG779" s="16"/>
      <c r="AH779" s="16"/>
      <c r="AI779" s="16"/>
      <c r="AJ779" s="16"/>
      <c r="AK779" s="16"/>
      <c r="AL779" s="12">
        <f t="shared" si="192"/>
        <v>0</v>
      </c>
      <c r="AM779" s="16"/>
      <c r="AN779" s="16"/>
      <c r="AO779" s="16"/>
      <c r="AP779" s="16"/>
      <c r="AQ779" s="16"/>
      <c r="AR779" s="16"/>
      <c r="AS779" s="12">
        <f t="shared" si="234"/>
        <v>0</v>
      </c>
      <c r="AV779" s="16"/>
      <c r="AX779" s="16"/>
      <c r="AY779" s="16"/>
      <c r="AZ779" s="16"/>
      <c r="BC779" s="16"/>
      <c r="BD779" s="16"/>
      <c r="BE779" s="16"/>
      <c r="BI779" s="29" t="str">
        <f t="shared" si="268"/>
        <v/>
      </c>
      <c r="BY779" s="6">
        <f t="shared" si="2"/>
        <v>2025</v>
      </c>
      <c r="BZ779" s="6" t="str">
        <f t="shared" si="3"/>
        <v>noviembre</v>
      </c>
      <c r="CA779" s="6" t="str">
        <f t="shared" si="4"/>
        <v>11</v>
      </c>
    </row>
    <row r="780">
      <c r="A780" s="8">
        <v>45987.0</v>
      </c>
      <c r="B780" s="16"/>
      <c r="C780" s="16"/>
      <c r="D780" s="16"/>
      <c r="E780" s="16"/>
      <c r="F780" s="16"/>
      <c r="G780" s="16"/>
      <c r="H780" s="12">
        <f t="shared" si="149"/>
        <v>0</v>
      </c>
      <c r="I780" s="16"/>
      <c r="J780" s="16"/>
      <c r="K780" s="16"/>
      <c r="L780" s="16"/>
      <c r="M780" s="16"/>
      <c r="N780" s="16"/>
      <c r="O780" s="16">
        <f t="shared" si="150"/>
        <v>0</v>
      </c>
      <c r="P780" s="16"/>
      <c r="Q780" s="16"/>
      <c r="R780" s="16"/>
      <c r="S780" s="16"/>
      <c r="T780" s="16"/>
      <c r="U780" s="16"/>
      <c r="V780" s="16">
        <f t="shared" si="151"/>
        <v>0</v>
      </c>
      <c r="W780" s="16"/>
      <c r="X780" s="16"/>
      <c r="Y780" s="16"/>
      <c r="Z780" s="16"/>
      <c r="AA780" s="16"/>
      <c r="AB780" s="16"/>
      <c r="AC780" s="16">
        <f t="shared" si="169"/>
        <v>0</v>
      </c>
      <c r="AD780" s="16"/>
      <c r="AE780" s="16"/>
      <c r="AF780" s="16"/>
      <c r="AG780" s="16"/>
      <c r="AH780" s="16"/>
      <c r="AI780" s="16"/>
      <c r="AJ780" s="16"/>
      <c r="AK780" s="16"/>
      <c r="AL780" s="12">
        <f t="shared" si="192"/>
        <v>0</v>
      </c>
      <c r="AM780" s="16"/>
      <c r="AN780" s="16"/>
      <c r="AO780" s="16"/>
      <c r="AP780" s="16"/>
      <c r="AQ780" s="16"/>
      <c r="AR780" s="16"/>
      <c r="AS780" s="12">
        <f t="shared" si="234"/>
        <v>0</v>
      </c>
      <c r="AV780" s="16"/>
      <c r="AX780" s="16"/>
      <c r="AY780" s="16"/>
      <c r="AZ780" s="16"/>
      <c r="BC780" s="16"/>
      <c r="BD780" s="16"/>
      <c r="BE780" s="16"/>
      <c r="BI780" s="29" t="str">
        <f t="shared" si="268"/>
        <v/>
      </c>
      <c r="BY780" s="6">
        <f t="shared" si="2"/>
        <v>2025</v>
      </c>
      <c r="BZ780" s="6" t="str">
        <f t="shared" si="3"/>
        <v>noviembre</v>
      </c>
      <c r="CA780" s="6" t="str">
        <f t="shared" si="4"/>
        <v>11</v>
      </c>
    </row>
    <row r="781">
      <c r="A781" s="8">
        <v>45988.0</v>
      </c>
      <c r="B781" s="16"/>
      <c r="C781" s="16"/>
      <c r="D781" s="16"/>
      <c r="E781" s="16"/>
      <c r="F781" s="16"/>
      <c r="G781" s="16"/>
      <c r="H781" s="12">
        <f t="shared" si="149"/>
        <v>0</v>
      </c>
      <c r="I781" s="16"/>
      <c r="J781" s="16"/>
      <c r="K781" s="16"/>
      <c r="L781" s="16"/>
      <c r="M781" s="16"/>
      <c r="N781" s="16"/>
      <c r="O781" s="16">
        <f t="shared" si="150"/>
        <v>0</v>
      </c>
      <c r="P781" s="16"/>
      <c r="Q781" s="16"/>
      <c r="R781" s="16"/>
      <c r="S781" s="16"/>
      <c r="T781" s="16"/>
      <c r="U781" s="16"/>
      <c r="V781" s="16">
        <f t="shared" si="151"/>
        <v>0</v>
      </c>
      <c r="W781" s="16"/>
      <c r="X781" s="16"/>
      <c r="Y781" s="16"/>
      <c r="Z781" s="16"/>
      <c r="AA781" s="16"/>
      <c r="AB781" s="16"/>
      <c r="AC781" s="16">
        <f t="shared" si="169"/>
        <v>0</v>
      </c>
      <c r="AD781" s="16"/>
      <c r="AE781" s="16"/>
      <c r="AF781" s="16"/>
      <c r="AG781" s="16"/>
      <c r="AH781" s="16"/>
      <c r="AI781" s="16"/>
      <c r="AJ781" s="16"/>
      <c r="AK781" s="16"/>
      <c r="AL781" s="12">
        <f t="shared" si="192"/>
        <v>0</v>
      </c>
      <c r="AM781" s="16"/>
      <c r="AN781" s="16"/>
      <c r="AO781" s="16"/>
      <c r="AP781" s="16"/>
      <c r="AQ781" s="16"/>
      <c r="AR781" s="16"/>
      <c r="AS781" s="12">
        <f t="shared" si="234"/>
        <v>0</v>
      </c>
      <c r="AV781" s="16"/>
      <c r="AX781" s="16"/>
      <c r="AY781" s="16"/>
      <c r="AZ781" s="16"/>
      <c r="BC781" s="16"/>
      <c r="BD781" s="16"/>
      <c r="BE781" s="16"/>
      <c r="BI781" s="29" t="str">
        <f t="shared" si="268"/>
        <v/>
      </c>
      <c r="BY781" s="6">
        <f t="shared" si="2"/>
        <v>2025</v>
      </c>
      <c r="BZ781" s="6" t="str">
        <f t="shared" si="3"/>
        <v>noviembre</v>
      </c>
      <c r="CA781" s="6" t="str">
        <f t="shared" si="4"/>
        <v>11</v>
      </c>
    </row>
    <row r="782">
      <c r="A782" s="8">
        <v>45989.0</v>
      </c>
      <c r="B782" s="16"/>
      <c r="C782" s="16"/>
      <c r="D782" s="16"/>
      <c r="E782" s="16"/>
      <c r="F782" s="16"/>
      <c r="G782" s="16"/>
      <c r="H782" s="12">
        <f t="shared" si="149"/>
        <v>0</v>
      </c>
      <c r="I782" s="16"/>
      <c r="J782" s="16"/>
      <c r="K782" s="16"/>
      <c r="L782" s="16"/>
      <c r="M782" s="16"/>
      <c r="N782" s="16"/>
      <c r="O782" s="16">
        <f t="shared" si="150"/>
        <v>0</v>
      </c>
      <c r="P782" s="16"/>
      <c r="Q782" s="16"/>
      <c r="R782" s="16"/>
      <c r="S782" s="16"/>
      <c r="T782" s="16"/>
      <c r="U782" s="16"/>
      <c r="V782" s="16">
        <f t="shared" si="151"/>
        <v>0</v>
      </c>
      <c r="W782" s="16"/>
      <c r="X782" s="16"/>
      <c r="Y782" s="16"/>
      <c r="Z782" s="16"/>
      <c r="AA782" s="16"/>
      <c r="AB782" s="16"/>
      <c r="AC782" s="16">
        <f t="shared" si="169"/>
        <v>0</v>
      </c>
      <c r="AD782" s="16"/>
      <c r="AE782" s="16"/>
      <c r="AF782" s="16"/>
      <c r="AG782" s="16"/>
      <c r="AH782" s="16"/>
      <c r="AI782" s="16"/>
      <c r="AJ782" s="16"/>
      <c r="AK782" s="16"/>
      <c r="AL782" s="12">
        <f t="shared" si="192"/>
        <v>0</v>
      </c>
      <c r="AM782" s="16"/>
      <c r="AN782" s="16"/>
      <c r="AO782" s="16"/>
      <c r="AP782" s="16"/>
      <c r="AQ782" s="16"/>
      <c r="AR782" s="16"/>
      <c r="AS782" s="12">
        <f t="shared" si="234"/>
        <v>0</v>
      </c>
      <c r="AV782" s="16"/>
      <c r="AX782" s="16"/>
      <c r="AY782" s="16"/>
      <c r="AZ782" s="16"/>
      <c r="BC782" s="16"/>
      <c r="BD782" s="16"/>
      <c r="BE782" s="16"/>
      <c r="BI782" s="29" t="str">
        <f t="shared" si="268"/>
        <v/>
      </c>
      <c r="BY782" s="6">
        <f t="shared" si="2"/>
        <v>2025</v>
      </c>
      <c r="BZ782" s="6" t="str">
        <f t="shared" si="3"/>
        <v>noviembre</v>
      </c>
      <c r="CA782" s="6" t="str">
        <f t="shared" si="4"/>
        <v>11</v>
      </c>
    </row>
    <row r="783">
      <c r="A783" s="8">
        <v>45990.0</v>
      </c>
      <c r="B783" s="16"/>
      <c r="C783" s="16"/>
      <c r="D783" s="16"/>
      <c r="E783" s="16"/>
      <c r="F783" s="16"/>
      <c r="G783" s="16"/>
      <c r="H783" s="12">
        <f t="shared" si="149"/>
        <v>0</v>
      </c>
      <c r="I783" s="16"/>
      <c r="J783" s="16"/>
      <c r="K783" s="16"/>
      <c r="L783" s="16"/>
      <c r="M783" s="16"/>
      <c r="N783" s="16"/>
      <c r="O783" s="16">
        <f t="shared" si="150"/>
        <v>0</v>
      </c>
      <c r="P783" s="16"/>
      <c r="Q783" s="16"/>
      <c r="R783" s="16"/>
      <c r="S783" s="16"/>
      <c r="T783" s="16"/>
      <c r="U783" s="16"/>
      <c r="V783" s="16">
        <f t="shared" si="151"/>
        <v>0</v>
      </c>
      <c r="W783" s="16"/>
      <c r="X783" s="16"/>
      <c r="Y783" s="16"/>
      <c r="Z783" s="16"/>
      <c r="AA783" s="16"/>
      <c r="AB783" s="16"/>
      <c r="AC783" s="16">
        <f t="shared" si="169"/>
        <v>0</v>
      </c>
      <c r="AD783" s="16"/>
      <c r="AE783" s="16"/>
      <c r="AF783" s="16"/>
      <c r="AG783" s="16"/>
      <c r="AH783" s="16"/>
      <c r="AI783" s="16"/>
      <c r="AJ783" s="16"/>
      <c r="AK783" s="16"/>
      <c r="AL783" s="12">
        <f t="shared" si="192"/>
        <v>0</v>
      </c>
      <c r="AM783" s="16"/>
      <c r="AN783" s="16"/>
      <c r="AO783" s="16"/>
      <c r="AP783" s="16"/>
      <c r="AQ783" s="16"/>
      <c r="AR783" s="16"/>
      <c r="AS783" s="12">
        <f t="shared" si="234"/>
        <v>0</v>
      </c>
      <c r="AV783" s="16"/>
      <c r="AX783" s="16"/>
      <c r="AY783" s="16"/>
      <c r="AZ783" s="16"/>
      <c r="BC783" s="16"/>
      <c r="BD783" s="16"/>
      <c r="BE783" s="16"/>
      <c r="BI783" s="29" t="str">
        <f t="shared" si="268"/>
        <v/>
      </c>
      <c r="BY783" s="6">
        <f t="shared" si="2"/>
        <v>2025</v>
      </c>
      <c r="BZ783" s="6" t="str">
        <f t="shared" si="3"/>
        <v>noviembre</v>
      </c>
      <c r="CA783" s="6" t="str">
        <f t="shared" si="4"/>
        <v>11</v>
      </c>
    </row>
    <row r="784">
      <c r="A784" s="8">
        <v>45991.0</v>
      </c>
      <c r="B784" s="16"/>
      <c r="C784" s="16"/>
      <c r="D784" s="16"/>
      <c r="E784" s="16"/>
      <c r="F784" s="16"/>
      <c r="G784" s="16"/>
      <c r="H784" s="12">
        <f t="shared" si="149"/>
        <v>0</v>
      </c>
      <c r="I784" s="16"/>
      <c r="J784" s="16"/>
      <c r="K784" s="16"/>
      <c r="L784" s="16"/>
      <c r="M784" s="16"/>
      <c r="N784" s="16"/>
      <c r="O784" s="16">
        <f t="shared" si="150"/>
        <v>0</v>
      </c>
      <c r="P784" s="16"/>
      <c r="Q784" s="16"/>
      <c r="R784" s="16"/>
      <c r="S784" s="16"/>
      <c r="T784" s="16"/>
      <c r="U784" s="16"/>
      <c r="V784" s="16">
        <f t="shared" si="151"/>
        <v>0</v>
      </c>
      <c r="W784" s="16"/>
      <c r="X784" s="16"/>
      <c r="Y784" s="16"/>
      <c r="Z784" s="16"/>
      <c r="AA784" s="16"/>
      <c r="AB784" s="16"/>
      <c r="AC784" s="16">
        <f t="shared" si="169"/>
        <v>0</v>
      </c>
      <c r="AD784" s="16"/>
      <c r="AE784" s="16"/>
      <c r="AF784" s="16"/>
      <c r="AG784" s="16"/>
      <c r="AH784" s="16"/>
      <c r="AI784" s="16"/>
      <c r="AJ784" s="16"/>
      <c r="AK784" s="16"/>
      <c r="AL784" s="12">
        <f t="shared" si="192"/>
        <v>0</v>
      </c>
      <c r="AM784" s="16"/>
      <c r="AN784" s="16"/>
      <c r="AO784" s="16"/>
      <c r="AP784" s="16"/>
      <c r="AQ784" s="16"/>
      <c r="AR784" s="16"/>
      <c r="AS784" s="12">
        <f t="shared" si="234"/>
        <v>0</v>
      </c>
      <c r="AV784" s="16"/>
      <c r="AX784" s="16"/>
      <c r="AY784" s="16"/>
      <c r="AZ784" s="16"/>
      <c r="BC784" s="16"/>
      <c r="BD784" s="16"/>
      <c r="BE784" s="16"/>
      <c r="BI784" s="29" t="str">
        <f t="shared" si="268"/>
        <v/>
      </c>
      <c r="BY784" s="6">
        <f t="shared" si="2"/>
        <v>2025</v>
      </c>
      <c r="BZ784" s="6" t="str">
        <f t="shared" si="3"/>
        <v>noviembre</v>
      </c>
      <c r="CA784" s="6" t="str">
        <f t="shared" si="4"/>
        <v>11</v>
      </c>
    </row>
    <row r="785">
      <c r="A785" s="8">
        <v>45992.0</v>
      </c>
      <c r="B785" s="16"/>
      <c r="C785" s="16"/>
      <c r="D785" s="16"/>
      <c r="E785" s="16"/>
      <c r="F785" s="16"/>
      <c r="G785" s="16"/>
      <c r="H785" s="12">
        <f t="shared" si="149"/>
        <v>0</v>
      </c>
      <c r="I785" s="16"/>
      <c r="J785" s="16"/>
      <c r="K785" s="16"/>
      <c r="L785" s="16"/>
      <c r="M785" s="16"/>
      <c r="N785" s="16"/>
      <c r="O785" s="16">
        <f t="shared" si="150"/>
        <v>0</v>
      </c>
      <c r="P785" s="16"/>
      <c r="Q785" s="16"/>
      <c r="R785" s="16"/>
      <c r="S785" s="16"/>
      <c r="T785" s="16"/>
      <c r="U785" s="16"/>
      <c r="V785" s="16">
        <f t="shared" si="151"/>
        <v>0</v>
      </c>
      <c r="W785" s="16"/>
      <c r="X785" s="16"/>
      <c r="Y785" s="16"/>
      <c r="Z785" s="16"/>
      <c r="AA785" s="16"/>
      <c r="AB785" s="16"/>
      <c r="AC785" s="16">
        <f t="shared" si="169"/>
        <v>0</v>
      </c>
      <c r="AD785" s="16"/>
      <c r="AE785" s="16"/>
      <c r="AF785" s="16"/>
      <c r="AG785" s="16"/>
      <c r="AH785" s="16"/>
      <c r="AI785" s="16"/>
      <c r="AJ785" s="16"/>
      <c r="AK785" s="16"/>
      <c r="AL785" s="12">
        <f t="shared" si="192"/>
        <v>0</v>
      </c>
      <c r="AM785" s="16"/>
      <c r="AN785" s="16"/>
      <c r="AO785" s="16"/>
      <c r="AP785" s="16"/>
      <c r="AQ785" s="16"/>
      <c r="AR785" s="16"/>
      <c r="AS785" s="12">
        <f t="shared" si="234"/>
        <v>0</v>
      </c>
      <c r="AV785" s="16"/>
      <c r="AX785" s="16"/>
      <c r="AY785" s="16"/>
      <c r="AZ785" s="16"/>
      <c r="BC785" s="16"/>
      <c r="BD785" s="16"/>
      <c r="BE785" s="16"/>
      <c r="BI785" s="29" t="str">
        <f t="shared" si="268"/>
        <v/>
      </c>
      <c r="BY785" s="6">
        <f t="shared" si="2"/>
        <v>2025</v>
      </c>
      <c r="BZ785" s="6" t="str">
        <f t="shared" si="3"/>
        <v>diciembre</v>
      </c>
      <c r="CA785" s="6" t="str">
        <f t="shared" si="4"/>
        <v>12</v>
      </c>
    </row>
    <row r="786">
      <c r="A786" s="8">
        <v>45993.0</v>
      </c>
      <c r="B786" s="16"/>
      <c r="C786" s="16"/>
      <c r="D786" s="16"/>
      <c r="E786" s="16"/>
      <c r="F786" s="16"/>
      <c r="G786" s="16"/>
      <c r="H786" s="12">
        <f t="shared" si="149"/>
        <v>0</v>
      </c>
      <c r="I786" s="16"/>
      <c r="J786" s="16"/>
      <c r="K786" s="16"/>
      <c r="L786" s="16"/>
      <c r="M786" s="16"/>
      <c r="N786" s="16"/>
      <c r="O786" s="16">
        <f t="shared" si="150"/>
        <v>0</v>
      </c>
      <c r="P786" s="16"/>
      <c r="Q786" s="16"/>
      <c r="R786" s="16"/>
      <c r="S786" s="16"/>
      <c r="T786" s="16"/>
      <c r="U786" s="16"/>
      <c r="V786" s="16">
        <f t="shared" si="151"/>
        <v>0</v>
      </c>
      <c r="W786" s="16"/>
      <c r="X786" s="16"/>
      <c r="Y786" s="16"/>
      <c r="Z786" s="16"/>
      <c r="AA786" s="16"/>
      <c r="AB786" s="16"/>
      <c r="AC786" s="16">
        <f t="shared" si="169"/>
        <v>0</v>
      </c>
      <c r="AD786" s="16"/>
      <c r="AE786" s="16"/>
      <c r="AF786" s="16"/>
      <c r="AG786" s="16"/>
      <c r="AH786" s="16"/>
      <c r="AI786" s="16"/>
      <c r="AJ786" s="16"/>
      <c r="AK786" s="16"/>
      <c r="AL786" s="12">
        <f t="shared" si="192"/>
        <v>0</v>
      </c>
      <c r="AM786" s="16"/>
      <c r="AN786" s="16"/>
      <c r="AO786" s="16"/>
      <c r="AP786" s="16"/>
      <c r="AQ786" s="16"/>
      <c r="AR786" s="16"/>
      <c r="AS786" s="12">
        <f t="shared" si="234"/>
        <v>0</v>
      </c>
      <c r="AV786" s="16"/>
      <c r="AX786" s="16"/>
      <c r="AY786" s="16"/>
      <c r="AZ786" s="16"/>
      <c r="BC786" s="16"/>
      <c r="BD786" s="16"/>
      <c r="BE786" s="16"/>
      <c r="BI786" s="29" t="str">
        <f t="shared" si="268"/>
        <v/>
      </c>
      <c r="BY786" s="6">
        <f t="shared" si="2"/>
        <v>2025</v>
      </c>
      <c r="BZ786" s="6" t="str">
        <f t="shared" si="3"/>
        <v>diciembre</v>
      </c>
      <c r="CA786" s="6" t="str">
        <f t="shared" si="4"/>
        <v>12</v>
      </c>
    </row>
    <row r="787">
      <c r="A787" s="8">
        <v>45994.0</v>
      </c>
      <c r="B787" s="16"/>
      <c r="C787" s="16"/>
      <c r="D787" s="16"/>
      <c r="E787" s="16"/>
      <c r="F787" s="16"/>
      <c r="G787" s="16"/>
      <c r="H787" s="12">
        <f t="shared" si="149"/>
        <v>0</v>
      </c>
      <c r="I787" s="16"/>
      <c r="J787" s="16"/>
      <c r="K787" s="16"/>
      <c r="L787" s="16"/>
      <c r="M787" s="16"/>
      <c r="N787" s="16"/>
      <c r="O787" s="16">
        <f t="shared" si="150"/>
        <v>0</v>
      </c>
      <c r="P787" s="16"/>
      <c r="Q787" s="16"/>
      <c r="R787" s="16"/>
      <c r="S787" s="16"/>
      <c r="T787" s="16"/>
      <c r="U787" s="16"/>
      <c r="V787" s="16">
        <f t="shared" si="151"/>
        <v>0</v>
      </c>
      <c r="W787" s="16"/>
      <c r="X787" s="16"/>
      <c r="Y787" s="16"/>
      <c r="Z787" s="16"/>
      <c r="AA787" s="16"/>
      <c r="AB787" s="16"/>
      <c r="AC787" s="16">
        <f t="shared" si="169"/>
        <v>0</v>
      </c>
      <c r="AD787" s="16"/>
      <c r="AE787" s="16"/>
      <c r="AF787" s="16"/>
      <c r="AG787" s="16"/>
      <c r="AH787" s="16"/>
      <c r="AI787" s="16"/>
      <c r="AJ787" s="16"/>
      <c r="AK787" s="16"/>
      <c r="AL787" s="12">
        <f t="shared" si="192"/>
        <v>0</v>
      </c>
      <c r="AM787" s="16"/>
      <c r="AN787" s="16"/>
      <c r="AO787" s="16"/>
      <c r="AP787" s="16"/>
      <c r="AQ787" s="16"/>
      <c r="AR787" s="16"/>
      <c r="AS787" s="12">
        <f t="shared" si="234"/>
        <v>0</v>
      </c>
      <c r="AV787" s="16"/>
      <c r="AX787" s="16"/>
      <c r="AY787" s="16"/>
      <c r="AZ787" s="16"/>
      <c r="BC787" s="16"/>
      <c r="BD787" s="16"/>
      <c r="BE787" s="16"/>
      <c r="BI787" s="29" t="str">
        <f t="shared" si="268"/>
        <v/>
      </c>
      <c r="BY787" s="6">
        <f t="shared" si="2"/>
        <v>2025</v>
      </c>
      <c r="BZ787" s="6" t="str">
        <f t="shared" si="3"/>
        <v>diciembre</v>
      </c>
      <c r="CA787" s="6" t="str">
        <f t="shared" si="4"/>
        <v>12</v>
      </c>
    </row>
    <row r="788">
      <c r="A788" s="8">
        <v>45995.0</v>
      </c>
      <c r="B788" s="16"/>
      <c r="C788" s="16"/>
      <c r="D788" s="16"/>
      <c r="E788" s="16"/>
      <c r="F788" s="16"/>
      <c r="G788" s="16"/>
      <c r="H788" s="12">
        <f t="shared" si="149"/>
        <v>0</v>
      </c>
      <c r="I788" s="16"/>
      <c r="J788" s="16"/>
      <c r="K788" s="16"/>
      <c r="L788" s="16"/>
      <c r="M788" s="16"/>
      <c r="N788" s="16"/>
      <c r="O788" s="16">
        <f t="shared" si="150"/>
        <v>0</v>
      </c>
      <c r="P788" s="16"/>
      <c r="Q788" s="16"/>
      <c r="R788" s="16"/>
      <c r="S788" s="16"/>
      <c r="T788" s="16"/>
      <c r="U788" s="16"/>
      <c r="V788" s="16">
        <f t="shared" si="151"/>
        <v>0</v>
      </c>
      <c r="W788" s="16"/>
      <c r="X788" s="16"/>
      <c r="Y788" s="16"/>
      <c r="Z788" s="16"/>
      <c r="AA788" s="16"/>
      <c r="AB788" s="16"/>
      <c r="AC788" s="16">
        <f t="shared" si="169"/>
        <v>0</v>
      </c>
      <c r="AD788" s="16"/>
      <c r="AE788" s="16"/>
      <c r="AF788" s="16"/>
      <c r="AG788" s="16"/>
      <c r="AH788" s="16"/>
      <c r="AI788" s="16"/>
      <c r="AJ788" s="16"/>
      <c r="AK788" s="16"/>
      <c r="AL788" s="12">
        <f t="shared" si="192"/>
        <v>0</v>
      </c>
      <c r="AM788" s="16"/>
      <c r="AN788" s="16"/>
      <c r="AO788" s="16"/>
      <c r="AP788" s="16"/>
      <c r="AQ788" s="16"/>
      <c r="AR788" s="16"/>
      <c r="AS788" s="12">
        <f t="shared" si="234"/>
        <v>0</v>
      </c>
      <c r="AV788" s="16"/>
      <c r="AX788" s="16"/>
      <c r="AY788" s="16"/>
      <c r="AZ788" s="16"/>
      <c r="BC788" s="16"/>
      <c r="BD788" s="16"/>
      <c r="BE788" s="16"/>
      <c r="BI788" s="29" t="str">
        <f t="shared" si="268"/>
        <v/>
      </c>
      <c r="BY788" s="6">
        <f t="shared" si="2"/>
        <v>2025</v>
      </c>
      <c r="BZ788" s="6" t="str">
        <f t="shared" si="3"/>
        <v>diciembre</v>
      </c>
      <c r="CA788" s="6" t="str">
        <f t="shared" si="4"/>
        <v>12</v>
      </c>
    </row>
    <row r="789">
      <c r="A789" s="8">
        <v>45996.0</v>
      </c>
      <c r="B789" s="16"/>
      <c r="C789" s="16"/>
      <c r="D789" s="16"/>
      <c r="E789" s="16"/>
      <c r="F789" s="16"/>
      <c r="G789" s="16"/>
      <c r="H789" s="12">
        <f t="shared" si="149"/>
        <v>0</v>
      </c>
      <c r="I789" s="16"/>
      <c r="J789" s="16"/>
      <c r="K789" s="16"/>
      <c r="L789" s="16"/>
      <c r="M789" s="16"/>
      <c r="N789" s="16"/>
      <c r="O789" s="16">
        <f t="shared" si="150"/>
        <v>0</v>
      </c>
      <c r="P789" s="16"/>
      <c r="Q789" s="16"/>
      <c r="R789" s="16"/>
      <c r="S789" s="16"/>
      <c r="T789" s="16"/>
      <c r="U789" s="16"/>
      <c r="V789" s="16">
        <f t="shared" si="151"/>
        <v>0</v>
      </c>
      <c r="W789" s="16"/>
      <c r="X789" s="16"/>
      <c r="Y789" s="16"/>
      <c r="Z789" s="16"/>
      <c r="AA789" s="16"/>
      <c r="AB789" s="16"/>
      <c r="AC789" s="16">
        <f t="shared" si="169"/>
        <v>0</v>
      </c>
      <c r="AD789" s="16"/>
      <c r="AE789" s="16"/>
      <c r="AF789" s="16"/>
      <c r="AG789" s="16"/>
      <c r="AH789" s="16"/>
      <c r="AI789" s="16"/>
      <c r="AJ789" s="16"/>
      <c r="AK789" s="16"/>
      <c r="AL789" s="12">
        <f t="shared" si="192"/>
        <v>0</v>
      </c>
      <c r="AM789" s="16"/>
      <c r="AN789" s="16"/>
      <c r="AO789" s="16"/>
      <c r="AP789" s="16"/>
      <c r="AQ789" s="16"/>
      <c r="AR789" s="16"/>
      <c r="AS789" s="12">
        <f t="shared" si="234"/>
        <v>0</v>
      </c>
      <c r="AV789" s="16"/>
      <c r="AX789" s="16"/>
      <c r="AY789" s="16"/>
      <c r="AZ789" s="16"/>
      <c r="BC789" s="16"/>
      <c r="BD789" s="16"/>
      <c r="BE789" s="16"/>
      <c r="BI789" s="29" t="str">
        <f t="shared" si="268"/>
        <v/>
      </c>
      <c r="BY789" s="6">
        <f t="shared" si="2"/>
        <v>2025</v>
      </c>
      <c r="BZ789" s="6" t="str">
        <f t="shared" si="3"/>
        <v>diciembre</v>
      </c>
      <c r="CA789" s="6" t="str">
        <f t="shared" si="4"/>
        <v>12</v>
      </c>
    </row>
    <row r="790">
      <c r="A790" s="8">
        <v>45997.0</v>
      </c>
      <c r="B790" s="16"/>
      <c r="C790" s="16"/>
      <c r="D790" s="16"/>
      <c r="E790" s="16"/>
      <c r="F790" s="16"/>
      <c r="G790" s="16"/>
      <c r="H790" s="12">
        <f t="shared" si="149"/>
        <v>0</v>
      </c>
      <c r="I790" s="16"/>
      <c r="J790" s="16"/>
      <c r="K790" s="16"/>
      <c r="L790" s="16"/>
      <c r="M790" s="16"/>
      <c r="N790" s="16"/>
      <c r="O790" s="16">
        <f t="shared" si="150"/>
        <v>0</v>
      </c>
      <c r="P790" s="16"/>
      <c r="Q790" s="16"/>
      <c r="R790" s="16"/>
      <c r="S790" s="16"/>
      <c r="T790" s="16"/>
      <c r="U790" s="16"/>
      <c r="V790" s="16">
        <f t="shared" si="151"/>
        <v>0</v>
      </c>
      <c r="W790" s="16"/>
      <c r="X790" s="16"/>
      <c r="Y790" s="16"/>
      <c r="Z790" s="16"/>
      <c r="AA790" s="16"/>
      <c r="AB790" s="16"/>
      <c r="AC790" s="16">
        <f t="shared" si="169"/>
        <v>0</v>
      </c>
      <c r="AD790" s="16"/>
      <c r="AE790" s="16"/>
      <c r="AF790" s="16"/>
      <c r="AG790" s="16"/>
      <c r="AH790" s="16"/>
      <c r="AI790" s="16"/>
      <c r="AJ790" s="16"/>
      <c r="AK790" s="16"/>
      <c r="AL790" s="12">
        <f t="shared" si="192"/>
        <v>0</v>
      </c>
      <c r="AM790" s="16"/>
      <c r="AN790" s="16"/>
      <c r="AO790" s="16"/>
      <c r="AP790" s="16"/>
      <c r="AQ790" s="16"/>
      <c r="AR790" s="16"/>
      <c r="AS790" s="12">
        <f t="shared" si="234"/>
        <v>0</v>
      </c>
      <c r="AV790" s="16"/>
      <c r="AX790" s="16"/>
      <c r="AY790" s="16"/>
      <c r="AZ790" s="16"/>
      <c r="BC790" s="16"/>
      <c r="BD790" s="16"/>
      <c r="BE790" s="16"/>
      <c r="BI790" s="29" t="str">
        <f t="shared" si="268"/>
        <v/>
      </c>
      <c r="BY790" s="6">
        <f t="shared" si="2"/>
        <v>2025</v>
      </c>
      <c r="BZ790" s="6" t="str">
        <f t="shared" si="3"/>
        <v>diciembre</v>
      </c>
      <c r="CA790" s="6" t="str">
        <f t="shared" si="4"/>
        <v>12</v>
      </c>
    </row>
    <row r="791">
      <c r="A791" s="8">
        <v>45998.0</v>
      </c>
      <c r="B791" s="16"/>
      <c r="C791" s="16"/>
      <c r="D791" s="16"/>
      <c r="E791" s="16"/>
      <c r="F791" s="16"/>
      <c r="G791" s="16"/>
      <c r="H791" s="12">
        <f t="shared" si="149"/>
        <v>0</v>
      </c>
      <c r="I791" s="16"/>
      <c r="J791" s="16"/>
      <c r="K791" s="16"/>
      <c r="L791" s="16"/>
      <c r="M791" s="16"/>
      <c r="N791" s="16"/>
      <c r="O791" s="16">
        <f t="shared" si="150"/>
        <v>0</v>
      </c>
      <c r="P791" s="16"/>
      <c r="Q791" s="16"/>
      <c r="R791" s="16"/>
      <c r="S791" s="16"/>
      <c r="T791" s="16"/>
      <c r="U791" s="16"/>
      <c r="V791" s="16">
        <f t="shared" si="151"/>
        <v>0</v>
      </c>
      <c r="W791" s="16"/>
      <c r="X791" s="16"/>
      <c r="Y791" s="16"/>
      <c r="Z791" s="16"/>
      <c r="AA791" s="16"/>
      <c r="AB791" s="16"/>
      <c r="AC791" s="16">
        <f t="shared" si="169"/>
        <v>0</v>
      </c>
      <c r="AD791" s="16"/>
      <c r="AE791" s="16"/>
      <c r="AF791" s="16"/>
      <c r="AG791" s="16"/>
      <c r="AH791" s="16"/>
      <c r="AI791" s="16"/>
      <c r="AJ791" s="16"/>
      <c r="AK791" s="16"/>
      <c r="AL791" s="12">
        <f t="shared" si="192"/>
        <v>0</v>
      </c>
      <c r="AM791" s="16"/>
      <c r="AN791" s="16"/>
      <c r="AO791" s="16"/>
      <c r="AP791" s="16"/>
      <c r="AQ791" s="16"/>
      <c r="AR791" s="16"/>
      <c r="AS791" s="12">
        <f t="shared" si="234"/>
        <v>0</v>
      </c>
      <c r="AV791" s="16"/>
      <c r="AX791" s="16"/>
      <c r="AY791" s="16"/>
      <c r="AZ791" s="16"/>
      <c r="BC791" s="16"/>
      <c r="BD791" s="16"/>
      <c r="BE791" s="16"/>
      <c r="BI791" s="29" t="str">
        <f t="shared" si="268"/>
        <v/>
      </c>
      <c r="BY791" s="6">
        <f t="shared" si="2"/>
        <v>2025</v>
      </c>
      <c r="BZ791" s="6" t="str">
        <f t="shared" si="3"/>
        <v>diciembre</v>
      </c>
      <c r="CA791" s="6" t="str">
        <f t="shared" si="4"/>
        <v>12</v>
      </c>
    </row>
    <row r="792">
      <c r="A792" s="8">
        <v>45999.0</v>
      </c>
      <c r="B792" s="16"/>
      <c r="C792" s="16"/>
      <c r="D792" s="16"/>
      <c r="E792" s="16"/>
      <c r="F792" s="16"/>
      <c r="G792" s="16"/>
      <c r="H792" s="12">
        <f t="shared" si="149"/>
        <v>0</v>
      </c>
      <c r="I792" s="16"/>
      <c r="J792" s="16"/>
      <c r="K792" s="16"/>
      <c r="L792" s="16"/>
      <c r="M792" s="16"/>
      <c r="N792" s="16"/>
      <c r="O792" s="16">
        <f t="shared" si="150"/>
        <v>0</v>
      </c>
      <c r="P792" s="16"/>
      <c r="Q792" s="16"/>
      <c r="R792" s="16"/>
      <c r="S792" s="16"/>
      <c r="T792" s="16"/>
      <c r="U792" s="16"/>
      <c r="V792" s="16">
        <f t="shared" si="151"/>
        <v>0</v>
      </c>
      <c r="W792" s="16"/>
      <c r="X792" s="16"/>
      <c r="Y792" s="16"/>
      <c r="Z792" s="16"/>
      <c r="AA792" s="16"/>
      <c r="AB792" s="16"/>
      <c r="AC792" s="16">
        <f t="shared" si="169"/>
        <v>0</v>
      </c>
      <c r="AD792" s="16"/>
      <c r="AE792" s="16"/>
      <c r="AF792" s="16"/>
      <c r="AG792" s="16"/>
      <c r="AH792" s="16"/>
      <c r="AI792" s="16"/>
      <c r="AJ792" s="16"/>
      <c r="AK792" s="16"/>
      <c r="AL792" s="12">
        <f t="shared" si="192"/>
        <v>0</v>
      </c>
      <c r="AM792" s="16"/>
      <c r="AN792" s="16"/>
      <c r="AO792" s="16"/>
      <c r="AP792" s="16"/>
      <c r="AQ792" s="16"/>
      <c r="AR792" s="16"/>
      <c r="AS792" s="12">
        <f t="shared" si="234"/>
        <v>0</v>
      </c>
      <c r="AV792" s="16"/>
      <c r="AX792" s="16"/>
      <c r="AY792" s="16"/>
      <c r="AZ792" s="16"/>
      <c r="BC792" s="16"/>
      <c r="BD792" s="16"/>
      <c r="BE792" s="16"/>
      <c r="BI792" s="29" t="str">
        <f t="shared" si="268"/>
        <v/>
      </c>
      <c r="BY792" s="6">
        <f t="shared" si="2"/>
        <v>2025</v>
      </c>
      <c r="BZ792" s="6" t="str">
        <f t="shared" si="3"/>
        <v>diciembre</v>
      </c>
      <c r="CA792" s="6" t="str">
        <f t="shared" si="4"/>
        <v>12</v>
      </c>
    </row>
    <row r="793">
      <c r="A793" s="8">
        <v>46000.0</v>
      </c>
      <c r="B793" s="16"/>
      <c r="C793" s="16"/>
      <c r="D793" s="16"/>
      <c r="E793" s="16"/>
      <c r="F793" s="16"/>
      <c r="G793" s="16"/>
      <c r="H793" s="12">
        <f t="shared" si="149"/>
        <v>0</v>
      </c>
      <c r="I793" s="16"/>
      <c r="J793" s="16"/>
      <c r="K793" s="16"/>
      <c r="L793" s="16"/>
      <c r="M793" s="16"/>
      <c r="N793" s="16"/>
      <c r="O793" s="16">
        <f t="shared" si="150"/>
        <v>0</v>
      </c>
      <c r="P793" s="16"/>
      <c r="Q793" s="16"/>
      <c r="R793" s="16"/>
      <c r="S793" s="16"/>
      <c r="T793" s="16"/>
      <c r="U793" s="16"/>
      <c r="V793" s="16">
        <f t="shared" si="151"/>
        <v>0</v>
      </c>
      <c r="W793" s="16"/>
      <c r="X793" s="16"/>
      <c r="Y793" s="16"/>
      <c r="Z793" s="16"/>
      <c r="AA793" s="16"/>
      <c r="AB793" s="16"/>
      <c r="AC793" s="16">
        <f t="shared" si="169"/>
        <v>0</v>
      </c>
      <c r="AD793" s="16"/>
      <c r="AE793" s="16"/>
      <c r="AF793" s="16"/>
      <c r="AG793" s="16"/>
      <c r="AH793" s="16"/>
      <c r="AI793" s="16"/>
      <c r="AJ793" s="16"/>
      <c r="AK793" s="16"/>
      <c r="AL793" s="12">
        <f t="shared" si="192"/>
        <v>0</v>
      </c>
      <c r="AM793" s="16"/>
      <c r="AN793" s="16"/>
      <c r="AO793" s="16"/>
      <c r="AP793" s="16"/>
      <c r="AQ793" s="16"/>
      <c r="AR793" s="16"/>
      <c r="AS793" s="12">
        <f t="shared" si="234"/>
        <v>0</v>
      </c>
      <c r="AV793" s="16"/>
      <c r="AX793" s="16"/>
      <c r="AY793" s="16"/>
      <c r="AZ793" s="16"/>
      <c r="BC793" s="16"/>
      <c r="BD793" s="16"/>
      <c r="BE793" s="16"/>
      <c r="BI793" s="29" t="str">
        <f t="shared" si="268"/>
        <v/>
      </c>
      <c r="BY793" s="6">
        <f t="shared" si="2"/>
        <v>2025</v>
      </c>
      <c r="BZ793" s="6" t="str">
        <f t="shared" si="3"/>
        <v>diciembre</v>
      </c>
      <c r="CA793" s="6" t="str">
        <f t="shared" si="4"/>
        <v>12</v>
      </c>
    </row>
    <row r="794">
      <c r="A794" s="8">
        <v>46001.0</v>
      </c>
      <c r="B794" s="16"/>
      <c r="C794" s="16"/>
      <c r="D794" s="16"/>
      <c r="E794" s="16"/>
      <c r="F794" s="16"/>
      <c r="G794" s="16"/>
      <c r="H794" s="12">
        <f t="shared" si="149"/>
        <v>0</v>
      </c>
      <c r="I794" s="16"/>
      <c r="J794" s="16"/>
      <c r="K794" s="16"/>
      <c r="L794" s="16"/>
      <c r="M794" s="16"/>
      <c r="N794" s="16"/>
      <c r="O794" s="16">
        <f t="shared" si="150"/>
        <v>0</v>
      </c>
      <c r="P794" s="16"/>
      <c r="Q794" s="16"/>
      <c r="R794" s="16"/>
      <c r="S794" s="16"/>
      <c r="T794" s="16"/>
      <c r="U794" s="16"/>
      <c r="V794" s="16">
        <f t="shared" si="151"/>
        <v>0</v>
      </c>
      <c r="W794" s="16"/>
      <c r="X794" s="16"/>
      <c r="Y794" s="16"/>
      <c r="Z794" s="16"/>
      <c r="AA794" s="16"/>
      <c r="AB794" s="16"/>
      <c r="AC794" s="16">
        <f t="shared" si="169"/>
        <v>0</v>
      </c>
      <c r="AD794" s="16"/>
      <c r="AE794" s="16"/>
      <c r="AF794" s="16"/>
      <c r="AG794" s="16"/>
      <c r="AH794" s="16"/>
      <c r="AI794" s="16"/>
      <c r="AJ794" s="16"/>
      <c r="AK794" s="16"/>
      <c r="AL794" s="12">
        <f t="shared" si="192"/>
        <v>0</v>
      </c>
      <c r="AM794" s="16"/>
      <c r="AN794" s="16"/>
      <c r="AO794" s="16"/>
      <c r="AP794" s="16"/>
      <c r="AQ794" s="16"/>
      <c r="AR794" s="16"/>
      <c r="AS794" s="12">
        <f t="shared" si="234"/>
        <v>0</v>
      </c>
      <c r="AV794" s="16"/>
      <c r="AX794" s="16"/>
      <c r="AY794" s="16"/>
      <c r="AZ794" s="16"/>
      <c r="BC794" s="16"/>
      <c r="BD794" s="16"/>
      <c r="BE794" s="16"/>
      <c r="BI794" s="29" t="str">
        <f t="shared" si="268"/>
        <v/>
      </c>
      <c r="BY794" s="6">
        <f t="shared" si="2"/>
        <v>2025</v>
      </c>
      <c r="BZ794" s="6" t="str">
        <f t="shared" si="3"/>
        <v>diciembre</v>
      </c>
      <c r="CA794" s="6" t="str">
        <f t="shared" si="4"/>
        <v>12</v>
      </c>
    </row>
    <row r="795">
      <c r="A795" s="8">
        <v>46002.0</v>
      </c>
      <c r="B795" s="16"/>
      <c r="C795" s="16"/>
      <c r="D795" s="16"/>
      <c r="E795" s="16"/>
      <c r="F795" s="16"/>
      <c r="G795" s="16"/>
      <c r="H795" s="12">
        <f t="shared" si="149"/>
        <v>0</v>
      </c>
      <c r="I795" s="16"/>
      <c r="J795" s="16"/>
      <c r="K795" s="16"/>
      <c r="L795" s="16"/>
      <c r="M795" s="16"/>
      <c r="N795" s="16"/>
      <c r="O795" s="16">
        <f t="shared" si="150"/>
        <v>0</v>
      </c>
      <c r="P795" s="16"/>
      <c r="Q795" s="16"/>
      <c r="R795" s="16"/>
      <c r="S795" s="16"/>
      <c r="T795" s="16"/>
      <c r="U795" s="16"/>
      <c r="V795" s="16">
        <f t="shared" si="151"/>
        <v>0</v>
      </c>
      <c r="W795" s="16"/>
      <c r="X795" s="16"/>
      <c r="Y795" s="16"/>
      <c r="Z795" s="16"/>
      <c r="AA795" s="16"/>
      <c r="AB795" s="16"/>
      <c r="AC795" s="16">
        <f t="shared" si="169"/>
        <v>0</v>
      </c>
      <c r="AD795" s="16"/>
      <c r="AE795" s="16"/>
      <c r="AF795" s="16"/>
      <c r="AG795" s="16"/>
      <c r="AH795" s="16"/>
      <c r="AI795" s="16"/>
      <c r="AJ795" s="16"/>
      <c r="AK795" s="16"/>
      <c r="AL795" s="12">
        <f t="shared" si="192"/>
        <v>0</v>
      </c>
      <c r="AM795" s="16"/>
      <c r="AN795" s="16"/>
      <c r="AO795" s="16"/>
      <c r="AP795" s="16"/>
      <c r="AQ795" s="16"/>
      <c r="AR795" s="16"/>
      <c r="AS795" s="12">
        <f t="shared" si="234"/>
        <v>0</v>
      </c>
      <c r="AV795" s="16"/>
      <c r="AX795" s="16"/>
      <c r="AY795" s="16"/>
      <c r="AZ795" s="16"/>
      <c r="BC795" s="16"/>
      <c r="BD795" s="16"/>
      <c r="BE795" s="16"/>
      <c r="BI795" s="29" t="str">
        <f t="shared" si="268"/>
        <v/>
      </c>
      <c r="BY795" s="6">
        <f t="shared" si="2"/>
        <v>2025</v>
      </c>
      <c r="BZ795" s="6" t="str">
        <f t="shared" si="3"/>
        <v>diciembre</v>
      </c>
      <c r="CA795" s="6" t="str">
        <f t="shared" si="4"/>
        <v>12</v>
      </c>
    </row>
    <row r="796">
      <c r="A796" s="8">
        <v>46003.0</v>
      </c>
      <c r="B796" s="16"/>
      <c r="C796" s="16"/>
      <c r="D796" s="16"/>
      <c r="E796" s="16"/>
      <c r="F796" s="16"/>
      <c r="G796" s="16"/>
      <c r="H796" s="12">
        <f t="shared" si="149"/>
        <v>0</v>
      </c>
      <c r="I796" s="16"/>
      <c r="J796" s="16"/>
      <c r="K796" s="16"/>
      <c r="L796" s="16"/>
      <c r="M796" s="16"/>
      <c r="N796" s="16"/>
      <c r="O796" s="16">
        <f t="shared" si="150"/>
        <v>0</v>
      </c>
      <c r="P796" s="16"/>
      <c r="Q796" s="16"/>
      <c r="R796" s="16"/>
      <c r="S796" s="16"/>
      <c r="T796" s="16"/>
      <c r="U796" s="16"/>
      <c r="V796" s="16">
        <f t="shared" si="151"/>
        <v>0</v>
      </c>
      <c r="W796" s="16"/>
      <c r="X796" s="16"/>
      <c r="Y796" s="16"/>
      <c r="Z796" s="16"/>
      <c r="AA796" s="16"/>
      <c r="AB796" s="16"/>
      <c r="AC796" s="16">
        <f t="shared" si="169"/>
        <v>0</v>
      </c>
      <c r="AD796" s="16"/>
      <c r="AE796" s="16"/>
      <c r="AF796" s="16"/>
      <c r="AG796" s="16"/>
      <c r="AH796" s="16"/>
      <c r="AI796" s="16"/>
      <c r="AJ796" s="16"/>
      <c r="AK796" s="16"/>
      <c r="AL796" s="12">
        <f t="shared" si="192"/>
        <v>0</v>
      </c>
      <c r="AM796" s="16"/>
      <c r="AN796" s="16"/>
      <c r="AO796" s="16"/>
      <c r="AP796" s="16"/>
      <c r="AQ796" s="16"/>
      <c r="AR796" s="16"/>
      <c r="AS796" s="12">
        <f t="shared" si="234"/>
        <v>0</v>
      </c>
      <c r="AV796" s="16"/>
      <c r="AX796" s="16"/>
      <c r="AY796" s="16"/>
      <c r="AZ796" s="16"/>
      <c r="BC796" s="16"/>
      <c r="BD796" s="16"/>
      <c r="BE796" s="16"/>
      <c r="BI796" s="29" t="str">
        <f t="shared" si="268"/>
        <v/>
      </c>
      <c r="BY796" s="6">
        <f t="shared" si="2"/>
        <v>2025</v>
      </c>
      <c r="BZ796" s="6" t="str">
        <f t="shared" si="3"/>
        <v>diciembre</v>
      </c>
      <c r="CA796" s="6" t="str">
        <f t="shared" si="4"/>
        <v>12</v>
      </c>
    </row>
    <row r="797">
      <c r="A797" s="8">
        <v>46004.0</v>
      </c>
      <c r="B797" s="16"/>
      <c r="C797" s="16"/>
      <c r="D797" s="16"/>
      <c r="E797" s="16"/>
      <c r="F797" s="16"/>
      <c r="G797" s="16"/>
      <c r="H797" s="12">
        <f t="shared" si="149"/>
        <v>0</v>
      </c>
      <c r="I797" s="16"/>
      <c r="J797" s="16"/>
      <c r="K797" s="16"/>
      <c r="L797" s="16"/>
      <c r="M797" s="16"/>
      <c r="N797" s="16"/>
      <c r="O797" s="16">
        <f t="shared" si="150"/>
        <v>0</v>
      </c>
      <c r="P797" s="16"/>
      <c r="Q797" s="16"/>
      <c r="R797" s="16"/>
      <c r="S797" s="16"/>
      <c r="T797" s="16"/>
      <c r="U797" s="16"/>
      <c r="V797" s="16">
        <f t="shared" si="151"/>
        <v>0</v>
      </c>
      <c r="W797" s="16"/>
      <c r="X797" s="16"/>
      <c r="Y797" s="16"/>
      <c r="Z797" s="16"/>
      <c r="AA797" s="16"/>
      <c r="AB797" s="16"/>
      <c r="AC797" s="16">
        <f t="shared" si="169"/>
        <v>0</v>
      </c>
      <c r="AD797" s="16"/>
      <c r="AE797" s="16"/>
      <c r="AF797" s="16"/>
      <c r="AG797" s="16"/>
      <c r="AH797" s="16"/>
      <c r="AI797" s="16"/>
      <c r="AJ797" s="16"/>
      <c r="AK797" s="16"/>
      <c r="AL797" s="12">
        <f t="shared" si="192"/>
        <v>0</v>
      </c>
      <c r="AM797" s="16"/>
      <c r="AN797" s="16"/>
      <c r="AO797" s="16"/>
      <c r="AP797" s="16"/>
      <c r="AQ797" s="16"/>
      <c r="AR797" s="16"/>
      <c r="AS797" s="12">
        <f t="shared" si="234"/>
        <v>0</v>
      </c>
      <c r="AV797" s="16"/>
      <c r="AX797" s="16"/>
      <c r="AY797" s="16"/>
      <c r="AZ797" s="16"/>
      <c r="BC797" s="16"/>
      <c r="BD797" s="16"/>
      <c r="BE797" s="16"/>
      <c r="BI797" s="29" t="str">
        <f t="shared" si="268"/>
        <v/>
      </c>
      <c r="BY797" s="6">
        <f t="shared" si="2"/>
        <v>2025</v>
      </c>
      <c r="BZ797" s="6" t="str">
        <f t="shared" si="3"/>
        <v>diciembre</v>
      </c>
      <c r="CA797" s="6" t="str">
        <f t="shared" si="4"/>
        <v>12</v>
      </c>
    </row>
    <row r="798">
      <c r="A798" s="8">
        <v>46005.0</v>
      </c>
      <c r="B798" s="16"/>
      <c r="C798" s="16"/>
      <c r="D798" s="16"/>
      <c r="E798" s="16"/>
      <c r="F798" s="16"/>
      <c r="G798" s="16"/>
      <c r="H798" s="12">
        <f t="shared" si="149"/>
        <v>0</v>
      </c>
      <c r="I798" s="16"/>
      <c r="J798" s="16"/>
      <c r="K798" s="16"/>
      <c r="L798" s="16"/>
      <c r="M798" s="16"/>
      <c r="N798" s="16"/>
      <c r="O798" s="16">
        <f t="shared" si="150"/>
        <v>0</v>
      </c>
      <c r="P798" s="16"/>
      <c r="Q798" s="16"/>
      <c r="R798" s="16"/>
      <c r="S798" s="16"/>
      <c r="T798" s="16"/>
      <c r="U798" s="16"/>
      <c r="V798" s="16">
        <f t="shared" si="151"/>
        <v>0</v>
      </c>
      <c r="W798" s="16"/>
      <c r="X798" s="16"/>
      <c r="Y798" s="16"/>
      <c r="Z798" s="16"/>
      <c r="AA798" s="16"/>
      <c r="AB798" s="16"/>
      <c r="AC798" s="16">
        <f t="shared" si="169"/>
        <v>0</v>
      </c>
      <c r="AD798" s="16"/>
      <c r="AE798" s="16"/>
      <c r="AF798" s="16"/>
      <c r="AG798" s="16"/>
      <c r="AH798" s="16"/>
      <c r="AI798" s="16"/>
      <c r="AJ798" s="16"/>
      <c r="AK798" s="16"/>
      <c r="AL798" s="12">
        <f t="shared" si="192"/>
        <v>0</v>
      </c>
      <c r="AM798" s="16"/>
      <c r="AN798" s="16"/>
      <c r="AO798" s="16"/>
      <c r="AP798" s="16"/>
      <c r="AQ798" s="16"/>
      <c r="AR798" s="16"/>
      <c r="AS798" s="12">
        <f t="shared" si="234"/>
        <v>0</v>
      </c>
      <c r="AV798" s="16"/>
      <c r="AX798" s="16"/>
      <c r="AY798" s="16"/>
      <c r="AZ798" s="16"/>
      <c r="BC798" s="16"/>
      <c r="BD798" s="16"/>
      <c r="BE798" s="16"/>
      <c r="BI798" s="29" t="str">
        <f t="shared" si="268"/>
        <v/>
      </c>
      <c r="BY798" s="6">
        <f t="shared" si="2"/>
        <v>2025</v>
      </c>
      <c r="BZ798" s="6" t="str">
        <f t="shared" si="3"/>
        <v>diciembre</v>
      </c>
      <c r="CA798" s="6" t="str">
        <f t="shared" si="4"/>
        <v>12</v>
      </c>
    </row>
    <row r="799">
      <c r="A799" s="8">
        <v>46006.0</v>
      </c>
      <c r="B799" s="16"/>
      <c r="C799" s="16"/>
      <c r="D799" s="16"/>
      <c r="E799" s="16"/>
      <c r="F799" s="16"/>
      <c r="G799" s="16"/>
      <c r="H799" s="12">
        <f t="shared" si="149"/>
        <v>0</v>
      </c>
      <c r="I799" s="16"/>
      <c r="J799" s="16"/>
      <c r="K799" s="16"/>
      <c r="L799" s="16"/>
      <c r="M799" s="16"/>
      <c r="N799" s="16"/>
      <c r="O799" s="16">
        <f t="shared" si="150"/>
        <v>0</v>
      </c>
      <c r="P799" s="16"/>
      <c r="Q799" s="16"/>
      <c r="R799" s="16"/>
      <c r="S799" s="16"/>
      <c r="T799" s="16"/>
      <c r="U799" s="16"/>
      <c r="V799" s="16">
        <f t="shared" si="151"/>
        <v>0</v>
      </c>
      <c r="W799" s="16"/>
      <c r="X799" s="16"/>
      <c r="Y799" s="16"/>
      <c r="Z799" s="16"/>
      <c r="AA799" s="16"/>
      <c r="AB799" s="16"/>
      <c r="AC799" s="16">
        <f t="shared" si="169"/>
        <v>0</v>
      </c>
      <c r="AD799" s="16"/>
      <c r="AE799" s="16"/>
      <c r="AF799" s="16"/>
      <c r="AG799" s="16"/>
      <c r="AH799" s="16"/>
      <c r="AI799" s="16"/>
      <c r="AJ799" s="16"/>
      <c r="AK799" s="16"/>
      <c r="AL799" s="12">
        <f t="shared" si="192"/>
        <v>0</v>
      </c>
      <c r="AM799" s="16"/>
      <c r="AN799" s="16"/>
      <c r="AO799" s="16"/>
      <c r="AP799" s="16"/>
      <c r="AQ799" s="16"/>
      <c r="AR799" s="16"/>
      <c r="AS799" s="12">
        <f t="shared" si="234"/>
        <v>0</v>
      </c>
      <c r="AV799" s="16"/>
      <c r="AX799" s="16"/>
      <c r="AY799" s="16"/>
      <c r="AZ799" s="16"/>
      <c r="BC799" s="16"/>
      <c r="BD799" s="16"/>
      <c r="BE799" s="16"/>
      <c r="BI799" s="29" t="str">
        <f t="shared" si="268"/>
        <v/>
      </c>
      <c r="BY799" s="6">
        <f t="shared" si="2"/>
        <v>2025</v>
      </c>
      <c r="BZ799" s="6" t="str">
        <f t="shared" si="3"/>
        <v>diciembre</v>
      </c>
      <c r="CA799" s="6" t="str">
        <f t="shared" si="4"/>
        <v>12</v>
      </c>
    </row>
    <row r="800">
      <c r="A800" s="8">
        <v>46007.0</v>
      </c>
      <c r="B800" s="16"/>
      <c r="C800" s="16"/>
      <c r="D800" s="16"/>
      <c r="E800" s="16"/>
      <c r="F800" s="16"/>
      <c r="G800" s="16"/>
      <c r="H800" s="12">
        <f t="shared" si="149"/>
        <v>0</v>
      </c>
      <c r="I800" s="16"/>
      <c r="J800" s="16"/>
      <c r="K800" s="16"/>
      <c r="L800" s="16"/>
      <c r="M800" s="16"/>
      <c r="N800" s="16"/>
      <c r="O800" s="16">
        <f t="shared" si="150"/>
        <v>0</v>
      </c>
      <c r="P800" s="16"/>
      <c r="Q800" s="16"/>
      <c r="R800" s="16"/>
      <c r="S800" s="16"/>
      <c r="T800" s="16"/>
      <c r="U800" s="16"/>
      <c r="V800" s="16">
        <f t="shared" si="151"/>
        <v>0</v>
      </c>
      <c r="W800" s="16"/>
      <c r="X800" s="16"/>
      <c r="Y800" s="16"/>
      <c r="Z800" s="16"/>
      <c r="AA800" s="16"/>
      <c r="AB800" s="16"/>
      <c r="AC800" s="16">
        <f t="shared" si="169"/>
        <v>0</v>
      </c>
      <c r="AD800" s="16"/>
      <c r="AE800" s="16"/>
      <c r="AF800" s="16"/>
      <c r="AG800" s="16"/>
      <c r="AH800" s="16"/>
      <c r="AI800" s="16"/>
      <c r="AJ800" s="16"/>
      <c r="AK800" s="16"/>
      <c r="AL800" s="12">
        <f t="shared" si="192"/>
        <v>0</v>
      </c>
      <c r="AM800" s="16"/>
      <c r="AN800" s="16"/>
      <c r="AO800" s="16"/>
      <c r="AP800" s="16"/>
      <c r="AQ800" s="16"/>
      <c r="AR800" s="16"/>
      <c r="AS800" s="12">
        <f t="shared" si="234"/>
        <v>0</v>
      </c>
      <c r="AV800" s="16"/>
      <c r="AX800" s="16"/>
      <c r="AY800" s="16"/>
      <c r="AZ800" s="16"/>
      <c r="BC800" s="16"/>
      <c r="BD800" s="16"/>
      <c r="BE800" s="16"/>
      <c r="BI800" s="29" t="str">
        <f t="shared" si="268"/>
        <v/>
      </c>
      <c r="BY800" s="6">
        <f t="shared" si="2"/>
        <v>2025</v>
      </c>
      <c r="BZ800" s="6" t="str">
        <f t="shared" si="3"/>
        <v>diciembre</v>
      </c>
      <c r="CA800" s="6" t="str">
        <f t="shared" si="4"/>
        <v>12</v>
      </c>
    </row>
    <row r="801">
      <c r="A801" s="8">
        <v>46008.0</v>
      </c>
      <c r="B801" s="16"/>
      <c r="C801" s="16"/>
      <c r="D801" s="16"/>
      <c r="E801" s="16"/>
      <c r="F801" s="16"/>
      <c r="G801" s="16"/>
      <c r="H801" s="12">
        <f t="shared" si="149"/>
        <v>0</v>
      </c>
      <c r="I801" s="16"/>
      <c r="J801" s="16"/>
      <c r="K801" s="16"/>
      <c r="L801" s="16"/>
      <c r="M801" s="16"/>
      <c r="N801" s="16"/>
      <c r="O801" s="16">
        <f t="shared" si="150"/>
        <v>0</v>
      </c>
      <c r="P801" s="16"/>
      <c r="Q801" s="16"/>
      <c r="R801" s="16"/>
      <c r="S801" s="16"/>
      <c r="T801" s="16"/>
      <c r="U801" s="16"/>
      <c r="V801" s="16">
        <f t="shared" si="151"/>
        <v>0</v>
      </c>
      <c r="W801" s="16"/>
      <c r="X801" s="16"/>
      <c r="Y801" s="16"/>
      <c r="Z801" s="16"/>
      <c r="AA801" s="16"/>
      <c r="AB801" s="16"/>
      <c r="AC801" s="16">
        <f t="shared" si="169"/>
        <v>0</v>
      </c>
      <c r="AD801" s="16"/>
      <c r="AE801" s="16"/>
      <c r="AF801" s="16"/>
      <c r="AG801" s="16"/>
      <c r="AH801" s="16"/>
      <c r="AI801" s="16"/>
      <c r="AJ801" s="16"/>
      <c r="AK801" s="16"/>
      <c r="AL801" s="12">
        <f t="shared" si="192"/>
        <v>0</v>
      </c>
      <c r="AM801" s="16"/>
      <c r="AN801" s="16"/>
      <c r="AO801" s="16"/>
      <c r="AP801" s="16"/>
      <c r="AQ801" s="16"/>
      <c r="AR801" s="16"/>
      <c r="AS801" s="12">
        <f t="shared" si="234"/>
        <v>0</v>
      </c>
      <c r="AV801" s="16"/>
      <c r="AX801" s="16"/>
      <c r="AY801" s="16"/>
      <c r="AZ801" s="16"/>
      <c r="BC801" s="16"/>
      <c r="BD801" s="16"/>
      <c r="BE801" s="16"/>
      <c r="BI801" s="29" t="str">
        <f t="shared" si="268"/>
        <v/>
      </c>
      <c r="BY801" s="6">
        <f t="shared" si="2"/>
        <v>2025</v>
      </c>
      <c r="BZ801" s="6" t="str">
        <f t="shared" si="3"/>
        <v>diciembre</v>
      </c>
      <c r="CA801" s="6" t="str">
        <f t="shared" si="4"/>
        <v>12</v>
      </c>
    </row>
    <row r="802">
      <c r="A802" s="8">
        <v>46009.0</v>
      </c>
      <c r="B802" s="16"/>
      <c r="C802" s="16"/>
      <c r="D802" s="16"/>
      <c r="E802" s="16"/>
      <c r="F802" s="16"/>
      <c r="G802" s="16"/>
      <c r="H802" s="12">
        <f t="shared" si="149"/>
        <v>0</v>
      </c>
      <c r="I802" s="16"/>
      <c r="J802" s="16"/>
      <c r="K802" s="16"/>
      <c r="L802" s="16"/>
      <c r="M802" s="16"/>
      <c r="N802" s="16"/>
      <c r="O802" s="16">
        <f t="shared" si="150"/>
        <v>0</v>
      </c>
      <c r="P802" s="16"/>
      <c r="Q802" s="16"/>
      <c r="R802" s="16"/>
      <c r="S802" s="16"/>
      <c r="T802" s="16"/>
      <c r="U802" s="16"/>
      <c r="V802" s="16">
        <f t="shared" si="151"/>
        <v>0</v>
      </c>
      <c r="W802" s="16"/>
      <c r="X802" s="16"/>
      <c r="Y802" s="16"/>
      <c r="Z802" s="16"/>
      <c r="AA802" s="16"/>
      <c r="AB802" s="16"/>
      <c r="AC802" s="16">
        <f t="shared" si="169"/>
        <v>0</v>
      </c>
      <c r="AD802" s="16"/>
      <c r="AE802" s="16"/>
      <c r="AF802" s="16"/>
      <c r="AG802" s="16"/>
      <c r="AH802" s="16"/>
      <c r="AI802" s="16"/>
      <c r="AJ802" s="16"/>
      <c r="AK802" s="16"/>
      <c r="AL802" s="12">
        <f t="shared" si="192"/>
        <v>0</v>
      </c>
      <c r="AM802" s="16"/>
      <c r="AN802" s="16"/>
      <c r="AO802" s="16"/>
      <c r="AP802" s="16"/>
      <c r="AQ802" s="16"/>
      <c r="AR802" s="16"/>
      <c r="AS802" s="12">
        <f t="shared" si="234"/>
        <v>0</v>
      </c>
      <c r="AV802" s="16"/>
      <c r="AX802" s="16"/>
      <c r="AY802" s="16"/>
      <c r="AZ802" s="16"/>
      <c r="BC802" s="16"/>
      <c r="BD802" s="16"/>
      <c r="BE802" s="16"/>
      <c r="BI802" s="29" t="str">
        <f t="shared" si="268"/>
        <v/>
      </c>
      <c r="BY802" s="6">
        <f t="shared" si="2"/>
        <v>2025</v>
      </c>
      <c r="BZ802" s="6" t="str">
        <f t="shared" si="3"/>
        <v>diciembre</v>
      </c>
      <c r="CA802" s="6" t="str">
        <f t="shared" si="4"/>
        <v>12</v>
      </c>
    </row>
    <row r="803">
      <c r="A803" s="8">
        <v>46010.0</v>
      </c>
      <c r="B803" s="16"/>
      <c r="C803" s="16"/>
      <c r="D803" s="16"/>
      <c r="E803" s="16"/>
      <c r="F803" s="16"/>
      <c r="G803" s="16"/>
      <c r="H803" s="12">
        <f t="shared" si="149"/>
        <v>0</v>
      </c>
      <c r="I803" s="16"/>
      <c r="J803" s="16"/>
      <c r="K803" s="16"/>
      <c r="L803" s="16"/>
      <c r="M803" s="16"/>
      <c r="N803" s="16"/>
      <c r="O803" s="16">
        <f t="shared" si="150"/>
        <v>0</v>
      </c>
      <c r="P803" s="16"/>
      <c r="Q803" s="16"/>
      <c r="R803" s="16"/>
      <c r="S803" s="16"/>
      <c r="T803" s="16"/>
      <c r="U803" s="16"/>
      <c r="V803" s="16">
        <f t="shared" si="151"/>
        <v>0</v>
      </c>
      <c r="W803" s="16"/>
      <c r="X803" s="16"/>
      <c r="Y803" s="16"/>
      <c r="Z803" s="16"/>
      <c r="AA803" s="16"/>
      <c r="AB803" s="16"/>
      <c r="AC803" s="16">
        <f t="shared" si="169"/>
        <v>0</v>
      </c>
      <c r="AD803" s="16"/>
      <c r="AE803" s="16"/>
      <c r="AF803" s="16"/>
      <c r="AG803" s="16"/>
      <c r="AH803" s="16"/>
      <c r="AI803" s="16"/>
      <c r="AJ803" s="16"/>
      <c r="AK803" s="16"/>
      <c r="AL803" s="12">
        <f t="shared" si="192"/>
        <v>0</v>
      </c>
      <c r="AM803" s="16"/>
      <c r="AN803" s="16"/>
      <c r="AO803" s="16"/>
      <c r="AP803" s="16"/>
      <c r="AQ803" s="16"/>
      <c r="AR803" s="16"/>
      <c r="AS803" s="12">
        <f t="shared" si="234"/>
        <v>0</v>
      </c>
      <c r="AV803" s="16"/>
      <c r="AX803" s="16"/>
      <c r="AY803" s="16"/>
      <c r="AZ803" s="16"/>
      <c r="BC803" s="16"/>
      <c r="BD803" s="16"/>
      <c r="BE803" s="16"/>
      <c r="BI803" s="29" t="str">
        <f t="shared" si="268"/>
        <v/>
      </c>
      <c r="BY803" s="6">
        <f t="shared" si="2"/>
        <v>2025</v>
      </c>
      <c r="BZ803" s="6" t="str">
        <f t="shared" si="3"/>
        <v>diciembre</v>
      </c>
      <c r="CA803" s="6" t="str">
        <f t="shared" si="4"/>
        <v>12</v>
      </c>
    </row>
    <row r="804">
      <c r="A804" s="8">
        <v>46011.0</v>
      </c>
      <c r="B804" s="16"/>
      <c r="C804" s="16"/>
      <c r="D804" s="16"/>
      <c r="E804" s="16"/>
      <c r="F804" s="16"/>
      <c r="G804" s="16"/>
      <c r="H804" s="12">
        <f t="shared" si="149"/>
        <v>0</v>
      </c>
      <c r="I804" s="16"/>
      <c r="J804" s="16"/>
      <c r="K804" s="16"/>
      <c r="L804" s="16"/>
      <c r="M804" s="16"/>
      <c r="N804" s="16"/>
      <c r="O804" s="16">
        <f t="shared" si="150"/>
        <v>0</v>
      </c>
      <c r="P804" s="16"/>
      <c r="Q804" s="16"/>
      <c r="R804" s="16"/>
      <c r="S804" s="16"/>
      <c r="T804" s="16"/>
      <c r="U804" s="16"/>
      <c r="V804" s="16">
        <f t="shared" si="151"/>
        <v>0</v>
      </c>
      <c r="W804" s="16"/>
      <c r="X804" s="16"/>
      <c r="Y804" s="16"/>
      <c r="Z804" s="16"/>
      <c r="AA804" s="16"/>
      <c r="AB804" s="16"/>
      <c r="AC804" s="16">
        <f t="shared" si="169"/>
        <v>0</v>
      </c>
      <c r="AD804" s="16"/>
      <c r="AE804" s="16"/>
      <c r="AF804" s="16"/>
      <c r="AG804" s="16"/>
      <c r="AH804" s="16"/>
      <c r="AI804" s="16"/>
      <c r="AJ804" s="16"/>
      <c r="AK804" s="16"/>
      <c r="AL804" s="12">
        <f t="shared" si="192"/>
        <v>0</v>
      </c>
      <c r="AM804" s="16"/>
      <c r="AN804" s="16"/>
      <c r="AO804" s="16"/>
      <c r="AP804" s="16"/>
      <c r="AQ804" s="16"/>
      <c r="AR804" s="16"/>
      <c r="AS804" s="12">
        <f t="shared" si="234"/>
        <v>0</v>
      </c>
      <c r="AV804" s="16"/>
      <c r="AX804" s="16"/>
      <c r="AY804" s="16"/>
      <c r="AZ804" s="16"/>
      <c r="BC804" s="16"/>
      <c r="BD804" s="16"/>
      <c r="BE804" s="16"/>
      <c r="BI804" s="29" t="str">
        <f t="shared" si="268"/>
        <v/>
      </c>
      <c r="BY804" s="6">
        <f t="shared" si="2"/>
        <v>2025</v>
      </c>
      <c r="BZ804" s="6" t="str">
        <f t="shared" si="3"/>
        <v>diciembre</v>
      </c>
      <c r="CA804" s="6" t="str">
        <f t="shared" si="4"/>
        <v>12</v>
      </c>
    </row>
    <row r="805">
      <c r="A805" s="8">
        <v>46012.0</v>
      </c>
      <c r="B805" s="16"/>
      <c r="C805" s="16"/>
      <c r="D805" s="16"/>
      <c r="E805" s="16"/>
      <c r="F805" s="16"/>
      <c r="G805" s="16"/>
      <c r="H805" s="12">
        <f t="shared" si="149"/>
        <v>0</v>
      </c>
      <c r="I805" s="16"/>
      <c r="J805" s="16"/>
      <c r="K805" s="16"/>
      <c r="L805" s="16"/>
      <c r="M805" s="16"/>
      <c r="N805" s="16"/>
      <c r="O805" s="16">
        <f t="shared" si="150"/>
        <v>0</v>
      </c>
      <c r="P805" s="16"/>
      <c r="Q805" s="16"/>
      <c r="R805" s="16"/>
      <c r="S805" s="16"/>
      <c r="T805" s="16"/>
      <c r="U805" s="16"/>
      <c r="V805" s="16">
        <f t="shared" si="151"/>
        <v>0</v>
      </c>
      <c r="W805" s="16"/>
      <c r="X805" s="16"/>
      <c r="Y805" s="16"/>
      <c r="Z805" s="16"/>
      <c r="AA805" s="16"/>
      <c r="AB805" s="16"/>
      <c r="AC805" s="16">
        <f t="shared" si="169"/>
        <v>0</v>
      </c>
      <c r="AD805" s="16"/>
      <c r="AE805" s="16"/>
      <c r="AF805" s="16"/>
      <c r="AG805" s="16"/>
      <c r="AH805" s="16"/>
      <c r="AI805" s="16"/>
      <c r="AJ805" s="16"/>
      <c r="AK805" s="16"/>
      <c r="AL805" s="12">
        <f t="shared" si="192"/>
        <v>0</v>
      </c>
      <c r="AM805" s="16"/>
      <c r="AN805" s="16"/>
      <c r="AO805" s="16"/>
      <c r="AP805" s="16"/>
      <c r="AQ805" s="16"/>
      <c r="AR805" s="16"/>
      <c r="AS805" s="12">
        <f t="shared" si="234"/>
        <v>0</v>
      </c>
      <c r="AV805" s="16"/>
      <c r="AX805" s="16"/>
      <c r="AY805" s="16"/>
      <c r="AZ805" s="16"/>
      <c r="BC805" s="16"/>
      <c r="BD805" s="16"/>
      <c r="BE805" s="16"/>
      <c r="BI805" s="29" t="str">
        <f t="shared" si="268"/>
        <v/>
      </c>
      <c r="BY805" s="6">
        <f t="shared" si="2"/>
        <v>2025</v>
      </c>
      <c r="BZ805" s="6" t="str">
        <f t="shared" si="3"/>
        <v>diciembre</v>
      </c>
      <c r="CA805" s="6" t="str">
        <f t="shared" si="4"/>
        <v>12</v>
      </c>
    </row>
    <row r="806">
      <c r="A806" s="8">
        <v>46013.0</v>
      </c>
      <c r="B806" s="16"/>
      <c r="C806" s="16"/>
      <c r="D806" s="16"/>
      <c r="E806" s="16"/>
      <c r="F806" s="16"/>
      <c r="G806" s="16"/>
      <c r="H806" s="12">
        <f t="shared" si="149"/>
        <v>0</v>
      </c>
      <c r="I806" s="16"/>
      <c r="J806" s="16"/>
      <c r="K806" s="16"/>
      <c r="L806" s="16"/>
      <c r="M806" s="16"/>
      <c r="N806" s="16"/>
      <c r="O806" s="16">
        <f t="shared" si="150"/>
        <v>0</v>
      </c>
      <c r="P806" s="16"/>
      <c r="Q806" s="16"/>
      <c r="R806" s="16"/>
      <c r="S806" s="16"/>
      <c r="T806" s="16"/>
      <c r="U806" s="16"/>
      <c r="V806" s="16">
        <f t="shared" si="151"/>
        <v>0</v>
      </c>
      <c r="W806" s="16"/>
      <c r="X806" s="16"/>
      <c r="Y806" s="16"/>
      <c r="Z806" s="16"/>
      <c r="AA806" s="16"/>
      <c r="AB806" s="16"/>
      <c r="AC806" s="16">
        <f t="shared" si="169"/>
        <v>0</v>
      </c>
      <c r="AD806" s="16"/>
      <c r="AE806" s="16"/>
      <c r="AF806" s="16"/>
      <c r="AG806" s="16"/>
      <c r="AH806" s="16"/>
      <c r="AI806" s="16"/>
      <c r="AJ806" s="16"/>
      <c r="AK806" s="16"/>
      <c r="AL806" s="12">
        <f t="shared" si="192"/>
        <v>0</v>
      </c>
      <c r="AM806" s="16"/>
      <c r="AN806" s="16"/>
      <c r="AO806" s="16"/>
      <c r="AP806" s="16"/>
      <c r="AQ806" s="16"/>
      <c r="AR806" s="16"/>
      <c r="AS806" s="12">
        <f t="shared" si="234"/>
        <v>0</v>
      </c>
      <c r="AV806" s="16"/>
      <c r="AX806" s="16"/>
      <c r="AY806" s="16"/>
      <c r="AZ806" s="16"/>
      <c r="BC806" s="16"/>
      <c r="BD806" s="16"/>
      <c r="BE806" s="16"/>
      <c r="BI806" s="29" t="str">
        <f t="shared" si="268"/>
        <v/>
      </c>
      <c r="BY806" s="6">
        <f t="shared" si="2"/>
        <v>2025</v>
      </c>
      <c r="BZ806" s="6" t="str">
        <f t="shared" si="3"/>
        <v>diciembre</v>
      </c>
      <c r="CA806" s="6" t="str">
        <f t="shared" si="4"/>
        <v>12</v>
      </c>
    </row>
    <row r="807">
      <c r="A807" s="8">
        <v>46014.0</v>
      </c>
      <c r="B807" s="16"/>
      <c r="C807" s="16"/>
      <c r="D807" s="16"/>
      <c r="E807" s="16"/>
      <c r="F807" s="16"/>
      <c r="G807" s="16"/>
      <c r="H807" s="12">
        <f t="shared" si="149"/>
        <v>0</v>
      </c>
      <c r="I807" s="16"/>
      <c r="J807" s="16"/>
      <c r="K807" s="16"/>
      <c r="L807" s="16"/>
      <c r="M807" s="16"/>
      <c r="N807" s="16"/>
      <c r="O807" s="16">
        <f t="shared" si="150"/>
        <v>0</v>
      </c>
      <c r="P807" s="16"/>
      <c r="Q807" s="16"/>
      <c r="R807" s="16"/>
      <c r="S807" s="16"/>
      <c r="T807" s="16"/>
      <c r="U807" s="16"/>
      <c r="V807" s="16">
        <f t="shared" si="151"/>
        <v>0</v>
      </c>
      <c r="W807" s="16"/>
      <c r="X807" s="16"/>
      <c r="Y807" s="16"/>
      <c r="Z807" s="16"/>
      <c r="AA807" s="16"/>
      <c r="AB807" s="16"/>
      <c r="AC807" s="16">
        <f t="shared" si="169"/>
        <v>0</v>
      </c>
      <c r="AD807" s="16"/>
      <c r="AE807" s="16"/>
      <c r="AF807" s="16"/>
      <c r="AG807" s="16"/>
      <c r="AH807" s="16"/>
      <c r="AI807" s="16"/>
      <c r="AJ807" s="16"/>
      <c r="AK807" s="16"/>
      <c r="AL807" s="12">
        <f t="shared" si="192"/>
        <v>0</v>
      </c>
      <c r="AM807" s="16"/>
      <c r="AN807" s="16"/>
      <c r="AO807" s="16"/>
      <c r="AP807" s="16"/>
      <c r="AQ807" s="16"/>
      <c r="AR807" s="16"/>
      <c r="AS807" s="12">
        <f t="shared" si="234"/>
        <v>0</v>
      </c>
      <c r="AV807" s="16"/>
      <c r="AX807" s="16"/>
      <c r="AY807" s="16"/>
      <c r="AZ807" s="16"/>
      <c r="BC807" s="16"/>
      <c r="BD807" s="16"/>
      <c r="BE807" s="16"/>
      <c r="BI807" s="29" t="str">
        <f t="shared" si="268"/>
        <v/>
      </c>
      <c r="BY807" s="6">
        <f t="shared" si="2"/>
        <v>2025</v>
      </c>
      <c r="BZ807" s="6" t="str">
        <f t="shared" si="3"/>
        <v>diciembre</v>
      </c>
      <c r="CA807" s="6" t="str">
        <f t="shared" si="4"/>
        <v>12</v>
      </c>
    </row>
    <row r="808">
      <c r="A808" s="8">
        <v>46015.0</v>
      </c>
      <c r="B808" s="16"/>
      <c r="C808" s="16"/>
      <c r="D808" s="16"/>
      <c r="E808" s="16"/>
      <c r="F808" s="16"/>
      <c r="G808" s="16"/>
      <c r="H808" s="12">
        <f t="shared" si="149"/>
        <v>0</v>
      </c>
      <c r="I808" s="16"/>
      <c r="J808" s="16"/>
      <c r="K808" s="16"/>
      <c r="L808" s="16"/>
      <c r="M808" s="16"/>
      <c r="N808" s="16"/>
      <c r="O808" s="16">
        <f t="shared" si="150"/>
        <v>0</v>
      </c>
      <c r="P808" s="16"/>
      <c r="Q808" s="16"/>
      <c r="R808" s="16"/>
      <c r="S808" s="16"/>
      <c r="T808" s="16"/>
      <c r="U808" s="16"/>
      <c r="V808" s="16">
        <f t="shared" si="151"/>
        <v>0</v>
      </c>
      <c r="W808" s="16"/>
      <c r="X808" s="16"/>
      <c r="Y808" s="16"/>
      <c r="Z808" s="16"/>
      <c r="AA808" s="16"/>
      <c r="AB808" s="16"/>
      <c r="AC808" s="16">
        <f t="shared" si="169"/>
        <v>0</v>
      </c>
      <c r="AD808" s="16"/>
      <c r="AE808" s="16"/>
      <c r="AF808" s="16"/>
      <c r="AG808" s="16"/>
      <c r="AH808" s="16"/>
      <c r="AI808" s="16"/>
      <c r="AJ808" s="16"/>
      <c r="AK808" s="16"/>
      <c r="AL808" s="12">
        <f t="shared" si="192"/>
        <v>0</v>
      </c>
      <c r="AM808" s="16"/>
      <c r="AN808" s="16"/>
      <c r="AO808" s="16"/>
      <c r="AP808" s="16"/>
      <c r="AQ808" s="16"/>
      <c r="AR808" s="16"/>
      <c r="AS808" s="12">
        <f t="shared" si="234"/>
        <v>0</v>
      </c>
      <c r="AV808" s="16"/>
      <c r="AX808" s="16"/>
      <c r="AY808" s="16"/>
      <c r="AZ808" s="16"/>
      <c r="BC808" s="16"/>
      <c r="BD808" s="16"/>
      <c r="BE808" s="16"/>
      <c r="BI808" s="29" t="str">
        <f t="shared" si="268"/>
        <v/>
      </c>
      <c r="BY808" s="6">
        <f t="shared" si="2"/>
        <v>2025</v>
      </c>
      <c r="BZ808" s="6" t="str">
        <f t="shared" si="3"/>
        <v>diciembre</v>
      </c>
      <c r="CA808" s="6" t="str">
        <f t="shared" si="4"/>
        <v>12</v>
      </c>
    </row>
    <row r="809">
      <c r="A809" s="8">
        <v>46016.0</v>
      </c>
      <c r="B809" s="16"/>
      <c r="C809" s="16"/>
      <c r="D809" s="16"/>
      <c r="E809" s="16"/>
      <c r="F809" s="16"/>
      <c r="G809" s="16"/>
      <c r="H809" s="12">
        <f t="shared" si="149"/>
        <v>0</v>
      </c>
      <c r="I809" s="16"/>
      <c r="J809" s="16"/>
      <c r="K809" s="16"/>
      <c r="L809" s="16"/>
      <c r="M809" s="16"/>
      <c r="N809" s="16"/>
      <c r="O809" s="16">
        <f t="shared" si="150"/>
        <v>0</v>
      </c>
      <c r="P809" s="16"/>
      <c r="Q809" s="16"/>
      <c r="R809" s="16"/>
      <c r="S809" s="16"/>
      <c r="T809" s="16"/>
      <c r="U809" s="16"/>
      <c r="V809" s="16">
        <f t="shared" si="151"/>
        <v>0</v>
      </c>
      <c r="W809" s="16"/>
      <c r="X809" s="16"/>
      <c r="Y809" s="16"/>
      <c r="Z809" s="16"/>
      <c r="AA809" s="16"/>
      <c r="AB809" s="16"/>
      <c r="AC809" s="16">
        <f t="shared" si="169"/>
        <v>0</v>
      </c>
      <c r="AD809" s="16"/>
      <c r="AE809" s="16"/>
      <c r="AF809" s="16"/>
      <c r="AG809" s="16"/>
      <c r="AH809" s="16"/>
      <c r="AI809" s="16"/>
      <c r="AJ809" s="16"/>
      <c r="AK809" s="16"/>
      <c r="AL809" s="12">
        <f t="shared" si="192"/>
        <v>0</v>
      </c>
      <c r="AM809" s="16"/>
      <c r="AN809" s="16"/>
      <c r="AO809" s="16"/>
      <c r="AP809" s="16"/>
      <c r="AQ809" s="16"/>
      <c r="AR809" s="16"/>
      <c r="AS809" s="12">
        <f t="shared" si="234"/>
        <v>0</v>
      </c>
      <c r="AV809" s="16"/>
      <c r="AX809" s="16"/>
      <c r="AY809" s="16"/>
      <c r="AZ809" s="16"/>
      <c r="BC809" s="16"/>
      <c r="BD809" s="16"/>
      <c r="BE809" s="16"/>
      <c r="BI809" s="29" t="str">
        <f t="shared" si="268"/>
        <v/>
      </c>
      <c r="BY809" s="6">
        <f t="shared" si="2"/>
        <v>2025</v>
      </c>
      <c r="BZ809" s="6" t="str">
        <f t="shared" si="3"/>
        <v>diciembre</v>
      </c>
      <c r="CA809" s="6" t="str">
        <f t="shared" si="4"/>
        <v>12</v>
      </c>
    </row>
    <row r="810">
      <c r="A810" s="8">
        <v>46017.0</v>
      </c>
      <c r="B810" s="16"/>
      <c r="C810" s="16"/>
      <c r="D810" s="16"/>
      <c r="E810" s="16"/>
      <c r="F810" s="16"/>
      <c r="G810" s="16"/>
      <c r="H810" s="12">
        <f t="shared" si="149"/>
        <v>0</v>
      </c>
      <c r="I810" s="16"/>
      <c r="J810" s="16"/>
      <c r="K810" s="16"/>
      <c r="L810" s="16"/>
      <c r="M810" s="16"/>
      <c r="N810" s="16"/>
      <c r="O810" s="16">
        <f t="shared" si="150"/>
        <v>0</v>
      </c>
      <c r="P810" s="16"/>
      <c r="Q810" s="16"/>
      <c r="R810" s="16"/>
      <c r="S810" s="16"/>
      <c r="T810" s="16"/>
      <c r="U810" s="16"/>
      <c r="V810" s="16">
        <f t="shared" si="151"/>
        <v>0</v>
      </c>
      <c r="W810" s="16"/>
      <c r="X810" s="16"/>
      <c r="Y810" s="16"/>
      <c r="Z810" s="16"/>
      <c r="AA810" s="16"/>
      <c r="AB810" s="16"/>
      <c r="AC810" s="16">
        <f t="shared" si="169"/>
        <v>0</v>
      </c>
      <c r="AD810" s="16"/>
      <c r="AE810" s="16"/>
      <c r="AF810" s="16"/>
      <c r="AG810" s="16"/>
      <c r="AH810" s="16"/>
      <c r="AI810" s="16"/>
      <c r="AJ810" s="16"/>
      <c r="AK810" s="16"/>
      <c r="AL810" s="12">
        <f t="shared" si="192"/>
        <v>0</v>
      </c>
      <c r="AM810" s="16"/>
      <c r="AN810" s="16"/>
      <c r="AO810" s="16"/>
      <c r="AP810" s="16"/>
      <c r="AQ810" s="16"/>
      <c r="AR810" s="16"/>
      <c r="AS810" s="12">
        <f t="shared" si="234"/>
        <v>0</v>
      </c>
      <c r="AV810" s="16"/>
      <c r="AX810" s="16"/>
      <c r="AY810" s="16"/>
      <c r="AZ810" s="16"/>
      <c r="BC810" s="16"/>
      <c r="BD810" s="16"/>
      <c r="BE810" s="16"/>
      <c r="BI810" s="29" t="str">
        <f t="shared" si="268"/>
        <v/>
      </c>
      <c r="BY810" s="6">
        <f t="shared" si="2"/>
        <v>2025</v>
      </c>
      <c r="BZ810" s="6" t="str">
        <f t="shared" si="3"/>
        <v>diciembre</v>
      </c>
      <c r="CA810" s="6" t="str">
        <f t="shared" si="4"/>
        <v>12</v>
      </c>
    </row>
    <row r="811">
      <c r="A811" s="8">
        <v>46018.0</v>
      </c>
      <c r="B811" s="16"/>
      <c r="C811" s="16"/>
      <c r="D811" s="16"/>
      <c r="E811" s="16"/>
      <c r="F811" s="16"/>
      <c r="G811" s="16"/>
      <c r="H811" s="12">
        <f t="shared" si="149"/>
        <v>0</v>
      </c>
      <c r="I811" s="16"/>
      <c r="J811" s="16"/>
      <c r="K811" s="16"/>
      <c r="L811" s="16"/>
      <c r="M811" s="16"/>
      <c r="N811" s="16"/>
      <c r="O811" s="16">
        <f t="shared" si="150"/>
        <v>0</v>
      </c>
      <c r="P811" s="16"/>
      <c r="Q811" s="16"/>
      <c r="R811" s="16"/>
      <c r="S811" s="16"/>
      <c r="T811" s="16"/>
      <c r="U811" s="16"/>
      <c r="V811" s="16">
        <f t="shared" si="151"/>
        <v>0</v>
      </c>
      <c r="W811" s="16"/>
      <c r="X811" s="16"/>
      <c r="Y811" s="16"/>
      <c r="Z811" s="16"/>
      <c r="AA811" s="16"/>
      <c r="AB811" s="16"/>
      <c r="AC811" s="16">
        <f t="shared" si="169"/>
        <v>0</v>
      </c>
      <c r="AD811" s="16"/>
      <c r="AE811" s="16"/>
      <c r="AF811" s="16"/>
      <c r="AG811" s="16"/>
      <c r="AH811" s="16"/>
      <c r="AI811" s="16"/>
      <c r="AJ811" s="16"/>
      <c r="AK811" s="16"/>
      <c r="AL811" s="12">
        <f t="shared" si="192"/>
        <v>0</v>
      </c>
      <c r="AM811" s="16"/>
      <c r="AN811" s="16"/>
      <c r="AO811" s="16"/>
      <c r="AP811" s="16"/>
      <c r="AQ811" s="16"/>
      <c r="AR811" s="16"/>
      <c r="AS811" s="12">
        <f t="shared" si="234"/>
        <v>0</v>
      </c>
      <c r="AV811" s="16"/>
      <c r="AX811" s="16"/>
      <c r="AY811" s="16"/>
      <c r="AZ811" s="16"/>
      <c r="BC811" s="16"/>
      <c r="BD811" s="16"/>
      <c r="BE811" s="16"/>
      <c r="BI811" s="29" t="str">
        <f t="shared" si="268"/>
        <v/>
      </c>
      <c r="BY811" s="6">
        <f t="shared" si="2"/>
        <v>2025</v>
      </c>
      <c r="BZ811" s="6" t="str">
        <f t="shared" si="3"/>
        <v>diciembre</v>
      </c>
      <c r="CA811" s="6" t="str">
        <f t="shared" si="4"/>
        <v>12</v>
      </c>
    </row>
    <row r="812">
      <c r="A812" s="8">
        <v>46019.0</v>
      </c>
      <c r="B812" s="16"/>
      <c r="C812" s="16"/>
      <c r="D812" s="16"/>
      <c r="E812" s="16"/>
      <c r="F812" s="16"/>
      <c r="G812" s="16"/>
      <c r="H812" s="12">
        <f t="shared" si="149"/>
        <v>0</v>
      </c>
      <c r="I812" s="16"/>
      <c r="J812" s="16"/>
      <c r="K812" s="16"/>
      <c r="L812" s="16"/>
      <c r="M812" s="16"/>
      <c r="N812" s="16"/>
      <c r="O812" s="16">
        <f t="shared" si="150"/>
        <v>0</v>
      </c>
      <c r="P812" s="16"/>
      <c r="Q812" s="16"/>
      <c r="R812" s="16"/>
      <c r="S812" s="16"/>
      <c r="T812" s="16"/>
      <c r="U812" s="16"/>
      <c r="V812" s="16">
        <f t="shared" si="151"/>
        <v>0</v>
      </c>
      <c r="W812" s="16"/>
      <c r="X812" s="16"/>
      <c r="Y812" s="16"/>
      <c r="Z812" s="16"/>
      <c r="AA812" s="16"/>
      <c r="AB812" s="16"/>
      <c r="AC812" s="16">
        <f t="shared" si="169"/>
        <v>0</v>
      </c>
      <c r="AD812" s="16"/>
      <c r="AE812" s="16"/>
      <c r="AF812" s="16"/>
      <c r="AG812" s="16"/>
      <c r="AH812" s="16"/>
      <c r="AI812" s="16"/>
      <c r="AJ812" s="16"/>
      <c r="AK812" s="16"/>
      <c r="AL812" s="12">
        <f t="shared" si="192"/>
        <v>0</v>
      </c>
      <c r="AM812" s="16"/>
      <c r="AN812" s="16"/>
      <c r="AO812" s="16"/>
      <c r="AP812" s="16"/>
      <c r="AQ812" s="16"/>
      <c r="AR812" s="16"/>
      <c r="AS812" s="12">
        <f t="shared" si="234"/>
        <v>0</v>
      </c>
      <c r="AV812" s="16"/>
      <c r="AX812" s="16"/>
      <c r="AY812" s="16"/>
      <c r="AZ812" s="16"/>
      <c r="BC812" s="16"/>
      <c r="BD812" s="16"/>
      <c r="BE812" s="16"/>
      <c r="BI812" s="29" t="str">
        <f t="shared" si="268"/>
        <v/>
      </c>
      <c r="BY812" s="6">
        <f t="shared" si="2"/>
        <v>2025</v>
      </c>
      <c r="BZ812" s="6" t="str">
        <f t="shared" si="3"/>
        <v>diciembre</v>
      </c>
      <c r="CA812" s="6" t="str">
        <f t="shared" si="4"/>
        <v>12</v>
      </c>
    </row>
    <row r="813">
      <c r="A813" s="8">
        <v>46020.0</v>
      </c>
      <c r="B813" s="16"/>
      <c r="C813" s="16"/>
      <c r="D813" s="16"/>
      <c r="E813" s="16"/>
      <c r="F813" s="16"/>
      <c r="G813" s="16"/>
      <c r="H813" s="12">
        <f t="shared" si="149"/>
        <v>0</v>
      </c>
      <c r="I813" s="16"/>
      <c r="J813" s="16"/>
      <c r="K813" s="16"/>
      <c r="L813" s="16"/>
      <c r="M813" s="16"/>
      <c r="N813" s="16"/>
      <c r="O813" s="16">
        <f t="shared" si="150"/>
        <v>0</v>
      </c>
      <c r="P813" s="16"/>
      <c r="Q813" s="16"/>
      <c r="R813" s="16"/>
      <c r="S813" s="16"/>
      <c r="T813" s="16"/>
      <c r="U813" s="16"/>
      <c r="V813" s="16">
        <f t="shared" si="151"/>
        <v>0</v>
      </c>
      <c r="W813" s="16"/>
      <c r="X813" s="16"/>
      <c r="Y813" s="16"/>
      <c r="Z813" s="16"/>
      <c r="AA813" s="16"/>
      <c r="AB813" s="16"/>
      <c r="AC813" s="16">
        <f t="shared" si="169"/>
        <v>0</v>
      </c>
      <c r="AD813" s="16"/>
      <c r="AE813" s="16"/>
      <c r="AF813" s="16"/>
      <c r="AG813" s="16"/>
      <c r="AH813" s="16"/>
      <c r="AI813" s="16"/>
      <c r="AJ813" s="16"/>
      <c r="AK813" s="16"/>
      <c r="AL813" s="12">
        <f t="shared" si="192"/>
        <v>0</v>
      </c>
      <c r="AM813" s="16"/>
      <c r="AN813" s="16"/>
      <c r="AO813" s="16"/>
      <c r="AP813" s="16"/>
      <c r="AQ813" s="16"/>
      <c r="AR813" s="16"/>
      <c r="AS813" s="12">
        <f t="shared" si="234"/>
        <v>0</v>
      </c>
      <c r="AV813" s="16"/>
      <c r="AX813" s="16"/>
      <c r="AY813" s="16"/>
      <c r="AZ813" s="16"/>
      <c r="BC813" s="16"/>
      <c r="BD813" s="16"/>
      <c r="BE813" s="16"/>
      <c r="BI813" s="29" t="str">
        <f t="shared" si="268"/>
        <v/>
      </c>
      <c r="BY813" s="6">
        <f t="shared" si="2"/>
        <v>2025</v>
      </c>
      <c r="BZ813" s="6" t="str">
        <f t="shared" si="3"/>
        <v>diciembre</v>
      </c>
      <c r="CA813" s="6" t="str">
        <f t="shared" si="4"/>
        <v>12</v>
      </c>
    </row>
    <row r="814">
      <c r="A814" s="8">
        <v>46021.0</v>
      </c>
      <c r="B814" s="16"/>
      <c r="C814" s="16"/>
      <c r="D814" s="16"/>
      <c r="E814" s="16"/>
      <c r="F814" s="16"/>
      <c r="G814" s="16"/>
      <c r="H814" s="12">
        <f t="shared" si="149"/>
        <v>0</v>
      </c>
      <c r="I814" s="16"/>
      <c r="J814" s="16"/>
      <c r="K814" s="16"/>
      <c r="L814" s="16"/>
      <c r="M814" s="16"/>
      <c r="N814" s="16"/>
      <c r="O814" s="16">
        <f t="shared" si="150"/>
        <v>0</v>
      </c>
      <c r="P814" s="16"/>
      <c r="Q814" s="16"/>
      <c r="R814" s="16"/>
      <c r="S814" s="16"/>
      <c r="T814" s="16"/>
      <c r="U814" s="16"/>
      <c r="V814" s="16">
        <f t="shared" si="151"/>
        <v>0</v>
      </c>
      <c r="W814" s="16"/>
      <c r="X814" s="16"/>
      <c r="Y814" s="16"/>
      <c r="Z814" s="16"/>
      <c r="AA814" s="16"/>
      <c r="AB814" s="16"/>
      <c r="AC814" s="16">
        <f t="shared" si="169"/>
        <v>0</v>
      </c>
      <c r="AD814" s="16"/>
      <c r="AE814" s="16"/>
      <c r="AF814" s="16"/>
      <c r="AG814" s="16"/>
      <c r="AH814" s="16"/>
      <c r="AI814" s="16"/>
      <c r="AJ814" s="16"/>
      <c r="AK814" s="16"/>
      <c r="AL814" s="12">
        <f t="shared" si="192"/>
        <v>0</v>
      </c>
      <c r="AM814" s="16"/>
      <c r="AN814" s="16"/>
      <c r="AO814" s="16"/>
      <c r="AP814" s="16"/>
      <c r="AQ814" s="16"/>
      <c r="AR814" s="16"/>
      <c r="AS814" s="12">
        <f t="shared" si="234"/>
        <v>0</v>
      </c>
      <c r="AV814" s="16"/>
      <c r="AX814" s="16"/>
      <c r="AY814" s="16"/>
      <c r="AZ814" s="16"/>
      <c r="BC814" s="16"/>
      <c r="BD814" s="16"/>
      <c r="BE814" s="16"/>
      <c r="BI814" s="29" t="str">
        <f t="shared" si="268"/>
        <v/>
      </c>
      <c r="BY814" s="6">
        <f t="shared" si="2"/>
        <v>2025</v>
      </c>
      <c r="BZ814" s="6" t="str">
        <f t="shared" si="3"/>
        <v>diciembre</v>
      </c>
      <c r="CA814" s="6" t="str">
        <f t="shared" si="4"/>
        <v>12</v>
      </c>
    </row>
    <row r="815">
      <c r="A815" s="8">
        <v>46022.0</v>
      </c>
      <c r="B815" s="16"/>
      <c r="C815" s="16"/>
      <c r="D815" s="16"/>
      <c r="E815" s="16"/>
      <c r="F815" s="16"/>
      <c r="G815" s="16"/>
      <c r="H815" s="12">
        <f t="shared" si="149"/>
        <v>0</v>
      </c>
      <c r="I815" s="16"/>
      <c r="J815" s="16"/>
      <c r="K815" s="16"/>
      <c r="L815" s="16"/>
      <c r="M815" s="16"/>
      <c r="N815" s="16"/>
      <c r="O815" s="16">
        <f t="shared" si="150"/>
        <v>0</v>
      </c>
      <c r="P815" s="16"/>
      <c r="Q815" s="16"/>
      <c r="R815" s="16"/>
      <c r="S815" s="16"/>
      <c r="T815" s="16"/>
      <c r="U815" s="16"/>
      <c r="V815" s="16">
        <f t="shared" si="151"/>
        <v>0</v>
      </c>
      <c r="W815" s="16"/>
      <c r="X815" s="16"/>
      <c r="Y815" s="16"/>
      <c r="Z815" s="16"/>
      <c r="AA815" s="16"/>
      <c r="AB815" s="16"/>
      <c r="AC815" s="16">
        <f t="shared" si="169"/>
        <v>0</v>
      </c>
      <c r="AD815" s="16"/>
      <c r="AE815" s="16"/>
      <c r="AF815" s="16"/>
      <c r="AG815" s="16"/>
      <c r="AH815" s="16"/>
      <c r="AI815" s="16"/>
      <c r="AJ815" s="16"/>
      <c r="AK815" s="16"/>
      <c r="AL815" s="12">
        <f t="shared" si="192"/>
        <v>0</v>
      </c>
      <c r="AM815" s="16"/>
      <c r="AN815" s="16"/>
      <c r="AO815" s="16"/>
      <c r="AP815" s="16"/>
      <c r="AQ815" s="16"/>
      <c r="AR815" s="16"/>
      <c r="AS815" s="12">
        <f t="shared" si="234"/>
        <v>0</v>
      </c>
      <c r="AV815" s="16"/>
      <c r="AX815" s="16"/>
      <c r="AY815" s="16"/>
      <c r="AZ815" s="16"/>
      <c r="BC815" s="16"/>
      <c r="BD815" s="16"/>
      <c r="BE815" s="16"/>
      <c r="BI815" s="29" t="str">
        <f t="shared" si="268"/>
        <v/>
      </c>
      <c r="BY815" s="6">
        <f t="shared" si="2"/>
        <v>2025</v>
      </c>
      <c r="BZ815" s="6" t="str">
        <f t="shared" si="3"/>
        <v>diciembre</v>
      </c>
      <c r="CA815" s="6" t="str">
        <f t="shared" si="4"/>
        <v>12</v>
      </c>
    </row>
    <row r="816">
      <c r="A816" s="8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V816" s="16"/>
      <c r="AX816" s="16"/>
      <c r="AY816" s="16"/>
      <c r="AZ816" s="16"/>
      <c r="BC816" s="16"/>
      <c r="BD816" s="16"/>
      <c r="BE816" s="16"/>
      <c r="BI816" s="29" t="str">
        <f t="shared" si="268"/>
        <v/>
      </c>
      <c r="BY816" s="6">
        <f t="shared" si="2"/>
        <v>1899</v>
      </c>
      <c r="BZ816" s="6" t="str">
        <f t="shared" si="3"/>
        <v>diciembre</v>
      </c>
      <c r="CA816" s="6" t="str">
        <f t="shared" si="4"/>
        <v>12</v>
      </c>
    </row>
    <row r="817">
      <c r="A817" s="8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V817" s="16"/>
      <c r="AX817" s="16"/>
      <c r="AY817" s="16"/>
      <c r="AZ817" s="16"/>
      <c r="BC817" s="16"/>
      <c r="BD817" s="16"/>
      <c r="BE817" s="16"/>
      <c r="BI817" s="29" t="str">
        <f t="shared" si="268"/>
        <v/>
      </c>
      <c r="BY817" s="6">
        <f t="shared" si="2"/>
        <v>1899</v>
      </c>
      <c r="BZ817" s="6" t="str">
        <f t="shared" si="3"/>
        <v>diciembre</v>
      </c>
      <c r="CA817" s="6" t="str">
        <f t="shared" si="4"/>
        <v>12</v>
      </c>
    </row>
    <row r="818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V818" s="16"/>
      <c r="AX818" s="16"/>
      <c r="AY818" s="16"/>
      <c r="AZ818" s="16"/>
      <c r="BC818" s="16"/>
      <c r="BD818" s="16"/>
      <c r="BE818" s="16"/>
      <c r="BI818" s="29" t="str">
        <f t="shared" si="268"/>
        <v/>
      </c>
      <c r="BY818" s="6">
        <f t="shared" si="2"/>
        <v>1899</v>
      </c>
      <c r="BZ818" s="6" t="str">
        <f t="shared" si="3"/>
        <v>diciembre</v>
      </c>
      <c r="CA818" s="6" t="str">
        <f t="shared" si="4"/>
        <v>12</v>
      </c>
    </row>
    <row r="819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V819" s="16"/>
      <c r="AX819" s="16"/>
      <c r="AY819" s="16"/>
      <c r="AZ819" s="16"/>
      <c r="BC819" s="16"/>
      <c r="BD819" s="16"/>
      <c r="BE819" s="16"/>
      <c r="BI819" s="29" t="str">
        <f t="shared" si="268"/>
        <v/>
      </c>
      <c r="BY819" s="6">
        <f t="shared" si="2"/>
        <v>1899</v>
      </c>
      <c r="BZ819" s="6" t="str">
        <f t="shared" si="3"/>
        <v>diciembre</v>
      </c>
      <c r="CA819" s="6" t="str">
        <f t="shared" si="4"/>
        <v>12</v>
      </c>
    </row>
    <row r="820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V820" s="16"/>
      <c r="AX820" s="16"/>
      <c r="AY820" s="16"/>
      <c r="AZ820" s="16"/>
      <c r="BC820" s="16"/>
      <c r="BD820" s="16"/>
      <c r="BE820" s="16"/>
      <c r="BI820" s="29" t="str">
        <f t="shared" si="268"/>
        <v/>
      </c>
      <c r="BY820" s="6">
        <f t="shared" si="2"/>
        <v>1899</v>
      </c>
      <c r="BZ820" s="6" t="str">
        <f t="shared" si="3"/>
        <v>diciembre</v>
      </c>
      <c r="CA820" s="6" t="str">
        <f t="shared" si="4"/>
        <v>12</v>
      </c>
    </row>
    <row r="821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V821" s="16"/>
      <c r="AX821" s="16"/>
      <c r="AY821" s="16"/>
      <c r="AZ821" s="16"/>
      <c r="BC821" s="16"/>
      <c r="BD821" s="16"/>
      <c r="BE821" s="16"/>
      <c r="BI821" s="29" t="str">
        <f t="shared" si="268"/>
        <v/>
      </c>
      <c r="BY821" s="6">
        <f t="shared" si="2"/>
        <v>1899</v>
      </c>
      <c r="BZ821" s="6" t="str">
        <f t="shared" si="3"/>
        <v>diciembre</v>
      </c>
      <c r="CA821" s="6" t="str">
        <f t="shared" si="4"/>
        <v>12</v>
      </c>
    </row>
    <row r="822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V822" s="16"/>
      <c r="AX822" s="16"/>
      <c r="AY822" s="16"/>
      <c r="AZ822" s="16"/>
      <c r="BC822" s="16"/>
      <c r="BD822" s="16"/>
      <c r="BE822" s="16"/>
      <c r="BI822" s="29" t="str">
        <f t="shared" si="268"/>
        <v/>
      </c>
      <c r="BY822" s="6">
        <f t="shared" si="2"/>
        <v>1899</v>
      </c>
      <c r="BZ822" s="6" t="str">
        <f t="shared" si="3"/>
        <v>diciembre</v>
      </c>
      <c r="CA822" s="6" t="str">
        <f t="shared" si="4"/>
        <v>12</v>
      </c>
    </row>
    <row r="823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V823" s="16"/>
      <c r="AX823" s="16"/>
      <c r="AY823" s="16"/>
      <c r="AZ823" s="16"/>
      <c r="BC823" s="16"/>
      <c r="BD823" s="16"/>
      <c r="BE823" s="16"/>
      <c r="BI823" s="29" t="str">
        <f t="shared" si="268"/>
        <v/>
      </c>
      <c r="BY823" s="6">
        <f t="shared" si="2"/>
        <v>1899</v>
      </c>
      <c r="BZ823" s="6" t="str">
        <f t="shared" si="3"/>
        <v>diciembre</v>
      </c>
      <c r="CA823" s="6" t="str">
        <f t="shared" si="4"/>
        <v>12</v>
      </c>
    </row>
    <row r="824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V824" s="16"/>
      <c r="AX824" s="16"/>
      <c r="AY824" s="16"/>
      <c r="AZ824" s="16"/>
      <c r="BC824" s="16"/>
      <c r="BD824" s="16"/>
      <c r="BE824" s="16"/>
      <c r="BI824" s="29" t="str">
        <f t="shared" si="268"/>
        <v/>
      </c>
      <c r="BY824" s="6">
        <f t="shared" si="2"/>
        <v>1899</v>
      </c>
      <c r="BZ824" s="6" t="str">
        <f t="shared" si="3"/>
        <v>diciembre</v>
      </c>
      <c r="CA824" s="6" t="str">
        <f t="shared" si="4"/>
        <v>12</v>
      </c>
    </row>
    <row r="825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V825" s="16"/>
      <c r="AX825" s="16"/>
      <c r="AY825" s="16"/>
      <c r="AZ825" s="16"/>
      <c r="BC825" s="16"/>
      <c r="BD825" s="16"/>
      <c r="BE825" s="16"/>
      <c r="BI825" s="29" t="str">
        <f t="shared" si="268"/>
        <v/>
      </c>
      <c r="BY825" s="6">
        <f t="shared" si="2"/>
        <v>1899</v>
      </c>
      <c r="BZ825" s="6" t="str">
        <f t="shared" si="3"/>
        <v>diciembre</v>
      </c>
      <c r="CA825" s="6" t="str">
        <f t="shared" si="4"/>
        <v>12</v>
      </c>
    </row>
    <row r="826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V826" s="16"/>
      <c r="AX826" s="16"/>
      <c r="AY826" s="16"/>
      <c r="AZ826" s="16"/>
      <c r="BC826" s="16"/>
      <c r="BD826" s="16"/>
      <c r="BE826" s="16"/>
      <c r="BI826" s="29" t="str">
        <f t="shared" si="268"/>
        <v/>
      </c>
      <c r="BY826" s="6">
        <f t="shared" si="2"/>
        <v>1899</v>
      </c>
      <c r="BZ826" s="6" t="str">
        <f t="shared" si="3"/>
        <v>diciembre</v>
      </c>
      <c r="CA826" s="6" t="str">
        <f t="shared" si="4"/>
        <v>12</v>
      </c>
    </row>
    <row r="827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V827" s="16"/>
      <c r="AX827" s="16"/>
      <c r="AY827" s="16"/>
      <c r="AZ827" s="16"/>
      <c r="BC827" s="16"/>
      <c r="BD827" s="16"/>
      <c r="BE827" s="16"/>
      <c r="BI827" s="29" t="str">
        <f t="shared" si="268"/>
        <v/>
      </c>
      <c r="BY827" s="6">
        <f t="shared" si="2"/>
        <v>1899</v>
      </c>
      <c r="BZ827" s="6" t="str">
        <f t="shared" si="3"/>
        <v>diciembre</v>
      </c>
      <c r="CA827" s="6" t="str">
        <f t="shared" si="4"/>
        <v>12</v>
      </c>
    </row>
    <row r="828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V828" s="16"/>
      <c r="AX828" s="16"/>
      <c r="AY828" s="16"/>
      <c r="AZ828" s="16"/>
      <c r="BC828" s="16"/>
      <c r="BD828" s="16"/>
      <c r="BE828" s="16"/>
      <c r="BI828" s="29" t="str">
        <f t="shared" si="268"/>
        <v/>
      </c>
      <c r="BY828" s="6">
        <f t="shared" si="2"/>
        <v>1899</v>
      </c>
      <c r="BZ828" s="6" t="str">
        <f t="shared" si="3"/>
        <v>diciembre</v>
      </c>
      <c r="CA828" s="6" t="str">
        <f t="shared" si="4"/>
        <v>12</v>
      </c>
    </row>
    <row r="829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V829" s="16"/>
      <c r="AX829" s="16"/>
      <c r="AY829" s="16"/>
      <c r="AZ829" s="16"/>
      <c r="BC829" s="16"/>
      <c r="BD829" s="16"/>
      <c r="BE829" s="16"/>
      <c r="BI829" s="29" t="str">
        <f t="shared" si="268"/>
        <v/>
      </c>
      <c r="BY829" s="6">
        <f t="shared" si="2"/>
        <v>1899</v>
      </c>
      <c r="BZ829" s="6" t="str">
        <f t="shared" si="3"/>
        <v>diciembre</v>
      </c>
      <c r="CA829" s="6" t="str">
        <f t="shared" si="4"/>
        <v>12</v>
      </c>
    </row>
    <row r="830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V830" s="16"/>
      <c r="AX830" s="16"/>
      <c r="AY830" s="16"/>
      <c r="AZ830" s="16"/>
      <c r="BC830" s="16"/>
      <c r="BD830" s="16"/>
      <c r="BE830" s="16"/>
      <c r="BI830" s="29" t="str">
        <f t="shared" si="268"/>
        <v/>
      </c>
      <c r="BY830" s="6">
        <f t="shared" si="2"/>
        <v>1899</v>
      </c>
      <c r="BZ830" s="6" t="str">
        <f t="shared" si="3"/>
        <v>diciembre</v>
      </c>
      <c r="CA830" s="6" t="str">
        <f t="shared" si="4"/>
        <v>12</v>
      </c>
    </row>
    <row r="831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V831" s="16"/>
      <c r="AX831" s="16"/>
      <c r="AY831" s="16"/>
      <c r="AZ831" s="16"/>
      <c r="BC831" s="16"/>
      <c r="BD831" s="16"/>
      <c r="BE831" s="16"/>
      <c r="BI831" s="29" t="str">
        <f t="shared" si="268"/>
        <v/>
      </c>
      <c r="BY831" s="6">
        <f t="shared" si="2"/>
        <v>1899</v>
      </c>
      <c r="BZ831" s="6" t="str">
        <f t="shared" si="3"/>
        <v>diciembre</v>
      </c>
      <c r="CA831" s="6" t="str">
        <f t="shared" si="4"/>
        <v>12</v>
      </c>
    </row>
    <row r="832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V832" s="16"/>
      <c r="AX832" s="16"/>
      <c r="AY832" s="16"/>
      <c r="AZ832" s="16"/>
      <c r="BC832" s="16"/>
      <c r="BD832" s="16"/>
      <c r="BE832" s="16"/>
      <c r="BI832" s="29" t="str">
        <f t="shared" si="268"/>
        <v/>
      </c>
      <c r="BY832" s="6">
        <f t="shared" si="2"/>
        <v>1899</v>
      </c>
      <c r="BZ832" s="6" t="str">
        <f t="shared" si="3"/>
        <v>diciembre</v>
      </c>
      <c r="CA832" s="6" t="str">
        <f t="shared" si="4"/>
        <v>12</v>
      </c>
    </row>
    <row r="833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V833" s="16"/>
      <c r="AX833" s="16"/>
      <c r="AY833" s="16"/>
      <c r="AZ833" s="16"/>
      <c r="BC833" s="16"/>
      <c r="BD833" s="16"/>
      <c r="BE833" s="16"/>
      <c r="BI833" s="29" t="str">
        <f t="shared" si="268"/>
        <v/>
      </c>
      <c r="BY833" s="6">
        <f t="shared" si="2"/>
        <v>1899</v>
      </c>
      <c r="BZ833" s="6" t="str">
        <f t="shared" si="3"/>
        <v>diciembre</v>
      </c>
      <c r="CA833" s="6" t="str">
        <f t="shared" si="4"/>
        <v>12</v>
      </c>
    </row>
    <row r="834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V834" s="16"/>
      <c r="AX834" s="16"/>
      <c r="AY834" s="16"/>
      <c r="AZ834" s="16"/>
      <c r="BC834" s="16"/>
      <c r="BD834" s="16"/>
      <c r="BE834" s="16"/>
      <c r="BI834" s="29" t="str">
        <f t="shared" si="268"/>
        <v/>
      </c>
    </row>
    <row r="835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V835" s="16"/>
      <c r="AX835" s="16"/>
      <c r="AY835" s="16"/>
      <c r="AZ835" s="16"/>
      <c r="BC835" s="16"/>
      <c r="BD835" s="16"/>
      <c r="BE835" s="16"/>
      <c r="BI835" s="29" t="str">
        <f t="shared" si="268"/>
        <v/>
      </c>
    </row>
    <row r="836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V836" s="16"/>
      <c r="AX836" s="16"/>
      <c r="AY836" s="16"/>
      <c r="AZ836" s="16"/>
      <c r="BC836" s="16"/>
      <c r="BD836" s="16"/>
      <c r="BE836" s="16"/>
      <c r="BI836" s="29" t="str">
        <f t="shared" si="268"/>
        <v/>
      </c>
    </row>
    <row r="837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V837" s="16"/>
      <c r="AX837" s="16"/>
      <c r="AY837" s="16"/>
      <c r="AZ837" s="16"/>
      <c r="BC837" s="16"/>
      <c r="BD837" s="16"/>
      <c r="BE837" s="16"/>
      <c r="BI837" s="29" t="str">
        <f t="shared" si="268"/>
        <v/>
      </c>
    </row>
    <row r="838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V838" s="16"/>
      <c r="AX838" s="16"/>
      <c r="AY838" s="16"/>
      <c r="AZ838" s="16"/>
      <c r="BC838" s="16"/>
      <c r="BD838" s="16"/>
      <c r="BE838" s="16"/>
      <c r="BI838" s="29" t="str">
        <f t="shared" si="268"/>
        <v/>
      </c>
    </row>
    <row r="839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V839" s="16"/>
      <c r="AX839" s="16"/>
      <c r="AY839" s="16"/>
      <c r="AZ839" s="16"/>
      <c r="BC839" s="16"/>
      <c r="BD839" s="16"/>
      <c r="BE839" s="16"/>
      <c r="BI839" s="29" t="str">
        <f t="shared" si="268"/>
        <v/>
      </c>
    </row>
    <row r="840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V840" s="16"/>
      <c r="AX840" s="16"/>
      <c r="AY840" s="16"/>
      <c r="AZ840" s="16"/>
      <c r="BC840" s="16"/>
      <c r="BD840" s="16"/>
      <c r="BE840" s="16"/>
      <c r="BI840" s="29" t="str">
        <f t="shared" si="268"/>
        <v/>
      </c>
    </row>
    <row r="841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V841" s="16"/>
      <c r="AX841" s="16"/>
      <c r="AY841" s="16"/>
      <c r="AZ841" s="16"/>
      <c r="BC841" s="16"/>
      <c r="BD841" s="16"/>
      <c r="BE841" s="16"/>
      <c r="BI841" s="29" t="str">
        <f t="shared" si="268"/>
        <v/>
      </c>
    </row>
    <row r="842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V842" s="16"/>
      <c r="AX842" s="16"/>
      <c r="AY842" s="16"/>
      <c r="AZ842" s="16"/>
      <c r="BC842" s="16"/>
      <c r="BD842" s="16"/>
      <c r="BE842" s="16"/>
      <c r="BI842" s="29" t="str">
        <f t="shared" si="268"/>
        <v/>
      </c>
    </row>
    <row r="843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V843" s="16"/>
      <c r="AX843" s="16"/>
      <c r="AY843" s="16"/>
      <c r="AZ843" s="16"/>
      <c r="BC843" s="16"/>
      <c r="BD843" s="16"/>
      <c r="BE843" s="16"/>
      <c r="BI843" s="29" t="str">
        <f t="shared" si="268"/>
        <v/>
      </c>
    </row>
    <row r="844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V844" s="16"/>
      <c r="AX844" s="16"/>
      <c r="AY844" s="16"/>
      <c r="AZ844" s="16"/>
      <c r="BC844" s="16"/>
      <c r="BD844" s="16"/>
      <c r="BE844" s="16"/>
      <c r="BI844" s="29" t="str">
        <f t="shared" si="268"/>
        <v/>
      </c>
    </row>
    <row r="845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V845" s="16"/>
      <c r="AX845" s="16"/>
      <c r="AY845" s="16"/>
      <c r="AZ845" s="16"/>
      <c r="BC845" s="16"/>
      <c r="BD845" s="16"/>
      <c r="BE845" s="16"/>
      <c r="BI845" s="29" t="str">
        <f t="shared" si="268"/>
        <v/>
      </c>
    </row>
    <row r="846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V846" s="16"/>
      <c r="AX846" s="16"/>
      <c r="AY846" s="16"/>
      <c r="AZ846" s="16"/>
      <c r="BC846" s="16"/>
      <c r="BD846" s="16"/>
      <c r="BE846" s="16"/>
      <c r="BI846" s="29" t="str">
        <f t="shared" si="268"/>
        <v/>
      </c>
    </row>
    <row r="847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V847" s="16"/>
      <c r="AX847" s="16"/>
      <c r="AY847" s="16"/>
      <c r="AZ847" s="16"/>
      <c r="BC847" s="16"/>
      <c r="BD847" s="16"/>
      <c r="BE847" s="16"/>
      <c r="BI847" s="29" t="str">
        <f t="shared" si="268"/>
        <v/>
      </c>
    </row>
    <row r="848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V848" s="16"/>
      <c r="AX848" s="16"/>
      <c r="AY848" s="16"/>
      <c r="AZ848" s="16"/>
      <c r="BC848" s="16"/>
      <c r="BD848" s="16"/>
      <c r="BE848" s="16"/>
      <c r="BI848" s="29" t="str">
        <f t="shared" si="268"/>
        <v/>
      </c>
    </row>
    <row r="849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V849" s="16"/>
      <c r="AX849" s="16"/>
      <c r="AY849" s="16"/>
      <c r="AZ849" s="16"/>
      <c r="BC849" s="16"/>
      <c r="BD849" s="16"/>
      <c r="BE849" s="16"/>
      <c r="BI849" s="29" t="str">
        <f t="shared" si="268"/>
        <v/>
      </c>
    </row>
    <row r="850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V850" s="16"/>
      <c r="AX850" s="16"/>
      <c r="AY850" s="16"/>
      <c r="AZ850" s="16"/>
      <c r="BC850" s="16"/>
      <c r="BD850" s="16"/>
      <c r="BE850" s="16"/>
      <c r="BI850" s="29" t="str">
        <f t="shared" si="268"/>
        <v/>
      </c>
    </row>
    <row r="851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V851" s="16"/>
      <c r="AX851" s="16"/>
      <c r="AY851" s="16"/>
      <c r="AZ851" s="16"/>
      <c r="BC851" s="16"/>
      <c r="BD851" s="16"/>
      <c r="BE851" s="16"/>
      <c r="BI851" s="29" t="str">
        <f t="shared" si="268"/>
        <v/>
      </c>
    </row>
    <row r="852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V852" s="16"/>
      <c r="AX852" s="16"/>
      <c r="AY852" s="16"/>
      <c r="AZ852" s="16"/>
      <c r="BC852" s="16"/>
      <c r="BD852" s="16"/>
      <c r="BE852" s="16"/>
      <c r="BI852" s="29" t="str">
        <f t="shared" si="268"/>
        <v/>
      </c>
    </row>
    <row r="853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V853" s="16"/>
      <c r="AX853" s="16"/>
      <c r="AY853" s="16"/>
      <c r="AZ853" s="16"/>
      <c r="BC853" s="16"/>
      <c r="BD853" s="16"/>
      <c r="BE853" s="16"/>
      <c r="BI853" s="29" t="str">
        <f t="shared" si="268"/>
        <v/>
      </c>
    </row>
    <row r="854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V854" s="16"/>
      <c r="AX854" s="16"/>
      <c r="AY854" s="16"/>
      <c r="AZ854" s="16"/>
      <c r="BC854" s="16"/>
      <c r="BD854" s="16"/>
      <c r="BE854" s="16"/>
      <c r="BI854" s="29" t="str">
        <f t="shared" si="268"/>
        <v/>
      </c>
    </row>
    <row r="855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V855" s="16"/>
      <c r="AX855" s="16"/>
      <c r="AY855" s="16"/>
      <c r="AZ855" s="16"/>
      <c r="BC855" s="16"/>
      <c r="BD855" s="16"/>
      <c r="BE855" s="16"/>
      <c r="BI855" s="29" t="str">
        <f t="shared" si="268"/>
        <v/>
      </c>
    </row>
    <row r="856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V856" s="16"/>
      <c r="AX856" s="16"/>
      <c r="AY856" s="16"/>
      <c r="AZ856" s="16"/>
      <c r="BC856" s="16"/>
      <c r="BD856" s="16"/>
      <c r="BE856" s="16"/>
      <c r="BI856" s="29" t="str">
        <f t="shared" si="268"/>
        <v/>
      </c>
    </row>
    <row r="857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V857" s="16"/>
      <c r="AX857" s="16"/>
      <c r="AY857" s="16"/>
      <c r="AZ857" s="16"/>
      <c r="BC857" s="16"/>
      <c r="BD857" s="16"/>
      <c r="BE857" s="16"/>
      <c r="BI857" s="29" t="str">
        <f t="shared" si="268"/>
        <v/>
      </c>
    </row>
    <row r="858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V858" s="16"/>
      <c r="AX858" s="16"/>
      <c r="AY858" s="16"/>
      <c r="AZ858" s="16"/>
      <c r="BC858" s="16"/>
      <c r="BD858" s="16"/>
      <c r="BE858" s="16"/>
      <c r="BI858" s="29" t="str">
        <f t="shared" si="268"/>
        <v/>
      </c>
    </row>
    <row r="859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V859" s="16"/>
      <c r="AX859" s="16"/>
      <c r="AY859" s="16"/>
      <c r="AZ859" s="16"/>
      <c r="BC859" s="16"/>
      <c r="BD859" s="16"/>
      <c r="BE859" s="16"/>
      <c r="BI859" s="29" t="str">
        <f t="shared" si="268"/>
        <v/>
      </c>
    </row>
    <row r="860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V860" s="16"/>
      <c r="AX860" s="16"/>
      <c r="AY860" s="16"/>
      <c r="AZ860" s="16"/>
      <c r="BC860" s="16"/>
      <c r="BD860" s="16"/>
      <c r="BE860" s="16"/>
      <c r="BI860" s="29" t="str">
        <f t="shared" si="268"/>
        <v/>
      </c>
    </row>
    <row r="861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V861" s="16"/>
      <c r="AX861" s="16"/>
      <c r="AY861" s="16"/>
      <c r="AZ861" s="16"/>
      <c r="BC861" s="16"/>
      <c r="BD861" s="16"/>
      <c r="BE861" s="16"/>
      <c r="BI861" s="29" t="str">
        <f t="shared" si="268"/>
        <v/>
      </c>
    </row>
    <row r="862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V862" s="16"/>
      <c r="AX862" s="16"/>
      <c r="AY862" s="16"/>
      <c r="AZ862" s="16"/>
      <c r="BC862" s="16"/>
      <c r="BD862" s="16"/>
      <c r="BE862" s="16"/>
      <c r="BI862" s="29" t="str">
        <f t="shared" si="268"/>
        <v/>
      </c>
    </row>
    <row r="863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V863" s="16"/>
      <c r="AX863" s="16"/>
      <c r="AY863" s="16"/>
      <c r="AZ863" s="16"/>
      <c r="BC863" s="16"/>
      <c r="BD863" s="16"/>
      <c r="BE863" s="16"/>
      <c r="BI863" s="29" t="str">
        <f t="shared" si="268"/>
        <v/>
      </c>
    </row>
    <row r="864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V864" s="16"/>
      <c r="AX864" s="16"/>
      <c r="AY864" s="16"/>
      <c r="AZ864" s="16"/>
      <c r="BC864" s="16"/>
      <c r="BD864" s="16"/>
      <c r="BE864" s="16"/>
      <c r="BI864" s="29" t="str">
        <f t="shared" si="268"/>
        <v/>
      </c>
    </row>
    <row r="865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V865" s="16"/>
      <c r="AX865" s="16"/>
      <c r="AY865" s="16"/>
      <c r="AZ865" s="16"/>
      <c r="BC865" s="16"/>
      <c r="BD865" s="16"/>
      <c r="BE865" s="16"/>
      <c r="BI865" s="29" t="str">
        <f t="shared" si="268"/>
        <v/>
      </c>
    </row>
    <row r="866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V866" s="16"/>
      <c r="AX866" s="16"/>
      <c r="AY866" s="16"/>
      <c r="AZ866" s="16"/>
      <c r="BC866" s="16"/>
      <c r="BD866" s="16"/>
      <c r="BE866" s="16"/>
      <c r="BI866" s="29" t="str">
        <f t="shared" si="268"/>
        <v/>
      </c>
    </row>
    <row r="867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V867" s="16"/>
      <c r="AX867" s="16"/>
      <c r="AY867" s="16"/>
      <c r="AZ867" s="16"/>
      <c r="BC867" s="16"/>
      <c r="BD867" s="16"/>
      <c r="BE867" s="16"/>
      <c r="BI867" s="29" t="str">
        <f t="shared" si="268"/>
        <v/>
      </c>
    </row>
    <row r="868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V868" s="16"/>
      <c r="AX868" s="16"/>
      <c r="AY868" s="16"/>
      <c r="AZ868" s="16"/>
      <c r="BC868" s="16"/>
      <c r="BD868" s="16"/>
      <c r="BE868" s="16"/>
      <c r="BI868" s="29" t="str">
        <f t="shared" si="268"/>
        <v/>
      </c>
    </row>
    <row r="869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V869" s="16"/>
      <c r="AX869" s="16"/>
      <c r="AY869" s="16"/>
      <c r="AZ869" s="16"/>
      <c r="BC869" s="16"/>
      <c r="BD869" s="16"/>
      <c r="BE869" s="16"/>
    </row>
    <row r="870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V870" s="16"/>
      <c r="AX870" s="16"/>
      <c r="AY870" s="16"/>
      <c r="AZ870" s="16"/>
      <c r="BC870" s="16"/>
      <c r="BD870" s="16"/>
      <c r="BE870" s="16"/>
    </row>
    <row r="871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V871" s="16"/>
      <c r="AX871" s="16"/>
      <c r="AY871" s="16"/>
      <c r="AZ871" s="16"/>
      <c r="BC871" s="16"/>
      <c r="BD871" s="16"/>
      <c r="BE871" s="16"/>
    </row>
    <row r="872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V872" s="16"/>
      <c r="AX872" s="16"/>
      <c r="AY872" s="16"/>
      <c r="AZ872" s="16"/>
      <c r="BC872" s="16"/>
      <c r="BD872" s="16"/>
      <c r="BE872" s="16"/>
    </row>
    <row r="873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V873" s="16"/>
      <c r="AX873" s="16"/>
      <c r="AY873" s="16"/>
      <c r="AZ873" s="16"/>
      <c r="BC873" s="16"/>
      <c r="BD873" s="16"/>
      <c r="BE873" s="16"/>
    </row>
    <row r="874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V874" s="16"/>
      <c r="AX874" s="16"/>
      <c r="AY874" s="16"/>
      <c r="AZ874" s="16"/>
      <c r="BC874" s="16"/>
      <c r="BD874" s="16"/>
      <c r="BE874" s="16"/>
    </row>
    <row r="875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V875" s="16"/>
      <c r="AX875" s="16"/>
      <c r="AY875" s="16"/>
      <c r="AZ875" s="16"/>
      <c r="BC875" s="16"/>
      <c r="BD875" s="16"/>
      <c r="BE875" s="16"/>
    </row>
    <row r="876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V876" s="16"/>
      <c r="AX876" s="16"/>
      <c r="AY876" s="16"/>
      <c r="AZ876" s="16"/>
      <c r="BC876" s="16"/>
      <c r="BD876" s="16"/>
      <c r="BE876" s="16"/>
    </row>
    <row r="877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V877" s="16"/>
      <c r="AX877" s="16"/>
      <c r="AY877" s="16"/>
      <c r="AZ877" s="16"/>
      <c r="BC877" s="16"/>
      <c r="BD877" s="16"/>
      <c r="BE877" s="16"/>
    </row>
    <row r="878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V878" s="16"/>
      <c r="AX878" s="16"/>
      <c r="AY878" s="16"/>
      <c r="AZ878" s="16"/>
      <c r="BC878" s="16"/>
      <c r="BD878" s="16"/>
      <c r="BE878" s="16"/>
    </row>
    <row r="879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V879" s="16"/>
      <c r="AX879" s="16"/>
      <c r="AY879" s="16"/>
      <c r="AZ879" s="16"/>
      <c r="BC879" s="16"/>
      <c r="BD879" s="16"/>
      <c r="BE879" s="16"/>
    </row>
    <row r="880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V880" s="16"/>
      <c r="AX880" s="16"/>
      <c r="AY880" s="16"/>
      <c r="AZ880" s="16"/>
      <c r="BC880" s="16"/>
      <c r="BD880" s="16"/>
      <c r="BE880" s="16"/>
    </row>
    <row r="881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V881" s="16"/>
      <c r="AX881" s="16"/>
      <c r="AY881" s="16"/>
      <c r="AZ881" s="16"/>
      <c r="BC881" s="16"/>
      <c r="BD881" s="16"/>
      <c r="BE881" s="16"/>
    </row>
    <row r="882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V882" s="16"/>
      <c r="AX882" s="16"/>
      <c r="AY882" s="16"/>
      <c r="AZ882" s="16"/>
      <c r="BC882" s="16"/>
      <c r="BD882" s="16"/>
      <c r="BE882" s="16"/>
    </row>
    <row r="883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V883" s="16"/>
      <c r="AX883" s="16"/>
      <c r="AY883" s="16"/>
      <c r="AZ883" s="16"/>
      <c r="BC883" s="16"/>
      <c r="BD883" s="16"/>
      <c r="BE883" s="16"/>
    </row>
    <row r="884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V884" s="16"/>
      <c r="AX884" s="16"/>
      <c r="AY884" s="16"/>
      <c r="AZ884" s="16"/>
      <c r="BC884" s="16"/>
      <c r="BD884" s="16"/>
      <c r="BE884" s="16"/>
    </row>
    <row r="885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V885" s="16"/>
      <c r="AX885" s="16"/>
      <c r="AY885" s="16"/>
      <c r="AZ885" s="16"/>
      <c r="BC885" s="16"/>
      <c r="BD885" s="16"/>
      <c r="BE885" s="16"/>
    </row>
    <row r="886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V886" s="16"/>
      <c r="AX886" s="16"/>
      <c r="AY886" s="16"/>
      <c r="AZ886" s="16"/>
      <c r="BC886" s="16"/>
      <c r="BD886" s="16"/>
      <c r="BE886" s="16"/>
    </row>
    <row r="887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V887" s="16"/>
      <c r="AX887" s="16"/>
      <c r="AY887" s="16"/>
      <c r="AZ887" s="16"/>
      <c r="BC887" s="16"/>
      <c r="BD887" s="16"/>
      <c r="BE887" s="16"/>
    </row>
    <row r="888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V888" s="16"/>
      <c r="AX888" s="16"/>
      <c r="AY888" s="16"/>
      <c r="AZ888" s="16"/>
      <c r="BC888" s="16"/>
      <c r="BD888" s="16"/>
      <c r="BE888" s="16"/>
    </row>
    <row r="889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V889" s="16"/>
      <c r="AX889" s="16"/>
      <c r="AY889" s="16"/>
      <c r="AZ889" s="16"/>
      <c r="BC889" s="16"/>
      <c r="BD889" s="16"/>
      <c r="BE889" s="16"/>
    </row>
    <row r="890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V890" s="16"/>
      <c r="AX890" s="16"/>
      <c r="AY890" s="16"/>
      <c r="AZ890" s="16"/>
      <c r="BC890" s="16"/>
      <c r="BD890" s="16"/>
      <c r="BE890" s="16"/>
    </row>
    <row r="891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V891" s="16"/>
      <c r="AX891" s="16"/>
      <c r="AY891" s="16"/>
      <c r="AZ891" s="16"/>
      <c r="BC891" s="16"/>
      <c r="BD891" s="16"/>
      <c r="BE891" s="16"/>
    </row>
    <row r="892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V892" s="16"/>
      <c r="AX892" s="16"/>
      <c r="AY892" s="16"/>
      <c r="AZ892" s="16"/>
      <c r="BC892" s="16"/>
      <c r="BD892" s="16"/>
      <c r="BE892" s="16"/>
    </row>
    <row r="893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V893" s="16"/>
      <c r="AX893" s="16"/>
      <c r="AY893" s="16"/>
      <c r="AZ893" s="16"/>
      <c r="BC893" s="16"/>
      <c r="BD893" s="16"/>
      <c r="BE893" s="16"/>
    </row>
    <row r="894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V894" s="16"/>
      <c r="AX894" s="16"/>
      <c r="AY894" s="16"/>
      <c r="AZ894" s="16"/>
      <c r="BC894" s="16"/>
      <c r="BD894" s="16"/>
      <c r="BE894" s="16"/>
    </row>
    <row r="895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V895" s="16"/>
      <c r="AX895" s="16"/>
      <c r="AY895" s="16"/>
      <c r="AZ895" s="16"/>
      <c r="BC895" s="16"/>
      <c r="BD895" s="16"/>
      <c r="BE895" s="16"/>
    </row>
    <row r="896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V896" s="16"/>
      <c r="AX896" s="16"/>
      <c r="AY896" s="16"/>
      <c r="AZ896" s="16"/>
      <c r="BC896" s="16"/>
      <c r="BD896" s="16"/>
      <c r="BE896" s="16"/>
    </row>
    <row r="897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V897" s="16"/>
      <c r="AX897" s="16"/>
      <c r="AY897" s="16"/>
      <c r="AZ897" s="16"/>
      <c r="BC897" s="16"/>
      <c r="BD897" s="16"/>
      <c r="BE897" s="16"/>
    </row>
    <row r="898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V898" s="16"/>
      <c r="AX898" s="16"/>
      <c r="AY898" s="16"/>
      <c r="AZ898" s="16"/>
      <c r="BC898" s="16"/>
      <c r="BD898" s="16"/>
      <c r="BE898" s="16"/>
    </row>
    <row r="899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V899" s="16"/>
      <c r="AX899" s="16"/>
      <c r="AY899" s="16"/>
      <c r="AZ899" s="16"/>
      <c r="BC899" s="16"/>
      <c r="BD899" s="16"/>
      <c r="BE899" s="16"/>
    </row>
    <row r="900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V900" s="16"/>
      <c r="AX900" s="16"/>
      <c r="AY900" s="16"/>
      <c r="AZ900" s="16"/>
      <c r="BC900" s="16"/>
      <c r="BD900" s="16"/>
      <c r="BE900" s="16"/>
    </row>
    <row r="901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V901" s="16"/>
      <c r="AX901" s="16"/>
      <c r="AY901" s="16"/>
      <c r="AZ901" s="16"/>
      <c r="BC901" s="16"/>
      <c r="BD901" s="16"/>
      <c r="BE901" s="16"/>
    </row>
    <row r="902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V902" s="16"/>
      <c r="AX902" s="16"/>
      <c r="AY902" s="16"/>
      <c r="AZ902" s="16"/>
      <c r="BC902" s="16"/>
      <c r="BD902" s="16"/>
      <c r="BE902" s="16"/>
    </row>
    <row r="903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V903" s="16"/>
      <c r="AX903" s="16"/>
      <c r="AY903" s="16"/>
      <c r="AZ903" s="16"/>
      <c r="BC903" s="16"/>
      <c r="BD903" s="16"/>
      <c r="BE903" s="16"/>
    </row>
    <row r="904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V904" s="16"/>
      <c r="AX904" s="16"/>
      <c r="AY904" s="16"/>
      <c r="AZ904" s="16"/>
      <c r="BC904" s="16"/>
      <c r="BD904" s="16"/>
      <c r="BE904" s="16"/>
    </row>
    <row r="905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V905" s="16"/>
      <c r="AX905" s="16"/>
      <c r="AY905" s="16"/>
      <c r="AZ905" s="16"/>
      <c r="BC905" s="16"/>
      <c r="BD905" s="16"/>
      <c r="BE905" s="16"/>
    </row>
    <row r="906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V906" s="16"/>
      <c r="AX906" s="16"/>
      <c r="AY906" s="16"/>
      <c r="AZ906" s="16"/>
      <c r="BC906" s="16"/>
      <c r="BD906" s="16"/>
      <c r="BE906" s="16"/>
    </row>
    <row r="907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V907" s="16"/>
      <c r="AX907" s="16"/>
      <c r="AY907" s="16"/>
      <c r="AZ907" s="16"/>
      <c r="BC907" s="16"/>
      <c r="BD907" s="16"/>
      <c r="BE907" s="16"/>
    </row>
    <row r="908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V908" s="16"/>
      <c r="AX908" s="16"/>
      <c r="AY908" s="16"/>
      <c r="AZ908" s="16"/>
      <c r="BC908" s="16"/>
      <c r="BD908" s="16"/>
      <c r="BE908" s="16"/>
    </row>
    <row r="909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V909" s="16"/>
      <c r="AX909" s="16"/>
      <c r="AY909" s="16"/>
      <c r="AZ909" s="16"/>
      <c r="BC909" s="16"/>
      <c r="BD909" s="16"/>
      <c r="BE909" s="16"/>
    </row>
    <row r="910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V910" s="16"/>
      <c r="AX910" s="16"/>
      <c r="AY910" s="16"/>
      <c r="AZ910" s="16"/>
      <c r="BC910" s="16"/>
      <c r="BD910" s="16"/>
      <c r="BE910" s="16"/>
    </row>
    <row r="911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V911" s="16"/>
      <c r="AX911" s="16"/>
      <c r="AY911" s="16"/>
      <c r="AZ911" s="16"/>
      <c r="BC911" s="16"/>
      <c r="BD911" s="16"/>
      <c r="BE911" s="16"/>
    </row>
    <row r="912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V912" s="16"/>
      <c r="AX912" s="16"/>
      <c r="AY912" s="16"/>
      <c r="AZ912" s="16"/>
      <c r="BC912" s="16"/>
      <c r="BD912" s="16"/>
      <c r="BE912" s="16"/>
    </row>
    <row r="913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V913" s="16"/>
      <c r="AX913" s="16"/>
      <c r="AY913" s="16"/>
      <c r="AZ913" s="16"/>
      <c r="BC913" s="16"/>
      <c r="BD913" s="16"/>
      <c r="BE913" s="16"/>
    </row>
    <row r="914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V914" s="16"/>
      <c r="AX914" s="16"/>
      <c r="AY914" s="16"/>
      <c r="AZ914" s="16"/>
      <c r="BC914" s="16"/>
      <c r="BD914" s="16"/>
      <c r="BE914" s="16"/>
    </row>
    <row r="915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V915" s="16"/>
      <c r="AX915" s="16"/>
      <c r="AY915" s="16"/>
      <c r="AZ915" s="16"/>
      <c r="BC915" s="16"/>
      <c r="BD915" s="16"/>
      <c r="BE915" s="16"/>
    </row>
    <row r="916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V916" s="16"/>
      <c r="AX916" s="16"/>
      <c r="AY916" s="16"/>
      <c r="AZ916" s="16"/>
      <c r="BC916" s="16"/>
      <c r="BD916" s="16"/>
      <c r="BE916" s="16"/>
    </row>
    <row r="917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V917" s="16"/>
      <c r="AX917" s="16"/>
      <c r="AY917" s="16"/>
      <c r="AZ917" s="16"/>
      <c r="BC917" s="16"/>
      <c r="BD917" s="16"/>
      <c r="BE917" s="16"/>
    </row>
    <row r="918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V918" s="16"/>
      <c r="AX918" s="16"/>
      <c r="AY918" s="16"/>
      <c r="AZ918" s="16"/>
      <c r="BC918" s="16"/>
      <c r="BD918" s="16"/>
      <c r="BE918" s="16"/>
    </row>
    <row r="919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V919" s="16"/>
      <c r="AX919" s="16"/>
      <c r="AY919" s="16"/>
      <c r="AZ919" s="16"/>
      <c r="BC919" s="16"/>
      <c r="BD919" s="16"/>
      <c r="BE919" s="16"/>
    </row>
    <row r="920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V920" s="16"/>
      <c r="AX920" s="16"/>
      <c r="AY920" s="16"/>
      <c r="AZ920" s="16"/>
      <c r="BC920" s="16"/>
      <c r="BD920" s="16"/>
      <c r="BE920" s="16"/>
    </row>
    <row r="921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V921" s="16"/>
      <c r="AX921" s="16"/>
      <c r="AY921" s="16"/>
      <c r="AZ921" s="16"/>
      <c r="BC921" s="16"/>
      <c r="BD921" s="16"/>
      <c r="BE921" s="16"/>
    </row>
    <row r="922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V922" s="16"/>
      <c r="AX922" s="16"/>
      <c r="AY922" s="16"/>
      <c r="AZ922" s="16"/>
      <c r="BC922" s="16"/>
      <c r="BD922" s="16"/>
      <c r="BE922" s="16"/>
    </row>
    <row r="923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V923" s="16"/>
      <c r="AX923" s="16"/>
      <c r="AY923" s="16"/>
      <c r="AZ923" s="16"/>
      <c r="BC923" s="16"/>
      <c r="BD923" s="16"/>
      <c r="BE923" s="16"/>
    </row>
    <row r="924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V924" s="16"/>
      <c r="AX924" s="16"/>
      <c r="AY924" s="16"/>
      <c r="AZ924" s="16"/>
      <c r="BC924" s="16"/>
      <c r="BD924" s="16"/>
      <c r="BE924" s="16"/>
    </row>
    <row r="925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V925" s="16"/>
      <c r="AX925" s="16"/>
      <c r="AY925" s="16"/>
      <c r="AZ925" s="16"/>
      <c r="BC925" s="16"/>
      <c r="BD925" s="16"/>
      <c r="BE925" s="16"/>
    </row>
    <row r="926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V926" s="16"/>
      <c r="AX926" s="16"/>
      <c r="AY926" s="16"/>
      <c r="AZ926" s="16"/>
      <c r="BC926" s="16"/>
      <c r="BD926" s="16"/>
      <c r="BE926" s="16"/>
    </row>
    <row r="927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V927" s="16"/>
      <c r="AX927" s="16"/>
      <c r="AY927" s="16"/>
      <c r="AZ927" s="16"/>
      <c r="BC927" s="16"/>
      <c r="BD927" s="16"/>
      <c r="BE927" s="16"/>
    </row>
    <row r="928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V928" s="16"/>
      <c r="AX928" s="16"/>
      <c r="AY928" s="16"/>
      <c r="AZ928" s="16"/>
      <c r="BC928" s="16"/>
      <c r="BD928" s="16"/>
      <c r="BE928" s="16"/>
    </row>
    <row r="929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V929" s="16"/>
      <c r="AX929" s="16"/>
      <c r="AY929" s="16"/>
      <c r="AZ929" s="16"/>
      <c r="BC929" s="16"/>
      <c r="BD929" s="16"/>
      <c r="BE929" s="16"/>
    </row>
    <row r="930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V930" s="16"/>
      <c r="AX930" s="16"/>
      <c r="AY930" s="16"/>
      <c r="AZ930" s="16"/>
      <c r="BC930" s="16"/>
      <c r="BD930" s="16"/>
      <c r="BE930" s="16"/>
    </row>
    <row r="931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V931" s="16"/>
      <c r="AX931" s="16"/>
      <c r="AY931" s="16"/>
      <c r="AZ931" s="16"/>
      <c r="BC931" s="16"/>
      <c r="BD931" s="16"/>
      <c r="BE931" s="16"/>
    </row>
    <row r="932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V932" s="16"/>
      <c r="AX932" s="16"/>
      <c r="AY932" s="16"/>
      <c r="AZ932" s="16"/>
      <c r="BC932" s="16"/>
      <c r="BD932" s="16"/>
      <c r="BE932" s="16"/>
    </row>
    <row r="933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V933" s="16"/>
      <c r="AX933" s="16"/>
      <c r="AY933" s="16"/>
      <c r="AZ933" s="16"/>
      <c r="BC933" s="16"/>
      <c r="BD933" s="16"/>
      <c r="BE933" s="16"/>
    </row>
    <row r="934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V934" s="16"/>
      <c r="AX934" s="16"/>
      <c r="AY934" s="16"/>
      <c r="AZ934" s="16"/>
      <c r="BC934" s="16"/>
      <c r="BD934" s="16"/>
      <c r="BE934" s="16"/>
    </row>
    <row r="935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V935" s="16"/>
      <c r="AX935" s="16"/>
      <c r="AY935" s="16"/>
      <c r="AZ935" s="16"/>
      <c r="BC935" s="16"/>
      <c r="BD935" s="16"/>
      <c r="BE935" s="16"/>
    </row>
    <row r="936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V936" s="16"/>
      <c r="AX936" s="16"/>
      <c r="AY936" s="16"/>
      <c r="AZ936" s="16"/>
      <c r="BC936" s="16"/>
      <c r="BD936" s="16"/>
      <c r="BE936" s="16"/>
    </row>
    <row r="937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V937" s="16"/>
      <c r="AX937" s="16"/>
      <c r="AY937" s="16"/>
      <c r="AZ937" s="16"/>
      <c r="BC937" s="16"/>
      <c r="BD937" s="16"/>
      <c r="BE937" s="16"/>
    </row>
    <row r="938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V938" s="16"/>
      <c r="AX938" s="16"/>
      <c r="AY938" s="16"/>
      <c r="AZ938" s="16"/>
      <c r="BC938" s="16"/>
      <c r="BD938" s="16"/>
      <c r="BE938" s="16"/>
    </row>
    <row r="939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V939" s="16"/>
      <c r="AX939" s="16"/>
      <c r="AY939" s="16"/>
      <c r="AZ939" s="16"/>
      <c r="BC939" s="16"/>
      <c r="BD939" s="16"/>
      <c r="BE939" s="16"/>
    </row>
    <row r="940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V940" s="16"/>
      <c r="AX940" s="16"/>
      <c r="AY940" s="16"/>
      <c r="AZ940" s="16"/>
      <c r="BC940" s="16"/>
      <c r="BD940" s="16"/>
      <c r="BE940" s="16"/>
    </row>
    <row r="941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V941" s="16"/>
      <c r="AX941" s="16"/>
      <c r="AY941" s="16"/>
      <c r="AZ941" s="16"/>
      <c r="BC941" s="16"/>
      <c r="BD941" s="16"/>
      <c r="BE941" s="16"/>
    </row>
    <row r="942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V942" s="16"/>
      <c r="AX942" s="16"/>
      <c r="AY942" s="16"/>
      <c r="AZ942" s="16"/>
      <c r="BC942" s="16"/>
      <c r="BD942" s="16"/>
      <c r="BE942" s="16"/>
    </row>
    <row r="943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V943" s="16"/>
      <c r="AX943" s="16"/>
      <c r="AY943" s="16"/>
      <c r="AZ943" s="16"/>
      <c r="BC943" s="16"/>
      <c r="BD943" s="16"/>
      <c r="BE943" s="16"/>
    </row>
    <row r="944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V944" s="16"/>
      <c r="AX944" s="16"/>
      <c r="AY944" s="16"/>
      <c r="AZ944" s="16"/>
      <c r="BC944" s="16"/>
      <c r="BD944" s="16"/>
      <c r="BE944" s="16"/>
    </row>
    <row r="945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V945" s="16"/>
      <c r="AX945" s="16"/>
      <c r="AY945" s="16"/>
      <c r="AZ945" s="16"/>
      <c r="BC945" s="16"/>
      <c r="BD945" s="16"/>
      <c r="BE945" s="16"/>
    </row>
    <row r="946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V946" s="16"/>
      <c r="AX946" s="16"/>
      <c r="AY946" s="16"/>
      <c r="AZ946" s="16"/>
      <c r="BC946" s="16"/>
      <c r="BD946" s="16"/>
      <c r="BE946" s="16"/>
    </row>
    <row r="947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V947" s="16"/>
      <c r="AX947" s="16"/>
      <c r="AY947" s="16"/>
      <c r="AZ947" s="16"/>
      <c r="BC947" s="16"/>
      <c r="BD947" s="16"/>
      <c r="BE947" s="16"/>
    </row>
    <row r="948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V948" s="16"/>
      <c r="AX948" s="16"/>
      <c r="AY948" s="16"/>
      <c r="AZ948" s="16"/>
      <c r="BC948" s="16"/>
      <c r="BD948" s="16"/>
      <c r="BE948" s="16"/>
    </row>
    <row r="949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V949" s="16"/>
      <c r="AX949" s="16"/>
      <c r="AY949" s="16"/>
      <c r="AZ949" s="16"/>
      <c r="BC949" s="16"/>
      <c r="BD949" s="16"/>
      <c r="BE949" s="16"/>
    </row>
    <row r="950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V950" s="16"/>
      <c r="AX950" s="16"/>
      <c r="AY950" s="16"/>
      <c r="AZ950" s="16"/>
      <c r="BC950" s="16"/>
      <c r="BD950" s="16"/>
      <c r="BE950" s="16"/>
    </row>
    <row r="951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V951" s="16"/>
      <c r="AX951" s="16"/>
      <c r="AY951" s="16"/>
      <c r="AZ951" s="16"/>
      <c r="BC951" s="16"/>
      <c r="BD951" s="16"/>
      <c r="BE951" s="16"/>
    </row>
    <row r="952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V952" s="16"/>
      <c r="AX952" s="16"/>
      <c r="AY952" s="16"/>
      <c r="AZ952" s="16"/>
      <c r="BC952" s="16"/>
      <c r="BD952" s="16"/>
      <c r="BE952" s="16"/>
    </row>
    <row r="953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V953" s="16"/>
      <c r="AX953" s="16"/>
      <c r="AY953" s="16"/>
      <c r="AZ953" s="16"/>
      <c r="BC953" s="16"/>
      <c r="BD953" s="16"/>
      <c r="BE953" s="16"/>
    </row>
    <row r="954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V954" s="16"/>
      <c r="AX954" s="16"/>
      <c r="AY954" s="16"/>
      <c r="AZ954" s="16"/>
      <c r="BC954" s="16"/>
      <c r="BD954" s="16"/>
      <c r="BE954" s="16"/>
    </row>
    <row r="955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V955" s="16"/>
      <c r="AX955" s="16"/>
      <c r="AY955" s="16"/>
      <c r="AZ955" s="16"/>
      <c r="BC955" s="16"/>
      <c r="BD955" s="16"/>
      <c r="BE955" s="16"/>
    </row>
    <row r="956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V956" s="16"/>
      <c r="AX956" s="16"/>
      <c r="AY956" s="16"/>
      <c r="AZ956" s="16"/>
      <c r="BC956" s="16"/>
      <c r="BD956" s="16"/>
      <c r="BE956" s="16"/>
    </row>
    <row r="957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V957" s="16"/>
      <c r="AX957" s="16"/>
      <c r="AY957" s="16"/>
      <c r="AZ957" s="16"/>
      <c r="BC957" s="16"/>
      <c r="BD957" s="16"/>
      <c r="BE957" s="16"/>
    </row>
    <row r="958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V958" s="16"/>
      <c r="AX958" s="16"/>
      <c r="AY958" s="16"/>
      <c r="AZ958" s="16"/>
      <c r="BC958" s="16"/>
      <c r="BD958" s="16"/>
      <c r="BE958" s="16"/>
    </row>
    <row r="959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V959" s="16"/>
      <c r="AX959" s="16"/>
      <c r="AY959" s="16"/>
      <c r="AZ959" s="16"/>
      <c r="BC959" s="16"/>
      <c r="BD959" s="16"/>
      <c r="BE959" s="16"/>
    </row>
    <row r="960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V960" s="16"/>
      <c r="AX960" s="16"/>
      <c r="AY960" s="16"/>
      <c r="AZ960" s="16"/>
      <c r="BC960" s="16"/>
      <c r="BD960" s="16"/>
      <c r="BE960" s="16"/>
    </row>
    <row r="961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V961" s="16"/>
      <c r="AX961" s="16"/>
      <c r="AY961" s="16"/>
      <c r="AZ961" s="16"/>
      <c r="BC961" s="16"/>
      <c r="BD961" s="16"/>
      <c r="BE961" s="16"/>
    </row>
    <row r="962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V962" s="16"/>
      <c r="AX962" s="16"/>
      <c r="AY962" s="16"/>
      <c r="AZ962" s="16"/>
      <c r="BC962" s="16"/>
      <c r="BD962" s="16"/>
      <c r="BE962" s="16"/>
    </row>
    <row r="963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V963" s="16"/>
      <c r="AX963" s="16"/>
      <c r="AY963" s="16"/>
      <c r="AZ963" s="16"/>
      <c r="BC963" s="16"/>
      <c r="BD963" s="16"/>
      <c r="BE963" s="16"/>
    </row>
    <row r="964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V964" s="16"/>
      <c r="AX964" s="16"/>
      <c r="AY964" s="16"/>
      <c r="AZ964" s="16"/>
      <c r="BC964" s="16"/>
      <c r="BD964" s="16"/>
      <c r="BE964" s="16"/>
    </row>
    <row r="965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V965" s="16"/>
      <c r="AX965" s="16"/>
      <c r="AY965" s="16"/>
      <c r="AZ965" s="16"/>
      <c r="BC965" s="16"/>
      <c r="BD965" s="16"/>
      <c r="BE965" s="16"/>
    </row>
    <row r="966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V966" s="16"/>
      <c r="AX966" s="16"/>
      <c r="AY966" s="16"/>
      <c r="AZ966" s="16"/>
      <c r="BC966" s="16"/>
      <c r="BD966" s="16"/>
      <c r="BE966" s="16"/>
    </row>
    <row r="967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V967" s="16"/>
      <c r="AX967" s="16"/>
      <c r="AY967" s="16"/>
      <c r="AZ967" s="16"/>
      <c r="BC967" s="16"/>
      <c r="BD967" s="16"/>
      <c r="BE967" s="16"/>
    </row>
    <row r="968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V968" s="16"/>
      <c r="AX968" s="16"/>
      <c r="AY968" s="16"/>
      <c r="AZ968" s="16"/>
      <c r="BC968" s="16"/>
      <c r="BD968" s="16"/>
      <c r="BE968" s="16"/>
    </row>
    <row r="969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V969" s="16"/>
      <c r="AX969" s="16"/>
      <c r="AY969" s="16"/>
      <c r="AZ969" s="16"/>
      <c r="BC969" s="16"/>
      <c r="BD969" s="16"/>
      <c r="BE969" s="16"/>
    </row>
    <row r="970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V970" s="16"/>
      <c r="AX970" s="16"/>
      <c r="AY970" s="16"/>
      <c r="AZ970" s="16"/>
      <c r="BC970" s="16"/>
      <c r="BD970" s="16"/>
      <c r="BE970" s="16"/>
    </row>
    <row r="971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V971" s="16"/>
      <c r="AX971" s="16"/>
      <c r="AY971" s="16"/>
      <c r="AZ971" s="16"/>
      <c r="BC971" s="16"/>
      <c r="BD971" s="16"/>
      <c r="BE971" s="16"/>
    </row>
    <row r="972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V972" s="16"/>
      <c r="AX972" s="16"/>
      <c r="AY972" s="16"/>
      <c r="AZ972" s="16"/>
      <c r="BC972" s="16"/>
      <c r="BD972" s="16"/>
      <c r="BE972" s="16"/>
    </row>
    <row r="973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V973" s="16"/>
      <c r="AX973" s="16"/>
      <c r="AY973" s="16"/>
      <c r="AZ973" s="16"/>
      <c r="BC973" s="16"/>
      <c r="BD973" s="16"/>
      <c r="BE973" s="16"/>
    </row>
    <row r="974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V974" s="16"/>
      <c r="AX974" s="16"/>
      <c r="AY974" s="16"/>
      <c r="AZ974" s="16"/>
      <c r="BC974" s="16"/>
      <c r="BD974" s="16"/>
      <c r="BE974" s="16"/>
    </row>
    <row r="975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V975" s="16"/>
      <c r="AX975" s="16"/>
      <c r="AY975" s="16"/>
      <c r="AZ975" s="16"/>
      <c r="BC975" s="16"/>
      <c r="BD975" s="16"/>
      <c r="BE975" s="16"/>
    </row>
    <row r="976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V976" s="16"/>
      <c r="AX976" s="16"/>
      <c r="AY976" s="16"/>
      <c r="AZ976" s="16"/>
      <c r="BC976" s="16"/>
      <c r="BD976" s="16"/>
      <c r="BE976" s="16"/>
    </row>
    <row r="977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V977" s="16"/>
      <c r="AX977" s="16"/>
      <c r="AY977" s="16"/>
      <c r="AZ977" s="16"/>
      <c r="BC977" s="16"/>
      <c r="BD977" s="16"/>
      <c r="BE977" s="16"/>
    </row>
    <row r="978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V978" s="16"/>
      <c r="AX978" s="16"/>
      <c r="AY978" s="16"/>
      <c r="AZ978" s="16"/>
      <c r="BC978" s="16"/>
      <c r="BD978" s="16"/>
      <c r="BE978" s="16"/>
    </row>
    <row r="979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V979" s="16"/>
      <c r="AX979" s="16"/>
      <c r="AY979" s="16"/>
      <c r="AZ979" s="16"/>
      <c r="BC979" s="16"/>
      <c r="BD979" s="16"/>
      <c r="BE979" s="16"/>
    </row>
    <row r="980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V980" s="16"/>
      <c r="AX980" s="16"/>
      <c r="AY980" s="16"/>
      <c r="AZ980" s="16"/>
      <c r="BC980" s="16"/>
      <c r="BD980" s="16"/>
      <c r="BE980" s="16"/>
    </row>
    <row r="981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V981" s="16"/>
      <c r="AX981" s="16"/>
      <c r="AY981" s="16"/>
      <c r="AZ981" s="16"/>
      <c r="BC981" s="16"/>
      <c r="BD981" s="16"/>
      <c r="BE981" s="16"/>
    </row>
    <row r="982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V982" s="16"/>
      <c r="AX982" s="16"/>
      <c r="AY982" s="16"/>
      <c r="AZ982" s="16"/>
      <c r="BC982" s="16"/>
      <c r="BD982" s="16"/>
      <c r="BE982" s="16"/>
    </row>
    <row r="983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V983" s="16"/>
      <c r="AX983" s="16"/>
      <c r="AY983" s="16"/>
      <c r="AZ983" s="16"/>
      <c r="BC983" s="16"/>
      <c r="BD983" s="16"/>
      <c r="BE983" s="16"/>
    </row>
    <row r="984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V984" s="16"/>
      <c r="AX984" s="16"/>
      <c r="AY984" s="16"/>
      <c r="AZ984" s="16"/>
      <c r="BC984" s="16"/>
      <c r="BD984" s="16"/>
      <c r="BE984" s="16"/>
    </row>
    <row r="985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V985" s="16"/>
      <c r="AX985" s="16"/>
      <c r="AY985" s="16"/>
      <c r="AZ985" s="16"/>
      <c r="BC985" s="16"/>
      <c r="BD985" s="16"/>
      <c r="BE985" s="16"/>
    </row>
    <row r="986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V986" s="16"/>
      <c r="AX986" s="16"/>
      <c r="AY986" s="16"/>
      <c r="AZ986" s="16"/>
      <c r="BC986" s="16"/>
      <c r="BD986" s="16"/>
      <c r="BE986" s="16"/>
    </row>
    <row r="987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V987" s="16"/>
      <c r="AX987" s="16"/>
      <c r="AY987" s="16"/>
      <c r="AZ987" s="16"/>
      <c r="BC987" s="16"/>
      <c r="BD987" s="16"/>
      <c r="BE987" s="16"/>
    </row>
    <row r="988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V988" s="16"/>
      <c r="AX988" s="16"/>
      <c r="AY988" s="16"/>
      <c r="AZ988" s="16"/>
      <c r="BC988" s="16"/>
      <c r="BD988" s="16"/>
      <c r="BE988" s="16"/>
    </row>
    <row r="989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V989" s="16"/>
      <c r="AX989" s="16"/>
      <c r="AY989" s="16"/>
      <c r="AZ989" s="16"/>
      <c r="BC989" s="16"/>
      <c r="BD989" s="16"/>
      <c r="BE989" s="16"/>
    </row>
    <row r="990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V990" s="16"/>
      <c r="AX990" s="16"/>
      <c r="AY990" s="16"/>
      <c r="AZ990" s="16"/>
      <c r="BC990" s="16"/>
      <c r="BD990" s="16"/>
      <c r="BE990" s="16"/>
    </row>
    <row r="991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V991" s="16"/>
      <c r="AX991" s="16"/>
      <c r="AY991" s="16"/>
      <c r="AZ991" s="16"/>
      <c r="BC991" s="16"/>
      <c r="BD991" s="16"/>
      <c r="BE991" s="16"/>
    </row>
    <row r="992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V992" s="16"/>
      <c r="AX992" s="16"/>
      <c r="AY992" s="16"/>
      <c r="AZ992" s="16"/>
      <c r="BC992" s="16"/>
      <c r="BD992" s="16"/>
      <c r="BE992" s="16"/>
    </row>
    <row r="993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V993" s="16"/>
      <c r="AX993" s="16"/>
      <c r="AY993" s="16"/>
      <c r="AZ993" s="16"/>
      <c r="BC993" s="16"/>
      <c r="BD993" s="16"/>
      <c r="BE993" s="16"/>
    </row>
    <row r="994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  <c r="AP994" s="16"/>
      <c r="AQ994" s="16"/>
      <c r="AR994" s="16"/>
      <c r="AS994" s="16"/>
      <c r="AV994" s="16"/>
      <c r="AX994" s="16"/>
      <c r="AY994" s="16"/>
      <c r="AZ994" s="16"/>
      <c r="BC994" s="16"/>
      <c r="BD994" s="16"/>
      <c r="BE994" s="16"/>
    </row>
    <row r="995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  <c r="AP995" s="16"/>
      <c r="AQ995" s="16"/>
      <c r="AR995" s="16"/>
      <c r="AS995" s="16"/>
      <c r="AV995" s="16"/>
      <c r="AX995" s="16"/>
      <c r="AY995" s="16"/>
      <c r="AZ995" s="16"/>
      <c r="BC995" s="16"/>
      <c r="BD995" s="16"/>
      <c r="BE995" s="16"/>
    </row>
    <row r="996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  <c r="AP996" s="16"/>
      <c r="AQ996" s="16"/>
      <c r="AR996" s="16"/>
      <c r="AS996" s="16"/>
      <c r="AV996" s="16"/>
      <c r="AX996" s="16"/>
      <c r="AY996" s="16"/>
      <c r="AZ996" s="16"/>
      <c r="BC996" s="16"/>
      <c r="BD996" s="16"/>
      <c r="BE996" s="16"/>
    </row>
    <row r="997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  <c r="AP997" s="16"/>
      <c r="AQ997" s="16"/>
      <c r="AR997" s="16"/>
      <c r="AS997" s="16"/>
      <c r="AV997" s="16"/>
      <c r="AX997" s="16"/>
      <c r="AY997" s="16"/>
      <c r="AZ997" s="16"/>
      <c r="BC997" s="16"/>
      <c r="BD997" s="16"/>
      <c r="BE997" s="16"/>
    </row>
    <row r="998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  <c r="AP998" s="16"/>
      <c r="AQ998" s="16"/>
      <c r="AR998" s="16"/>
      <c r="AS998" s="16"/>
      <c r="AV998" s="16"/>
      <c r="AX998" s="16"/>
      <c r="AY998" s="16"/>
      <c r="AZ998" s="16"/>
      <c r="BC998" s="16"/>
      <c r="BD998" s="16"/>
      <c r="BE998" s="16"/>
    </row>
    <row r="999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  <c r="AP999" s="16"/>
      <c r="AQ999" s="16"/>
      <c r="AR999" s="16"/>
      <c r="AS999" s="16"/>
      <c r="AV999" s="16"/>
      <c r="AX999" s="16"/>
      <c r="AY999" s="16"/>
      <c r="AZ999" s="16"/>
      <c r="BC999" s="16"/>
      <c r="BD999" s="16"/>
      <c r="BE999" s="16"/>
    </row>
    <row r="1000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  <c r="AP1000" s="16"/>
      <c r="AQ1000" s="16"/>
      <c r="AR1000" s="16"/>
      <c r="AS1000" s="16"/>
      <c r="AV1000" s="16"/>
      <c r="AX1000" s="16"/>
      <c r="AY1000" s="16"/>
      <c r="AZ1000" s="16"/>
      <c r="BC1000" s="16"/>
      <c r="BD1000" s="16"/>
      <c r="BE1000" s="16"/>
    </row>
    <row r="1001"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  <c r="AP1001" s="16"/>
      <c r="AQ1001" s="16"/>
      <c r="AR1001" s="16"/>
      <c r="AS1001" s="16"/>
      <c r="AV1001" s="16"/>
      <c r="AX1001" s="16"/>
      <c r="AY1001" s="16"/>
      <c r="AZ1001" s="16"/>
      <c r="BC1001" s="16"/>
      <c r="BD1001" s="16"/>
      <c r="BE1001" s="16"/>
    </row>
    <row r="1002"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  <c r="AP1002" s="16"/>
      <c r="AQ1002" s="16"/>
      <c r="AR1002" s="16"/>
      <c r="AS1002" s="16"/>
      <c r="AV1002" s="16"/>
      <c r="AX1002" s="16"/>
      <c r="AY1002" s="16"/>
      <c r="AZ1002" s="16"/>
      <c r="BC1002" s="16"/>
      <c r="BD1002" s="16"/>
      <c r="BE1002" s="16"/>
    </row>
    <row r="1003"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  <c r="AP1003" s="16"/>
      <c r="AQ1003" s="16"/>
      <c r="AR1003" s="16"/>
      <c r="AS1003" s="16"/>
      <c r="AV1003" s="16"/>
      <c r="AX1003" s="16"/>
      <c r="AY1003" s="16"/>
      <c r="AZ1003" s="16"/>
      <c r="BC1003" s="16"/>
      <c r="BD1003" s="16"/>
      <c r="BE1003" s="16"/>
    </row>
    <row r="1004"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  <c r="AP1004" s="16"/>
      <c r="AQ1004" s="16"/>
      <c r="AR1004" s="16"/>
      <c r="AS1004" s="16"/>
      <c r="AV1004" s="16"/>
      <c r="AX1004" s="16"/>
      <c r="AY1004" s="16"/>
      <c r="AZ1004" s="16"/>
      <c r="BC1004" s="16"/>
      <c r="BD1004" s="16"/>
      <c r="BE1004" s="16"/>
    </row>
    <row r="1005"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  <c r="AP1005" s="16"/>
      <c r="AQ1005" s="16"/>
      <c r="AR1005" s="16"/>
      <c r="AS1005" s="16"/>
      <c r="AV1005" s="16"/>
      <c r="AX1005" s="16"/>
      <c r="AY1005" s="16"/>
      <c r="AZ1005" s="16"/>
      <c r="BC1005" s="16"/>
      <c r="BD1005" s="16"/>
      <c r="BE1005" s="16"/>
    </row>
    <row r="1006"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V1006" s="16"/>
      <c r="AX1006" s="16"/>
      <c r="AY1006" s="16"/>
      <c r="AZ1006" s="16"/>
      <c r="BC1006" s="16"/>
      <c r="BD1006" s="16"/>
      <c r="BE1006" s="16"/>
    </row>
    <row r="1007"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  <c r="AP1007" s="16"/>
      <c r="AQ1007" s="16"/>
      <c r="AR1007" s="16"/>
      <c r="AS1007" s="16"/>
      <c r="AV1007" s="16"/>
      <c r="AX1007" s="16"/>
      <c r="AY1007" s="16"/>
      <c r="AZ1007" s="16"/>
      <c r="BC1007" s="16"/>
      <c r="BD1007" s="16"/>
      <c r="BE1007" s="16"/>
    </row>
    <row r="1008"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  <c r="AP1008" s="16"/>
      <c r="AQ1008" s="16"/>
      <c r="AR1008" s="16"/>
      <c r="AS1008" s="16"/>
      <c r="AV1008" s="16"/>
      <c r="AX1008" s="16"/>
      <c r="AY1008" s="16"/>
      <c r="AZ1008" s="16"/>
      <c r="BC1008" s="16"/>
      <c r="BD1008" s="16"/>
      <c r="BE1008" s="16"/>
    </row>
    <row r="1009"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  <c r="AP1009" s="16"/>
      <c r="AQ1009" s="16"/>
      <c r="AR1009" s="16"/>
      <c r="AS1009" s="16"/>
      <c r="AV1009" s="16"/>
      <c r="AX1009" s="16"/>
      <c r="AY1009" s="16"/>
      <c r="AZ1009" s="16"/>
      <c r="BC1009" s="16"/>
      <c r="BD1009" s="16"/>
      <c r="BE1009" s="16"/>
    </row>
    <row r="1010"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  <c r="AP1010" s="16"/>
      <c r="AQ1010" s="16"/>
      <c r="AR1010" s="16"/>
      <c r="AS1010" s="16"/>
      <c r="AV1010" s="16"/>
      <c r="AX1010" s="16"/>
      <c r="AY1010" s="16"/>
      <c r="AZ1010" s="16"/>
      <c r="BC1010" s="16"/>
      <c r="BD1010" s="16"/>
      <c r="BE1010" s="16"/>
    </row>
    <row r="1011"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  <c r="AP1011" s="16"/>
      <c r="AQ1011" s="16"/>
      <c r="AR1011" s="16"/>
      <c r="AS1011" s="16"/>
      <c r="AV1011" s="16"/>
      <c r="AX1011" s="16"/>
      <c r="AY1011" s="16"/>
      <c r="AZ1011" s="16"/>
      <c r="BC1011" s="16"/>
      <c r="BD1011" s="16"/>
      <c r="BE1011" s="16"/>
    </row>
    <row r="1012"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  <c r="AP1012" s="16"/>
      <c r="AQ1012" s="16"/>
      <c r="AR1012" s="16"/>
      <c r="AS1012" s="16"/>
      <c r="AV1012" s="16"/>
      <c r="AX1012" s="16"/>
      <c r="AY1012" s="16"/>
      <c r="AZ1012" s="16"/>
      <c r="BC1012" s="16"/>
      <c r="BD1012" s="16"/>
      <c r="BE1012" s="16"/>
    </row>
    <row r="1013"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  <c r="AP1013" s="16"/>
      <c r="AQ1013" s="16"/>
      <c r="AR1013" s="16"/>
      <c r="AS1013" s="16"/>
      <c r="AV1013" s="16"/>
      <c r="AX1013" s="16"/>
      <c r="AY1013" s="16"/>
      <c r="AZ1013" s="16"/>
      <c r="BC1013" s="16"/>
      <c r="BD1013" s="16"/>
      <c r="BE1013" s="16"/>
    </row>
    <row r="1014"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  <c r="AP1014" s="16"/>
      <c r="AQ1014" s="16"/>
      <c r="AR1014" s="16"/>
      <c r="AS1014" s="16"/>
      <c r="AV1014" s="16"/>
      <c r="AX1014" s="16"/>
      <c r="AY1014" s="16"/>
      <c r="AZ1014" s="16"/>
      <c r="BC1014" s="16"/>
      <c r="BD1014" s="16"/>
      <c r="BE1014" s="16"/>
    </row>
    <row r="1015"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  <c r="AP1015" s="16"/>
      <c r="AQ1015" s="16"/>
      <c r="AR1015" s="16"/>
      <c r="AS1015" s="16"/>
      <c r="AV1015" s="16"/>
      <c r="AX1015" s="16"/>
      <c r="AY1015" s="16"/>
      <c r="AZ1015" s="16"/>
      <c r="BC1015" s="16"/>
      <c r="BD1015" s="16"/>
      <c r="BE1015" s="16"/>
    </row>
    <row r="1016"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  <c r="AP1016" s="16"/>
      <c r="AQ1016" s="16"/>
      <c r="AR1016" s="16"/>
      <c r="AS1016" s="16"/>
      <c r="AV1016" s="16"/>
      <c r="AX1016" s="16"/>
      <c r="AY1016" s="16"/>
      <c r="AZ1016" s="16"/>
      <c r="BC1016" s="16"/>
      <c r="BD1016" s="16"/>
      <c r="BE1016" s="16"/>
    </row>
    <row r="1017"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  <c r="AP1017" s="16"/>
      <c r="AQ1017" s="16"/>
      <c r="AR1017" s="16"/>
      <c r="AS1017" s="16"/>
      <c r="AV1017" s="16"/>
      <c r="AX1017" s="16"/>
      <c r="AY1017" s="16"/>
      <c r="AZ1017" s="16"/>
      <c r="BC1017" s="16"/>
      <c r="BD1017" s="16"/>
      <c r="BE1017" s="16"/>
    </row>
    <row r="1018"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  <c r="AP1018" s="16"/>
      <c r="AQ1018" s="16"/>
      <c r="AR1018" s="16"/>
      <c r="AS1018" s="16"/>
      <c r="AV1018" s="16"/>
      <c r="AX1018" s="16"/>
      <c r="AY1018" s="16"/>
      <c r="AZ1018" s="16"/>
      <c r="BC1018" s="16"/>
      <c r="BD1018" s="16"/>
      <c r="BE1018" s="16"/>
    </row>
    <row r="1019"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  <c r="AP1019" s="16"/>
      <c r="AQ1019" s="16"/>
      <c r="AR1019" s="16"/>
      <c r="AS1019" s="16"/>
      <c r="AV1019" s="16"/>
      <c r="AX1019" s="16"/>
      <c r="AY1019" s="16"/>
      <c r="AZ1019" s="16"/>
      <c r="BC1019" s="16"/>
      <c r="BD1019" s="16"/>
      <c r="BE1019" s="16"/>
    </row>
    <row r="1020"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  <c r="AP1020" s="16"/>
      <c r="AQ1020" s="16"/>
      <c r="AR1020" s="16"/>
      <c r="AS1020" s="16"/>
      <c r="AV1020" s="16"/>
      <c r="AX1020" s="16"/>
      <c r="AY1020" s="16"/>
      <c r="AZ1020" s="16"/>
      <c r="BC1020" s="16"/>
      <c r="BD1020" s="16"/>
      <c r="BE1020" s="16"/>
    </row>
    <row r="1021"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  <c r="AP1021" s="16"/>
      <c r="AQ1021" s="16"/>
      <c r="AR1021" s="16"/>
      <c r="AS1021" s="16"/>
      <c r="AV1021" s="16"/>
      <c r="AX1021" s="16"/>
      <c r="AY1021" s="16"/>
      <c r="AZ1021" s="16"/>
      <c r="BC1021" s="16"/>
      <c r="BD1021" s="16"/>
      <c r="BE1021" s="16"/>
    </row>
    <row r="1022"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  <c r="AP1022" s="16"/>
      <c r="AQ1022" s="16"/>
      <c r="AR1022" s="16"/>
      <c r="AS1022" s="16"/>
      <c r="AV1022" s="16"/>
      <c r="AX1022" s="16"/>
      <c r="AY1022" s="16"/>
      <c r="AZ1022" s="16"/>
      <c r="BC1022" s="16"/>
      <c r="BD1022" s="16"/>
      <c r="BE1022" s="16"/>
    </row>
    <row r="1023"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  <c r="AP1023" s="16"/>
      <c r="AQ1023" s="16"/>
      <c r="AR1023" s="16"/>
      <c r="AS1023" s="16"/>
      <c r="AV1023" s="16"/>
      <c r="AX1023" s="16"/>
      <c r="AY1023" s="16"/>
      <c r="AZ1023" s="16"/>
      <c r="BC1023" s="16"/>
      <c r="BD1023" s="16"/>
      <c r="BE1023" s="16"/>
    </row>
    <row r="1024"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  <c r="AP1024" s="16"/>
      <c r="AQ1024" s="16"/>
      <c r="AR1024" s="16"/>
      <c r="AS1024" s="16"/>
      <c r="AV1024" s="16"/>
      <c r="AX1024" s="16"/>
      <c r="AY1024" s="16"/>
      <c r="AZ1024" s="16"/>
      <c r="BC1024" s="16"/>
      <c r="BD1024" s="16"/>
      <c r="BE1024" s="16"/>
    </row>
    <row r="1025"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  <c r="AP1025" s="16"/>
      <c r="AQ1025" s="16"/>
      <c r="AR1025" s="16"/>
      <c r="AS1025" s="16"/>
      <c r="AV1025" s="16"/>
      <c r="AX1025" s="16"/>
      <c r="AY1025" s="16"/>
      <c r="AZ1025" s="16"/>
      <c r="BC1025" s="16"/>
      <c r="BD1025" s="16"/>
      <c r="BE1025" s="16"/>
    </row>
  </sheetData>
  <conditionalFormatting sqref="BK1:BK1025">
    <cfRule type="cellIs" dxfId="0" priority="1" operator="greaterThanOrEqual">
      <formula>1</formula>
    </cfRule>
  </conditionalFormatting>
  <conditionalFormatting sqref="BK1:BK1025">
    <cfRule type="cellIs" dxfId="1" priority="2" operator="lessThanOrEqual">
      <formula>0.7499</formula>
    </cfRule>
  </conditionalFormatting>
  <conditionalFormatting sqref="BK1:BK1025">
    <cfRule type="cellIs" dxfId="2" priority="3" operator="between">
      <formula>0.75</formula>
      <formula>9999</formula>
    </cfRule>
  </conditionalFormatting>
  <conditionalFormatting sqref="A1:BJ1025">
    <cfRule type="expression" dxfId="3" priority="4">
      <formula>$AT1=""</formula>
    </cfRule>
  </conditionalFormatting>
  <conditionalFormatting sqref="A1:BI1025">
    <cfRule type="expression" dxfId="0" priority="5">
      <formula>$AT1&gt;=$BI1</formula>
    </cfRule>
  </conditionalFormatting>
  <conditionalFormatting sqref="A1:BJ1025">
    <cfRule type="expression" dxfId="1" priority="6">
      <formula>$AT1&lt;$BI1</formula>
    </cfRule>
  </conditionalFormatting>
  <conditionalFormatting sqref="BN1:BN1025">
    <cfRule type="cellIs" dxfId="0" priority="7" operator="greaterThanOrEqual">
      <formula>0</formula>
    </cfRule>
  </conditionalFormatting>
  <conditionalFormatting sqref="BN1:BN1025">
    <cfRule type="cellIs" dxfId="1" priority="8" operator="lessThan">
      <formula>0</formula>
    </cfRule>
  </conditionalFormatting>
  <conditionalFormatting sqref="BO1:BO1025">
    <cfRule type="cellIs" dxfId="0" priority="9" operator="greaterThanOrEqual">
      <formula>0</formula>
    </cfRule>
  </conditionalFormatting>
  <conditionalFormatting sqref="BO1:BO1025">
    <cfRule type="cellIs" dxfId="1" priority="10" operator="lessThan">
      <formula>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75"/>
    <col customWidth="1" min="2" max="2" width="11.75"/>
    <col customWidth="1" min="3" max="3" width="24.63"/>
    <col customWidth="1" min="4" max="4" width="35.0"/>
  </cols>
  <sheetData>
    <row r="1">
      <c r="A1" s="48" t="s">
        <v>75</v>
      </c>
      <c r="B1" s="48" t="s">
        <v>76</v>
      </c>
      <c r="C1" s="48" t="s">
        <v>77</v>
      </c>
      <c r="D1" s="48" t="s">
        <v>78</v>
      </c>
      <c r="E1" s="49" t="s">
        <v>79</v>
      </c>
      <c r="F1" s="48" t="s">
        <v>80</v>
      </c>
      <c r="G1" s="48" t="s">
        <v>81</v>
      </c>
    </row>
    <row r="2">
      <c r="A2" s="5">
        <v>2024.0</v>
      </c>
      <c r="B2" s="5" t="s">
        <v>82</v>
      </c>
      <c r="C2" s="1" t="s">
        <v>83</v>
      </c>
      <c r="D2" s="21" t="s">
        <v>84</v>
      </c>
      <c r="E2" s="12">
        <f>'Costos 2'!E16+'Costos 2'!E32</f>
        <v>110012.28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>
      <c r="A3" s="5">
        <v>2024.0</v>
      </c>
      <c r="B3" s="5" t="s">
        <v>82</v>
      </c>
      <c r="C3" s="1" t="s">
        <v>83</v>
      </c>
      <c r="D3" s="50" t="s">
        <v>85</v>
      </c>
      <c r="E3" s="12">
        <v>500.0</v>
      </c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</row>
    <row r="4">
      <c r="A4" s="5">
        <v>2024.0</v>
      </c>
      <c r="B4" s="5" t="s">
        <v>82</v>
      </c>
      <c r="C4" s="1" t="s">
        <v>83</v>
      </c>
      <c r="D4" s="21" t="s">
        <v>86</v>
      </c>
      <c r="E4" s="16">
        <f>3500+14670</f>
        <v>18170</v>
      </c>
      <c r="F4" s="16"/>
      <c r="G4" s="16"/>
      <c r="H4" s="16"/>
      <c r="I4" s="16"/>
      <c r="J4" s="12"/>
      <c r="K4" s="12"/>
      <c r="L4" s="16"/>
      <c r="M4" s="16"/>
      <c r="N4" s="16"/>
      <c r="O4" s="16"/>
      <c r="P4" s="16"/>
      <c r="Q4" s="16"/>
      <c r="R4" s="16"/>
      <c r="S4" s="16"/>
    </row>
    <row r="5">
      <c r="A5" s="5">
        <v>2024.0</v>
      </c>
      <c r="B5" s="5" t="s">
        <v>82</v>
      </c>
      <c r="C5" s="1" t="s">
        <v>83</v>
      </c>
      <c r="D5" s="21" t="s">
        <v>87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</row>
    <row r="6">
      <c r="A6" s="5">
        <v>2024.0</v>
      </c>
      <c r="B6" s="5" t="s">
        <v>82</v>
      </c>
      <c r="C6" s="1" t="s">
        <v>83</v>
      </c>
      <c r="D6" s="21" t="s">
        <v>88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</row>
    <row r="7">
      <c r="A7" s="5">
        <v>2024.0</v>
      </c>
      <c r="B7" s="5" t="s">
        <v>82</v>
      </c>
      <c r="C7" s="1" t="s">
        <v>83</v>
      </c>
      <c r="D7" s="21" t="s">
        <v>89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</row>
    <row r="8">
      <c r="A8" s="5">
        <v>2024.0</v>
      </c>
      <c r="B8" s="5" t="s">
        <v>82</v>
      </c>
      <c r="C8" s="1" t="s">
        <v>83</v>
      </c>
      <c r="D8" s="21" t="s">
        <v>90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</row>
    <row r="9">
      <c r="A9" s="5">
        <v>2024.0</v>
      </c>
      <c r="B9" s="5" t="s">
        <v>82</v>
      </c>
      <c r="C9" s="1" t="s">
        <v>83</v>
      </c>
      <c r="D9" s="21" t="s">
        <v>91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</row>
    <row r="10">
      <c r="A10" s="5">
        <v>2024.0</v>
      </c>
      <c r="B10" s="5" t="s">
        <v>82</v>
      </c>
      <c r="C10" s="1" t="s">
        <v>83</v>
      </c>
      <c r="D10" s="21" t="s">
        <v>92</v>
      </c>
      <c r="E10" s="16">
        <f>'Costos 2'!M21</f>
        <v>6209.07</v>
      </c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</row>
    <row r="11">
      <c r="A11" s="5">
        <v>2024.0</v>
      </c>
      <c r="B11" s="5" t="s">
        <v>82</v>
      </c>
      <c r="C11" s="1" t="s">
        <v>83</v>
      </c>
      <c r="D11" s="21" t="s">
        <v>93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>
      <c r="A12" s="5">
        <v>2024.0</v>
      </c>
      <c r="B12" s="5" t="s">
        <v>82</v>
      </c>
      <c r="C12" s="1" t="s">
        <v>83</v>
      </c>
      <c r="D12" s="21" t="s">
        <v>94</v>
      </c>
      <c r="E12" s="12">
        <v>2100.0</v>
      </c>
      <c r="F12" s="16"/>
      <c r="G12" s="16"/>
      <c r="H12" s="16"/>
      <c r="I12" s="16"/>
      <c r="J12" s="16"/>
      <c r="K12" s="16"/>
      <c r="L12" s="16"/>
      <c r="M12" s="16"/>
      <c r="O12" s="16"/>
      <c r="P12" s="16"/>
      <c r="Q12" s="16"/>
      <c r="R12" s="16"/>
      <c r="S12" s="16"/>
    </row>
    <row r="13">
      <c r="A13" s="5">
        <v>2024.0</v>
      </c>
      <c r="B13" s="5" t="s">
        <v>82</v>
      </c>
      <c r="C13" s="48" t="s">
        <v>95</v>
      </c>
      <c r="D13" s="21" t="s">
        <v>96</v>
      </c>
      <c r="E13" s="16">
        <f>'Costos 2'!Q32</f>
        <v>770.96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</row>
    <row r="14">
      <c r="A14" s="5">
        <v>2024.0</v>
      </c>
      <c r="B14" s="5" t="s">
        <v>82</v>
      </c>
      <c r="C14" s="48" t="s">
        <v>95</v>
      </c>
      <c r="D14" s="21" t="s">
        <v>97</v>
      </c>
      <c r="E14" s="16">
        <f>53+80+206.12+457.03+53+53+110+110+307.57</f>
        <v>1429.72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</row>
    <row r="15">
      <c r="A15" s="5">
        <v>2024.0</v>
      </c>
      <c r="B15" s="5" t="s">
        <v>82</v>
      </c>
      <c r="C15" s="48" t="s">
        <v>95</v>
      </c>
      <c r="D15" s="21" t="s">
        <v>98</v>
      </c>
      <c r="E15" s="12">
        <f>200+25+2795</f>
        <v>3020</v>
      </c>
      <c r="F15" s="1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2"/>
    </row>
    <row r="16">
      <c r="A16" s="5">
        <v>2024.0</v>
      </c>
      <c r="B16" s="5" t="s">
        <v>82</v>
      </c>
      <c r="C16" s="48" t="s">
        <v>95</v>
      </c>
      <c r="D16" s="21" t="s">
        <v>99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</row>
    <row r="17">
      <c r="A17" s="5">
        <v>2024.0</v>
      </c>
      <c r="B17" s="5" t="s">
        <v>82</v>
      </c>
      <c r="C17" s="48" t="s">
        <v>95</v>
      </c>
      <c r="D17" s="21" t="s">
        <v>100</v>
      </c>
      <c r="E17" s="16">
        <f>'Costos 2'!U24</f>
        <v>100.97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>
      <c r="A18" s="5">
        <v>2024.0</v>
      </c>
      <c r="B18" s="5" t="s">
        <v>82</v>
      </c>
      <c r="C18" s="48" t="s">
        <v>101</v>
      </c>
      <c r="D18" s="21" t="s">
        <v>102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>
      <c r="A19" s="5">
        <v>2024.0</v>
      </c>
      <c r="B19" s="5" t="s">
        <v>82</v>
      </c>
      <c r="C19" s="48" t="s">
        <v>101</v>
      </c>
      <c r="D19" s="21" t="s">
        <v>103</v>
      </c>
      <c r="E19" s="16">
        <f>475+48</f>
        <v>523</v>
      </c>
      <c r="F19" s="16"/>
      <c r="G19" s="16"/>
      <c r="H19" s="16"/>
      <c r="I19" s="16"/>
      <c r="J19" s="16"/>
      <c r="K19" s="16"/>
      <c r="L19" s="16"/>
      <c r="M19" s="12"/>
      <c r="N19" s="16"/>
      <c r="O19" s="16"/>
      <c r="P19" s="16"/>
      <c r="Q19" s="16"/>
      <c r="R19" s="16"/>
      <c r="S19" s="12"/>
    </row>
    <row r="20">
      <c r="A20" s="5">
        <v>2024.0</v>
      </c>
      <c r="B20" s="5" t="s">
        <v>82</v>
      </c>
      <c r="C20" s="48" t="s">
        <v>101</v>
      </c>
      <c r="D20" s="21" t="s">
        <v>104</v>
      </c>
      <c r="E20" s="12">
        <v>1400.0</v>
      </c>
      <c r="F20" s="16"/>
      <c r="G20" s="16"/>
      <c r="H20" s="16"/>
      <c r="I20" s="16"/>
      <c r="J20" s="16"/>
      <c r="K20" s="16"/>
      <c r="M20" s="16"/>
      <c r="N20" s="16"/>
      <c r="O20" s="16"/>
      <c r="P20" s="16"/>
      <c r="Q20" s="16"/>
      <c r="R20" s="16"/>
      <c r="S20" s="16"/>
    </row>
    <row r="21">
      <c r="A21" s="5">
        <v>2024.0</v>
      </c>
      <c r="B21" s="5" t="s">
        <v>82</v>
      </c>
      <c r="C21" s="48" t="s">
        <v>101</v>
      </c>
      <c r="D21" s="21" t="s">
        <v>105</v>
      </c>
      <c r="E21" s="16">
        <f>'Costos 2'!Z23</f>
        <v>730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>
      <c r="A22" s="5">
        <v>2024.0</v>
      </c>
      <c r="B22" s="5" t="s">
        <v>82</v>
      </c>
      <c r="C22" s="48" t="s">
        <v>106</v>
      </c>
      <c r="D22" s="21" t="s">
        <v>107</v>
      </c>
      <c r="E22" s="12">
        <v>7200.0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>
      <c r="A23" s="5">
        <v>2024.0</v>
      </c>
      <c r="B23" s="5" t="s">
        <v>82</v>
      </c>
      <c r="C23" s="48" t="s">
        <v>106</v>
      </c>
      <c r="D23" s="21" t="s">
        <v>108</v>
      </c>
      <c r="E23" s="16">
        <f>'Costos 2'!AC21</f>
        <v>499.8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>
      <c r="A24" s="5">
        <v>2024.0</v>
      </c>
      <c r="B24" s="5" t="s">
        <v>82</v>
      </c>
      <c r="C24" s="48" t="s">
        <v>109</v>
      </c>
      <c r="D24" s="21" t="s">
        <v>110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>
      <c r="A25" s="5">
        <v>2024.0</v>
      </c>
      <c r="B25" s="5" t="s">
        <v>82</v>
      </c>
      <c r="C25" s="48" t="s">
        <v>109</v>
      </c>
      <c r="D25" s="21" t="s">
        <v>111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>
      <c r="A26" s="5">
        <v>2024.0</v>
      </c>
      <c r="B26" s="5" t="s">
        <v>82</v>
      </c>
      <c r="C26" s="48" t="s">
        <v>109</v>
      </c>
      <c r="D26" s="21" t="s">
        <v>112</v>
      </c>
      <c r="E26" s="12">
        <f>'Costos 2'!AH3+'Costos 2'!AH17+'Costos 2'!AH32</f>
        <v>840</v>
      </c>
      <c r="F26" s="1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>
      <c r="A27" s="5">
        <v>2024.0</v>
      </c>
      <c r="B27" s="5" t="s">
        <v>82</v>
      </c>
      <c r="C27" s="48" t="s">
        <v>109</v>
      </c>
      <c r="D27" s="21" t="s">
        <v>113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>
      <c r="A28" s="5">
        <v>2024.0</v>
      </c>
      <c r="B28" s="5" t="s">
        <v>82</v>
      </c>
      <c r="C28" s="48" t="s">
        <v>109</v>
      </c>
      <c r="D28" s="21" t="s">
        <v>114</v>
      </c>
      <c r="E28" s="12">
        <v>1100.0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R28" s="16"/>
      <c r="S28" s="16"/>
    </row>
    <row r="29">
      <c r="A29" s="5">
        <v>2024.0</v>
      </c>
      <c r="B29" s="5" t="s">
        <v>82</v>
      </c>
      <c r="C29" s="48" t="s">
        <v>115</v>
      </c>
      <c r="D29" s="21" t="s">
        <v>116</v>
      </c>
      <c r="E29" s="16">
        <f>50+50</f>
        <v>100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R29" s="16"/>
      <c r="S29" s="16"/>
    </row>
    <row r="30">
      <c r="A30" s="5">
        <v>2024.0</v>
      </c>
      <c r="B30" s="5" t="s">
        <v>82</v>
      </c>
      <c r="C30" s="48" t="s">
        <v>115</v>
      </c>
      <c r="D30" s="21" t="s">
        <v>117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</row>
    <row r="31">
      <c r="A31" s="5">
        <v>2024.0</v>
      </c>
      <c r="B31" s="5" t="s">
        <v>82</v>
      </c>
      <c r="C31" s="48" t="s">
        <v>115</v>
      </c>
      <c r="D31" s="21" t="s">
        <v>118</v>
      </c>
      <c r="E31" s="12">
        <v>2900.0</v>
      </c>
      <c r="F31" s="12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>
      <c r="A32" s="5">
        <v>2024.0</v>
      </c>
      <c r="B32" s="5" t="s">
        <v>82</v>
      </c>
      <c r="C32" s="48" t="s">
        <v>119</v>
      </c>
      <c r="D32" s="21" t="s">
        <v>120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>
      <c r="A33" s="5">
        <v>2024.0</v>
      </c>
      <c r="B33" s="5" t="s">
        <v>82</v>
      </c>
      <c r="C33" s="48" t="s">
        <v>119</v>
      </c>
      <c r="D33" s="21" t="s">
        <v>121</v>
      </c>
      <c r="E33" s="12">
        <f>'Costos 2'!AP7+'Costos 2'!AP16+'Costos 2'!AP18</f>
        <v>51299.946</v>
      </c>
      <c r="F33" s="16"/>
      <c r="G33" s="16"/>
      <c r="H33" s="16"/>
      <c r="I33" s="16"/>
      <c r="K33" s="16"/>
      <c r="L33" s="16"/>
      <c r="M33" s="16"/>
      <c r="N33" s="16"/>
      <c r="O33" s="16"/>
      <c r="P33" s="16"/>
      <c r="Q33" s="16"/>
      <c r="R33" s="16"/>
      <c r="S33" s="12"/>
    </row>
    <row r="34">
      <c r="A34" s="5">
        <v>2024.0</v>
      </c>
      <c r="B34" s="5" t="s">
        <v>82</v>
      </c>
      <c r="C34" s="48" t="s">
        <v>119</v>
      </c>
      <c r="D34" s="21" t="s">
        <v>122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>
      <c r="A35" s="5">
        <v>2024.0</v>
      </c>
      <c r="B35" s="5" t="s">
        <v>82</v>
      </c>
      <c r="C35" s="48" t="s">
        <v>119</v>
      </c>
      <c r="D35" s="21" t="s">
        <v>123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>
      <c r="A36" s="5">
        <v>2024.0</v>
      </c>
      <c r="B36" s="5" t="s">
        <v>82</v>
      </c>
      <c r="C36" s="48" t="s">
        <v>119</v>
      </c>
      <c r="D36" s="21" t="s">
        <v>124</v>
      </c>
      <c r="E36" s="12">
        <f>'Costos 2'!AS14+'Costos 2'!AS16+'Costos 2'!AS23</f>
        <v>1426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R36" s="16"/>
      <c r="S36" s="12"/>
    </row>
    <row r="37">
      <c r="A37" s="5">
        <v>2024.0</v>
      </c>
      <c r="B37" s="5" t="s">
        <v>82</v>
      </c>
      <c r="C37" s="48" t="s">
        <v>119</v>
      </c>
      <c r="D37" s="21" t="s">
        <v>125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>
      <c r="A38" s="5">
        <v>2024.0</v>
      </c>
      <c r="B38" s="5" t="s">
        <v>82</v>
      </c>
      <c r="C38" s="48" t="s">
        <v>119</v>
      </c>
      <c r="D38" s="21" t="s">
        <v>126</v>
      </c>
      <c r="E38" s="16">
        <f>'Costos 2'!AU17</f>
        <v>500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>
      <c r="A39" s="5">
        <v>2024.0</v>
      </c>
      <c r="B39" s="5" t="s">
        <v>82</v>
      </c>
      <c r="C39" s="48" t="s">
        <v>119</v>
      </c>
      <c r="D39" s="21" t="s">
        <v>127</v>
      </c>
      <c r="E39" s="12">
        <f>'Costos 2'!AV16+'Costos 2'!AV22+'Costos 2'!AV23+'Costos 2'!AV25</f>
        <v>900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2"/>
    </row>
    <row r="40">
      <c r="A40" s="5">
        <v>2024.0</v>
      </c>
      <c r="B40" s="5" t="s">
        <v>82</v>
      </c>
      <c r="C40" s="48" t="s">
        <v>119</v>
      </c>
      <c r="D40" s="21" t="s">
        <v>128</v>
      </c>
      <c r="E40" s="12">
        <f>'Costos 2'!AW14+'Costos 2'!AW16</f>
        <v>162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>
      <c r="A41" s="5">
        <v>2024.0</v>
      </c>
      <c r="B41" s="5" t="s">
        <v>82</v>
      </c>
      <c r="C41" s="48" t="s">
        <v>119</v>
      </c>
      <c r="D41" s="21" t="s">
        <v>129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>
      <c r="A42" s="5">
        <v>2024.0</v>
      </c>
      <c r="B42" s="5" t="s">
        <v>82</v>
      </c>
      <c r="C42" s="48" t="s">
        <v>119</v>
      </c>
      <c r="D42" s="21" t="s">
        <v>130</v>
      </c>
      <c r="E42" s="12">
        <f>770+1436</f>
        <v>2206</v>
      </c>
      <c r="F42" s="12"/>
      <c r="G42" s="16"/>
      <c r="H42" s="16"/>
      <c r="I42" s="16"/>
      <c r="J42" s="16"/>
      <c r="K42" s="16"/>
      <c r="L42" s="16"/>
      <c r="M42" s="16"/>
      <c r="N42" s="16"/>
      <c r="O42" s="16"/>
      <c r="P42" s="12"/>
      <c r="Q42" s="16"/>
      <c r="R42" s="16"/>
      <c r="S42" s="16"/>
    </row>
    <row r="43">
      <c r="A43" s="5">
        <v>2024.0</v>
      </c>
      <c r="B43" s="5" t="s">
        <v>82</v>
      </c>
      <c r="C43" s="48" t="s">
        <v>119</v>
      </c>
      <c r="D43" s="21" t="s">
        <v>131</v>
      </c>
      <c r="E43" s="16">
        <f>'Costos 2'!AZ32</f>
        <v>38254.752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>
      <c r="A44" s="5">
        <v>2024.0</v>
      </c>
      <c r="B44" s="5" t="s">
        <v>82</v>
      </c>
      <c r="C44" s="48" t="s">
        <v>119</v>
      </c>
      <c r="D44" s="21" t="s">
        <v>132</v>
      </c>
      <c r="E44" s="12">
        <f>'Costos 2'!BA16+'Costos 2'!BA23+'Costos 2'!BA30+'Costos 2'!BA32</f>
        <v>2566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2"/>
    </row>
    <row r="45">
      <c r="A45" s="5">
        <v>2024.0</v>
      </c>
      <c r="B45" s="5" t="s">
        <v>82</v>
      </c>
      <c r="C45" s="48" t="s">
        <v>119</v>
      </c>
      <c r="D45" s="21" t="s">
        <v>133</v>
      </c>
      <c r="E45" s="12">
        <f>'Costos 2'!BB3+'Costos 2'!BB16+'Costos 2'!BB23</f>
        <v>1405.4</v>
      </c>
      <c r="F45" s="12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2"/>
    </row>
    <row r="46">
      <c r="A46" s="5">
        <v>2024.0</v>
      </c>
      <c r="B46" s="5" t="s">
        <v>82</v>
      </c>
      <c r="C46" s="48" t="s">
        <v>119</v>
      </c>
      <c r="D46" s="21" t="s">
        <v>134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>
      <c r="A47" s="5">
        <v>2024.0</v>
      </c>
      <c r="B47" s="5" t="s">
        <v>82</v>
      </c>
      <c r="C47" s="48" t="s">
        <v>119</v>
      </c>
      <c r="D47" s="21" t="s">
        <v>135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>
      <c r="A48" s="5">
        <v>2024.0</v>
      </c>
      <c r="B48" s="5" t="s">
        <v>82</v>
      </c>
      <c r="C48" s="48" t="s">
        <v>119</v>
      </c>
      <c r="D48" s="21" t="s">
        <v>136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>
      <c r="A49" s="5">
        <v>2024.0</v>
      </c>
      <c r="B49" s="5" t="s">
        <v>82</v>
      </c>
      <c r="C49" s="48" t="s">
        <v>119</v>
      </c>
      <c r="D49" s="21" t="s">
        <v>137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>
      <c r="A50" s="5">
        <v>2024.0</v>
      </c>
      <c r="B50" s="5" t="s">
        <v>82</v>
      </c>
      <c r="C50" s="48" t="s">
        <v>119</v>
      </c>
      <c r="D50" s="21" t="s">
        <v>113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>
      <c r="A51" s="5">
        <v>2024.0</v>
      </c>
      <c r="B51" s="5" t="s">
        <v>82</v>
      </c>
      <c r="C51" s="1" t="s">
        <v>138</v>
      </c>
      <c r="E51" s="16">
        <f>SUM(E2:E50)</f>
        <v>256325.898</v>
      </c>
      <c r="F51" s="12">
        <v>253330.76</v>
      </c>
      <c r="G51" s="16">
        <f t="shared" ref="G51:G52" si="1">F51-E51</f>
        <v>-2995.138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>
      <c r="A52" s="5">
        <v>2024.0</v>
      </c>
      <c r="B52" s="5" t="s">
        <v>82</v>
      </c>
      <c r="C52" s="1" t="s">
        <v>139</v>
      </c>
      <c r="E52" s="12">
        <f>'Costos 2'!BJ7+'Costos 2'!BJ32</f>
        <v>131890.758</v>
      </c>
      <c r="F52" s="12">
        <v>115000.0</v>
      </c>
      <c r="G52" s="16">
        <f t="shared" si="1"/>
        <v>-16890.758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>
      <c r="A53" s="5">
        <v>2024.0</v>
      </c>
      <c r="B53" s="5" t="s">
        <v>82</v>
      </c>
      <c r="C53" s="1" t="s">
        <v>140</v>
      </c>
      <c r="E53" s="12">
        <v>29913.34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>
      <c r="A54" s="5">
        <v>2024.0</v>
      </c>
      <c r="B54" s="5" t="s">
        <v>82</v>
      </c>
      <c r="C54" s="1" t="s">
        <v>141</v>
      </c>
      <c r="E54" s="12">
        <f>'Costos 2'!BL32</f>
        <v>35338.45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>
      <c r="A55" s="5">
        <v>2024.0</v>
      </c>
      <c r="B55" s="5" t="s">
        <v>82</v>
      </c>
      <c r="C55" s="1" t="s">
        <v>142</v>
      </c>
      <c r="E55" s="12">
        <v>0.0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>
      <c r="A56" s="51">
        <v>2024.0</v>
      </c>
      <c r="B56" s="51" t="s">
        <v>82</v>
      </c>
      <c r="C56" s="52" t="s">
        <v>143</v>
      </c>
      <c r="D56" s="36"/>
      <c r="E56" s="39">
        <v>0.0</v>
      </c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6"/>
      <c r="U56" s="36"/>
      <c r="V56" s="36"/>
      <c r="W56" s="36"/>
      <c r="X56" s="36"/>
      <c r="Y56" s="36"/>
      <c r="Z56" s="36"/>
    </row>
    <row r="57">
      <c r="A57" s="5">
        <v>2024.0</v>
      </c>
      <c r="B57" s="5" t="s">
        <v>144</v>
      </c>
      <c r="C57" s="1" t="s">
        <v>83</v>
      </c>
      <c r="D57" s="21" t="s">
        <v>84</v>
      </c>
      <c r="E57" s="12">
        <v>107002.05</v>
      </c>
      <c r="F57" s="16"/>
      <c r="G57" s="16"/>
    </row>
    <row r="58">
      <c r="A58" s="5">
        <v>2024.0</v>
      </c>
      <c r="B58" s="5" t="s">
        <v>144</v>
      </c>
      <c r="C58" s="1" t="s">
        <v>83</v>
      </c>
      <c r="D58" s="21" t="s">
        <v>85</v>
      </c>
      <c r="E58" s="12">
        <v>6750.0</v>
      </c>
      <c r="F58" s="16"/>
      <c r="G58" s="16"/>
    </row>
    <row r="59">
      <c r="A59" s="5">
        <v>2024.0</v>
      </c>
      <c r="B59" s="5" t="s">
        <v>144</v>
      </c>
      <c r="C59" s="1" t="s">
        <v>83</v>
      </c>
      <c r="D59" s="21" t="s">
        <v>86</v>
      </c>
      <c r="E59" s="12">
        <v>0.0</v>
      </c>
      <c r="F59" s="16"/>
      <c r="G59" s="16"/>
    </row>
    <row r="60">
      <c r="A60" s="5">
        <v>2024.0</v>
      </c>
      <c r="B60" s="5" t="s">
        <v>144</v>
      </c>
      <c r="C60" s="1" t="s">
        <v>83</v>
      </c>
      <c r="D60" s="21" t="s">
        <v>87</v>
      </c>
      <c r="E60" s="12">
        <v>0.0</v>
      </c>
      <c r="F60" s="16"/>
      <c r="G60" s="16"/>
    </row>
    <row r="61">
      <c r="A61" s="5">
        <v>2024.0</v>
      </c>
      <c r="B61" s="5" t="s">
        <v>144</v>
      </c>
      <c r="C61" s="1" t="s">
        <v>83</v>
      </c>
      <c r="D61" s="21" t="s">
        <v>88</v>
      </c>
      <c r="E61" s="12">
        <v>0.0</v>
      </c>
      <c r="F61" s="16"/>
      <c r="G61" s="16"/>
    </row>
    <row r="62">
      <c r="A62" s="5">
        <v>2024.0</v>
      </c>
      <c r="B62" s="5" t="s">
        <v>144</v>
      </c>
      <c r="C62" s="1" t="s">
        <v>83</v>
      </c>
      <c r="D62" s="21" t="s">
        <v>89</v>
      </c>
      <c r="E62" s="12">
        <v>0.0</v>
      </c>
      <c r="F62" s="16"/>
      <c r="G62" s="16"/>
    </row>
    <row r="63">
      <c r="A63" s="5">
        <v>2024.0</v>
      </c>
      <c r="B63" s="5" t="s">
        <v>144</v>
      </c>
      <c r="C63" s="1" t="s">
        <v>83</v>
      </c>
      <c r="D63" s="21" t="s">
        <v>90</v>
      </c>
      <c r="E63" s="12">
        <v>0.0</v>
      </c>
      <c r="F63" s="16"/>
      <c r="G63" s="16"/>
    </row>
    <row r="64">
      <c r="A64" s="5">
        <v>2024.0</v>
      </c>
      <c r="B64" s="5" t="s">
        <v>144</v>
      </c>
      <c r="C64" s="1" t="s">
        <v>83</v>
      </c>
      <c r="D64" s="21" t="s">
        <v>91</v>
      </c>
      <c r="E64" s="12">
        <v>0.0</v>
      </c>
      <c r="F64" s="16"/>
      <c r="G64" s="16"/>
    </row>
    <row r="65">
      <c r="A65" s="5">
        <v>2024.0</v>
      </c>
      <c r="B65" s="5" t="s">
        <v>144</v>
      </c>
      <c r="C65" s="1" t="s">
        <v>83</v>
      </c>
      <c r="D65" s="21" t="s">
        <v>92</v>
      </c>
      <c r="E65" s="12">
        <v>6209.07</v>
      </c>
      <c r="F65" s="16"/>
      <c r="G65" s="16"/>
    </row>
    <row r="66">
      <c r="A66" s="5">
        <v>2024.0</v>
      </c>
      <c r="B66" s="5" t="s">
        <v>144</v>
      </c>
      <c r="C66" s="1" t="s">
        <v>83</v>
      </c>
      <c r="D66" s="21" t="s">
        <v>93</v>
      </c>
      <c r="E66" s="12">
        <v>0.0</v>
      </c>
      <c r="F66" s="16"/>
      <c r="G66" s="16"/>
    </row>
    <row r="67">
      <c r="A67" s="5">
        <v>2024.0</v>
      </c>
      <c r="B67" s="5" t="s">
        <v>144</v>
      </c>
      <c r="C67" s="1" t="s">
        <v>83</v>
      </c>
      <c r="D67" s="21" t="s">
        <v>94</v>
      </c>
      <c r="E67" s="12">
        <v>2495.19</v>
      </c>
      <c r="F67" s="16"/>
      <c r="G67" s="16"/>
    </row>
    <row r="68">
      <c r="A68" s="5">
        <v>2024.0</v>
      </c>
      <c r="B68" s="5" t="s">
        <v>144</v>
      </c>
      <c r="C68" s="48" t="s">
        <v>95</v>
      </c>
      <c r="D68" s="21" t="s">
        <v>96</v>
      </c>
      <c r="E68" s="12">
        <v>770.0</v>
      </c>
      <c r="F68" s="16"/>
      <c r="G68" s="16"/>
    </row>
    <row r="69">
      <c r="A69" s="5">
        <v>2024.0</v>
      </c>
      <c r="B69" s="5" t="s">
        <v>144</v>
      </c>
      <c r="C69" s="48" t="s">
        <v>95</v>
      </c>
      <c r="D69" s="21" t="s">
        <v>97</v>
      </c>
      <c r="E69" s="12">
        <v>0.0</v>
      </c>
      <c r="G69" s="16"/>
    </row>
    <row r="70">
      <c r="A70" s="5">
        <v>2024.0</v>
      </c>
      <c r="B70" s="5" t="s">
        <v>144</v>
      </c>
      <c r="C70" s="48" t="s">
        <v>95</v>
      </c>
      <c r="D70" s="21" t="s">
        <v>98</v>
      </c>
      <c r="E70" s="12">
        <v>4405.25</v>
      </c>
      <c r="F70" s="12"/>
      <c r="G70" s="16"/>
    </row>
    <row r="71">
      <c r="A71" s="5">
        <v>2024.0</v>
      </c>
      <c r="B71" s="5" t="s">
        <v>144</v>
      </c>
      <c r="C71" s="48" t="s">
        <v>95</v>
      </c>
      <c r="D71" s="21" t="s">
        <v>99</v>
      </c>
      <c r="E71" s="12">
        <v>521.0</v>
      </c>
      <c r="F71" s="16"/>
      <c r="G71" s="16"/>
    </row>
    <row r="72">
      <c r="A72" s="5">
        <v>2024.0</v>
      </c>
      <c r="B72" s="5" t="s">
        <v>144</v>
      </c>
      <c r="C72" s="48" t="s">
        <v>95</v>
      </c>
      <c r="D72" s="21" t="s">
        <v>100</v>
      </c>
      <c r="E72" s="12">
        <f>1066.32</f>
        <v>1066.32</v>
      </c>
      <c r="F72" s="16"/>
      <c r="G72" s="16"/>
    </row>
    <row r="73">
      <c r="A73" s="5">
        <v>2024.0</v>
      </c>
      <c r="B73" s="5" t="s">
        <v>144</v>
      </c>
      <c r="C73" s="48" t="s">
        <v>101</v>
      </c>
      <c r="D73" s="21" t="s">
        <v>102</v>
      </c>
      <c r="E73" s="12">
        <v>225.0</v>
      </c>
      <c r="F73" s="16"/>
      <c r="G73" s="16"/>
    </row>
    <row r="74">
      <c r="A74" s="5">
        <v>2024.0</v>
      </c>
      <c r="B74" s="5" t="s">
        <v>144</v>
      </c>
      <c r="C74" s="48" t="s">
        <v>101</v>
      </c>
      <c r="D74" s="21" t="s">
        <v>103</v>
      </c>
      <c r="E74" s="12">
        <v>6067.5</v>
      </c>
      <c r="F74" s="16"/>
      <c r="G74" s="16"/>
    </row>
    <row r="75">
      <c r="A75" s="5">
        <v>2024.0</v>
      </c>
      <c r="B75" s="5" t="s">
        <v>144</v>
      </c>
      <c r="C75" s="48" t="s">
        <v>101</v>
      </c>
      <c r="D75" s="21" t="s">
        <v>104</v>
      </c>
      <c r="E75" s="12">
        <v>1000.0</v>
      </c>
      <c r="F75" s="16"/>
      <c r="G75" s="16"/>
    </row>
    <row r="76">
      <c r="A76" s="5">
        <v>2024.0</v>
      </c>
      <c r="B76" s="5" t="s">
        <v>144</v>
      </c>
      <c r="C76" s="48" t="s">
        <v>101</v>
      </c>
      <c r="D76" s="21" t="s">
        <v>105</v>
      </c>
      <c r="E76" s="12">
        <v>0.0</v>
      </c>
      <c r="F76" s="16"/>
      <c r="G76" s="16"/>
    </row>
    <row r="77">
      <c r="A77" s="5">
        <v>2024.0</v>
      </c>
      <c r="B77" s="5" t="s">
        <v>144</v>
      </c>
      <c r="C77" s="48" t="s">
        <v>106</v>
      </c>
      <c r="D77" s="21" t="s">
        <v>107</v>
      </c>
      <c r="E77" s="12">
        <v>7200.0</v>
      </c>
      <c r="F77" s="16"/>
      <c r="G77" s="16"/>
    </row>
    <row r="78">
      <c r="A78" s="5">
        <v>2024.0</v>
      </c>
      <c r="B78" s="5" t="s">
        <v>144</v>
      </c>
      <c r="C78" s="48" t="s">
        <v>106</v>
      </c>
      <c r="D78" s="21" t="s">
        <v>108</v>
      </c>
      <c r="E78" s="12">
        <v>499.8</v>
      </c>
      <c r="F78" s="16"/>
      <c r="G78" s="16"/>
    </row>
    <row r="79">
      <c r="A79" s="5">
        <v>2024.0</v>
      </c>
      <c r="B79" s="5" t="s">
        <v>144</v>
      </c>
      <c r="C79" s="48" t="s">
        <v>109</v>
      </c>
      <c r="D79" s="21" t="s">
        <v>110</v>
      </c>
      <c r="E79" s="12">
        <v>0.0</v>
      </c>
      <c r="F79" s="16"/>
      <c r="G79" s="16"/>
    </row>
    <row r="80">
      <c r="A80" s="5">
        <v>2024.0</v>
      </c>
      <c r="B80" s="5" t="s">
        <v>144</v>
      </c>
      <c r="C80" s="48" t="s">
        <v>109</v>
      </c>
      <c r="D80" s="21" t="s">
        <v>111</v>
      </c>
      <c r="E80" s="12">
        <v>500.0</v>
      </c>
      <c r="F80" s="16"/>
      <c r="G80" s="16"/>
    </row>
    <row r="81">
      <c r="A81" s="5">
        <v>2024.0</v>
      </c>
      <c r="B81" s="5" t="s">
        <v>144</v>
      </c>
      <c r="C81" s="48" t="s">
        <v>109</v>
      </c>
      <c r="D81" s="21" t="s">
        <v>112</v>
      </c>
      <c r="E81" s="12">
        <v>1300.0</v>
      </c>
      <c r="F81" s="12"/>
      <c r="G81" s="16"/>
    </row>
    <row r="82">
      <c r="A82" s="5">
        <v>2024.0</v>
      </c>
      <c r="B82" s="5" t="s">
        <v>144</v>
      </c>
      <c r="C82" s="48" t="s">
        <v>109</v>
      </c>
      <c r="D82" s="21" t="s">
        <v>113</v>
      </c>
      <c r="E82" s="12">
        <v>0.0</v>
      </c>
      <c r="F82" s="16"/>
      <c r="G82" s="16"/>
    </row>
    <row r="83">
      <c r="A83" s="5">
        <v>2024.0</v>
      </c>
      <c r="B83" s="5" t="s">
        <v>144</v>
      </c>
      <c r="C83" s="48" t="s">
        <v>109</v>
      </c>
      <c r="D83" s="21" t="s">
        <v>114</v>
      </c>
      <c r="E83" s="12">
        <v>800.0</v>
      </c>
      <c r="F83" s="16"/>
      <c r="G83" s="16"/>
    </row>
    <row r="84">
      <c r="A84" s="5">
        <v>2024.0</v>
      </c>
      <c r="B84" s="5" t="s">
        <v>144</v>
      </c>
      <c r="C84" s="48" t="s">
        <v>115</v>
      </c>
      <c r="D84" s="21" t="s">
        <v>116</v>
      </c>
      <c r="E84" s="12">
        <v>3882.8</v>
      </c>
      <c r="F84" s="16"/>
      <c r="G84" s="16"/>
    </row>
    <row r="85">
      <c r="A85" s="5">
        <v>2024.0</v>
      </c>
      <c r="B85" s="5" t="s">
        <v>144</v>
      </c>
      <c r="C85" s="48" t="s">
        <v>115</v>
      </c>
      <c r="D85" s="21" t="s">
        <v>117</v>
      </c>
      <c r="E85" s="12">
        <v>0.0</v>
      </c>
      <c r="F85" s="16"/>
      <c r="G85" s="16"/>
    </row>
    <row r="86">
      <c r="A86" s="5">
        <v>2024.0</v>
      </c>
      <c r="B86" s="5" t="s">
        <v>144</v>
      </c>
      <c r="C86" s="48" t="s">
        <v>115</v>
      </c>
      <c r="D86" s="21" t="s">
        <v>118</v>
      </c>
      <c r="E86" s="12">
        <v>0.0</v>
      </c>
      <c r="F86" s="12"/>
      <c r="G86" s="16"/>
    </row>
    <row r="87">
      <c r="A87" s="5">
        <v>2024.0</v>
      </c>
      <c r="B87" s="5" t="s">
        <v>144</v>
      </c>
      <c r="C87" s="48" t="s">
        <v>119</v>
      </c>
      <c r="D87" s="21" t="s">
        <v>120</v>
      </c>
      <c r="E87" s="12">
        <v>0.0</v>
      </c>
      <c r="F87" s="16"/>
      <c r="G87" s="16"/>
    </row>
    <row r="88">
      <c r="A88" s="5">
        <v>2024.0</v>
      </c>
      <c r="B88" s="5" t="s">
        <v>144</v>
      </c>
      <c r="C88" s="48" t="s">
        <v>119</v>
      </c>
      <c r="D88" s="21" t="s">
        <v>121</v>
      </c>
      <c r="E88" s="12">
        <v>69424.23</v>
      </c>
      <c r="F88" s="16"/>
      <c r="G88" s="16"/>
    </row>
    <row r="89">
      <c r="A89" s="5">
        <v>2024.0</v>
      </c>
      <c r="B89" s="5" t="s">
        <v>144</v>
      </c>
      <c r="C89" s="48" t="s">
        <v>119</v>
      </c>
      <c r="D89" s="21" t="s">
        <v>122</v>
      </c>
      <c r="E89" s="12">
        <v>0.0</v>
      </c>
      <c r="F89" s="16"/>
      <c r="G89" s="16"/>
    </row>
    <row r="90">
      <c r="A90" s="5">
        <v>2024.0</v>
      </c>
      <c r="B90" s="5" t="s">
        <v>144</v>
      </c>
      <c r="C90" s="48" t="s">
        <v>119</v>
      </c>
      <c r="D90" s="21" t="s">
        <v>123</v>
      </c>
      <c r="E90" s="12">
        <v>0.0</v>
      </c>
      <c r="F90" s="16"/>
      <c r="G90" s="16"/>
    </row>
    <row r="91">
      <c r="A91" s="5">
        <v>2024.0</v>
      </c>
      <c r="B91" s="5" t="s">
        <v>144</v>
      </c>
      <c r="C91" s="48" t="s">
        <v>119</v>
      </c>
      <c r="D91" s="21" t="s">
        <v>124</v>
      </c>
      <c r="E91" s="12">
        <v>1055.0</v>
      </c>
      <c r="F91" s="16"/>
      <c r="G91" s="16"/>
    </row>
    <row r="92">
      <c r="A92" s="5">
        <v>2024.0</v>
      </c>
      <c r="B92" s="5" t="s">
        <v>144</v>
      </c>
      <c r="C92" s="48" t="s">
        <v>119</v>
      </c>
      <c r="D92" s="21" t="s">
        <v>125</v>
      </c>
      <c r="E92" s="12">
        <v>0.0</v>
      </c>
      <c r="F92" s="16"/>
      <c r="G92" s="16"/>
    </row>
    <row r="93">
      <c r="A93" s="5">
        <v>2024.0</v>
      </c>
      <c r="B93" s="5" t="s">
        <v>144</v>
      </c>
      <c r="C93" s="48" t="s">
        <v>119</v>
      </c>
      <c r="D93" s="21" t="s">
        <v>126</v>
      </c>
      <c r="E93" s="12">
        <v>0.0</v>
      </c>
      <c r="F93" s="16"/>
      <c r="G93" s="16"/>
    </row>
    <row r="94">
      <c r="A94" s="5">
        <v>2024.0</v>
      </c>
      <c r="B94" s="5" t="s">
        <v>144</v>
      </c>
      <c r="C94" s="48" t="s">
        <v>119</v>
      </c>
      <c r="D94" s="21" t="s">
        <v>127</v>
      </c>
      <c r="E94" s="12">
        <v>0.0</v>
      </c>
      <c r="F94" s="16"/>
      <c r="G94" s="16"/>
    </row>
    <row r="95">
      <c r="A95" s="5">
        <v>2024.0</v>
      </c>
      <c r="B95" s="5" t="s">
        <v>144</v>
      </c>
      <c r="C95" s="48" t="s">
        <v>119</v>
      </c>
      <c r="D95" s="21" t="s">
        <v>128</v>
      </c>
      <c r="E95" s="12">
        <v>1055.75</v>
      </c>
      <c r="F95" s="16"/>
      <c r="G95" s="16"/>
    </row>
    <row r="96">
      <c r="A96" s="5">
        <v>2024.0</v>
      </c>
      <c r="B96" s="5" t="s">
        <v>144</v>
      </c>
      <c r="C96" s="48" t="s">
        <v>119</v>
      </c>
      <c r="D96" s="21" t="s">
        <v>129</v>
      </c>
      <c r="E96" s="12">
        <v>0.0</v>
      </c>
      <c r="F96" s="16"/>
      <c r="G96" s="16"/>
    </row>
    <row r="97">
      <c r="A97" s="5">
        <v>2024.0</v>
      </c>
      <c r="B97" s="5" t="s">
        <v>144</v>
      </c>
      <c r="C97" s="48" t="s">
        <v>119</v>
      </c>
      <c r="D97" s="21" t="s">
        <v>130</v>
      </c>
      <c r="E97" s="12">
        <v>0.0</v>
      </c>
      <c r="F97" s="12"/>
      <c r="G97" s="16"/>
    </row>
    <row r="98">
      <c r="A98" s="5">
        <v>2024.0</v>
      </c>
      <c r="B98" s="5" t="s">
        <v>144</v>
      </c>
      <c r="C98" s="48" t="s">
        <v>119</v>
      </c>
      <c r="D98" s="21" t="s">
        <v>131</v>
      </c>
      <c r="E98" s="12">
        <v>37854.67</v>
      </c>
      <c r="F98" s="16"/>
      <c r="G98" s="16"/>
    </row>
    <row r="99">
      <c r="A99" s="5">
        <v>2024.0</v>
      </c>
      <c r="B99" s="5" t="s">
        <v>144</v>
      </c>
      <c r="C99" s="48" t="s">
        <v>119</v>
      </c>
      <c r="D99" s="21" t="s">
        <v>132</v>
      </c>
      <c r="E99" s="12">
        <v>16446.06</v>
      </c>
      <c r="F99" s="16"/>
      <c r="G99" s="16"/>
    </row>
    <row r="100">
      <c r="A100" s="5">
        <v>2024.0</v>
      </c>
      <c r="B100" s="5" t="s">
        <v>144</v>
      </c>
      <c r="C100" s="48" t="s">
        <v>119</v>
      </c>
      <c r="D100" s="21" t="s">
        <v>133</v>
      </c>
      <c r="E100" s="12">
        <v>0.0</v>
      </c>
      <c r="F100" s="12"/>
      <c r="G100" s="16"/>
    </row>
    <row r="101">
      <c r="A101" s="5">
        <v>2024.0</v>
      </c>
      <c r="B101" s="5" t="s">
        <v>144</v>
      </c>
      <c r="C101" s="48" t="s">
        <v>119</v>
      </c>
      <c r="D101" s="21" t="s">
        <v>134</v>
      </c>
      <c r="E101" s="12">
        <v>0.0</v>
      </c>
      <c r="F101" s="16"/>
      <c r="G101" s="16"/>
    </row>
    <row r="102">
      <c r="A102" s="5">
        <v>2024.0</v>
      </c>
      <c r="B102" s="5" t="s">
        <v>144</v>
      </c>
      <c r="C102" s="48" t="s">
        <v>119</v>
      </c>
      <c r="D102" s="21" t="s">
        <v>135</v>
      </c>
      <c r="E102" s="12">
        <v>0.0</v>
      </c>
      <c r="F102" s="16"/>
      <c r="G102" s="16"/>
    </row>
    <row r="103">
      <c r="A103" s="5">
        <v>2024.0</v>
      </c>
      <c r="B103" s="5" t="s">
        <v>144</v>
      </c>
      <c r="C103" s="48" t="s">
        <v>119</v>
      </c>
      <c r="D103" s="21" t="s">
        <v>136</v>
      </c>
      <c r="E103" s="12">
        <v>0.0</v>
      </c>
      <c r="F103" s="16"/>
      <c r="G103" s="16"/>
    </row>
    <row r="104">
      <c r="A104" s="5">
        <v>2024.0</v>
      </c>
      <c r="B104" s="5" t="s">
        <v>144</v>
      </c>
      <c r="C104" s="48" t="s">
        <v>119</v>
      </c>
      <c r="D104" s="21" t="s">
        <v>137</v>
      </c>
      <c r="E104" s="12">
        <v>0.0</v>
      </c>
      <c r="F104" s="16"/>
      <c r="G104" s="16"/>
    </row>
    <row r="105">
      <c r="A105" s="5">
        <v>2024.0</v>
      </c>
      <c r="B105" s="5" t="s">
        <v>144</v>
      </c>
      <c r="C105" s="48" t="s">
        <v>119</v>
      </c>
      <c r="D105" s="21" t="s">
        <v>113</v>
      </c>
      <c r="E105" s="12">
        <v>0.0</v>
      </c>
      <c r="F105" s="16"/>
      <c r="G105" s="16"/>
    </row>
    <row r="106">
      <c r="A106" s="5">
        <v>2024.0</v>
      </c>
      <c r="B106" s="5" t="s">
        <v>144</v>
      </c>
      <c r="C106" s="1" t="s">
        <v>138</v>
      </c>
      <c r="E106" s="16">
        <f>SUM(E57:E105)</f>
        <v>276529.69</v>
      </c>
      <c r="F106" s="12">
        <v>253330.76</v>
      </c>
      <c r="G106" s="16">
        <f t="shared" ref="G106:G107" si="2">F106-E106</f>
        <v>-23198.93</v>
      </c>
    </row>
    <row r="107">
      <c r="A107" s="5">
        <v>2024.0</v>
      </c>
      <c r="B107" s="5" t="s">
        <v>144</v>
      </c>
      <c r="C107" s="1" t="s">
        <v>139</v>
      </c>
      <c r="E107" s="12">
        <f>'Costos 2'!BJ62+'Costos 2'!BJ87</f>
        <v>153066.47</v>
      </c>
      <c r="F107" s="12">
        <v>115000.0</v>
      </c>
      <c r="G107" s="16">
        <f t="shared" si="2"/>
        <v>-38066.47</v>
      </c>
    </row>
    <row r="108">
      <c r="A108" s="5">
        <v>2024.0</v>
      </c>
      <c r="B108" s="5" t="s">
        <v>144</v>
      </c>
      <c r="C108" s="1" t="s">
        <v>140</v>
      </c>
      <c r="E108" s="53">
        <v>41566.31</v>
      </c>
      <c r="F108" s="16"/>
      <c r="G108" s="16"/>
    </row>
    <row r="109">
      <c r="A109" s="5">
        <v>2024.0</v>
      </c>
      <c r="B109" s="5" t="s">
        <v>144</v>
      </c>
      <c r="C109" s="1" t="s">
        <v>141</v>
      </c>
      <c r="E109" s="53">
        <v>55330.75</v>
      </c>
      <c r="F109" s="16"/>
      <c r="G109" s="16"/>
    </row>
    <row r="110">
      <c r="A110" s="5">
        <v>2024.0</v>
      </c>
      <c r="B110" s="5" t="s">
        <v>144</v>
      </c>
      <c r="C110" s="1" t="s">
        <v>142</v>
      </c>
      <c r="E110" s="53">
        <v>0.0</v>
      </c>
      <c r="F110" s="16"/>
      <c r="G110" s="16"/>
    </row>
    <row r="111">
      <c r="A111" s="51">
        <v>2024.0</v>
      </c>
      <c r="B111" s="51" t="s">
        <v>144</v>
      </c>
      <c r="C111" s="52" t="s">
        <v>143</v>
      </c>
      <c r="D111" s="36"/>
      <c r="E111" s="39">
        <v>0.0</v>
      </c>
      <c r="F111" s="35"/>
      <c r="G111" s="35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>
      <c r="A112" s="5">
        <v>2024.0</v>
      </c>
      <c r="B112" s="5" t="s">
        <v>145</v>
      </c>
      <c r="C112" s="1" t="s">
        <v>83</v>
      </c>
      <c r="D112" s="21" t="s">
        <v>84</v>
      </c>
      <c r="E112" s="54">
        <f>23634.59+92788.03-6483.33</f>
        <v>109939.29</v>
      </c>
      <c r="F112" s="16"/>
      <c r="G112" s="16"/>
    </row>
    <row r="113">
      <c r="A113" s="5">
        <v>2024.0</v>
      </c>
      <c r="B113" s="5" t="s">
        <v>145</v>
      </c>
      <c r="C113" s="1" t="s">
        <v>83</v>
      </c>
      <c r="D113" s="21" t="s">
        <v>85</v>
      </c>
      <c r="E113" s="12">
        <v>6483.33</v>
      </c>
      <c r="F113" s="16"/>
      <c r="G113" s="16"/>
    </row>
    <row r="114">
      <c r="A114" s="5">
        <v>2024.0</v>
      </c>
      <c r="B114" s="5" t="s">
        <v>145</v>
      </c>
      <c r="C114" s="1" t="s">
        <v>83</v>
      </c>
      <c r="D114" s="21" t="s">
        <v>86</v>
      </c>
      <c r="E114" s="12">
        <v>27871.0</v>
      </c>
      <c r="F114" s="16"/>
      <c r="G114" s="16"/>
    </row>
    <row r="115">
      <c r="A115" s="5">
        <v>2024.0</v>
      </c>
      <c r="B115" s="5" t="s">
        <v>145</v>
      </c>
      <c r="C115" s="1" t="s">
        <v>83</v>
      </c>
      <c r="D115" s="21" t="s">
        <v>87</v>
      </c>
      <c r="E115" s="55">
        <f>6748.61+5601.84</f>
        <v>12350.45</v>
      </c>
      <c r="F115" s="16"/>
      <c r="G115" s="16"/>
    </row>
    <row r="116">
      <c r="A116" s="5">
        <v>2024.0</v>
      </c>
      <c r="B116" s="5" t="s">
        <v>145</v>
      </c>
      <c r="C116" s="1" t="s">
        <v>83</v>
      </c>
      <c r="D116" s="21" t="s">
        <v>88</v>
      </c>
      <c r="E116" s="55">
        <v>66672.09</v>
      </c>
      <c r="F116" s="16"/>
      <c r="G116" s="16"/>
    </row>
    <row r="117">
      <c r="A117" s="5">
        <v>2024.0</v>
      </c>
      <c r="B117" s="5" t="s">
        <v>145</v>
      </c>
      <c r="C117" s="1" t="s">
        <v>83</v>
      </c>
      <c r="D117" s="21" t="s">
        <v>89</v>
      </c>
      <c r="E117" s="12">
        <v>0.0</v>
      </c>
      <c r="F117" s="16"/>
      <c r="G117" s="16"/>
    </row>
    <row r="118">
      <c r="A118" s="5">
        <v>2024.0</v>
      </c>
      <c r="B118" s="5" t="s">
        <v>145</v>
      </c>
      <c r="C118" s="1" t="s">
        <v>83</v>
      </c>
      <c r="D118" s="21" t="s">
        <v>90</v>
      </c>
      <c r="E118" s="12">
        <v>0.0</v>
      </c>
      <c r="F118" s="16"/>
      <c r="G118" s="16"/>
    </row>
    <row r="119">
      <c r="A119" s="5">
        <v>2024.0</v>
      </c>
      <c r="B119" s="5" t="s">
        <v>145</v>
      </c>
      <c r="C119" s="1" t="s">
        <v>83</v>
      </c>
      <c r="D119" s="21" t="s">
        <v>91</v>
      </c>
      <c r="E119" s="12">
        <v>0.0</v>
      </c>
      <c r="F119" s="16"/>
      <c r="G119" s="16"/>
    </row>
    <row r="120">
      <c r="A120" s="5">
        <v>2024.0</v>
      </c>
      <c r="B120" s="5" t="s">
        <v>145</v>
      </c>
      <c r="C120" s="1" t="s">
        <v>83</v>
      </c>
      <c r="D120" s="21" t="s">
        <v>92</v>
      </c>
      <c r="E120" s="12">
        <v>5189.85</v>
      </c>
      <c r="F120" s="16"/>
      <c r="G120" s="16"/>
    </row>
    <row r="121">
      <c r="A121" s="5">
        <v>2024.0</v>
      </c>
      <c r="B121" s="5" t="s">
        <v>145</v>
      </c>
      <c r="C121" s="1" t="s">
        <v>83</v>
      </c>
      <c r="D121" s="21" t="s">
        <v>93</v>
      </c>
      <c r="E121" s="12">
        <f>509.61+509.61</f>
        <v>1019.22</v>
      </c>
      <c r="F121" s="16"/>
      <c r="G121" s="16"/>
    </row>
    <row r="122">
      <c r="A122" s="5">
        <v>2024.0</v>
      </c>
      <c r="B122" s="5" t="s">
        <v>145</v>
      </c>
      <c r="C122" s="1" t="s">
        <v>83</v>
      </c>
      <c r="D122" s="21" t="s">
        <v>94</v>
      </c>
      <c r="E122" s="12">
        <f>295.31+2550</f>
        <v>2845.31</v>
      </c>
      <c r="F122" s="16"/>
      <c r="G122" s="16"/>
    </row>
    <row r="123">
      <c r="A123" s="5">
        <v>2024.0</v>
      </c>
      <c r="B123" s="5" t="s">
        <v>145</v>
      </c>
      <c r="C123" s="48" t="s">
        <v>95</v>
      </c>
      <c r="D123" s="21" t="s">
        <v>96</v>
      </c>
      <c r="E123" s="12">
        <f>427.71+2806.42</f>
        <v>3234.13</v>
      </c>
      <c r="F123" s="16"/>
      <c r="G123" s="16"/>
    </row>
    <row r="124">
      <c r="A124" s="5">
        <v>2024.0</v>
      </c>
      <c r="B124" s="5" t="s">
        <v>145</v>
      </c>
      <c r="C124" s="48" t="s">
        <v>95</v>
      </c>
      <c r="D124" s="21" t="s">
        <v>97</v>
      </c>
      <c r="E124" s="12">
        <f>128.5+66.24+88.72+81.36+80+53</f>
        <v>497.82</v>
      </c>
      <c r="G124" s="16"/>
    </row>
    <row r="125">
      <c r="A125" s="5">
        <v>2024.0</v>
      </c>
      <c r="B125" s="5" t="s">
        <v>145</v>
      </c>
      <c r="C125" s="48" t="s">
        <v>95</v>
      </c>
      <c r="D125" s="21" t="s">
        <v>98</v>
      </c>
      <c r="E125" s="12">
        <f>3194+10+299</f>
        <v>3503</v>
      </c>
      <c r="F125" s="12"/>
      <c r="G125" s="16"/>
    </row>
    <row r="126">
      <c r="A126" s="5">
        <v>2024.0</v>
      </c>
      <c r="B126" s="5" t="s">
        <v>145</v>
      </c>
      <c r="C126" s="48" t="s">
        <v>95</v>
      </c>
      <c r="D126" s="21" t="s">
        <v>99</v>
      </c>
      <c r="E126" s="12">
        <f>310+502.98</f>
        <v>812.98</v>
      </c>
      <c r="F126" s="16"/>
      <c r="G126" s="16"/>
    </row>
    <row r="127">
      <c r="A127" s="5">
        <v>2024.0</v>
      </c>
      <c r="B127" s="5" t="s">
        <v>145</v>
      </c>
      <c r="C127" s="48" t="s">
        <v>95</v>
      </c>
      <c r="D127" s="21" t="s">
        <v>100</v>
      </c>
      <c r="E127" s="12">
        <v>0.0</v>
      </c>
      <c r="F127" s="16"/>
      <c r="G127" s="16"/>
    </row>
    <row r="128">
      <c r="A128" s="5">
        <v>2024.0</v>
      </c>
      <c r="B128" s="5" t="s">
        <v>145</v>
      </c>
      <c r="C128" s="48" t="s">
        <v>101</v>
      </c>
      <c r="D128" s="21" t="s">
        <v>102</v>
      </c>
      <c r="E128" s="12">
        <v>0.0</v>
      </c>
      <c r="F128" s="16"/>
      <c r="G128" s="16"/>
    </row>
    <row r="129">
      <c r="A129" s="5">
        <v>2024.0</v>
      </c>
      <c r="B129" s="5" t="s">
        <v>145</v>
      </c>
      <c r="C129" s="48" t="s">
        <v>101</v>
      </c>
      <c r="D129" s="21" t="s">
        <v>103</v>
      </c>
      <c r="E129" s="55">
        <f>475+5592</f>
        <v>6067</v>
      </c>
      <c r="F129" s="16"/>
      <c r="G129" s="16"/>
    </row>
    <row r="130">
      <c r="A130" s="5">
        <v>2024.0</v>
      </c>
      <c r="B130" s="5" t="s">
        <v>145</v>
      </c>
      <c r="C130" s="48" t="s">
        <v>101</v>
      </c>
      <c r="D130" s="21" t="s">
        <v>104</v>
      </c>
      <c r="E130" s="12">
        <v>0.0</v>
      </c>
      <c r="F130" s="16"/>
      <c r="G130" s="16"/>
    </row>
    <row r="131">
      <c r="A131" s="5">
        <v>2024.0</v>
      </c>
      <c r="B131" s="5" t="s">
        <v>145</v>
      </c>
      <c r="C131" s="48" t="s">
        <v>101</v>
      </c>
      <c r="D131" s="21" t="s">
        <v>105</v>
      </c>
      <c r="E131" s="12">
        <v>0.0</v>
      </c>
      <c r="F131" s="16"/>
      <c r="G131" s="16"/>
    </row>
    <row r="132">
      <c r="A132" s="5">
        <v>2024.0</v>
      </c>
      <c r="B132" s="5" t="s">
        <v>145</v>
      </c>
      <c r="C132" s="48" t="s">
        <v>106</v>
      </c>
      <c r="D132" s="21" t="s">
        <v>107</v>
      </c>
      <c r="E132" s="12">
        <v>7200.0</v>
      </c>
      <c r="F132" s="16"/>
      <c r="G132" s="16"/>
    </row>
    <row r="133">
      <c r="A133" s="5">
        <v>2024.0</v>
      </c>
      <c r="B133" s="5" t="s">
        <v>145</v>
      </c>
      <c r="C133" s="48" t="s">
        <v>106</v>
      </c>
      <c r="D133" s="21" t="s">
        <v>108</v>
      </c>
      <c r="E133" s="12">
        <v>0.0</v>
      </c>
      <c r="F133" s="16"/>
      <c r="G133" s="16"/>
    </row>
    <row r="134">
      <c r="A134" s="5">
        <v>2024.0</v>
      </c>
      <c r="B134" s="5" t="s">
        <v>145</v>
      </c>
      <c r="C134" s="48" t="s">
        <v>109</v>
      </c>
      <c r="D134" s="21" t="s">
        <v>110</v>
      </c>
      <c r="E134" s="12">
        <v>0.0</v>
      </c>
      <c r="F134" s="16"/>
      <c r="G134" s="16"/>
    </row>
    <row r="135">
      <c r="A135" s="5">
        <v>2024.0</v>
      </c>
      <c r="B135" s="5" t="s">
        <v>145</v>
      </c>
      <c r="C135" s="48" t="s">
        <v>109</v>
      </c>
      <c r="D135" s="21" t="s">
        <v>111</v>
      </c>
      <c r="E135" s="12">
        <v>0.0</v>
      </c>
      <c r="F135" s="16"/>
      <c r="G135" s="16"/>
    </row>
    <row r="136">
      <c r="A136" s="5">
        <v>2024.0</v>
      </c>
      <c r="B136" s="5" t="s">
        <v>145</v>
      </c>
      <c r="C136" s="48" t="s">
        <v>109</v>
      </c>
      <c r="D136" s="21" t="s">
        <v>112</v>
      </c>
      <c r="E136" s="12">
        <f>375+315+440+450</f>
        <v>1580</v>
      </c>
      <c r="F136" s="12"/>
      <c r="G136" s="16"/>
    </row>
    <row r="137">
      <c r="A137" s="5">
        <v>2024.0</v>
      </c>
      <c r="B137" s="5" t="s">
        <v>145</v>
      </c>
      <c r="C137" s="48" t="s">
        <v>109</v>
      </c>
      <c r="D137" s="21" t="s">
        <v>113</v>
      </c>
      <c r="E137" s="12">
        <v>0.0</v>
      </c>
      <c r="F137" s="16"/>
      <c r="G137" s="16"/>
    </row>
    <row r="138">
      <c r="A138" s="5">
        <v>2024.0</v>
      </c>
      <c r="B138" s="5" t="s">
        <v>145</v>
      </c>
      <c r="C138" s="48" t="s">
        <v>109</v>
      </c>
      <c r="D138" s="21" t="s">
        <v>114</v>
      </c>
      <c r="E138" s="12">
        <v>1300.0</v>
      </c>
      <c r="F138" s="16"/>
      <c r="G138" s="16"/>
    </row>
    <row r="139">
      <c r="A139" s="5">
        <v>2024.0</v>
      </c>
      <c r="B139" s="5" t="s">
        <v>145</v>
      </c>
      <c r="C139" s="48" t="s">
        <v>115</v>
      </c>
      <c r="D139" s="21" t="s">
        <v>116</v>
      </c>
      <c r="E139" s="12">
        <v>4150.0</v>
      </c>
      <c r="F139" s="16"/>
      <c r="G139" s="16"/>
    </row>
    <row r="140">
      <c r="A140" s="5">
        <v>2024.0</v>
      </c>
      <c r="B140" s="5" t="s">
        <v>145</v>
      </c>
      <c r="C140" s="48" t="s">
        <v>115</v>
      </c>
      <c r="D140" s="21" t="s">
        <v>117</v>
      </c>
      <c r="E140" s="12">
        <v>0.0</v>
      </c>
      <c r="F140" s="16"/>
      <c r="G140" s="16"/>
    </row>
    <row r="141">
      <c r="A141" s="5">
        <v>2024.0</v>
      </c>
      <c r="B141" s="5" t="s">
        <v>145</v>
      </c>
      <c r="C141" s="48" t="s">
        <v>115</v>
      </c>
      <c r="D141" s="21" t="s">
        <v>118</v>
      </c>
      <c r="E141" s="12">
        <v>0.0</v>
      </c>
      <c r="F141" s="12"/>
      <c r="G141" s="16"/>
    </row>
    <row r="142">
      <c r="A142" s="5">
        <v>2024.0</v>
      </c>
      <c r="B142" s="5" t="s">
        <v>145</v>
      </c>
      <c r="C142" s="48" t="s">
        <v>119</v>
      </c>
      <c r="D142" s="21" t="s">
        <v>120</v>
      </c>
      <c r="E142" s="12">
        <v>0.0</v>
      </c>
      <c r="F142" s="16"/>
      <c r="G142" s="16"/>
    </row>
    <row r="143">
      <c r="A143" s="5">
        <v>2024.0</v>
      </c>
      <c r="B143" s="5" t="s">
        <v>145</v>
      </c>
      <c r="C143" s="48" t="s">
        <v>119</v>
      </c>
      <c r="D143" s="21" t="s">
        <v>121</v>
      </c>
      <c r="E143" s="12">
        <f>(+(2147.34+3141.76+65)*7.8)+(+6400+930.67+10763.04-4328.54+5250)</f>
        <v>60777.15</v>
      </c>
      <c r="F143" s="16"/>
      <c r="G143" s="16"/>
    </row>
    <row r="144">
      <c r="A144" s="5">
        <v>2024.0</v>
      </c>
      <c r="B144" s="5" t="s">
        <v>145</v>
      </c>
      <c r="C144" s="48" t="s">
        <v>119</v>
      </c>
      <c r="D144" s="21" t="s">
        <v>122</v>
      </c>
      <c r="E144" s="12">
        <v>0.0</v>
      </c>
      <c r="F144" s="16"/>
      <c r="G144" s="16"/>
    </row>
    <row r="145">
      <c r="A145" s="5">
        <v>2024.0</v>
      </c>
      <c r="B145" s="5" t="s">
        <v>145</v>
      </c>
      <c r="C145" s="48" t="s">
        <v>119</v>
      </c>
      <c r="D145" s="21" t="s">
        <v>123</v>
      </c>
      <c r="E145" s="12">
        <v>0.0</v>
      </c>
      <c r="F145" s="16"/>
      <c r="G145" s="16"/>
    </row>
    <row r="146">
      <c r="A146" s="5">
        <v>2024.0</v>
      </c>
      <c r="B146" s="5" t="s">
        <v>145</v>
      </c>
      <c r="C146" s="48" t="s">
        <v>119</v>
      </c>
      <c r="D146" s="21" t="s">
        <v>124</v>
      </c>
      <c r="E146" s="12">
        <f>18+36+8+20+24+36+20+12+5+24+45+36+18+18+15+27+18+9+20+16+9+16+24+18+10+16+10+16+36+5+8+15+5+54+6+5+8+24+40+6+20+27+16+8+27+8+18+9+10+7+7+8</f>
        <v>921</v>
      </c>
      <c r="F146" s="16"/>
      <c r="G146" s="16"/>
    </row>
    <row r="147">
      <c r="A147" s="5">
        <v>2024.0</v>
      </c>
      <c r="B147" s="5" t="s">
        <v>145</v>
      </c>
      <c r="C147" s="48" t="s">
        <v>119</v>
      </c>
      <c r="D147" s="21" t="s">
        <v>125</v>
      </c>
      <c r="E147" s="12">
        <v>0.0</v>
      </c>
      <c r="F147" s="16"/>
      <c r="G147" s="16"/>
    </row>
    <row r="148">
      <c r="A148" s="5">
        <v>2024.0</v>
      </c>
      <c r="B148" s="5" t="s">
        <v>145</v>
      </c>
      <c r="C148" s="48" t="s">
        <v>119</v>
      </c>
      <c r="D148" s="21" t="s">
        <v>126</v>
      </c>
      <c r="E148" s="12">
        <v>0.0</v>
      </c>
      <c r="F148" s="16"/>
      <c r="G148" s="16"/>
    </row>
    <row r="149">
      <c r="A149" s="5">
        <v>2024.0</v>
      </c>
      <c r="B149" s="5" t="s">
        <v>145</v>
      </c>
      <c r="C149" s="48" t="s">
        <v>119</v>
      </c>
      <c r="D149" s="21" t="s">
        <v>127</v>
      </c>
      <c r="E149" s="12">
        <f>100+100+100+200+85+30</f>
        <v>615</v>
      </c>
      <c r="F149" s="16"/>
      <c r="G149" s="16"/>
    </row>
    <row r="150">
      <c r="A150" s="5">
        <v>2024.0</v>
      </c>
      <c r="B150" s="5" t="s">
        <v>145</v>
      </c>
      <c r="C150" s="48" t="s">
        <v>119</v>
      </c>
      <c r="D150" s="21" t="s">
        <v>128</v>
      </c>
      <c r="E150" s="12">
        <f>400+500+474.8</f>
        <v>1374.8</v>
      </c>
      <c r="F150" s="16"/>
      <c r="G150" s="16"/>
    </row>
    <row r="151">
      <c r="A151" s="5">
        <v>2024.0</v>
      </c>
      <c r="B151" s="5" t="s">
        <v>145</v>
      </c>
      <c r="C151" s="48" t="s">
        <v>119</v>
      </c>
      <c r="D151" s="21" t="s">
        <v>129</v>
      </c>
      <c r="E151" s="12">
        <v>555.0</v>
      </c>
      <c r="F151" s="16"/>
      <c r="G151" s="16"/>
    </row>
    <row r="152">
      <c r="A152" s="5">
        <v>2024.0</v>
      </c>
      <c r="B152" s="5" t="s">
        <v>145</v>
      </c>
      <c r="C152" s="48" t="s">
        <v>119</v>
      </c>
      <c r="D152" s="21" t="s">
        <v>130</v>
      </c>
      <c r="E152" s="55">
        <f>1628</f>
        <v>1628</v>
      </c>
      <c r="F152" s="12"/>
      <c r="G152" s="16"/>
    </row>
    <row r="153">
      <c r="A153" s="5">
        <v>2024.0</v>
      </c>
      <c r="B153" s="5" t="s">
        <v>145</v>
      </c>
      <c r="C153" s="48" t="s">
        <v>119</v>
      </c>
      <c r="D153" s="21" t="s">
        <v>131</v>
      </c>
      <c r="E153" s="12">
        <f>(+(+654+1520.83+25)*7.8)+18792+1904</f>
        <v>37854.674</v>
      </c>
      <c r="F153" s="16"/>
      <c r="G153" s="16"/>
    </row>
    <row r="154">
      <c r="A154" s="5">
        <v>2024.0</v>
      </c>
      <c r="B154" s="5" t="s">
        <v>145</v>
      </c>
      <c r="C154" s="48" t="s">
        <v>119</v>
      </c>
      <c r="D154" s="21" t="s">
        <v>132</v>
      </c>
      <c r="E154" s="12">
        <f>+1500+3360+557.32+200+250+1643.75+50+1.55+8+25+96.85+25+375+325+30+25+25+64+50+25+50+30+10+15+4+27.25+10+30+95.35+60+250</f>
        <v>9218.07</v>
      </c>
      <c r="F154" s="16"/>
      <c r="G154" s="16"/>
    </row>
    <row r="155">
      <c r="A155" s="5">
        <v>2024.0</v>
      </c>
      <c r="B155" s="5" t="s">
        <v>145</v>
      </c>
      <c r="C155" s="48" t="s">
        <v>119</v>
      </c>
      <c r="D155" s="21" t="s">
        <v>133</v>
      </c>
      <c r="E155" s="12">
        <v>499.8</v>
      </c>
      <c r="F155" s="12"/>
      <c r="G155" s="16"/>
    </row>
    <row r="156">
      <c r="A156" s="5">
        <v>2024.0</v>
      </c>
      <c r="B156" s="5" t="s">
        <v>145</v>
      </c>
      <c r="C156" s="48" t="s">
        <v>119</v>
      </c>
      <c r="D156" s="21" t="s">
        <v>134</v>
      </c>
      <c r="E156" s="12">
        <v>0.0</v>
      </c>
      <c r="F156" s="16"/>
      <c r="G156" s="16"/>
    </row>
    <row r="157">
      <c r="A157" s="5">
        <v>2024.0</v>
      </c>
      <c r="B157" s="5" t="s">
        <v>145</v>
      </c>
      <c r="C157" s="48" t="s">
        <v>119</v>
      </c>
      <c r="D157" s="21" t="s">
        <v>135</v>
      </c>
      <c r="E157" s="12">
        <v>0.0</v>
      </c>
      <c r="F157" s="16"/>
      <c r="G157" s="16"/>
    </row>
    <row r="158">
      <c r="A158" s="5">
        <v>2024.0</v>
      </c>
      <c r="B158" s="5" t="s">
        <v>145</v>
      </c>
      <c r="C158" s="48" t="s">
        <v>119</v>
      </c>
      <c r="D158" s="21" t="s">
        <v>136</v>
      </c>
      <c r="E158" s="12">
        <v>0.0</v>
      </c>
      <c r="F158" s="16"/>
      <c r="G158" s="16"/>
    </row>
    <row r="159">
      <c r="A159" s="5">
        <v>2024.0</v>
      </c>
      <c r="B159" s="5" t="s">
        <v>145</v>
      </c>
      <c r="C159" s="48" t="s">
        <v>119</v>
      </c>
      <c r="D159" s="21" t="s">
        <v>137</v>
      </c>
      <c r="E159" s="12">
        <v>0.0</v>
      </c>
      <c r="F159" s="16"/>
      <c r="G159" s="16"/>
    </row>
    <row r="160">
      <c r="A160" s="5">
        <v>2024.0</v>
      </c>
      <c r="B160" s="5" t="s">
        <v>145</v>
      </c>
      <c r="C160" s="48" t="s">
        <v>119</v>
      </c>
      <c r="D160" s="21" t="s">
        <v>113</v>
      </c>
      <c r="E160" s="12">
        <v>0.0</v>
      </c>
      <c r="F160" s="16"/>
      <c r="G160" s="16"/>
    </row>
    <row r="161">
      <c r="A161" s="5">
        <v>2024.0</v>
      </c>
      <c r="B161" s="5" t="s">
        <v>145</v>
      </c>
      <c r="C161" s="1" t="s">
        <v>138</v>
      </c>
      <c r="E161" s="16">
        <f>SUM(E112:E160)</f>
        <v>374158.964</v>
      </c>
      <c r="F161" s="12">
        <v>275000.0</v>
      </c>
      <c r="G161" s="16">
        <f t="shared" ref="G161:G162" si="3">F161-E161</f>
        <v>-99158.964</v>
      </c>
    </row>
    <row r="162">
      <c r="A162" s="5">
        <v>2024.0</v>
      </c>
      <c r="B162" s="5" t="s">
        <v>145</v>
      </c>
      <c r="C162" s="1" t="s">
        <v>139</v>
      </c>
      <c r="E162" s="12">
        <v>145196.61</v>
      </c>
      <c r="F162" s="12">
        <v>115000.0</v>
      </c>
      <c r="G162" s="16">
        <f t="shared" si="3"/>
        <v>-30196.61</v>
      </c>
    </row>
    <row r="163">
      <c r="A163" s="5">
        <v>2024.0</v>
      </c>
      <c r="B163" s="5" t="s">
        <v>145</v>
      </c>
      <c r="C163" s="1" t="s">
        <v>140</v>
      </c>
      <c r="E163" s="53">
        <v>39462.01</v>
      </c>
      <c r="F163" s="16"/>
      <c r="G163" s="16"/>
    </row>
    <row r="164">
      <c r="A164" s="5">
        <v>2024.0</v>
      </c>
      <c r="B164" s="5" t="s">
        <v>145</v>
      </c>
      <c r="C164" s="1" t="s">
        <v>141</v>
      </c>
      <c r="E164" s="53">
        <v>59081.57</v>
      </c>
      <c r="F164" s="16"/>
      <c r="G164" s="16"/>
    </row>
    <row r="165">
      <c r="A165" s="5">
        <v>2024.0</v>
      </c>
      <c r="B165" s="5" t="s">
        <v>145</v>
      </c>
      <c r="C165" s="1" t="s">
        <v>142</v>
      </c>
      <c r="E165" s="53">
        <v>0.0</v>
      </c>
      <c r="F165" s="16"/>
      <c r="G165" s="16"/>
    </row>
    <row r="166">
      <c r="A166" s="5">
        <v>2024.0</v>
      </c>
      <c r="B166" s="5" t="s">
        <v>145</v>
      </c>
      <c r="C166" s="1" t="s">
        <v>143</v>
      </c>
      <c r="E166" s="12">
        <v>0.0</v>
      </c>
      <c r="F166" s="16"/>
      <c r="G166" s="16"/>
    </row>
    <row r="167">
      <c r="E167" s="16"/>
    </row>
    <row r="168">
      <c r="C168" s="56" t="s">
        <v>146</v>
      </c>
      <c r="E168" s="55">
        <v>4062.81</v>
      </c>
    </row>
    <row r="169">
      <c r="E169" s="16"/>
    </row>
    <row r="170">
      <c r="A170" s="5">
        <v>2024.0</v>
      </c>
      <c r="B170" s="5" t="s">
        <v>147</v>
      </c>
      <c r="C170" s="1" t="s">
        <v>83</v>
      </c>
      <c r="D170" s="21" t="s">
        <v>84</v>
      </c>
      <c r="E170" s="12">
        <f>43364.59+95377.81-6943.27</f>
        <v>131799.13</v>
      </c>
      <c r="F170" s="16"/>
      <c r="G170" s="16"/>
    </row>
    <row r="171">
      <c r="A171" s="5">
        <v>2024.0</v>
      </c>
      <c r="B171" s="5" t="s">
        <v>147</v>
      </c>
      <c r="C171" s="1" t="s">
        <v>83</v>
      </c>
      <c r="D171" s="21" t="s">
        <v>85</v>
      </c>
      <c r="E171" s="12">
        <v>6943.27</v>
      </c>
      <c r="F171" s="16"/>
      <c r="G171" s="16"/>
    </row>
    <row r="172">
      <c r="A172" s="5">
        <v>2024.0</v>
      </c>
      <c r="B172" s="5" t="s">
        <v>147</v>
      </c>
      <c r="C172" s="1" t="s">
        <v>83</v>
      </c>
      <c r="D172" s="21" t="s">
        <v>86</v>
      </c>
      <c r="E172" s="12">
        <v>28617.0</v>
      </c>
      <c r="F172" s="16"/>
      <c r="G172" s="16"/>
    </row>
    <row r="173">
      <c r="A173" s="5">
        <v>2024.0</v>
      </c>
      <c r="B173" s="5" t="s">
        <v>147</v>
      </c>
      <c r="C173" s="1" t="s">
        <v>83</v>
      </c>
      <c r="D173" s="21" t="s">
        <v>87</v>
      </c>
      <c r="E173" s="12">
        <v>0.0</v>
      </c>
      <c r="F173" s="16"/>
      <c r="G173" s="16"/>
    </row>
    <row r="174">
      <c r="A174" s="5">
        <v>2024.0</v>
      </c>
      <c r="B174" s="5" t="s">
        <v>147</v>
      </c>
      <c r="C174" s="1" t="s">
        <v>83</v>
      </c>
      <c r="D174" s="21" t="s">
        <v>88</v>
      </c>
      <c r="E174" s="12"/>
      <c r="F174" s="16"/>
      <c r="G174" s="16"/>
    </row>
    <row r="175">
      <c r="A175" s="5">
        <v>2024.0</v>
      </c>
      <c r="B175" s="5" t="s">
        <v>147</v>
      </c>
      <c r="C175" s="1" t="s">
        <v>83</v>
      </c>
      <c r="D175" s="21" t="s">
        <v>89</v>
      </c>
      <c r="E175" s="12"/>
      <c r="F175" s="16"/>
      <c r="G175" s="16"/>
    </row>
    <row r="176">
      <c r="A176" s="5">
        <v>2024.0</v>
      </c>
      <c r="B176" s="5" t="s">
        <v>147</v>
      </c>
      <c r="C176" s="1" t="s">
        <v>83</v>
      </c>
      <c r="D176" s="21" t="s">
        <v>90</v>
      </c>
      <c r="E176" s="12"/>
      <c r="F176" s="16"/>
      <c r="G176" s="16"/>
    </row>
    <row r="177">
      <c r="A177" s="5">
        <v>2024.0</v>
      </c>
      <c r="B177" s="5" t="s">
        <v>147</v>
      </c>
      <c r="C177" s="1" t="s">
        <v>83</v>
      </c>
      <c r="D177" s="21" t="s">
        <v>91</v>
      </c>
      <c r="E177" s="12"/>
      <c r="F177" s="16"/>
      <c r="G177" s="16"/>
    </row>
    <row r="178">
      <c r="A178" s="5">
        <v>2024.0</v>
      </c>
      <c r="B178" s="5" t="s">
        <v>147</v>
      </c>
      <c r="C178" s="1" t="s">
        <v>83</v>
      </c>
      <c r="D178" s="21" t="s">
        <v>92</v>
      </c>
      <c r="E178" s="12">
        <v>5066.74</v>
      </c>
      <c r="F178" s="16"/>
      <c r="G178" s="16"/>
    </row>
    <row r="179">
      <c r="A179" s="5">
        <v>2024.0</v>
      </c>
      <c r="B179" s="5" t="s">
        <v>147</v>
      </c>
      <c r="C179" s="1" t="s">
        <v>83</v>
      </c>
      <c r="D179" s="21" t="s">
        <v>93</v>
      </c>
      <c r="E179" s="12">
        <f>498.08+498.08</f>
        <v>996.16</v>
      </c>
      <c r="F179" s="16"/>
      <c r="G179" s="16"/>
    </row>
    <row r="180">
      <c r="A180" s="5">
        <v>2024.0</v>
      </c>
      <c r="B180" s="5" t="s">
        <v>147</v>
      </c>
      <c r="C180" s="1" t="s">
        <v>83</v>
      </c>
      <c r="D180" s="21" t="s">
        <v>94</v>
      </c>
      <c r="E180" s="12">
        <v>2730.06</v>
      </c>
      <c r="F180" s="16"/>
      <c r="G180" s="16"/>
    </row>
    <row r="181">
      <c r="A181" s="5">
        <v>2024.0</v>
      </c>
      <c r="B181" s="5" t="s">
        <v>147</v>
      </c>
      <c r="C181" s="48" t="s">
        <v>95</v>
      </c>
      <c r="D181" s="21" t="s">
        <v>96</v>
      </c>
      <c r="E181" s="12">
        <v>1730.7</v>
      </c>
      <c r="F181" s="16"/>
      <c r="G181" s="16"/>
    </row>
    <row r="182">
      <c r="A182" s="5">
        <v>2024.0</v>
      </c>
      <c r="B182" s="5" t="s">
        <v>147</v>
      </c>
      <c r="C182" s="48" t="s">
        <v>95</v>
      </c>
      <c r="D182" s="21" t="s">
        <v>97</v>
      </c>
      <c r="E182" s="12">
        <v>1304.98</v>
      </c>
      <c r="G182" s="16"/>
    </row>
    <row r="183">
      <c r="A183" s="5">
        <v>2024.0</v>
      </c>
      <c r="B183" s="5" t="s">
        <v>147</v>
      </c>
      <c r="C183" s="48" t="s">
        <v>95</v>
      </c>
      <c r="D183" s="21" t="s">
        <v>98</v>
      </c>
      <c r="E183" s="12">
        <v>3194.0</v>
      </c>
      <c r="F183" s="12"/>
      <c r="G183" s="16"/>
    </row>
    <row r="184">
      <c r="A184" s="5">
        <v>2024.0</v>
      </c>
      <c r="B184" s="5" t="s">
        <v>147</v>
      </c>
      <c r="C184" s="48" t="s">
        <v>95</v>
      </c>
      <c r="D184" s="21" t="s">
        <v>99</v>
      </c>
      <c r="E184" s="12">
        <v>310.0</v>
      </c>
      <c r="F184" s="16"/>
      <c r="G184" s="16"/>
    </row>
    <row r="185">
      <c r="A185" s="5">
        <v>2024.0</v>
      </c>
      <c r="B185" s="5" t="s">
        <v>147</v>
      </c>
      <c r="C185" s="48" t="s">
        <v>95</v>
      </c>
      <c r="D185" s="21" t="s">
        <v>100</v>
      </c>
      <c r="E185" s="12">
        <v>179.86</v>
      </c>
      <c r="F185" s="16"/>
      <c r="G185" s="16"/>
    </row>
    <row r="186">
      <c r="A186" s="5">
        <v>2024.0</v>
      </c>
      <c r="B186" s="5" t="s">
        <v>147</v>
      </c>
      <c r="C186" s="48" t="s">
        <v>101</v>
      </c>
      <c r="D186" s="21" t="s">
        <v>102</v>
      </c>
      <c r="E186" s="12"/>
      <c r="F186" s="16"/>
      <c r="G186" s="16"/>
    </row>
    <row r="187">
      <c r="A187" s="5">
        <v>2024.0</v>
      </c>
      <c r="B187" s="5" t="s">
        <v>147</v>
      </c>
      <c r="C187" s="48" t="s">
        <v>101</v>
      </c>
      <c r="D187" s="21" t="s">
        <v>103</v>
      </c>
      <c r="E187" s="12"/>
      <c r="F187" s="16"/>
      <c r="G187" s="16"/>
    </row>
    <row r="188">
      <c r="A188" s="5">
        <v>2024.0</v>
      </c>
      <c r="B188" s="5" t="s">
        <v>147</v>
      </c>
      <c r="C188" s="48" t="s">
        <v>101</v>
      </c>
      <c r="D188" s="21" t="s">
        <v>104</v>
      </c>
      <c r="E188" s="12"/>
      <c r="F188" s="16"/>
      <c r="G188" s="16"/>
    </row>
    <row r="189">
      <c r="A189" s="5">
        <v>2024.0</v>
      </c>
      <c r="B189" s="5" t="s">
        <v>147</v>
      </c>
      <c r="C189" s="48" t="s">
        <v>101</v>
      </c>
      <c r="D189" s="21" t="s">
        <v>105</v>
      </c>
      <c r="E189" s="12"/>
      <c r="F189" s="16"/>
      <c r="G189" s="16"/>
    </row>
    <row r="190">
      <c r="A190" s="5">
        <v>2024.0</v>
      </c>
      <c r="B190" s="5" t="s">
        <v>147</v>
      </c>
      <c r="C190" s="48" t="s">
        <v>106</v>
      </c>
      <c r="D190" s="21" t="s">
        <v>107</v>
      </c>
      <c r="E190" s="12">
        <v>7200.0</v>
      </c>
      <c r="F190" s="16"/>
      <c r="G190" s="16"/>
    </row>
    <row r="191">
      <c r="A191" s="5">
        <v>2024.0</v>
      </c>
      <c r="B191" s="5" t="s">
        <v>147</v>
      </c>
      <c r="C191" s="48" t="s">
        <v>106</v>
      </c>
      <c r="D191" s="21" t="s">
        <v>108</v>
      </c>
      <c r="E191" s="12">
        <v>499.8</v>
      </c>
      <c r="F191" s="16"/>
      <c r="G191" s="16"/>
    </row>
    <row r="192">
      <c r="A192" s="5">
        <v>2024.0</v>
      </c>
      <c r="B192" s="5" t="s">
        <v>147</v>
      </c>
      <c r="C192" s="48" t="s">
        <v>109</v>
      </c>
      <c r="D192" s="21" t="s">
        <v>110</v>
      </c>
      <c r="E192" s="12"/>
      <c r="F192" s="16"/>
      <c r="G192" s="16"/>
    </row>
    <row r="193">
      <c r="A193" s="5">
        <v>2024.0</v>
      </c>
      <c r="B193" s="5" t="s">
        <v>147</v>
      </c>
      <c r="C193" s="48" t="s">
        <v>109</v>
      </c>
      <c r="D193" s="21" t="s">
        <v>111</v>
      </c>
      <c r="E193" s="12">
        <v>500.0</v>
      </c>
      <c r="F193" s="16"/>
      <c r="G193" s="16"/>
    </row>
    <row r="194">
      <c r="A194" s="5">
        <v>2024.0</v>
      </c>
      <c r="B194" s="5" t="s">
        <v>147</v>
      </c>
      <c r="C194" s="48" t="s">
        <v>109</v>
      </c>
      <c r="D194" s="21" t="s">
        <v>112</v>
      </c>
      <c r="E194" s="12">
        <v>1368.73</v>
      </c>
      <c r="F194" s="12"/>
      <c r="G194" s="16"/>
    </row>
    <row r="195">
      <c r="A195" s="5">
        <v>2024.0</v>
      </c>
      <c r="B195" s="5" t="s">
        <v>147</v>
      </c>
      <c r="C195" s="48" t="s">
        <v>109</v>
      </c>
      <c r="D195" s="21" t="s">
        <v>113</v>
      </c>
      <c r="E195" s="12"/>
      <c r="F195" s="16"/>
      <c r="G195" s="16"/>
    </row>
    <row r="196">
      <c r="A196" s="5">
        <v>2024.0</v>
      </c>
      <c r="B196" s="5" t="s">
        <v>147</v>
      </c>
      <c r="C196" s="48" t="s">
        <v>109</v>
      </c>
      <c r="D196" s="21" t="s">
        <v>114</v>
      </c>
      <c r="E196" s="12">
        <v>596.75</v>
      </c>
      <c r="F196" s="16"/>
      <c r="G196" s="16"/>
    </row>
    <row r="197">
      <c r="A197" s="5">
        <v>2024.0</v>
      </c>
      <c r="B197" s="5" t="s">
        <v>147</v>
      </c>
      <c r="C197" s="48" t="s">
        <v>115</v>
      </c>
      <c r="D197" s="21" t="s">
        <v>116</v>
      </c>
      <c r="E197" s="12"/>
      <c r="F197" s="16"/>
      <c r="G197" s="16"/>
    </row>
    <row r="198">
      <c r="A198" s="5">
        <v>2024.0</v>
      </c>
      <c r="B198" s="5" t="s">
        <v>147</v>
      </c>
      <c r="C198" s="48" t="s">
        <v>115</v>
      </c>
      <c r="D198" s="21" t="s">
        <v>117</v>
      </c>
      <c r="E198" s="12"/>
      <c r="F198" s="16"/>
      <c r="G198" s="16"/>
    </row>
    <row r="199">
      <c r="A199" s="5">
        <v>2024.0</v>
      </c>
      <c r="B199" s="5" t="s">
        <v>147</v>
      </c>
      <c r="C199" s="48" t="s">
        <v>115</v>
      </c>
      <c r="D199" s="21" t="s">
        <v>118</v>
      </c>
      <c r="E199" s="12">
        <v>4150.0</v>
      </c>
      <c r="F199" s="12"/>
      <c r="G199" s="16"/>
    </row>
    <row r="200">
      <c r="A200" s="5">
        <v>2024.0</v>
      </c>
      <c r="B200" s="5" t="s">
        <v>147</v>
      </c>
      <c r="C200" s="48" t="s">
        <v>119</v>
      </c>
      <c r="D200" s="21" t="s">
        <v>120</v>
      </c>
      <c r="E200" s="12">
        <f>1500+390+505.72+13282.5</f>
        <v>15678.22</v>
      </c>
      <c r="F200" s="16"/>
      <c r="G200" s="16"/>
    </row>
    <row r="201">
      <c r="A201" s="5">
        <v>2024.0</v>
      </c>
      <c r="B201" s="5" t="s">
        <v>147</v>
      </c>
      <c r="C201" s="48" t="s">
        <v>119</v>
      </c>
      <c r="D201" s="21" t="s">
        <v>121</v>
      </c>
      <c r="E201" s="12">
        <f>3675.3+40062.5+6800+4600</f>
        <v>55137.8</v>
      </c>
      <c r="F201" s="16"/>
      <c r="G201" s="16"/>
    </row>
    <row r="202">
      <c r="A202" s="5">
        <v>2024.0</v>
      </c>
      <c r="B202" s="5" t="s">
        <v>147</v>
      </c>
      <c r="C202" s="48" t="s">
        <v>119</v>
      </c>
      <c r="D202" s="21" t="s">
        <v>122</v>
      </c>
      <c r="E202" s="12"/>
      <c r="F202" s="16"/>
      <c r="G202" s="16"/>
    </row>
    <row r="203">
      <c r="A203" s="5">
        <v>2024.0</v>
      </c>
      <c r="B203" s="5" t="s">
        <v>147</v>
      </c>
      <c r="C203" s="48" t="s">
        <v>119</v>
      </c>
      <c r="D203" s="21" t="s">
        <v>123</v>
      </c>
      <c r="E203" s="12"/>
      <c r="F203" s="16"/>
      <c r="G203" s="16"/>
    </row>
    <row r="204">
      <c r="A204" s="5">
        <v>2024.0</v>
      </c>
      <c r="B204" s="5" t="s">
        <v>147</v>
      </c>
      <c r="C204" s="48" t="s">
        <v>119</v>
      </c>
      <c r="D204" s="21" t="s">
        <v>124</v>
      </c>
      <c r="E204" s="12">
        <v>513.0</v>
      </c>
      <c r="F204" s="16"/>
      <c r="G204" s="16"/>
    </row>
    <row r="205">
      <c r="A205" s="5">
        <v>2024.0</v>
      </c>
      <c r="B205" s="5" t="s">
        <v>147</v>
      </c>
      <c r="C205" s="48" t="s">
        <v>119</v>
      </c>
      <c r="D205" s="21" t="s">
        <v>125</v>
      </c>
      <c r="E205" s="12">
        <v>475.0</v>
      </c>
      <c r="F205" s="16"/>
      <c r="G205" s="16"/>
    </row>
    <row r="206">
      <c r="A206" s="5">
        <v>2024.0</v>
      </c>
      <c r="B206" s="5" t="s">
        <v>147</v>
      </c>
      <c r="C206" s="48" t="s">
        <v>119</v>
      </c>
      <c r="D206" s="21" t="s">
        <v>126</v>
      </c>
      <c r="E206" s="12"/>
      <c r="F206" s="16"/>
      <c r="G206" s="16"/>
    </row>
    <row r="207">
      <c r="A207" s="5">
        <v>2024.0</v>
      </c>
      <c r="B207" s="5" t="s">
        <v>147</v>
      </c>
      <c r="C207" s="48" t="s">
        <v>119</v>
      </c>
      <c r="D207" s="21" t="s">
        <v>127</v>
      </c>
      <c r="E207" s="12">
        <f>10+40+20+70+45+100+35+50+25+100</f>
        <v>495</v>
      </c>
      <c r="F207" s="16"/>
      <c r="G207" s="16"/>
    </row>
    <row r="208">
      <c r="A208" s="5">
        <v>2024.0</v>
      </c>
      <c r="B208" s="5" t="s">
        <v>147</v>
      </c>
      <c r="C208" s="48" t="s">
        <v>119</v>
      </c>
      <c r="D208" s="21" t="s">
        <v>128</v>
      </c>
      <c r="E208" s="12">
        <f>849+122.4+400</f>
        <v>1371.4</v>
      </c>
      <c r="F208" s="16"/>
      <c r="G208" s="16"/>
    </row>
    <row r="209">
      <c r="A209" s="5">
        <v>2024.0</v>
      </c>
      <c r="B209" s="5" t="s">
        <v>147</v>
      </c>
      <c r="C209" s="48" t="s">
        <v>119</v>
      </c>
      <c r="D209" s="21" t="s">
        <v>129</v>
      </c>
      <c r="E209" s="12"/>
      <c r="F209" s="16"/>
      <c r="G209" s="16"/>
    </row>
    <row r="210">
      <c r="A210" s="5">
        <v>2024.0</v>
      </c>
      <c r="B210" s="5" t="s">
        <v>147</v>
      </c>
      <c r="C210" s="48" t="s">
        <v>119</v>
      </c>
      <c r="D210" s="21" t="s">
        <v>130</v>
      </c>
      <c r="E210" s="12">
        <v>24.0</v>
      </c>
      <c r="F210" s="12"/>
      <c r="G210" s="16"/>
    </row>
    <row r="211">
      <c r="A211" s="5">
        <v>2024.0</v>
      </c>
      <c r="B211" s="5" t="s">
        <v>147</v>
      </c>
      <c r="C211" s="48" t="s">
        <v>119</v>
      </c>
      <c r="D211" s="21" t="s">
        <v>131</v>
      </c>
      <c r="E211" s="12">
        <f>1904+5101.2</f>
        <v>7005.2</v>
      </c>
      <c r="F211" s="16"/>
      <c r="G211" s="16"/>
    </row>
    <row r="212">
      <c r="A212" s="5">
        <v>2024.0</v>
      </c>
      <c r="B212" s="5" t="s">
        <v>147</v>
      </c>
      <c r="C212" s="48" t="s">
        <v>119</v>
      </c>
      <c r="D212" s="21" t="s">
        <v>132</v>
      </c>
      <c r="E212" s="12">
        <f>1500+2800+10+10+50+50+22+10+100+100+30+10+57+100+50+72+80+44+30</f>
        <v>5125</v>
      </c>
      <c r="F212" s="16"/>
      <c r="G212" s="16"/>
    </row>
    <row r="213">
      <c r="A213" s="5">
        <v>2024.0</v>
      </c>
      <c r="B213" s="5" t="s">
        <v>147</v>
      </c>
      <c r="C213" s="48" t="s">
        <v>119</v>
      </c>
      <c r="D213" s="21" t="s">
        <v>133</v>
      </c>
      <c r="E213" s="12"/>
      <c r="F213" s="12"/>
      <c r="G213" s="16"/>
    </row>
    <row r="214">
      <c r="A214" s="5">
        <v>2024.0</v>
      </c>
      <c r="B214" s="5" t="s">
        <v>147</v>
      </c>
      <c r="C214" s="48" t="s">
        <v>119</v>
      </c>
      <c r="D214" s="21" t="s">
        <v>134</v>
      </c>
      <c r="E214" s="12"/>
      <c r="F214" s="16"/>
      <c r="G214" s="16"/>
    </row>
    <row r="215">
      <c r="A215" s="5">
        <v>2024.0</v>
      </c>
      <c r="B215" s="5" t="s">
        <v>147</v>
      </c>
      <c r="C215" s="48" t="s">
        <v>119</v>
      </c>
      <c r="D215" s="21" t="s">
        <v>135</v>
      </c>
      <c r="E215" s="12"/>
      <c r="F215" s="16"/>
      <c r="G215" s="16"/>
    </row>
    <row r="216">
      <c r="A216" s="5">
        <v>2024.0</v>
      </c>
      <c r="B216" s="5" t="s">
        <v>147</v>
      </c>
      <c r="C216" s="48" t="s">
        <v>119</v>
      </c>
      <c r="D216" s="21" t="s">
        <v>136</v>
      </c>
      <c r="E216" s="12"/>
      <c r="F216" s="16"/>
      <c r="G216" s="16"/>
    </row>
    <row r="217">
      <c r="A217" s="5">
        <v>2024.0</v>
      </c>
      <c r="B217" s="5" t="s">
        <v>147</v>
      </c>
      <c r="C217" s="48" t="s">
        <v>119</v>
      </c>
      <c r="D217" s="21" t="s">
        <v>137</v>
      </c>
      <c r="E217" s="12"/>
      <c r="F217" s="16"/>
      <c r="G217" s="16"/>
    </row>
    <row r="218">
      <c r="A218" s="5">
        <v>2024.0</v>
      </c>
      <c r="B218" s="5" t="s">
        <v>147</v>
      </c>
      <c r="C218" s="48" t="s">
        <v>119</v>
      </c>
      <c r="D218" s="21" t="s">
        <v>113</v>
      </c>
      <c r="E218" s="12"/>
      <c r="F218" s="16"/>
      <c r="G218" s="16"/>
    </row>
    <row r="219">
      <c r="A219" s="5">
        <v>2024.0</v>
      </c>
      <c r="B219" s="5" t="s">
        <v>147</v>
      </c>
      <c r="C219" s="1" t="s">
        <v>138</v>
      </c>
      <c r="E219" s="16">
        <f>SUM(E170:E218)</f>
        <v>283011.8</v>
      </c>
      <c r="F219" s="12">
        <v>285000.0</v>
      </c>
      <c r="G219" s="16">
        <f t="shared" ref="G219:G220" si="4">F219-E219</f>
        <v>1988.2</v>
      </c>
    </row>
    <row r="220">
      <c r="A220" s="5">
        <v>2024.0</v>
      </c>
      <c r="B220" s="5" t="s">
        <v>147</v>
      </c>
      <c r="C220" s="1" t="s">
        <v>139</v>
      </c>
      <c r="E220" s="12">
        <v>158358.75</v>
      </c>
      <c r="F220" s="12">
        <v>115000.0</v>
      </c>
      <c r="G220" s="16">
        <f t="shared" si="4"/>
        <v>-43358.75</v>
      </c>
    </row>
    <row r="221">
      <c r="A221" s="5">
        <v>2024.0</v>
      </c>
      <c r="B221" s="5" t="s">
        <v>147</v>
      </c>
      <c r="C221" s="1" t="s">
        <v>140</v>
      </c>
      <c r="E221" s="53">
        <v>40171.63</v>
      </c>
      <c r="F221" s="16"/>
      <c r="G221" s="16"/>
    </row>
    <row r="222">
      <c r="A222" s="5">
        <v>2024.0</v>
      </c>
      <c r="B222" s="5" t="s">
        <v>147</v>
      </c>
      <c r="C222" s="1" t="s">
        <v>141</v>
      </c>
      <c r="E222" s="53">
        <v>53447.92</v>
      </c>
      <c r="F222" s="16"/>
      <c r="G222" s="16"/>
    </row>
    <row r="223">
      <c r="A223" s="5">
        <v>2024.0</v>
      </c>
      <c r="B223" s="5" t="s">
        <v>147</v>
      </c>
      <c r="C223" s="1" t="s">
        <v>142</v>
      </c>
      <c r="E223" s="53">
        <v>0.0</v>
      </c>
      <c r="F223" s="16"/>
      <c r="G223" s="16"/>
    </row>
    <row r="224">
      <c r="A224" s="5">
        <v>2024.0</v>
      </c>
      <c r="B224" s="5" t="s">
        <v>147</v>
      </c>
      <c r="C224" s="1" t="s">
        <v>143</v>
      </c>
      <c r="E224" s="12">
        <v>0.0</v>
      </c>
      <c r="F224" s="16"/>
      <c r="G224" s="16"/>
    </row>
    <row r="225">
      <c r="E225" s="16"/>
    </row>
    <row r="226">
      <c r="E226" s="16"/>
    </row>
    <row r="227">
      <c r="C227" s="56" t="s">
        <v>146</v>
      </c>
      <c r="E227" s="55"/>
    </row>
    <row r="228">
      <c r="E228" s="16"/>
    </row>
    <row r="229">
      <c r="A229" s="5">
        <v>2024.0</v>
      </c>
      <c r="B229" s="5" t="s">
        <v>148</v>
      </c>
      <c r="C229" s="1" t="s">
        <v>83</v>
      </c>
      <c r="D229" s="21" t="s">
        <v>84</v>
      </c>
      <c r="E229" s="12">
        <f>43364.59+118826.39-6049.99</f>
        <v>156140.99</v>
      </c>
      <c r="F229" s="16"/>
      <c r="G229" s="16"/>
      <c r="J229" s="12">
        <f>E229-E170</f>
        <v>24341.86</v>
      </c>
    </row>
    <row r="230">
      <c r="A230" s="5">
        <v>2024.0</v>
      </c>
      <c r="B230" s="5" t="s">
        <v>148</v>
      </c>
      <c r="C230" s="1" t="s">
        <v>83</v>
      </c>
      <c r="D230" s="21" t="s">
        <v>85</v>
      </c>
      <c r="E230" s="12">
        <v>6049.99</v>
      </c>
      <c r="F230" s="16"/>
      <c r="G230" s="16"/>
    </row>
    <row r="231">
      <c r="A231" s="5">
        <v>2024.0</v>
      </c>
      <c r="B231" s="5" t="s">
        <v>148</v>
      </c>
      <c r="C231" s="1" t="s">
        <v>83</v>
      </c>
      <c r="D231" s="21" t="s">
        <v>86</v>
      </c>
      <c r="E231" s="12">
        <v>34505.98</v>
      </c>
      <c r="F231" s="16"/>
      <c r="G231" s="16"/>
      <c r="J231" s="16">
        <f>E231-E172</f>
        <v>5888.98</v>
      </c>
    </row>
    <row r="232">
      <c r="A232" s="5">
        <v>2024.0</v>
      </c>
      <c r="B232" s="5" t="s">
        <v>148</v>
      </c>
      <c r="C232" s="1" t="s">
        <v>83</v>
      </c>
      <c r="D232" s="21" t="s">
        <v>87</v>
      </c>
      <c r="E232" s="12">
        <v>2487.29</v>
      </c>
      <c r="F232" s="16"/>
      <c r="G232" s="16"/>
      <c r="J232" s="16">
        <f>E232</f>
        <v>2487.29</v>
      </c>
    </row>
    <row r="233">
      <c r="A233" s="5">
        <v>2024.0</v>
      </c>
      <c r="B233" s="5" t="s">
        <v>148</v>
      </c>
      <c r="C233" s="1" t="s">
        <v>83</v>
      </c>
      <c r="D233" s="21" t="s">
        <v>88</v>
      </c>
      <c r="E233" s="12"/>
      <c r="F233" s="16"/>
      <c r="G233" s="16"/>
    </row>
    <row r="234">
      <c r="A234" s="5">
        <v>2024.0</v>
      </c>
      <c r="B234" s="5" t="s">
        <v>148</v>
      </c>
      <c r="C234" s="1" t="s">
        <v>83</v>
      </c>
      <c r="D234" s="21" t="s">
        <v>89</v>
      </c>
      <c r="E234" s="12"/>
      <c r="F234" s="16"/>
      <c r="G234" s="16"/>
    </row>
    <row r="235">
      <c r="A235" s="5">
        <v>2024.0</v>
      </c>
      <c r="B235" s="5" t="s">
        <v>148</v>
      </c>
      <c r="C235" s="1" t="s">
        <v>83</v>
      </c>
      <c r="D235" s="21" t="s">
        <v>90</v>
      </c>
      <c r="E235" s="12"/>
      <c r="F235" s="16"/>
      <c r="G235" s="16"/>
    </row>
    <row r="236">
      <c r="A236" s="5">
        <v>2024.0</v>
      </c>
      <c r="B236" s="5" t="s">
        <v>148</v>
      </c>
      <c r="C236" s="1" t="s">
        <v>83</v>
      </c>
      <c r="D236" s="21" t="s">
        <v>91</v>
      </c>
      <c r="E236" s="12"/>
      <c r="F236" s="16"/>
      <c r="G236" s="16"/>
    </row>
    <row r="237">
      <c r="A237" s="5">
        <v>2024.0</v>
      </c>
      <c r="B237" s="5" t="s">
        <v>148</v>
      </c>
      <c r="C237" s="1" t="s">
        <v>83</v>
      </c>
      <c r="D237" s="21" t="s">
        <v>92</v>
      </c>
      <c r="E237" s="12">
        <v>9039.23</v>
      </c>
      <c r="F237" s="16"/>
      <c r="G237" s="16"/>
      <c r="J237" s="16">
        <f t="shared" ref="J237:J240" si="5">E237-E178</f>
        <v>3972.49</v>
      </c>
    </row>
    <row r="238">
      <c r="A238" s="5">
        <v>2024.0</v>
      </c>
      <c r="B238" s="5" t="s">
        <v>148</v>
      </c>
      <c r="C238" s="1" t="s">
        <v>83</v>
      </c>
      <c r="D238" s="21" t="s">
        <v>93</v>
      </c>
      <c r="E238" s="12">
        <f>870.38+870.38</f>
        <v>1740.76</v>
      </c>
      <c r="F238" s="16"/>
      <c r="G238" s="16"/>
      <c r="J238" s="16">
        <f t="shared" si="5"/>
        <v>744.6</v>
      </c>
    </row>
    <row r="239">
      <c r="A239" s="5">
        <v>2024.0</v>
      </c>
      <c r="B239" s="5" t="s">
        <v>148</v>
      </c>
      <c r="C239" s="1" t="s">
        <v>83</v>
      </c>
      <c r="D239" s="21" t="s">
        <v>94</v>
      </c>
      <c r="E239" s="12">
        <v>3480.0</v>
      </c>
      <c r="F239" s="16"/>
      <c r="G239" s="16"/>
      <c r="J239" s="16">
        <f t="shared" si="5"/>
        <v>749.94</v>
      </c>
    </row>
    <row r="240">
      <c r="A240" s="5">
        <v>2024.0</v>
      </c>
      <c r="B240" s="5" t="s">
        <v>148</v>
      </c>
      <c r="C240" s="48" t="s">
        <v>95</v>
      </c>
      <c r="D240" s="21" t="s">
        <v>96</v>
      </c>
      <c r="E240" s="12">
        <v>2137.82</v>
      </c>
      <c r="F240" s="16"/>
      <c r="G240" s="16"/>
      <c r="J240" s="16">
        <f t="shared" si="5"/>
        <v>407.12</v>
      </c>
    </row>
    <row r="241">
      <c r="A241" s="5">
        <v>2024.0</v>
      </c>
      <c r="B241" s="5" t="s">
        <v>148</v>
      </c>
      <c r="C241" s="48" t="s">
        <v>95</v>
      </c>
      <c r="D241" s="21" t="s">
        <v>97</v>
      </c>
      <c r="E241" s="12">
        <f>1662.57-794.04</f>
        <v>868.53</v>
      </c>
      <c r="G241" s="16"/>
    </row>
    <row r="242">
      <c r="A242" s="5">
        <v>2024.0</v>
      </c>
      <c r="B242" s="5" t="s">
        <v>148</v>
      </c>
      <c r="C242" s="48" t="s">
        <v>95</v>
      </c>
      <c r="D242" s="21" t="s">
        <v>98</v>
      </c>
      <c r="E242" s="12">
        <f>3860.56+310</f>
        <v>4170.56</v>
      </c>
      <c r="F242" s="12"/>
      <c r="G242" s="16"/>
      <c r="J242" s="16">
        <f>E242-E183</f>
        <v>976.56</v>
      </c>
    </row>
    <row r="243">
      <c r="A243" s="5">
        <v>2024.0</v>
      </c>
      <c r="B243" s="5" t="s">
        <v>148</v>
      </c>
      <c r="C243" s="48" t="s">
        <v>95</v>
      </c>
      <c r="D243" s="21" t="s">
        <v>99</v>
      </c>
      <c r="E243" s="12">
        <f>484.04+310</f>
        <v>794.04</v>
      </c>
      <c r="F243" s="16"/>
      <c r="G243" s="16"/>
    </row>
    <row r="244">
      <c r="A244" s="5">
        <v>2024.0</v>
      </c>
      <c r="B244" s="5" t="s">
        <v>148</v>
      </c>
      <c r="C244" s="48" t="s">
        <v>95</v>
      </c>
      <c r="D244" s="21" t="s">
        <v>100</v>
      </c>
      <c r="E244" s="12">
        <v>215.37</v>
      </c>
      <c r="F244" s="16"/>
      <c r="G244" s="16"/>
    </row>
    <row r="245">
      <c r="A245" s="5">
        <v>2024.0</v>
      </c>
      <c r="B245" s="5" t="s">
        <v>148</v>
      </c>
      <c r="C245" s="48" t="s">
        <v>101</v>
      </c>
      <c r="D245" s="21" t="s">
        <v>102</v>
      </c>
      <c r="E245" s="12">
        <v>830.0</v>
      </c>
      <c r="F245" s="16"/>
      <c r="G245" s="16"/>
    </row>
    <row r="246">
      <c r="A246" s="5">
        <v>2024.0</v>
      </c>
      <c r="B246" s="5" t="s">
        <v>148</v>
      </c>
      <c r="C246" s="48" t="s">
        <v>101</v>
      </c>
      <c r="D246" s="21" t="s">
        <v>103</v>
      </c>
      <c r="E246" s="12">
        <f>575+15288</f>
        <v>15863</v>
      </c>
      <c r="F246" s="16"/>
      <c r="G246" s="16"/>
      <c r="J246" s="16">
        <f>E246</f>
        <v>15863</v>
      </c>
    </row>
    <row r="247">
      <c r="A247" s="5">
        <v>2024.0</v>
      </c>
      <c r="B247" s="5" t="s">
        <v>148</v>
      </c>
      <c r="C247" s="48" t="s">
        <v>101</v>
      </c>
      <c r="D247" s="21" t="s">
        <v>104</v>
      </c>
      <c r="E247" s="12">
        <v>500.0</v>
      </c>
      <c r="F247" s="16"/>
      <c r="G247" s="16"/>
    </row>
    <row r="248">
      <c r="A248" s="5">
        <v>2024.0</v>
      </c>
      <c r="B248" s="5" t="s">
        <v>148</v>
      </c>
      <c r="C248" s="48" t="s">
        <v>101</v>
      </c>
      <c r="D248" s="21" t="s">
        <v>105</v>
      </c>
      <c r="E248" s="12"/>
      <c r="F248" s="16"/>
      <c r="G248" s="16"/>
    </row>
    <row r="249">
      <c r="A249" s="5">
        <v>2024.0</v>
      </c>
      <c r="B249" s="5" t="s">
        <v>148</v>
      </c>
      <c r="C249" s="48" t="s">
        <v>106</v>
      </c>
      <c r="D249" s="21" t="s">
        <v>107</v>
      </c>
      <c r="E249" s="12">
        <f>7200+13650</f>
        <v>20850</v>
      </c>
      <c r="F249" s="16"/>
      <c r="G249" s="16"/>
      <c r="J249" s="16">
        <f>E249-E190</f>
        <v>13650</v>
      </c>
    </row>
    <row r="250">
      <c r="A250" s="5">
        <v>2024.0</v>
      </c>
      <c r="B250" s="5" t="s">
        <v>148</v>
      </c>
      <c r="C250" s="48" t="s">
        <v>106</v>
      </c>
      <c r="D250" s="21" t="s">
        <v>108</v>
      </c>
      <c r="E250" s="12"/>
      <c r="F250" s="16"/>
      <c r="G250" s="16"/>
    </row>
    <row r="251">
      <c r="A251" s="5">
        <v>2024.0</v>
      </c>
      <c r="B251" s="5" t="s">
        <v>148</v>
      </c>
      <c r="C251" s="48" t="s">
        <v>109</v>
      </c>
      <c r="D251" s="21" t="s">
        <v>110</v>
      </c>
      <c r="E251" s="12"/>
      <c r="F251" s="16"/>
      <c r="G251" s="16"/>
    </row>
    <row r="252">
      <c r="A252" s="5">
        <v>2024.0</v>
      </c>
      <c r="B252" s="5" t="s">
        <v>148</v>
      </c>
      <c r="C252" s="48" t="s">
        <v>109</v>
      </c>
      <c r="D252" s="21" t="s">
        <v>111</v>
      </c>
      <c r="E252" s="12"/>
      <c r="F252" s="16"/>
      <c r="G252" s="16"/>
    </row>
    <row r="253">
      <c r="A253" s="5">
        <v>2024.0</v>
      </c>
      <c r="B253" s="5" t="s">
        <v>148</v>
      </c>
      <c r="C253" s="48" t="s">
        <v>109</v>
      </c>
      <c r="D253" s="21" t="s">
        <v>112</v>
      </c>
      <c r="E253" s="12">
        <v>1320.0</v>
      </c>
      <c r="F253" s="12"/>
      <c r="G253" s="16"/>
    </row>
    <row r="254">
      <c r="A254" s="5">
        <v>2024.0</v>
      </c>
      <c r="B254" s="5" t="s">
        <v>148</v>
      </c>
      <c r="C254" s="48" t="s">
        <v>109</v>
      </c>
      <c r="D254" s="21" t="s">
        <v>113</v>
      </c>
      <c r="E254" s="12"/>
      <c r="F254" s="16"/>
      <c r="G254" s="16"/>
    </row>
    <row r="255">
      <c r="A255" s="5">
        <v>2024.0</v>
      </c>
      <c r="B255" s="5" t="s">
        <v>148</v>
      </c>
      <c r="C255" s="48" t="s">
        <v>109</v>
      </c>
      <c r="D255" s="21" t="s">
        <v>114</v>
      </c>
      <c r="E255" s="12"/>
      <c r="F255" s="16"/>
      <c r="G255" s="16"/>
    </row>
    <row r="256">
      <c r="A256" s="5">
        <v>2024.0</v>
      </c>
      <c r="B256" s="5" t="s">
        <v>148</v>
      </c>
      <c r="C256" s="48" t="s">
        <v>115</v>
      </c>
      <c r="D256" s="21" t="s">
        <v>116</v>
      </c>
      <c r="E256" s="12">
        <f>1900+1120+12621.48</f>
        <v>15641.48</v>
      </c>
      <c r="F256" s="16"/>
      <c r="G256" s="16"/>
      <c r="J256" s="16">
        <f>E256</f>
        <v>15641.48</v>
      </c>
    </row>
    <row r="257">
      <c r="A257" s="5">
        <v>2024.0</v>
      </c>
      <c r="B257" s="5" t="s">
        <v>148</v>
      </c>
      <c r="C257" s="48" t="s">
        <v>115</v>
      </c>
      <c r="D257" s="21" t="s">
        <v>117</v>
      </c>
      <c r="E257" s="12"/>
      <c r="F257" s="16"/>
      <c r="G257" s="16"/>
    </row>
    <row r="258">
      <c r="A258" s="5">
        <v>2024.0</v>
      </c>
      <c r="B258" s="5" t="s">
        <v>148</v>
      </c>
      <c r="C258" s="48" t="s">
        <v>115</v>
      </c>
      <c r="D258" s="21" t="s">
        <v>118</v>
      </c>
      <c r="E258" s="12">
        <v>4150.0</v>
      </c>
      <c r="F258" s="12"/>
      <c r="G258" s="16"/>
    </row>
    <row r="259">
      <c r="A259" s="5">
        <v>2024.0</v>
      </c>
      <c r="B259" s="5" t="s">
        <v>148</v>
      </c>
      <c r="C259" s="48" t="s">
        <v>119</v>
      </c>
      <c r="D259" s="21" t="s">
        <v>120</v>
      </c>
      <c r="E259" s="12">
        <f>546.3+13282.5</f>
        <v>13828.8</v>
      </c>
      <c r="F259" s="16"/>
      <c r="G259" s="16"/>
    </row>
    <row r="260">
      <c r="A260" s="5">
        <v>2024.0</v>
      </c>
      <c r="B260" s="5" t="s">
        <v>148</v>
      </c>
      <c r="C260" s="48" t="s">
        <v>119</v>
      </c>
      <c r="D260" s="21" t="s">
        <v>121</v>
      </c>
      <c r="E260" s="12">
        <f>2797.72+38764.04+6400</f>
        <v>47961.76</v>
      </c>
      <c r="F260" s="16"/>
      <c r="G260" s="16"/>
    </row>
    <row r="261">
      <c r="A261" s="5">
        <v>2024.0</v>
      </c>
      <c r="B261" s="5" t="s">
        <v>148</v>
      </c>
      <c r="C261" s="48" t="s">
        <v>119</v>
      </c>
      <c r="D261" s="21" t="s">
        <v>122</v>
      </c>
      <c r="E261" s="12"/>
      <c r="F261" s="16"/>
      <c r="G261" s="16"/>
    </row>
    <row r="262">
      <c r="A262" s="5">
        <v>2024.0</v>
      </c>
      <c r="B262" s="5" t="s">
        <v>148</v>
      </c>
      <c r="C262" s="48" t="s">
        <v>119</v>
      </c>
      <c r="D262" s="21" t="s">
        <v>123</v>
      </c>
      <c r="E262" s="12">
        <v>26880.0</v>
      </c>
      <c r="F262" s="16"/>
      <c r="G262" s="16"/>
      <c r="J262" s="16">
        <f>E262</f>
        <v>26880</v>
      </c>
    </row>
    <row r="263">
      <c r="A263" s="5">
        <v>2024.0</v>
      </c>
      <c r="B263" s="5" t="s">
        <v>148</v>
      </c>
      <c r="C263" s="48" t="s">
        <v>119</v>
      </c>
      <c r="D263" s="21" t="s">
        <v>124</v>
      </c>
      <c r="E263" s="12">
        <v>1639.25</v>
      </c>
      <c r="F263" s="16"/>
      <c r="G263" s="16"/>
    </row>
    <row r="264">
      <c r="A264" s="5">
        <v>2024.0</v>
      </c>
      <c r="B264" s="5" t="s">
        <v>148</v>
      </c>
      <c r="C264" s="48" t="s">
        <v>119</v>
      </c>
      <c r="D264" s="21" t="s">
        <v>125</v>
      </c>
      <c r="E264" s="12"/>
      <c r="F264" s="16"/>
      <c r="G264" s="16"/>
    </row>
    <row r="265">
      <c r="A265" s="5">
        <v>2024.0</v>
      </c>
      <c r="B265" s="5" t="s">
        <v>148</v>
      </c>
      <c r="C265" s="48" t="s">
        <v>119</v>
      </c>
      <c r="D265" s="21" t="s">
        <v>126</v>
      </c>
      <c r="E265" s="12"/>
      <c r="F265" s="16"/>
      <c r="G265" s="16"/>
    </row>
    <row r="266">
      <c r="A266" s="5">
        <v>2024.0</v>
      </c>
      <c r="B266" s="5" t="s">
        <v>148</v>
      </c>
      <c r="C266" s="48" t="s">
        <v>119</v>
      </c>
      <c r="D266" s="21" t="s">
        <v>127</v>
      </c>
      <c r="E266" s="12"/>
      <c r="F266" s="16"/>
      <c r="G266" s="16"/>
    </row>
    <row r="267">
      <c r="A267" s="5">
        <v>2024.0</v>
      </c>
      <c r="B267" s="5" t="s">
        <v>148</v>
      </c>
      <c r="C267" s="48" t="s">
        <v>119</v>
      </c>
      <c r="D267" s="21" t="s">
        <v>128</v>
      </c>
      <c r="E267" s="12">
        <f>888.75+400</f>
        <v>1288.75</v>
      </c>
      <c r="F267" s="16"/>
      <c r="G267" s="16"/>
    </row>
    <row r="268">
      <c r="A268" s="5">
        <v>2024.0</v>
      </c>
      <c r="B268" s="5" t="s">
        <v>148</v>
      </c>
      <c r="C268" s="48" t="s">
        <v>119</v>
      </c>
      <c r="D268" s="21" t="s">
        <v>129</v>
      </c>
      <c r="E268" s="12">
        <v>1033.87</v>
      </c>
      <c r="F268" s="16"/>
      <c r="G268" s="16"/>
    </row>
    <row r="269">
      <c r="A269" s="5">
        <v>2024.0</v>
      </c>
      <c r="B269" s="5" t="s">
        <v>148</v>
      </c>
      <c r="C269" s="48" t="s">
        <v>119</v>
      </c>
      <c r="D269" s="21" t="s">
        <v>130</v>
      </c>
      <c r="E269" s="12">
        <v>2096.0</v>
      </c>
      <c r="F269" s="12"/>
      <c r="G269" s="16"/>
    </row>
    <row r="270">
      <c r="A270" s="5">
        <v>2024.0</v>
      </c>
      <c r="B270" s="5" t="s">
        <v>148</v>
      </c>
      <c r="C270" s="48" t="s">
        <v>119</v>
      </c>
      <c r="D270" s="21" t="s">
        <v>131</v>
      </c>
      <c r="E270" s="12">
        <f>1904+5101.2+13262</f>
        <v>20267.2</v>
      </c>
      <c r="F270" s="16"/>
      <c r="G270" s="16"/>
    </row>
    <row r="271">
      <c r="A271" s="5">
        <v>2024.0</v>
      </c>
      <c r="B271" s="5" t="s">
        <v>148</v>
      </c>
      <c r="C271" s="48" t="s">
        <v>119</v>
      </c>
      <c r="D271" s="21" t="s">
        <v>132</v>
      </c>
      <c r="E271" s="12">
        <f>500+1590.56+1200</f>
        <v>3290.56</v>
      </c>
      <c r="F271" s="16"/>
      <c r="G271" s="16"/>
    </row>
    <row r="272">
      <c r="A272" s="5">
        <v>2024.0</v>
      </c>
      <c r="B272" s="5" t="s">
        <v>148</v>
      </c>
      <c r="C272" s="48" t="s">
        <v>119</v>
      </c>
      <c r="D272" s="21" t="s">
        <v>133</v>
      </c>
      <c r="E272" s="12">
        <v>425.0</v>
      </c>
      <c r="F272" s="12"/>
      <c r="G272" s="16"/>
    </row>
    <row r="273">
      <c r="A273" s="5">
        <v>2024.0</v>
      </c>
      <c r="B273" s="5" t="s">
        <v>148</v>
      </c>
      <c r="C273" s="48" t="s">
        <v>119</v>
      </c>
      <c r="D273" s="21" t="s">
        <v>134</v>
      </c>
      <c r="E273" s="12"/>
      <c r="F273" s="16"/>
      <c r="G273" s="16"/>
    </row>
    <row r="274">
      <c r="A274" s="5">
        <v>2024.0</v>
      </c>
      <c r="B274" s="5" t="s">
        <v>148</v>
      </c>
      <c r="C274" s="48" t="s">
        <v>119</v>
      </c>
      <c r="D274" s="21" t="s">
        <v>135</v>
      </c>
      <c r="E274" s="12"/>
      <c r="F274" s="16"/>
      <c r="G274" s="16"/>
    </row>
    <row r="275">
      <c r="A275" s="5">
        <v>2024.0</v>
      </c>
      <c r="B275" s="5" t="s">
        <v>148</v>
      </c>
      <c r="C275" s="48" t="s">
        <v>119</v>
      </c>
      <c r="D275" s="21" t="s">
        <v>136</v>
      </c>
      <c r="E275" s="12"/>
      <c r="F275" s="16"/>
      <c r="G275" s="16"/>
    </row>
    <row r="276">
      <c r="A276" s="5">
        <v>2024.0</v>
      </c>
      <c r="B276" s="5" t="s">
        <v>148</v>
      </c>
      <c r="C276" s="48" t="s">
        <v>119</v>
      </c>
      <c r="D276" s="21" t="s">
        <v>137</v>
      </c>
      <c r="E276" s="12"/>
      <c r="F276" s="16"/>
      <c r="G276" s="16"/>
    </row>
    <row r="277">
      <c r="A277" s="5">
        <v>2024.0</v>
      </c>
      <c r="B277" s="5" t="s">
        <v>148</v>
      </c>
      <c r="C277" s="48" t="s">
        <v>119</v>
      </c>
      <c r="D277" s="21" t="s">
        <v>113</v>
      </c>
      <c r="E277" s="12"/>
      <c r="F277" s="16"/>
      <c r="G277" s="16"/>
    </row>
    <row r="278">
      <c r="A278" s="5">
        <v>2024.0</v>
      </c>
      <c r="B278" s="5" t="s">
        <v>148</v>
      </c>
      <c r="C278" s="1" t="s">
        <v>138</v>
      </c>
      <c r="E278" s="16">
        <f>SUM(E229:E277)</f>
        <v>399496.23</v>
      </c>
      <c r="F278" s="12">
        <v>295000.0</v>
      </c>
      <c r="G278" s="16">
        <f t="shared" ref="G278:G279" si="6">F278-E278</f>
        <v>-104496.23</v>
      </c>
      <c r="J278" s="16">
        <f>SUM(J229:J276)</f>
        <v>111603.32</v>
      </c>
    </row>
    <row r="279">
      <c r="A279" s="5">
        <v>2024.0</v>
      </c>
      <c r="B279" s="5" t="s">
        <v>148</v>
      </c>
      <c r="C279" s="1" t="s">
        <v>139</v>
      </c>
      <c r="E279" s="12">
        <v>0.0</v>
      </c>
      <c r="F279" s="12">
        <v>115000.0</v>
      </c>
      <c r="G279" s="16">
        <f t="shared" si="6"/>
        <v>115000</v>
      </c>
    </row>
    <row r="280">
      <c r="A280" s="5">
        <v>2024.0</v>
      </c>
      <c r="B280" s="5" t="s">
        <v>148</v>
      </c>
      <c r="C280" s="1" t="s">
        <v>140</v>
      </c>
      <c r="E280" s="53">
        <v>46393.96</v>
      </c>
      <c r="F280" s="16"/>
      <c r="G280" s="16"/>
    </row>
    <row r="281">
      <c r="A281" s="5">
        <v>2024.0</v>
      </c>
      <c r="B281" s="5" t="s">
        <v>148</v>
      </c>
      <c r="C281" s="1" t="s">
        <v>141</v>
      </c>
      <c r="E281" s="53">
        <v>61653.1</v>
      </c>
      <c r="F281" s="16"/>
      <c r="G281" s="16"/>
    </row>
    <row r="282">
      <c r="A282" s="5">
        <v>2024.0</v>
      </c>
      <c r="B282" s="5" t="s">
        <v>148</v>
      </c>
      <c r="C282" s="1" t="s">
        <v>142</v>
      </c>
      <c r="E282" s="53">
        <v>0.0</v>
      </c>
      <c r="F282" s="16"/>
      <c r="G282" s="16"/>
    </row>
    <row r="283">
      <c r="A283" s="5">
        <v>2024.0</v>
      </c>
      <c r="B283" s="5" t="s">
        <v>148</v>
      </c>
      <c r="C283" s="1" t="s">
        <v>143</v>
      </c>
      <c r="E283" s="12">
        <v>0.0</v>
      </c>
      <c r="F283" s="16"/>
      <c r="G283" s="16"/>
    </row>
    <row r="284">
      <c r="E284" s="16"/>
    </row>
    <row r="285">
      <c r="E285" s="16"/>
    </row>
    <row r="286">
      <c r="C286" s="56" t="s">
        <v>146</v>
      </c>
      <c r="E286" s="55"/>
    </row>
    <row r="287">
      <c r="E287" s="16"/>
    </row>
    <row r="288">
      <c r="D288" s="5" t="s">
        <v>149</v>
      </c>
      <c r="E288" s="16"/>
      <c r="H288" s="5" t="s">
        <v>150</v>
      </c>
      <c r="I288" s="5" t="s">
        <v>151</v>
      </c>
      <c r="J288" s="5" t="s">
        <v>152</v>
      </c>
      <c r="K288" s="5" t="s">
        <v>153</v>
      </c>
      <c r="L288" s="5" t="s">
        <v>154</v>
      </c>
      <c r="M288" s="5" t="s">
        <v>155</v>
      </c>
      <c r="N288" s="5" t="s">
        <v>156</v>
      </c>
      <c r="O288" s="5" t="s">
        <v>157</v>
      </c>
      <c r="P288" s="5" t="s">
        <v>158</v>
      </c>
      <c r="Q288" s="5" t="s">
        <v>159</v>
      </c>
    </row>
    <row r="289">
      <c r="A289" s="5">
        <v>2024.0</v>
      </c>
      <c r="B289" s="5" t="s">
        <v>160</v>
      </c>
      <c r="C289" s="1" t="s">
        <v>83</v>
      </c>
      <c r="D289" s="21" t="s">
        <v>84</v>
      </c>
      <c r="E289" s="16">
        <f>123941.73+42614.59</f>
        <v>166556.32</v>
      </c>
      <c r="H289" s="12">
        <v>156140.99</v>
      </c>
      <c r="I289" s="12">
        <v>131799.13</v>
      </c>
      <c r="J289" s="12">
        <v>109939.29</v>
      </c>
      <c r="K289" s="12">
        <v>107002.05</v>
      </c>
      <c r="L289" s="12">
        <v>110012.28</v>
      </c>
      <c r="M289" s="6">
        <f>23634.59+79887.68-4750</f>
        <v>98772.27</v>
      </c>
      <c r="N289" s="6">
        <f>17634.59+73732.5-4875</f>
        <v>86492.09</v>
      </c>
      <c r="O289" s="6">
        <f>17634.59+70965.23-5000</f>
        <v>83599.82</v>
      </c>
      <c r="P289" s="6">
        <f>17634.59+70480.49-5000</f>
        <v>83115.08</v>
      </c>
      <c r="Q289" s="16">
        <f t="shared" ref="Q289:Q343" si="7">SUM(E289:P289)</f>
        <v>1133429.32</v>
      </c>
    </row>
    <row r="290">
      <c r="A290" s="5">
        <v>2024.0</v>
      </c>
      <c r="B290" s="5" t="s">
        <v>160</v>
      </c>
      <c r="C290" s="1" t="s">
        <v>83</v>
      </c>
      <c r="D290" s="21" t="s">
        <v>85</v>
      </c>
      <c r="E290" s="16">
        <f>8201.62+750</f>
        <v>8951.62</v>
      </c>
      <c r="H290" s="12">
        <v>6049.99</v>
      </c>
      <c r="I290" s="12">
        <v>6943.27</v>
      </c>
      <c r="J290" s="12">
        <v>6483.33</v>
      </c>
      <c r="K290" s="12">
        <v>6750.0</v>
      </c>
      <c r="L290" s="12">
        <v>500.0</v>
      </c>
      <c r="M290" s="5">
        <v>4750.0</v>
      </c>
      <c r="N290" s="5">
        <v>4875.0</v>
      </c>
      <c r="O290" s="5">
        <v>5000.0</v>
      </c>
      <c r="P290" s="5">
        <v>5000.0</v>
      </c>
      <c r="Q290" s="16">
        <f t="shared" si="7"/>
        <v>55303.21</v>
      </c>
    </row>
    <row r="291">
      <c r="A291" s="5">
        <v>2024.0</v>
      </c>
      <c r="B291" s="5" t="s">
        <v>160</v>
      </c>
      <c r="C291" s="1" t="s">
        <v>83</v>
      </c>
      <c r="D291" s="21" t="s">
        <v>86</v>
      </c>
      <c r="E291" s="12">
        <v>27396.41</v>
      </c>
      <c r="H291" s="12">
        <v>34505.98</v>
      </c>
      <c r="I291" s="12">
        <v>28617.0</v>
      </c>
      <c r="J291" s="12">
        <v>27871.0</v>
      </c>
      <c r="K291" s="12">
        <v>0.0</v>
      </c>
      <c r="L291" s="16">
        <v>18170.0</v>
      </c>
      <c r="M291" s="5">
        <v>6400.0</v>
      </c>
      <c r="N291" s="5">
        <v>7067.0</v>
      </c>
      <c r="O291" s="5">
        <v>4950.0</v>
      </c>
      <c r="P291" s="5">
        <v>29751.0</v>
      </c>
      <c r="Q291" s="16">
        <f t="shared" si="7"/>
        <v>184728.39</v>
      </c>
    </row>
    <row r="292">
      <c r="A292" s="5">
        <v>2024.0</v>
      </c>
      <c r="B292" s="5" t="s">
        <v>160</v>
      </c>
      <c r="C292" s="1" t="s">
        <v>83</v>
      </c>
      <c r="D292" s="21" t="s">
        <v>87</v>
      </c>
      <c r="E292" s="16"/>
      <c r="H292" s="12">
        <v>2487.29</v>
      </c>
      <c r="I292" s="12">
        <v>0.0</v>
      </c>
      <c r="J292" s="12">
        <v>12350.45</v>
      </c>
      <c r="K292" s="12">
        <v>0.0</v>
      </c>
      <c r="L292" s="16"/>
      <c r="N292" s="5">
        <v>6937.62</v>
      </c>
      <c r="O292" s="5">
        <v>5791.12</v>
      </c>
      <c r="Q292" s="16">
        <f t="shared" si="7"/>
        <v>27566.48</v>
      </c>
    </row>
    <row r="293">
      <c r="A293" s="5">
        <v>2024.0</v>
      </c>
      <c r="B293" s="5" t="s">
        <v>160</v>
      </c>
      <c r="C293" s="1" t="s">
        <v>83</v>
      </c>
      <c r="D293" s="21" t="s">
        <v>88</v>
      </c>
      <c r="E293" s="16"/>
      <c r="H293" s="12"/>
      <c r="I293" s="12"/>
      <c r="J293" s="12">
        <v>66672.09</v>
      </c>
      <c r="K293" s="12">
        <v>0.0</v>
      </c>
      <c r="L293" s="16"/>
      <c r="Q293" s="16">
        <f t="shared" si="7"/>
        <v>66672.09</v>
      </c>
    </row>
    <row r="294">
      <c r="A294" s="5">
        <v>2024.0</v>
      </c>
      <c r="B294" s="5" t="s">
        <v>160</v>
      </c>
      <c r="C294" s="1" t="s">
        <v>83</v>
      </c>
      <c r="D294" s="21" t="s">
        <v>89</v>
      </c>
      <c r="E294" s="16"/>
      <c r="H294" s="12"/>
      <c r="I294" s="12"/>
      <c r="J294" s="12">
        <v>0.0</v>
      </c>
      <c r="K294" s="12">
        <v>0.0</v>
      </c>
      <c r="L294" s="16"/>
      <c r="Q294" s="16">
        <f t="shared" si="7"/>
        <v>0</v>
      </c>
    </row>
    <row r="295">
      <c r="A295" s="5">
        <v>2024.0</v>
      </c>
      <c r="B295" s="5" t="s">
        <v>160</v>
      </c>
      <c r="C295" s="1" t="s">
        <v>83</v>
      </c>
      <c r="D295" s="21" t="s">
        <v>90</v>
      </c>
      <c r="E295" s="16"/>
      <c r="H295" s="12"/>
      <c r="I295" s="12"/>
      <c r="J295" s="12">
        <v>0.0</v>
      </c>
      <c r="K295" s="12">
        <v>0.0</v>
      </c>
      <c r="L295" s="16"/>
      <c r="O295" s="5">
        <v>0.0</v>
      </c>
      <c r="Q295" s="16">
        <f t="shared" si="7"/>
        <v>0</v>
      </c>
    </row>
    <row r="296">
      <c r="A296" s="5">
        <v>2024.0</v>
      </c>
      <c r="B296" s="5" t="s">
        <v>160</v>
      </c>
      <c r="C296" s="1" t="s">
        <v>83</v>
      </c>
      <c r="D296" s="21" t="s">
        <v>91</v>
      </c>
      <c r="E296" s="16"/>
      <c r="H296" s="12"/>
      <c r="I296" s="12"/>
      <c r="J296" s="12">
        <v>0.0</v>
      </c>
      <c r="K296" s="12">
        <v>0.0</v>
      </c>
      <c r="L296" s="16"/>
      <c r="Q296" s="16">
        <f t="shared" si="7"/>
        <v>0</v>
      </c>
    </row>
    <row r="297">
      <c r="A297" s="5">
        <v>2024.0</v>
      </c>
      <c r="B297" s="5" t="s">
        <v>160</v>
      </c>
      <c r="C297" s="1" t="s">
        <v>83</v>
      </c>
      <c r="D297" s="21" t="s">
        <v>92</v>
      </c>
      <c r="E297" s="12">
        <v>9184.92</v>
      </c>
      <c r="H297" s="12">
        <v>9039.23</v>
      </c>
      <c r="I297" s="12">
        <v>5066.74</v>
      </c>
      <c r="J297" s="12">
        <v>5189.85</v>
      </c>
      <c r="K297" s="12">
        <v>6209.07</v>
      </c>
      <c r="L297" s="16">
        <v>6209.07</v>
      </c>
      <c r="M297" s="5">
        <v>6132.99</v>
      </c>
      <c r="N297" s="5">
        <v>6209.07</v>
      </c>
      <c r="O297" s="5">
        <v>6209.07</v>
      </c>
      <c r="P297" s="5">
        <v>5033.36</v>
      </c>
      <c r="Q297" s="16">
        <f t="shared" si="7"/>
        <v>64483.37</v>
      </c>
    </row>
    <row r="298">
      <c r="A298" s="5">
        <v>2024.0</v>
      </c>
      <c r="B298" s="5" t="s">
        <v>160</v>
      </c>
      <c r="C298" s="1" t="s">
        <v>83</v>
      </c>
      <c r="D298" s="21" t="s">
        <v>93</v>
      </c>
      <c r="E298" s="16">
        <f>884.03+884.03</f>
        <v>1768.06</v>
      </c>
      <c r="H298" s="12">
        <v>1740.76</v>
      </c>
      <c r="I298" s="12">
        <v>996.16</v>
      </c>
      <c r="J298" s="12">
        <v>1019.22</v>
      </c>
      <c r="K298" s="57">
        <v>0.0</v>
      </c>
      <c r="L298" s="58"/>
      <c r="M298" s="59"/>
      <c r="Q298" s="16">
        <f t="shared" si="7"/>
        <v>5524.2</v>
      </c>
    </row>
    <row r="299">
      <c r="A299" s="5">
        <v>2024.0</v>
      </c>
      <c r="B299" s="5" t="s">
        <v>160</v>
      </c>
      <c r="C299" s="1" t="s">
        <v>83</v>
      </c>
      <c r="D299" s="21" t="s">
        <v>94</v>
      </c>
      <c r="E299" s="12">
        <v>2700.0</v>
      </c>
      <c r="H299" s="12">
        <v>3480.0</v>
      </c>
      <c r="I299" s="12">
        <v>2730.06</v>
      </c>
      <c r="J299" s="12">
        <v>2845.31</v>
      </c>
      <c r="K299" s="12">
        <v>2495.19</v>
      </c>
      <c r="L299" s="12">
        <v>2100.0</v>
      </c>
      <c r="M299" s="5">
        <v>2462.32</v>
      </c>
      <c r="N299" s="5">
        <v>2640.0</v>
      </c>
      <c r="O299" s="5">
        <v>2850.0</v>
      </c>
      <c r="P299" s="5">
        <v>2400.0</v>
      </c>
      <c r="Q299" s="16">
        <f t="shared" si="7"/>
        <v>26702.88</v>
      </c>
    </row>
    <row r="300">
      <c r="A300" s="5">
        <v>2024.0</v>
      </c>
      <c r="B300" s="5" t="s">
        <v>160</v>
      </c>
      <c r="C300" s="48" t="s">
        <v>95</v>
      </c>
      <c r="D300" s="21" t="s">
        <v>96</v>
      </c>
      <c r="E300" s="16">
        <f>1945.17+275.61</f>
        <v>2220.78</v>
      </c>
      <c r="H300" s="12">
        <v>2137.82</v>
      </c>
      <c r="I300" s="12">
        <v>1730.7</v>
      </c>
      <c r="J300" s="12">
        <v>3234.13</v>
      </c>
      <c r="K300" s="12">
        <v>770.0</v>
      </c>
      <c r="L300" s="16">
        <v>770.96</v>
      </c>
      <c r="M300" s="5">
        <v>1497.9</v>
      </c>
      <c r="N300" s="5">
        <v>1558.92</v>
      </c>
      <c r="O300" s="5">
        <v>999.45</v>
      </c>
      <c r="P300" s="5">
        <v>1351.78</v>
      </c>
      <c r="Q300" s="16">
        <f t="shared" si="7"/>
        <v>16272.44</v>
      </c>
    </row>
    <row r="301">
      <c r="A301" s="5">
        <v>2024.0</v>
      </c>
      <c r="B301" s="5" t="s">
        <v>160</v>
      </c>
      <c r="C301" s="48" t="s">
        <v>95</v>
      </c>
      <c r="D301" s="21" t="s">
        <v>97</v>
      </c>
      <c r="E301" s="12">
        <v>1380.32</v>
      </c>
      <c r="H301" s="12">
        <v>868.53</v>
      </c>
      <c r="I301" s="12">
        <v>1304.98</v>
      </c>
      <c r="J301" s="12">
        <v>497.82000000000005</v>
      </c>
      <c r="K301" s="12">
        <v>0.0</v>
      </c>
      <c r="L301" s="16">
        <v>1429.72</v>
      </c>
      <c r="M301" s="5">
        <v>1409.74</v>
      </c>
      <c r="N301" s="5">
        <v>1365.8</v>
      </c>
      <c r="O301" s="5">
        <v>1365.8</v>
      </c>
      <c r="P301" s="5">
        <v>1410.44</v>
      </c>
      <c r="Q301" s="16">
        <f t="shared" si="7"/>
        <v>11033.15</v>
      </c>
    </row>
    <row r="302">
      <c r="A302" s="5">
        <v>2024.0</v>
      </c>
      <c r="B302" s="5" t="s">
        <v>160</v>
      </c>
      <c r="C302" s="48" t="s">
        <v>95</v>
      </c>
      <c r="D302" s="21" t="s">
        <v>98</v>
      </c>
      <c r="E302" s="12">
        <v>5797.22</v>
      </c>
      <c r="H302" s="12">
        <v>4170.5599999999995</v>
      </c>
      <c r="I302" s="12">
        <v>3194.0</v>
      </c>
      <c r="J302" s="12">
        <v>3503.0</v>
      </c>
      <c r="K302" s="12">
        <v>4405.25</v>
      </c>
      <c r="L302" s="12">
        <v>3020.0</v>
      </c>
      <c r="M302" s="5">
        <v>3401.37</v>
      </c>
      <c r="N302" s="5">
        <v>2795.0</v>
      </c>
      <c r="O302" s="5">
        <v>2742.77</v>
      </c>
      <c r="Q302" s="16">
        <f t="shared" si="7"/>
        <v>33029.17</v>
      </c>
    </row>
    <row r="303">
      <c r="A303" s="5">
        <v>2024.0</v>
      </c>
      <c r="B303" s="5" t="s">
        <v>160</v>
      </c>
      <c r="C303" s="48" t="s">
        <v>95</v>
      </c>
      <c r="D303" s="21" t="s">
        <v>99</v>
      </c>
      <c r="E303" s="12">
        <v>794.04</v>
      </c>
      <c r="H303" s="12">
        <v>794.04</v>
      </c>
      <c r="I303" s="12">
        <v>310.0</v>
      </c>
      <c r="J303" s="12">
        <v>812.98</v>
      </c>
      <c r="K303" s="12">
        <v>521.0</v>
      </c>
      <c r="L303" s="16"/>
      <c r="Q303" s="16">
        <f t="shared" si="7"/>
        <v>3232.06</v>
      </c>
    </row>
    <row r="304">
      <c r="A304" s="5">
        <v>2024.0</v>
      </c>
      <c r="B304" s="5" t="s">
        <v>160</v>
      </c>
      <c r="C304" s="48" t="s">
        <v>95</v>
      </c>
      <c r="D304" s="21" t="s">
        <v>100</v>
      </c>
      <c r="E304" s="39">
        <v>200.32</v>
      </c>
      <c r="H304" s="12">
        <v>215.37</v>
      </c>
      <c r="I304" s="12">
        <v>179.86</v>
      </c>
      <c r="J304" s="12">
        <v>0.0</v>
      </c>
      <c r="K304" s="12">
        <v>1066.32</v>
      </c>
      <c r="L304" s="16">
        <v>100.97</v>
      </c>
      <c r="M304" s="5">
        <v>99.71</v>
      </c>
      <c r="N304" s="5">
        <v>161.67</v>
      </c>
      <c r="O304" s="5">
        <v>83.9</v>
      </c>
      <c r="Q304" s="16">
        <f t="shared" si="7"/>
        <v>2108.12</v>
      </c>
    </row>
    <row r="305">
      <c r="A305" s="5">
        <v>2024.0</v>
      </c>
      <c r="B305" s="5" t="s">
        <v>160</v>
      </c>
      <c r="C305" s="48" t="s">
        <v>101</v>
      </c>
      <c r="D305" s="21" t="s">
        <v>102</v>
      </c>
      <c r="E305" s="12">
        <v>0.0</v>
      </c>
      <c r="H305" s="12">
        <v>830.0</v>
      </c>
      <c r="I305" s="12"/>
      <c r="J305" s="12">
        <v>0.0</v>
      </c>
      <c r="K305" s="12">
        <v>225.0</v>
      </c>
      <c r="L305" s="16"/>
      <c r="Q305" s="16">
        <f t="shared" si="7"/>
        <v>1055</v>
      </c>
    </row>
    <row r="306">
      <c r="A306" s="5">
        <v>2024.0</v>
      </c>
      <c r="B306" s="5" t="s">
        <v>160</v>
      </c>
      <c r="C306" s="48" t="s">
        <v>101</v>
      </c>
      <c r="D306" s="21" t="s">
        <v>103</v>
      </c>
      <c r="E306" s="55">
        <v>575.0</v>
      </c>
      <c r="F306" s="5">
        <v>0.0</v>
      </c>
      <c r="G306" s="5">
        <v>0.0</v>
      </c>
      <c r="H306" s="12">
        <v>15863.0</v>
      </c>
      <c r="I306" s="12"/>
      <c r="J306" s="12">
        <v>6067.0</v>
      </c>
      <c r="K306" s="12">
        <v>6067.5</v>
      </c>
      <c r="L306" s="16">
        <v>523.0</v>
      </c>
      <c r="M306" s="5">
        <v>475.0</v>
      </c>
      <c r="N306" s="5">
        <v>475.0</v>
      </c>
      <c r="O306" s="5">
        <v>475.0</v>
      </c>
      <c r="P306" s="5">
        <v>475.0</v>
      </c>
      <c r="Q306" s="16">
        <f t="shared" si="7"/>
        <v>30995.5</v>
      </c>
    </row>
    <row r="307">
      <c r="A307" s="5">
        <v>2024.0</v>
      </c>
      <c r="B307" s="5" t="s">
        <v>160</v>
      </c>
      <c r="C307" s="48" t="s">
        <v>101</v>
      </c>
      <c r="D307" s="21" t="s">
        <v>104</v>
      </c>
      <c r="E307" s="16"/>
      <c r="H307" s="12">
        <v>500.0</v>
      </c>
      <c r="I307" s="12"/>
      <c r="J307" s="12">
        <v>0.0</v>
      </c>
      <c r="K307" s="12">
        <v>1000.0</v>
      </c>
      <c r="L307" s="12">
        <v>1400.0</v>
      </c>
      <c r="Q307" s="16">
        <f t="shared" si="7"/>
        <v>2900</v>
      </c>
    </row>
    <row r="308">
      <c r="A308" s="5">
        <v>2024.0</v>
      </c>
      <c r="B308" s="5" t="s">
        <v>160</v>
      </c>
      <c r="C308" s="48" t="s">
        <v>101</v>
      </c>
      <c r="D308" s="21" t="s">
        <v>105</v>
      </c>
      <c r="E308" s="16"/>
      <c r="H308" s="12"/>
      <c r="I308" s="12"/>
      <c r="J308" s="12">
        <v>0.0</v>
      </c>
      <c r="K308" s="12">
        <v>0.0</v>
      </c>
      <c r="L308" s="16">
        <v>730.0</v>
      </c>
      <c r="Q308" s="16">
        <f t="shared" si="7"/>
        <v>730</v>
      </c>
    </row>
    <row r="309">
      <c r="A309" s="5">
        <v>2024.0</v>
      </c>
      <c r="B309" s="5" t="s">
        <v>160</v>
      </c>
      <c r="C309" s="48" t="s">
        <v>106</v>
      </c>
      <c r="D309" s="21" t="s">
        <v>107</v>
      </c>
      <c r="E309" s="12">
        <f>7200+(+3500*7.7)</f>
        <v>34150</v>
      </c>
      <c r="H309" s="12">
        <v>20850.0</v>
      </c>
      <c r="I309" s="12">
        <v>7200.0</v>
      </c>
      <c r="J309" s="12">
        <v>7200.0</v>
      </c>
      <c r="K309" s="12">
        <v>7200.0</v>
      </c>
      <c r="L309" s="12">
        <v>7200.0</v>
      </c>
      <c r="M309" s="5">
        <v>7200.0</v>
      </c>
      <c r="N309" s="5">
        <v>7200.0</v>
      </c>
      <c r="O309" s="5">
        <v>7200.0</v>
      </c>
      <c r="P309" s="5">
        <v>7200.0</v>
      </c>
      <c r="Q309" s="16">
        <f t="shared" si="7"/>
        <v>112600</v>
      </c>
    </row>
    <row r="310">
      <c r="A310" s="5">
        <v>2024.0</v>
      </c>
      <c r="B310" s="5" t="s">
        <v>160</v>
      </c>
      <c r="C310" s="48" t="s">
        <v>106</v>
      </c>
      <c r="D310" s="21" t="s">
        <v>108</v>
      </c>
      <c r="E310" s="16">
        <f>199.65+499.8</f>
        <v>699.45</v>
      </c>
      <c r="H310" s="12"/>
      <c r="I310" s="12">
        <v>499.8</v>
      </c>
      <c r="J310" s="12">
        <v>0.0</v>
      </c>
      <c r="K310" s="12">
        <v>499.8</v>
      </c>
      <c r="L310" s="16">
        <v>499.8</v>
      </c>
      <c r="M310" s="5">
        <v>578.7</v>
      </c>
      <c r="N310" s="5">
        <v>499.8</v>
      </c>
      <c r="O310" s="5">
        <v>499.8</v>
      </c>
      <c r="P310" s="5">
        <v>499.8</v>
      </c>
      <c r="Q310" s="16">
        <f t="shared" si="7"/>
        <v>4276.95</v>
      </c>
    </row>
    <row r="311">
      <c r="A311" s="5">
        <v>2024.0</v>
      </c>
      <c r="B311" s="5" t="s">
        <v>160</v>
      </c>
      <c r="C311" s="48" t="s">
        <v>109</v>
      </c>
      <c r="D311" s="21" t="s">
        <v>110</v>
      </c>
      <c r="E311" s="16"/>
      <c r="H311" s="12"/>
      <c r="I311" s="12"/>
      <c r="J311" s="12">
        <v>0.0</v>
      </c>
      <c r="K311" s="12">
        <v>0.0</v>
      </c>
      <c r="L311" s="16"/>
      <c r="Q311" s="16">
        <f t="shared" si="7"/>
        <v>0</v>
      </c>
    </row>
    <row r="312">
      <c r="A312" s="5">
        <v>2024.0</v>
      </c>
      <c r="B312" s="5" t="s">
        <v>160</v>
      </c>
      <c r="C312" s="48" t="s">
        <v>109</v>
      </c>
      <c r="D312" s="21" t="s">
        <v>111</v>
      </c>
      <c r="E312" s="16"/>
      <c r="H312" s="12"/>
      <c r="I312" s="12">
        <v>500.0</v>
      </c>
      <c r="J312" s="12">
        <v>0.0</v>
      </c>
      <c r="K312" s="12">
        <v>500.0</v>
      </c>
      <c r="L312" s="16"/>
      <c r="Q312" s="16">
        <f t="shared" si="7"/>
        <v>1000</v>
      </c>
    </row>
    <row r="313">
      <c r="A313" s="5">
        <v>2024.0</v>
      </c>
      <c r="B313" s="5" t="s">
        <v>160</v>
      </c>
      <c r="C313" s="48" t="s">
        <v>109</v>
      </c>
      <c r="D313" s="21" t="s">
        <v>112</v>
      </c>
      <c r="E313" s="12">
        <f>300+240+300+320+300+200+595+640</f>
        <v>2895</v>
      </c>
      <c r="H313" s="12">
        <v>1320.0</v>
      </c>
      <c r="I313" s="12">
        <v>1368.73</v>
      </c>
      <c r="J313" s="12">
        <v>1580.0</v>
      </c>
      <c r="K313" s="12">
        <v>1300.0</v>
      </c>
      <c r="L313" s="12">
        <v>840.0</v>
      </c>
      <c r="N313" s="5">
        <v>1646.0</v>
      </c>
      <c r="O313" s="5">
        <v>1469.0</v>
      </c>
      <c r="P313" s="5">
        <v>1304.0</v>
      </c>
      <c r="Q313" s="16">
        <f t="shared" si="7"/>
        <v>13722.73</v>
      </c>
    </row>
    <row r="314">
      <c r="A314" s="5">
        <v>2024.0</v>
      </c>
      <c r="B314" s="5" t="s">
        <v>160</v>
      </c>
      <c r="C314" s="48" t="s">
        <v>109</v>
      </c>
      <c r="D314" s="21" t="s">
        <v>113</v>
      </c>
      <c r="E314" s="16"/>
      <c r="H314" s="12"/>
      <c r="I314" s="12"/>
      <c r="J314" s="12">
        <v>0.0</v>
      </c>
      <c r="K314" s="12">
        <v>0.0</v>
      </c>
      <c r="L314" s="16"/>
      <c r="Q314" s="16">
        <f t="shared" si="7"/>
        <v>0</v>
      </c>
    </row>
    <row r="315">
      <c r="A315" s="5">
        <v>2024.0</v>
      </c>
      <c r="B315" s="5" t="s">
        <v>160</v>
      </c>
      <c r="C315" s="48" t="s">
        <v>109</v>
      </c>
      <c r="D315" s="21" t="s">
        <v>114</v>
      </c>
      <c r="E315" s="16"/>
      <c r="H315" s="12"/>
      <c r="I315" s="12">
        <v>596.75</v>
      </c>
      <c r="J315" s="12">
        <v>1300.0</v>
      </c>
      <c r="K315" s="12">
        <v>800.0</v>
      </c>
      <c r="L315" s="12">
        <v>1100.0</v>
      </c>
      <c r="M315" s="5">
        <v>1100.0</v>
      </c>
      <c r="N315" s="5">
        <v>1100.0</v>
      </c>
      <c r="O315" s="5">
        <v>600.0</v>
      </c>
      <c r="P315" s="5">
        <v>1175.0</v>
      </c>
      <c r="Q315" s="16">
        <f t="shared" si="7"/>
        <v>7771.75</v>
      </c>
    </row>
    <row r="316">
      <c r="A316" s="5">
        <v>2024.0</v>
      </c>
      <c r="B316" s="5" t="s">
        <v>160</v>
      </c>
      <c r="C316" s="48" t="s">
        <v>115</v>
      </c>
      <c r="D316" s="21" t="s">
        <v>116</v>
      </c>
      <c r="E316" s="12">
        <v>6870.74</v>
      </c>
      <c r="H316" s="12">
        <v>15641.48</v>
      </c>
      <c r="I316" s="12"/>
      <c r="J316" s="12">
        <v>4150.0</v>
      </c>
      <c r="K316" s="12">
        <v>3882.8</v>
      </c>
      <c r="L316" s="16">
        <v>100.0</v>
      </c>
      <c r="Q316" s="16">
        <f t="shared" si="7"/>
        <v>30645.02</v>
      </c>
    </row>
    <row r="317">
      <c r="A317" s="5">
        <v>2024.0</v>
      </c>
      <c r="B317" s="5" t="s">
        <v>160</v>
      </c>
      <c r="C317" s="48" t="s">
        <v>115</v>
      </c>
      <c r="D317" s="21" t="s">
        <v>117</v>
      </c>
      <c r="E317" s="16"/>
      <c r="H317" s="12"/>
      <c r="I317" s="12"/>
      <c r="J317" s="12">
        <v>0.0</v>
      </c>
      <c r="K317" s="12">
        <v>0.0</v>
      </c>
      <c r="L317" s="16"/>
      <c r="Q317" s="16">
        <f t="shared" si="7"/>
        <v>0</v>
      </c>
    </row>
    <row r="318">
      <c r="A318" s="5">
        <v>2024.0</v>
      </c>
      <c r="B318" s="5" t="s">
        <v>160</v>
      </c>
      <c r="C318" s="48" t="s">
        <v>115</v>
      </c>
      <c r="D318" s="21" t="s">
        <v>118</v>
      </c>
      <c r="E318" s="12">
        <v>2000.0</v>
      </c>
      <c r="H318" s="12">
        <v>4150.0</v>
      </c>
      <c r="I318" s="12">
        <v>4150.0</v>
      </c>
      <c r="J318" s="12">
        <v>0.0</v>
      </c>
      <c r="K318" s="12">
        <v>0.0</v>
      </c>
      <c r="L318" s="12">
        <v>2900.0</v>
      </c>
      <c r="M318" s="5">
        <v>2900.0</v>
      </c>
      <c r="N318" s="5">
        <v>2900.0</v>
      </c>
      <c r="O318" s="5">
        <v>2900.0</v>
      </c>
      <c r="P318" s="5">
        <v>2450.0</v>
      </c>
      <c r="Q318" s="16">
        <f t="shared" si="7"/>
        <v>24350</v>
      </c>
    </row>
    <row r="319">
      <c r="A319" s="5">
        <v>2024.0</v>
      </c>
      <c r="B319" s="5" t="s">
        <v>160</v>
      </c>
      <c r="C319" s="48" t="s">
        <v>119</v>
      </c>
      <c r="D319" s="21" t="s">
        <v>120</v>
      </c>
      <c r="E319" s="12">
        <v>503.76</v>
      </c>
      <c r="H319" s="12">
        <v>13828.8</v>
      </c>
      <c r="I319" s="12">
        <v>15678.220000000001</v>
      </c>
      <c r="J319" s="12">
        <v>0.0</v>
      </c>
      <c r="K319" s="12">
        <v>0.0</v>
      </c>
      <c r="L319" s="16"/>
      <c r="Q319" s="16">
        <f t="shared" si="7"/>
        <v>30010.78</v>
      </c>
    </row>
    <row r="320">
      <c r="A320" s="5">
        <v>2024.0</v>
      </c>
      <c r="B320" s="5" t="s">
        <v>160</v>
      </c>
      <c r="C320" s="48" t="s">
        <v>119</v>
      </c>
      <c r="D320" s="21" t="s">
        <v>121</v>
      </c>
      <c r="E320" s="12">
        <v>43489.89</v>
      </c>
      <c r="F320" s="5">
        <v>0.0</v>
      </c>
      <c r="G320" s="5">
        <v>0.0</v>
      </c>
      <c r="H320" s="12">
        <v>47961.76</v>
      </c>
      <c r="I320" s="12">
        <v>55137.8</v>
      </c>
      <c r="J320" s="12">
        <v>60777.15</v>
      </c>
      <c r="K320" s="12">
        <v>69424.23</v>
      </c>
      <c r="L320" s="12">
        <v>51299.945999999996</v>
      </c>
      <c r="M320" s="5">
        <f>2688.65+43604.39+4000</f>
        <v>50293.04</v>
      </c>
      <c r="N320" s="6">
        <f>16210.28+33550.04+4600</f>
        <v>54360.32</v>
      </c>
      <c r="O320" s="6">
        <f>26976.13+45763.97+6800+1750</f>
        <v>81290.1</v>
      </c>
      <c r="P320" s="6">
        <f>11181.42+32875.68+11000+500</f>
        <v>55557.1</v>
      </c>
      <c r="Q320" s="16">
        <f t="shared" si="7"/>
        <v>569591.336</v>
      </c>
    </row>
    <row r="321">
      <c r="A321" s="5">
        <v>2024.0</v>
      </c>
      <c r="B321" s="5" t="s">
        <v>160</v>
      </c>
      <c r="C321" s="48" t="s">
        <v>119</v>
      </c>
      <c r="D321" s="21" t="s">
        <v>122</v>
      </c>
      <c r="E321" s="16"/>
      <c r="H321" s="12"/>
      <c r="I321" s="12"/>
      <c r="J321" s="12">
        <v>0.0</v>
      </c>
      <c r="K321" s="12">
        <v>0.0</v>
      </c>
      <c r="L321" s="16"/>
      <c r="Q321" s="16">
        <f t="shared" si="7"/>
        <v>0</v>
      </c>
    </row>
    <row r="322">
      <c r="A322" s="5">
        <v>2024.0</v>
      </c>
      <c r="B322" s="5" t="s">
        <v>160</v>
      </c>
      <c r="C322" s="48" t="s">
        <v>119</v>
      </c>
      <c r="D322" s="21" t="s">
        <v>123</v>
      </c>
      <c r="E322" s="12">
        <v>16296.0</v>
      </c>
      <c r="H322" s="12">
        <v>26880.0</v>
      </c>
      <c r="I322" s="12"/>
      <c r="J322" s="12">
        <v>0.0</v>
      </c>
      <c r="K322" s="12">
        <v>0.0</v>
      </c>
      <c r="L322" s="16"/>
      <c r="Q322" s="16">
        <f t="shared" si="7"/>
        <v>43176</v>
      </c>
    </row>
    <row r="323">
      <c r="A323" s="5">
        <v>2024.0</v>
      </c>
      <c r="B323" s="5" t="s">
        <v>160</v>
      </c>
      <c r="C323" s="48" t="s">
        <v>119</v>
      </c>
      <c r="D323" s="21" t="s">
        <v>124</v>
      </c>
      <c r="E323" s="12">
        <f>713+75</f>
        <v>788</v>
      </c>
      <c r="H323" s="12">
        <v>1639.25</v>
      </c>
      <c r="I323" s="12">
        <v>513.0</v>
      </c>
      <c r="J323" s="12">
        <v>921.0</v>
      </c>
      <c r="K323" s="12">
        <v>1055.0</v>
      </c>
      <c r="L323" s="12">
        <v>1426.0</v>
      </c>
      <c r="M323" s="5">
        <v>1450.0</v>
      </c>
      <c r="N323" s="5">
        <v>1497.0</v>
      </c>
      <c r="Q323" s="16">
        <f t="shared" si="7"/>
        <v>9289.25</v>
      </c>
    </row>
    <row r="324">
      <c r="A324" s="5">
        <v>2024.0</v>
      </c>
      <c r="B324" s="5" t="s">
        <v>160</v>
      </c>
      <c r="C324" s="48" t="s">
        <v>119</v>
      </c>
      <c r="D324" s="21" t="s">
        <v>125</v>
      </c>
      <c r="E324" s="16"/>
      <c r="H324" s="12"/>
      <c r="I324" s="12">
        <v>475.0</v>
      </c>
      <c r="J324" s="12">
        <v>0.0</v>
      </c>
      <c r="K324" s="12">
        <v>0.0</v>
      </c>
      <c r="L324" s="16"/>
      <c r="Q324" s="16">
        <f t="shared" si="7"/>
        <v>475</v>
      </c>
    </row>
    <row r="325">
      <c r="A325" s="5">
        <v>2024.0</v>
      </c>
      <c r="B325" s="5" t="s">
        <v>160</v>
      </c>
      <c r="C325" s="48" t="s">
        <v>119</v>
      </c>
      <c r="D325" s="21" t="s">
        <v>126</v>
      </c>
      <c r="E325" s="16"/>
      <c r="H325" s="12"/>
      <c r="I325" s="12"/>
      <c r="J325" s="12">
        <v>0.0</v>
      </c>
      <c r="K325" s="12">
        <v>0.0</v>
      </c>
      <c r="L325" s="16">
        <v>500.0</v>
      </c>
      <c r="Q325" s="16">
        <f t="shared" si="7"/>
        <v>500</v>
      </c>
    </row>
    <row r="326">
      <c r="A326" s="5">
        <v>2024.0</v>
      </c>
      <c r="B326" s="5" t="s">
        <v>160</v>
      </c>
      <c r="C326" s="48" t="s">
        <v>119</v>
      </c>
      <c r="D326" s="21" t="s">
        <v>127</v>
      </c>
      <c r="E326" s="16"/>
      <c r="H326" s="12"/>
      <c r="I326" s="12">
        <v>495.0</v>
      </c>
      <c r="J326" s="12">
        <v>615.0</v>
      </c>
      <c r="K326" s="12">
        <v>0.0</v>
      </c>
      <c r="L326" s="12">
        <v>900.0</v>
      </c>
      <c r="M326" s="5">
        <v>1550.0</v>
      </c>
      <c r="Q326" s="16">
        <f t="shared" si="7"/>
        <v>3560</v>
      </c>
    </row>
    <row r="327">
      <c r="A327" s="5">
        <v>2024.0</v>
      </c>
      <c r="B327" s="5" t="s">
        <v>160</v>
      </c>
      <c r="C327" s="48" t="s">
        <v>119</v>
      </c>
      <c r="D327" s="21" t="s">
        <v>128</v>
      </c>
      <c r="E327" s="12">
        <f>+485+400</f>
        <v>885</v>
      </c>
      <c r="H327" s="12">
        <v>1288.75</v>
      </c>
      <c r="I327" s="12">
        <v>1371.4</v>
      </c>
      <c r="J327" s="12">
        <v>1374.8</v>
      </c>
      <c r="K327" s="12">
        <v>1055.75</v>
      </c>
      <c r="L327" s="12">
        <v>162.0</v>
      </c>
      <c r="M327" s="5">
        <v>400.0</v>
      </c>
      <c r="N327" s="5">
        <v>400.0</v>
      </c>
      <c r="O327" s="5">
        <v>400.0</v>
      </c>
      <c r="P327" s="5">
        <v>400.0</v>
      </c>
      <c r="Q327" s="16">
        <f t="shared" si="7"/>
        <v>7737.7</v>
      </c>
    </row>
    <row r="328">
      <c r="A328" s="5">
        <v>2024.0</v>
      </c>
      <c r="B328" s="5" t="s">
        <v>160</v>
      </c>
      <c r="C328" s="48" t="s">
        <v>119</v>
      </c>
      <c r="D328" s="21" t="s">
        <v>129</v>
      </c>
      <c r="E328" s="16"/>
      <c r="H328" s="12">
        <v>1033.87</v>
      </c>
      <c r="I328" s="12"/>
      <c r="J328" s="12">
        <v>555.0</v>
      </c>
      <c r="K328" s="12">
        <v>0.0</v>
      </c>
      <c r="L328" s="16"/>
      <c r="M328" s="5">
        <v>555.0</v>
      </c>
      <c r="N328" s="5">
        <v>390.0</v>
      </c>
      <c r="O328" s="5">
        <v>425.0</v>
      </c>
      <c r="P328" s="5">
        <v>260.0</v>
      </c>
      <c r="Q328" s="16">
        <f t="shared" si="7"/>
        <v>3218.87</v>
      </c>
    </row>
    <row r="329">
      <c r="A329" s="5">
        <v>2024.0</v>
      </c>
      <c r="B329" s="5" t="s">
        <v>160</v>
      </c>
      <c r="C329" s="48" t="s">
        <v>119</v>
      </c>
      <c r="D329" s="21" t="s">
        <v>130</v>
      </c>
      <c r="E329" s="12">
        <v>2096.0</v>
      </c>
      <c r="H329" s="12">
        <v>2096.0</v>
      </c>
      <c r="I329" s="12">
        <v>24.0</v>
      </c>
      <c r="J329" s="12">
        <v>1628.0</v>
      </c>
      <c r="K329" s="12">
        <v>0.0</v>
      </c>
      <c r="L329" s="12">
        <v>2206.0</v>
      </c>
      <c r="Q329" s="16">
        <f t="shared" si="7"/>
        <v>8050</v>
      </c>
    </row>
    <row r="330">
      <c r="A330" s="5">
        <v>2024.0</v>
      </c>
      <c r="B330" s="5" t="s">
        <v>160</v>
      </c>
      <c r="C330" s="48" t="s">
        <v>119</v>
      </c>
      <c r="D330" s="21" t="s">
        <v>131</v>
      </c>
      <c r="E330" s="12">
        <v>42503.09</v>
      </c>
      <c r="F330" s="5">
        <v>0.0</v>
      </c>
      <c r="G330" s="5">
        <v>0.0</v>
      </c>
      <c r="H330" s="12">
        <v>20267.2</v>
      </c>
      <c r="I330" s="12">
        <v>7005.2</v>
      </c>
      <c r="J330" s="12">
        <v>37854.674</v>
      </c>
      <c r="K330" s="12">
        <v>37854.67</v>
      </c>
      <c r="L330" s="16">
        <v>38254.752</v>
      </c>
      <c r="M330" s="5">
        <f>4144+10000+5101.2+14220+12057.47</f>
        <v>45522.67</v>
      </c>
      <c r="N330" s="6">
        <f>1904+10000+5119.19+14220+12099.98</f>
        <v>43343.17</v>
      </c>
      <c r="O330" s="5">
        <f>1904+10000+5124.09+14220+12111.58</f>
        <v>43359.67</v>
      </c>
      <c r="P330" s="6">
        <f>1904+12664.75+5125.73+14220+12115.44</f>
        <v>46029.92</v>
      </c>
      <c r="Q330" s="16">
        <f t="shared" si="7"/>
        <v>361995.016</v>
      </c>
    </row>
    <row r="331">
      <c r="A331" s="5">
        <v>2024.0</v>
      </c>
      <c r="B331" s="5" t="s">
        <v>160</v>
      </c>
      <c r="C331" s="48" t="s">
        <v>119</v>
      </c>
      <c r="D331" s="21" t="s">
        <v>132</v>
      </c>
      <c r="E331" s="12">
        <f>333.74+455+794.2+266.42+264+3400+1500</f>
        <v>7013.36</v>
      </c>
      <c r="H331" s="12">
        <v>3290.56</v>
      </c>
      <c r="I331" s="12">
        <v>5125.0</v>
      </c>
      <c r="J331" s="12">
        <v>9218.070000000002</v>
      </c>
      <c r="K331" s="12">
        <v>16446.06</v>
      </c>
      <c r="L331" s="12">
        <v>2566.0</v>
      </c>
      <c r="M331" s="5">
        <f>5627.79+1500+353.62+906+938</f>
        <v>9325.41</v>
      </c>
      <c r="N331" s="5">
        <f>947.69+1750+7878.25+415.49</f>
        <v>10991.43</v>
      </c>
      <c r="O331" s="6">
        <f>2027+884.05+1434.95+1500+312.8</f>
        <v>6158.8</v>
      </c>
      <c r="P331" s="6">
        <f>2796+2484.98+6847.64+1500+364.49</f>
        <v>13993.11</v>
      </c>
      <c r="Q331" s="16">
        <f t="shared" si="7"/>
        <v>84127.8</v>
      </c>
    </row>
    <row r="332">
      <c r="A332" s="5">
        <v>2024.0</v>
      </c>
      <c r="B332" s="5" t="s">
        <v>160</v>
      </c>
      <c r="C332" s="48" t="s">
        <v>119</v>
      </c>
      <c r="D332" s="21" t="s">
        <v>133</v>
      </c>
      <c r="E332" s="12">
        <f>425+863.55</f>
        <v>1288.55</v>
      </c>
      <c r="H332" s="12">
        <v>425.0</v>
      </c>
      <c r="I332" s="12"/>
      <c r="J332" s="12">
        <v>499.8</v>
      </c>
      <c r="K332" s="12">
        <v>0.0</v>
      </c>
      <c r="L332" s="12">
        <v>1405.4</v>
      </c>
      <c r="Q332" s="16">
        <f t="shared" si="7"/>
        <v>3618.75</v>
      </c>
    </row>
    <row r="333">
      <c r="A333" s="5">
        <v>2024.0</v>
      </c>
      <c r="B333" s="5" t="s">
        <v>160</v>
      </c>
      <c r="C333" s="48" t="s">
        <v>119</v>
      </c>
      <c r="D333" s="21" t="s">
        <v>134</v>
      </c>
      <c r="E333" s="16"/>
      <c r="H333" s="12"/>
      <c r="I333" s="12"/>
      <c r="J333" s="12">
        <v>0.0</v>
      </c>
      <c r="K333" s="12">
        <v>0.0</v>
      </c>
      <c r="L333" s="16"/>
      <c r="Q333" s="16">
        <f t="shared" si="7"/>
        <v>0</v>
      </c>
    </row>
    <row r="334">
      <c r="A334" s="5">
        <v>2024.0</v>
      </c>
      <c r="B334" s="5" t="s">
        <v>160</v>
      </c>
      <c r="C334" s="48" t="s">
        <v>119</v>
      </c>
      <c r="D334" s="21" t="s">
        <v>135</v>
      </c>
      <c r="E334" s="16"/>
      <c r="H334" s="12"/>
      <c r="I334" s="12"/>
      <c r="J334" s="12">
        <v>0.0</v>
      </c>
      <c r="K334" s="12">
        <v>0.0</v>
      </c>
      <c r="L334" s="16"/>
      <c r="Q334" s="16">
        <f t="shared" si="7"/>
        <v>0</v>
      </c>
    </row>
    <row r="335">
      <c r="A335" s="5">
        <v>2024.0</v>
      </c>
      <c r="B335" s="5" t="s">
        <v>160</v>
      </c>
      <c r="C335" s="48" t="s">
        <v>119</v>
      </c>
      <c r="D335" s="21" t="s">
        <v>136</v>
      </c>
      <c r="E335" s="16"/>
      <c r="H335" s="12"/>
      <c r="I335" s="12"/>
      <c r="J335" s="12">
        <v>0.0</v>
      </c>
      <c r="K335" s="12">
        <v>0.0</v>
      </c>
      <c r="L335" s="16"/>
      <c r="Q335" s="16">
        <f t="shared" si="7"/>
        <v>0</v>
      </c>
    </row>
    <row r="336">
      <c r="A336" s="5">
        <v>2024.0</v>
      </c>
      <c r="B336" s="5" t="s">
        <v>160</v>
      </c>
      <c r="C336" s="48" t="s">
        <v>119</v>
      </c>
      <c r="D336" s="21" t="s">
        <v>137</v>
      </c>
      <c r="E336" s="39">
        <v>484.98</v>
      </c>
      <c r="H336" s="12"/>
      <c r="I336" s="12"/>
      <c r="J336" s="12">
        <v>0.0</v>
      </c>
      <c r="K336" s="12">
        <v>0.0</v>
      </c>
      <c r="L336" s="16"/>
      <c r="Q336" s="16">
        <f t="shared" si="7"/>
        <v>484.98</v>
      </c>
    </row>
    <row r="337">
      <c r="A337" s="5">
        <v>2024.0</v>
      </c>
      <c r="B337" s="5" t="s">
        <v>160</v>
      </c>
      <c r="C337" s="48" t="s">
        <v>119</v>
      </c>
      <c r="D337" s="21" t="s">
        <v>113</v>
      </c>
      <c r="E337" s="16"/>
      <c r="H337" s="12"/>
      <c r="I337" s="12"/>
      <c r="J337" s="12">
        <v>0.0</v>
      </c>
      <c r="K337" s="12">
        <v>0.0</v>
      </c>
      <c r="L337" s="16"/>
      <c r="Q337" s="16">
        <f t="shared" si="7"/>
        <v>0</v>
      </c>
    </row>
    <row r="338">
      <c r="A338" s="5">
        <v>2024.0</v>
      </c>
      <c r="B338" s="5" t="s">
        <v>160</v>
      </c>
      <c r="C338" s="1" t="s">
        <v>138</v>
      </c>
      <c r="E338" s="16">
        <f>SUM(E289:E337)</f>
        <v>389488.83</v>
      </c>
      <c r="H338" s="60">
        <v>399496.23000000004</v>
      </c>
      <c r="I338" s="60">
        <v>283011.80000000005</v>
      </c>
      <c r="J338" s="60">
        <v>374158.96400000004</v>
      </c>
      <c r="K338" s="60">
        <v>276529.68999999994</v>
      </c>
      <c r="L338" s="60">
        <v>256325.898</v>
      </c>
      <c r="M338" s="48">
        <v>246276.12</v>
      </c>
      <c r="N338" s="48">
        <v>244904.89</v>
      </c>
      <c r="O338" s="48">
        <v>258369.29</v>
      </c>
      <c r="P338" s="48">
        <v>257405.59</v>
      </c>
      <c r="Q338" s="16">
        <f t="shared" si="7"/>
        <v>2985967.302</v>
      </c>
      <c r="R338" s="16">
        <f t="shared" ref="R338:R341" si="8">SUM(E338:P338)</f>
        <v>2985967.302</v>
      </c>
    </row>
    <row r="339">
      <c r="A339" s="5">
        <v>2024.0</v>
      </c>
      <c r="B339" s="5" t="s">
        <v>160</v>
      </c>
      <c r="C339" s="1" t="s">
        <v>139</v>
      </c>
      <c r="E339" s="12">
        <v>167392.96</v>
      </c>
      <c r="H339" s="12">
        <v>143933.62</v>
      </c>
      <c r="I339" s="12">
        <v>158358.75</v>
      </c>
      <c r="J339" s="12">
        <v>145196.61</v>
      </c>
      <c r="K339" s="12">
        <v>153066.47</v>
      </c>
      <c r="L339" s="12">
        <v>131890.758</v>
      </c>
      <c r="M339" s="5">
        <v>123278.17</v>
      </c>
      <c r="N339" s="5">
        <v>117343.56</v>
      </c>
      <c r="O339" s="5">
        <v>115395.3</v>
      </c>
      <c r="P339" s="5">
        <v>113616.61</v>
      </c>
      <c r="Q339" s="16">
        <f t="shared" si="7"/>
        <v>1369472.808</v>
      </c>
      <c r="R339" s="16">
        <f t="shared" si="8"/>
        <v>1369472.808</v>
      </c>
    </row>
    <row r="340">
      <c r="A340" s="5">
        <v>2024.0</v>
      </c>
      <c r="B340" s="5" t="s">
        <v>160</v>
      </c>
      <c r="C340" s="1" t="s">
        <v>140</v>
      </c>
      <c r="E340" s="12">
        <v>48364.32</v>
      </c>
      <c r="H340" s="12">
        <v>46393.96</v>
      </c>
      <c r="I340" s="12">
        <v>40171.63</v>
      </c>
      <c r="J340" s="12">
        <v>39462.01</v>
      </c>
      <c r="K340" s="12">
        <v>41566.31</v>
      </c>
      <c r="L340" s="12">
        <v>29913.34</v>
      </c>
      <c r="M340" s="5">
        <v>25201.64</v>
      </c>
      <c r="N340" s="5">
        <v>29990.27</v>
      </c>
      <c r="O340" s="5">
        <v>28001.38</v>
      </c>
      <c r="P340" s="5">
        <v>21921.38</v>
      </c>
      <c r="Q340" s="16">
        <f t="shared" si="7"/>
        <v>350986.24</v>
      </c>
      <c r="R340" s="16">
        <f t="shared" si="8"/>
        <v>350986.24</v>
      </c>
    </row>
    <row r="341">
      <c r="A341" s="5">
        <v>2024.0</v>
      </c>
      <c r="B341" s="5" t="s">
        <v>160</v>
      </c>
      <c r="C341" s="1" t="s">
        <v>141</v>
      </c>
      <c r="E341" s="12">
        <v>75379.06</v>
      </c>
      <c r="H341" s="12">
        <v>61553.1</v>
      </c>
      <c r="I341" s="12">
        <v>53447.92</v>
      </c>
      <c r="J341" s="12">
        <v>59081.57</v>
      </c>
      <c r="K341" s="12">
        <v>55330.75</v>
      </c>
      <c r="L341" s="12">
        <v>35338.45</v>
      </c>
      <c r="M341" s="5">
        <v>31927.47</v>
      </c>
      <c r="N341" s="5">
        <v>39638.6</v>
      </c>
      <c r="O341" s="5">
        <v>42140.68</v>
      </c>
      <c r="P341" s="5">
        <v>32574.0</v>
      </c>
      <c r="Q341" s="16">
        <f t="shared" si="7"/>
        <v>486411.6</v>
      </c>
      <c r="R341" s="16">
        <f t="shared" si="8"/>
        <v>486411.6</v>
      </c>
    </row>
    <row r="342">
      <c r="A342" s="5">
        <v>2024.0</v>
      </c>
      <c r="B342" s="5" t="s">
        <v>160</v>
      </c>
      <c r="C342" s="1" t="s">
        <v>142</v>
      </c>
      <c r="E342" s="16"/>
      <c r="H342" s="12">
        <v>0.0</v>
      </c>
      <c r="I342" s="12">
        <v>0.0</v>
      </c>
      <c r="J342" s="12">
        <v>0.0</v>
      </c>
      <c r="K342" s="12">
        <v>0.0</v>
      </c>
      <c r="L342" s="12">
        <v>0.0</v>
      </c>
      <c r="M342" s="5">
        <v>0.0</v>
      </c>
      <c r="Q342" s="16">
        <f t="shared" si="7"/>
        <v>0</v>
      </c>
    </row>
    <row r="343">
      <c r="A343" s="5">
        <v>2024.0</v>
      </c>
      <c r="B343" s="5" t="s">
        <v>160</v>
      </c>
      <c r="C343" s="1" t="s">
        <v>143</v>
      </c>
      <c r="E343" s="16"/>
      <c r="H343" s="12">
        <v>0.0</v>
      </c>
      <c r="I343" s="12">
        <v>0.0</v>
      </c>
      <c r="J343" s="12">
        <v>0.0</v>
      </c>
      <c r="K343" s="12">
        <v>0.0</v>
      </c>
      <c r="L343" s="12">
        <v>0.0</v>
      </c>
      <c r="Q343" s="16">
        <f t="shared" si="7"/>
        <v>0</v>
      </c>
    </row>
    <row r="344">
      <c r="E344" s="16"/>
    </row>
    <row r="345">
      <c r="E345" s="16"/>
    </row>
    <row r="346">
      <c r="C346" s="56" t="s">
        <v>146</v>
      </c>
      <c r="E346" s="16"/>
    </row>
    <row r="347">
      <c r="E347" s="16"/>
    </row>
    <row r="348">
      <c r="E348" s="16"/>
    </row>
    <row r="349">
      <c r="D349" s="5" t="s">
        <v>161</v>
      </c>
      <c r="E349" s="16"/>
    </row>
    <row r="350">
      <c r="A350" s="5">
        <v>2024.0</v>
      </c>
      <c r="B350" s="5" t="s">
        <v>162</v>
      </c>
      <c r="C350" s="1" t="s">
        <v>83</v>
      </c>
      <c r="D350" s="21" t="s">
        <v>84</v>
      </c>
      <c r="E350" s="12">
        <f>134583.11-11458.33+49250</f>
        <v>172374.78</v>
      </c>
    </row>
    <row r="351">
      <c r="A351" s="5">
        <v>2024.0</v>
      </c>
      <c r="B351" s="5" t="s">
        <v>162</v>
      </c>
      <c r="C351" s="1" t="s">
        <v>83</v>
      </c>
      <c r="D351" s="21" t="s">
        <v>85</v>
      </c>
      <c r="E351" s="12">
        <f>11458.33+750</f>
        <v>12208.33</v>
      </c>
    </row>
    <row r="352">
      <c r="A352" s="5">
        <v>2024.0</v>
      </c>
      <c r="B352" s="5" t="s">
        <v>162</v>
      </c>
      <c r="C352" s="1" t="s">
        <v>83</v>
      </c>
      <c r="D352" s="21" t="s">
        <v>86</v>
      </c>
      <c r="E352" s="12">
        <v>41353.03</v>
      </c>
    </row>
    <row r="353">
      <c r="A353" s="5">
        <v>2024.0</v>
      </c>
      <c r="B353" s="5" t="s">
        <v>162</v>
      </c>
      <c r="C353" s="1" t="s">
        <v>83</v>
      </c>
      <c r="D353" s="21" t="s">
        <v>87</v>
      </c>
      <c r="E353" s="12">
        <f>1488.06+2919.58</f>
        <v>4407.64</v>
      </c>
    </row>
    <row r="354">
      <c r="A354" s="5">
        <v>2024.0</v>
      </c>
      <c r="B354" s="5" t="s">
        <v>162</v>
      </c>
      <c r="C354" s="1" t="s">
        <v>83</v>
      </c>
      <c r="D354" s="21" t="s">
        <v>88</v>
      </c>
      <c r="E354" s="16"/>
    </row>
    <row r="355">
      <c r="A355" s="5">
        <v>2024.0</v>
      </c>
      <c r="B355" s="5" t="s">
        <v>162</v>
      </c>
      <c r="C355" s="1" t="s">
        <v>83</v>
      </c>
      <c r="D355" s="21" t="s">
        <v>89</v>
      </c>
      <c r="E355" s="16"/>
    </row>
    <row r="356">
      <c r="A356" s="5">
        <v>2024.0</v>
      </c>
      <c r="B356" s="5" t="s">
        <v>162</v>
      </c>
      <c r="C356" s="1" t="s">
        <v>83</v>
      </c>
      <c r="D356" s="21" t="s">
        <v>90</v>
      </c>
      <c r="E356" s="12">
        <v>0.0</v>
      </c>
    </row>
    <row r="357">
      <c r="A357" s="5">
        <v>2024.0</v>
      </c>
      <c r="B357" s="5" t="s">
        <v>162</v>
      </c>
      <c r="C357" s="1" t="s">
        <v>83</v>
      </c>
      <c r="D357" s="21" t="s">
        <v>91</v>
      </c>
      <c r="E357" s="16"/>
    </row>
    <row r="358">
      <c r="A358" s="5">
        <v>2024.0</v>
      </c>
      <c r="B358" s="5" t="s">
        <v>162</v>
      </c>
      <c r="C358" s="1" t="s">
        <v>83</v>
      </c>
      <c r="D358" s="21" t="s">
        <v>92</v>
      </c>
      <c r="E358" s="12">
        <v>9048.54</v>
      </c>
    </row>
    <row r="359">
      <c r="A359" s="5">
        <v>2024.0</v>
      </c>
      <c r="B359" s="5" t="s">
        <v>162</v>
      </c>
      <c r="C359" s="1" t="s">
        <v>83</v>
      </c>
      <c r="D359" s="21" t="s">
        <v>93</v>
      </c>
      <c r="E359" s="12">
        <f>871.25+871.25</f>
        <v>1742.5</v>
      </c>
    </row>
    <row r="360">
      <c r="A360" s="5">
        <v>2024.0</v>
      </c>
      <c r="B360" s="5" t="s">
        <v>162</v>
      </c>
      <c r="C360" s="1" t="s">
        <v>83</v>
      </c>
      <c r="D360" s="21" t="s">
        <v>94</v>
      </c>
      <c r="E360" s="12">
        <v>2700.0</v>
      </c>
    </row>
    <row r="361">
      <c r="A361" s="5">
        <v>2024.0</v>
      </c>
      <c r="B361" s="5" t="s">
        <v>162</v>
      </c>
      <c r="C361" s="48" t="s">
        <v>95</v>
      </c>
      <c r="D361" s="21" t="s">
        <v>96</v>
      </c>
      <c r="E361" s="12">
        <f>777.88+285.87+1720.84</f>
        <v>2784.59</v>
      </c>
      <c r="G361" s="6">
        <f>777.88</f>
        <v>777.88</v>
      </c>
    </row>
    <row r="362">
      <c r="A362" s="5">
        <v>2024.0</v>
      </c>
      <c r="B362" s="5" t="s">
        <v>162</v>
      </c>
      <c r="C362" s="48" t="s">
        <v>95</v>
      </c>
      <c r="D362" s="21" t="s">
        <v>97</v>
      </c>
      <c r="E362" s="12">
        <f>299+110+110+62.22+82.58+471.5+76.52+87.02+53</f>
        <v>1351.84</v>
      </c>
    </row>
    <row r="363">
      <c r="A363" s="5">
        <v>2024.0</v>
      </c>
      <c r="B363" s="5" t="s">
        <v>162</v>
      </c>
      <c r="C363" s="48" t="s">
        <v>95</v>
      </c>
      <c r="D363" s="21" t="s">
        <v>98</v>
      </c>
      <c r="E363" s="12">
        <f>110+110+6300.83</f>
        <v>6520.83</v>
      </c>
    </row>
    <row r="364">
      <c r="A364" s="5">
        <v>2024.0</v>
      </c>
      <c r="B364" s="5" t="s">
        <v>162</v>
      </c>
      <c r="C364" s="48" t="s">
        <v>95</v>
      </c>
      <c r="D364" s="21" t="s">
        <v>99</v>
      </c>
      <c r="E364" s="12">
        <v>310.0</v>
      </c>
    </row>
    <row r="365">
      <c r="A365" s="5">
        <v>2024.0</v>
      </c>
      <c r="B365" s="5" t="s">
        <v>162</v>
      </c>
      <c r="C365" s="48" t="s">
        <v>95</v>
      </c>
      <c r="D365" s="21" t="s">
        <v>100</v>
      </c>
      <c r="E365" s="39">
        <v>34.0</v>
      </c>
    </row>
    <row r="366">
      <c r="A366" s="5">
        <v>2024.0</v>
      </c>
      <c r="B366" s="5" t="s">
        <v>162</v>
      </c>
      <c r="C366" s="48" t="s">
        <v>101</v>
      </c>
      <c r="D366" s="21" t="s">
        <v>102</v>
      </c>
      <c r="E366" s="12">
        <v>0.0</v>
      </c>
    </row>
    <row r="367">
      <c r="A367" s="5">
        <v>2024.0</v>
      </c>
      <c r="B367" s="5" t="s">
        <v>162</v>
      </c>
      <c r="C367" s="48" t="s">
        <v>101</v>
      </c>
      <c r="D367" s="21" t="s">
        <v>103</v>
      </c>
      <c r="E367" s="55">
        <f>187657.04+750+575</f>
        <v>188982.04</v>
      </c>
    </row>
    <row r="368">
      <c r="A368" s="5">
        <v>2024.0</v>
      </c>
      <c r="B368" s="5" t="s">
        <v>162</v>
      </c>
      <c r="C368" s="48" t="s">
        <v>101</v>
      </c>
      <c r="D368" s="21" t="s">
        <v>104</v>
      </c>
      <c r="E368" s="16"/>
    </row>
    <row r="369">
      <c r="A369" s="5">
        <v>2024.0</v>
      </c>
      <c r="B369" s="5" t="s">
        <v>162</v>
      </c>
      <c r="C369" s="48" t="s">
        <v>101</v>
      </c>
      <c r="D369" s="21" t="s">
        <v>105</v>
      </c>
      <c r="E369" s="16"/>
    </row>
    <row r="370">
      <c r="A370" s="5">
        <v>2024.0</v>
      </c>
      <c r="B370" s="5" t="s">
        <v>162</v>
      </c>
      <c r="C370" s="48" t="s">
        <v>106</v>
      </c>
      <c r="D370" s="21" t="s">
        <v>107</v>
      </c>
      <c r="E370" s="12">
        <f>+27545+7200</f>
        <v>34745</v>
      </c>
    </row>
    <row r="371">
      <c r="A371" s="5">
        <v>2024.0</v>
      </c>
      <c r="B371" s="5" t="s">
        <v>162</v>
      </c>
      <c r="C371" s="48" t="s">
        <v>106</v>
      </c>
      <c r="D371" s="21" t="s">
        <v>108</v>
      </c>
      <c r="E371" s="12">
        <v>639.9</v>
      </c>
    </row>
    <row r="372">
      <c r="A372" s="5">
        <v>2024.0</v>
      </c>
      <c r="B372" s="5" t="s">
        <v>162</v>
      </c>
      <c r="C372" s="48" t="s">
        <v>109</v>
      </c>
      <c r="D372" s="21" t="s">
        <v>110</v>
      </c>
      <c r="E372" s="16"/>
    </row>
    <row r="373">
      <c r="A373" s="5">
        <v>2024.0</v>
      </c>
      <c r="B373" s="5" t="s">
        <v>162</v>
      </c>
      <c r="C373" s="48" t="s">
        <v>109</v>
      </c>
      <c r="D373" s="21" t="s">
        <v>111</v>
      </c>
      <c r="E373" s="12">
        <f>500+35+30+60</f>
        <v>625</v>
      </c>
    </row>
    <row r="374">
      <c r="A374" s="5">
        <v>2024.0</v>
      </c>
      <c r="B374" s="5" t="s">
        <v>162</v>
      </c>
      <c r="C374" s="48" t="s">
        <v>109</v>
      </c>
      <c r="D374" s="21" t="s">
        <v>112</v>
      </c>
      <c r="E374" s="12">
        <f>300+340+300+30</f>
        <v>970</v>
      </c>
    </row>
    <row r="375">
      <c r="A375" s="5">
        <v>2024.0</v>
      </c>
      <c r="B375" s="5" t="s">
        <v>162</v>
      </c>
      <c r="C375" s="48" t="s">
        <v>109</v>
      </c>
      <c r="D375" s="21" t="s">
        <v>113</v>
      </c>
      <c r="E375" s="16"/>
    </row>
    <row r="376">
      <c r="A376" s="5">
        <v>2024.0</v>
      </c>
      <c r="B376" s="5" t="s">
        <v>162</v>
      </c>
      <c r="C376" s="48" t="s">
        <v>109</v>
      </c>
      <c r="D376" s="21" t="s">
        <v>114</v>
      </c>
      <c r="E376" s="12">
        <f>964.3+1073.33</f>
        <v>2037.63</v>
      </c>
    </row>
    <row r="377">
      <c r="A377" s="5">
        <v>2024.0</v>
      </c>
      <c r="B377" s="5" t="s">
        <v>162</v>
      </c>
      <c r="C377" s="48" t="s">
        <v>115</v>
      </c>
      <c r="D377" s="21" t="s">
        <v>116</v>
      </c>
      <c r="E377" s="12">
        <v>0.0</v>
      </c>
    </row>
    <row r="378">
      <c r="A378" s="5">
        <v>2024.0</v>
      </c>
      <c r="B378" s="5" t="s">
        <v>162</v>
      </c>
      <c r="C378" s="48" t="s">
        <v>115</v>
      </c>
      <c r="D378" s="21" t="s">
        <v>117</v>
      </c>
      <c r="E378" s="16"/>
    </row>
    <row r="379">
      <c r="A379" s="5">
        <v>2024.0</v>
      </c>
      <c r="B379" s="5" t="s">
        <v>162</v>
      </c>
      <c r="C379" s="48" t="s">
        <v>115</v>
      </c>
      <c r="D379" s="21" t="s">
        <v>118</v>
      </c>
      <c r="E379" s="12">
        <v>2000.0</v>
      </c>
    </row>
    <row r="380">
      <c r="A380" s="5">
        <v>2024.0</v>
      </c>
      <c r="B380" s="5" t="s">
        <v>162</v>
      </c>
      <c r="C380" s="48" t="s">
        <v>119</v>
      </c>
      <c r="D380" s="21" t="s">
        <v>120</v>
      </c>
      <c r="E380" s="12">
        <v>554.45</v>
      </c>
    </row>
    <row r="381">
      <c r="A381" s="5">
        <v>2024.0</v>
      </c>
      <c r="B381" s="5" t="s">
        <v>162</v>
      </c>
      <c r="C381" s="48" t="s">
        <v>119</v>
      </c>
      <c r="D381" s="21" t="s">
        <v>121</v>
      </c>
      <c r="E381" s="12">
        <f>(+(+3016.58+2324.58+3270.74+9823.75)*7.8)+(+1650+7200)</f>
        <v>152648.07</v>
      </c>
    </row>
    <row r="382">
      <c r="A382" s="5">
        <v>2024.0</v>
      </c>
      <c r="B382" s="5" t="s">
        <v>162</v>
      </c>
      <c r="C382" s="48" t="s">
        <v>119</v>
      </c>
      <c r="D382" s="21" t="s">
        <v>122</v>
      </c>
      <c r="E382" s="12">
        <v>4100.66</v>
      </c>
    </row>
    <row r="383">
      <c r="A383" s="5">
        <v>2024.0</v>
      </c>
      <c r="B383" s="5" t="s">
        <v>162</v>
      </c>
      <c r="C383" s="48" t="s">
        <v>119</v>
      </c>
      <c r="D383" s="21" t="s">
        <v>123</v>
      </c>
      <c r="E383" s="12">
        <v>20664.0</v>
      </c>
    </row>
    <row r="384">
      <c r="A384" s="5">
        <v>2024.0</v>
      </c>
      <c r="B384" s="5" t="s">
        <v>162</v>
      </c>
      <c r="C384" s="48" t="s">
        <v>119</v>
      </c>
      <c r="D384" s="21" t="s">
        <v>124</v>
      </c>
      <c r="E384" s="12">
        <f>10+15+3+947-30-20-30-30-30-40-40+1146-10-10-10-50-30-20-20-40-20-40</f>
        <v>1651</v>
      </c>
    </row>
    <row r="385">
      <c r="A385" s="5">
        <v>2024.0</v>
      </c>
      <c r="B385" s="5" t="s">
        <v>162</v>
      </c>
      <c r="C385" s="48" t="s">
        <v>119</v>
      </c>
      <c r="D385" s="21" t="s">
        <v>125</v>
      </c>
      <c r="E385" s="16"/>
    </row>
    <row r="386">
      <c r="A386" s="5">
        <v>2024.0</v>
      </c>
      <c r="B386" s="5" t="s">
        <v>162</v>
      </c>
      <c r="C386" s="48" t="s">
        <v>119</v>
      </c>
      <c r="D386" s="21" t="s">
        <v>126</v>
      </c>
      <c r="E386" s="16"/>
    </row>
    <row r="387">
      <c r="A387" s="5">
        <v>2024.0</v>
      </c>
      <c r="B387" s="5" t="s">
        <v>162</v>
      </c>
      <c r="C387" s="48" t="s">
        <v>119</v>
      </c>
      <c r="D387" s="21" t="s">
        <v>127</v>
      </c>
      <c r="E387" s="16">
        <f>20+20</f>
        <v>40</v>
      </c>
    </row>
    <row r="388">
      <c r="A388" s="5">
        <v>2024.0</v>
      </c>
      <c r="B388" s="5" t="s">
        <v>162</v>
      </c>
      <c r="C388" s="48" t="s">
        <v>119</v>
      </c>
      <c r="D388" s="21" t="s">
        <v>128</v>
      </c>
      <c r="E388" s="12">
        <f>400+109+835</f>
        <v>1344</v>
      </c>
    </row>
    <row r="389">
      <c r="A389" s="5">
        <v>2024.0</v>
      </c>
      <c r="B389" s="5" t="s">
        <v>162</v>
      </c>
      <c r="C389" s="48" t="s">
        <v>119</v>
      </c>
      <c r="D389" s="21" t="s">
        <v>129</v>
      </c>
      <c r="E389" s="12">
        <f>803.5+587</f>
        <v>1390.5</v>
      </c>
    </row>
    <row r="390">
      <c r="A390" s="5">
        <v>2024.0</v>
      </c>
      <c r="B390" s="5" t="s">
        <v>162</v>
      </c>
      <c r="C390" s="48" t="s">
        <v>119</v>
      </c>
      <c r="D390" s="21" t="s">
        <v>130</v>
      </c>
      <c r="E390" s="12">
        <v>0.0</v>
      </c>
    </row>
    <row r="391">
      <c r="A391" s="5">
        <v>2024.0</v>
      </c>
      <c r="B391" s="5" t="s">
        <v>162</v>
      </c>
      <c r="C391" s="48" t="s">
        <v>119</v>
      </c>
      <c r="D391" s="21" t="s">
        <v>131</v>
      </c>
      <c r="E391" s="12">
        <f>(+812.28+411.67+1904+13262)+(+654*7.8)</f>
        <v>21491.15</v>
      </c>
    </row>
    <row r="392">
      <c r="A392" s="5">
        <v>2024.0</v>
      </c>
      <c r="B392" s="5" t="s">
        <v>162</v>
      </c>
      <c r="C392" s="48" t="s">
        <v>119</v>
      </c>
      <c r="D392" s="21" t="s">
        <v>132</v>
      </c>
      <c r="E392" s="12">
        <f>(+420*7.8)+(+50+23+50+8+10+12+89+26+25+25+10+25+30+20+30+30+30+40+40+10+10+10+50+30+20+20+20+40+40+25+25)</f>
        <v>4149</v>
      </c>
    </row>
    <row r="393">
      <c r="A393" s="5">
        <v>2024.0</v>
      </c>
      <c r="B393" s="5" t="s">
        <v>162</v>
      </c>
      <c r="C393" s="48" t="s">
        <v>119</v>
      </c>
      <c r="D393" s="21" t="s">
        <v>133</v>
      </c>
      <c r="E393" s="12">
        <v>350.0</v>
      </c>
    </row>
    <row r="394">
      <c r="A394" s="5">
        <v>2024.0</v>
      </c>
      <c r="B394" s="5" t="s">
        <v>162</v>
      </c>
      <c r="C394" s="48" t="s">
        <v>119</v>
      </c>
      <c r="D394" s="21" t="s">
        <v>134</v>
      </c>
      <c r="E394" s="16"/>
    </row>
    <row r="395">
      <c r="A395" s="5">
        <v>2024.0</v>
      </c>
      <c r="B395" s="5" t="s">
        <v>162</v>
      </c>
      <c r="C395" s="48" t="s">
        <v>119</v>
      </c>
      <c r="D395" s="21" t="s">
        <v>135</v>
      </c>
      <c r="E395" s="16"/>
    </row>
    <row r="396">
      <c r="A396" s="5">
        <v>2024.0</v>
      </c>
      <c r="B396" s="5" t="s">
        <v>162</v>
      </c>
      <c r="C396" s="48" t="s">
        <v>119</v>
      </c>
      <c r="D396" s="21" t="s">
        <v>136</v>
      </c>
      <c r="E396" s="16"/>
    </row>
    <row r="397">
      <c r="A397" s="5">
        <v>2024.0</v>
      </c>
      <c r="B397" s="5" t="s">
        <v>162</v>
      </c>
      <c r="C397" s="48" t="s">
        <v>119</v>
      </c>
      <c r="D397" s="21" t="s">
        <v>137</v>
      </c>
      <c r="E397" s="39">
        <v>0.0</v>
      </c>
    </row>
    <row r="398">
      <c r="A398" s="5">
        <v>2024.0</v>
      </c>
      <c r="B398" s="5" t="s">
        <v>162</v>
      </c>
      <c r="C398" s="48" t="s">
        <v>119</v>
      </c>
      <c r="D398" s="21" t="s">
        <v>113</v>
      </c>
      <c r="E398" s="16"/>
    </row>
    <row r="399">
      <c r="A399" s="5">
        <v>2024.0</v>
      </c>
      <c r="B399" s="5" t="s">
        <v>162</v>
      </c>
      <c r="C399" s="1" t="s">
        <v>138</v>
      </c>
      <c r="E399" s="16">
        <f>SUM(E350:E398)</f>
        <v>693218.48</v>
      </c>
    </row>
    <row r="400">
      <c r="A400" s="5">
        <v>2024.0</v>
      </c>
      <c r="B400" s="5" t="s">
        <v>162</v>
      </c>
      <c r="C400" s="1" t="s">
        <v>139</v>
      </c>
      <c r="E400" s="12">
        <f>(+(2825.79+2420+12000+7800+1486.82+5250+3000+49583.33+1333.33+12800+10000+13104+20254.83+4977.82+10892.47+40)+(750+1816.23+335.41+952+833.33+783.13)*7.8)</f>
        <v>200435.17</v>
      </c>
    </row>
    <row r="401">
      <c r="A401" s="5">
        <v>2024.0</v>
      </c>
      <c r="B401" s="5" t="s">
        <v>162</v>
      </c>
      <c r="C401" s="1" t="s">
        <v>140</v>
      </c>
      <c r="E401" s="12">
        <v>53105.24</v>
      </c>
    </row>
    <row r="402">
      <c r="A402" s="5">
        <v>2024.0</v>
      </c>
      <c r="B402" s="5" t="s">
        <v>162</v>
      </c>
      <c r="C402" s="1" t="s">
        <v>141</v>
      </c>
      <c r="E402" s="12">
        <v>58936.53</v>
      </c>
    </row>
    <row r="403">
      <c r="A403" s="5">
        <v>2024.0</v>
      </c>
      <c r="B403" s="5" t="s">
        <v>162</v>
      </c>
      <c r="C403" s="1" t="s">
        <v>142</v>
      </c>
      <c r="E403" s="16"/>
    </row>
    <row r="404">
      <c r="A404" s="5">
        <v>2024.0</v>
      </c>
      <c r="B404" s="5" t="s">
        <v>162</v>
      </c>
      <c r="C404" s="1" t="s">
        <v>143</v>
      </c>
      <c r="E404" s="16"/>
    </row>
    <row r="405">
      <c r="E405" s="16"/>
    </row>
    <row r="406">
      <c r="E406" s="16"/>
    </row>
    <row r="407">
      <c r="C407" s="56" t="s">
        <v>146</v>
      </c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  <row r="996">
      <c r="E996" s="16"/>
    </row>
    <row r="997">
      <c r="E997" s="16"/>
    </row>
    <row r="998">
      <c r="E998" s="16"/>
    </row>
    <row r="999">
      <c r="E999" s="16"/>
    </row>
    <row r="1000">
      <c r="E1000" s="16"/>
    </row>
    <row r="1001">
      <c r="E1001" s="16"/>
    </row>
    <row r="1002">
      <c r="E1002" s="1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4.38"/>
    <col customWidth="1" min="3" max="3" width="17.38"/>
    <col customWidth="1" min="4" max="4" width="16.75"/>
    <col customWidth="1" min="5" max="5" width="15.38"/>
    <col customWidth="1" min="7" max="7" width="14.38"/>
    <col customWidth="1" min="8" max="8" width="19.13"/>
  </cols>
  <sheetData>
    <row r="1">
      <c r="A1" s="61" t="s">
        <v>0</v>
      </c>
      <c r="B1" s="21" t="s">
        <v>163</v>
      </c>
      <c r="C1" s="21" t="s">
        <v>164</v>
      </c>
      <c r="D1" s="21" t="s">
        <v>54</v>
      </c>
      <c r="E1" s="61" t="s">
        <v>165</v>
      </c>
      <c r="F1" s="61" t="s">
        <v>166</v>
      </c>
      <c r="G1" s="61" t="s">
        <v>167</v>
      </c>
      <c r="H1" s="21" t="s">
        <v>168</v>
      </c>
      <c r="I1" s="61" t="s">
        <v>57</v>
      </c>
    </row>
    <row r="2">
      <c r="A2" s="62">
        <v>45231.0</v>
      </c>
      <c r="B2" s="61">
        <v>2.0</v>
      </c>
      <c r="C2" s="19"/>
      <c r="D2" s="19"/>
      <c r="E2" s="63"/>
      <c r="F2" s="63"/>
      <c r="G2" s="63"/>
      <c r="H2" s="19"/>
      <c r="I2" s="14">
        <v>44.0</v>
      </c>
    </row>
    <row r="3">
      <c r="A3" s="62">
        <v>45232.0</v>
      </c>
      <c r="B3" s="61">
        <v>0.0</v>
      </c>
      <c r="C3" s="19"/>
      <c r="D3" s="19"/>
      <c r="E3" s="63"/>
      <c r="F3" s="63"/>
      <c r="G3" s="63"/>
      <c r="H3" s="19"/>
      <c r="I3" s="14">
        <v>44.0</v>
      </c>
    </row>
    <row r="4">
      <c r="A4" s="62">
        <v>45233.0</v>
      </c>
      <c r="B4" s="61">
        <v>3.0</v>
      </c>
      <c r="C4" s="19"/>
      <c r="D4" s="19"/>
      <c r="E4" s="63"/>
      <c r="F4" s="63"/>
      <c r="G4" s="63"/>
      <c r="H4" s="19"/>
      <c r="I4" s="14">
        <v>44.0</v>
      </c>
    </row>
    <row r="5">
      <c r="A5" s="62">
        <v>45234.0</v>
      </c>
      <c r="B5" s="61">
        <v>0.0</v>
      </c>
      <c r="C5" s="19"/>
      <c r="D5" s="19"/>
      <c r="E5" s="19"/>
      <c r="F5" s="19"/>
      <c r="G5" s="19"/>
      <c r="H5" s="19"/>
      <c r="I5" s="14">
        <v>44.0</v>
      </c>
    </row>
    <row r="6">
      <c r="A6" s="62">
        <v>45235.0</v>
      </c>
      <c r="B6" s="61">
        <v>0.0</v>
      </c>
      <c r="C6" s="19"/>
      <c r="D6" s="19"/>
      <c r="E6" s="19"/>
      <c r="F6" s="19"/>
      <c r="G6" s="19"/>
      <c r="H6" s="19"/>
      <c r="I6" s="14">
        <v>45.0</v>
      </c>
    </row>
    <row r="7">
      <c r="A7" s="62">
        <v>45236.0</v>
      </c>
      <c r="B7" s="61">
        <v>2.0</v>
      </c>
      <c r="C7" s="19"/>
      <c r="D7" s="19"/>
      <c r="E7" s="19"/>
      <c r="F7" s="19"/>
      <c r="G7" s="19"/>
      <c r="H7" s="19"/>
      <c r="I7" s="14">
        <v>45.0</v>
      </c>
    </row>
    <row r="8">
      <c r="A8" s="62">
        <v>45237.0</v>
      </c>
      <c r="B8" s="61">
        <v>0.0</v>
      </c>
      <c r="C8" s="19"/>
      <c r="D8" s="19"/>
      <c r="E8" s="19"/>
      <c r="F8" s="19"/>
      <c r="G8" s="19"/>
      <c r="H8" s="19"/>
      <c r="I8" s="14">
        <v>45.0</v>
      </c>
    </row>
    <row r="9">
      <c r="A9" s="62">
        <v>45238.0</v>
      </c>
      <c r="B9" s="61">
        <v>1.0</v>
      </c>
      <c r="C9" s="19"/>
      <c r="D9" s="19"/>
      <c r="E9" s="19"/>
      <c r="F9" s="19"/>
      <c r="G9" s="19"/>
      <c r="H9" s="19"/>
      <c r="I9" s="14">
        <v>45.0</v>
      </c>
    </row>
    <row r="10">
      <c r="A10" s="62">
        <v>45239.0</v>
      </c>
      <c r="B10" s="61">
        <v>3.0</v>
      </c>
      <c r="C10" s="19"/>
      <c r="D10" s="19"/>
      <c r="E10" s="63"/>
      <c r="F10" s="63"/>
      <c r="G10" s="63"/>
      <c r="H10" s="19"/>
      <c r="I10" s="14">
        <v>45.0</v>
      </c>
    </row>
    <row r="11">
      <c r="A11" s="62">
        <v>45240.0</v>
      </c>
      <c r="B11" s="61">
        <v>1.0</v>
      </c>
      <c r="C11" s="61">
        <v>3.0</v>
      </c>
      <c r="D11" s="61">
        <v>6.0</v>
      </c>
      <c r="E11" s="61">
        <v>8.0</v>
      </c>
      <c r="F11" s="61" t="s">
        <v>169</v>
      </c>
      <c r="G11" s="63"/>
      <c r="H11" s="63"/>
      <c r="I11" s="14">
        <v>45.0</v>
      </c>
    </row>
    <row r="12">
      <c r="A12" s="62">
        <v>45243.0</v>
      </c>
      <c r="B12" s="61">
        <v>1.0</v>
      </c>
      <c r="C12" s="61">
        <v>2.0</v>
      </c>
      <c r="D12" s="61">
        <v>6.0</v>
      </c>
      <c r="E12" s="61">
        <v>8.0</v>
      </c>
      <c r="F12" s="61" t="s">
        <v>169</v>
      </c>
      <c r="G12" s="63"/>
      <c r="H12" s="64"/>
      <c r="I12" s="14">
        <v>46.0</v>
      </c>
    </row>
    <row r="13">
      <c r="A13" s="62">
        <v>45244.0</v>
      </c>
      <c r="B13" s="61">
        <v>2.0</v>
      </c>
      <c r="C13" s="61">
        <v>30.0</v>
      </c>
      <c r="D13" s="61">
        <v>6.0</v>
      </c>
      <c r="E13" s="61">
        <v>8.0</v>
      </c>
      <c r="F13" s="61">
        <v>38.46</v>
      </c>
      <c r="G13" s="61">
        <v>5.0</v>
      </c>
      <c r="H13" s="65">
        <v>381000.0</v>
      </c>
      <c r="I13" s="14">
        <v>46.0</v>
      </c>
    </row>
    <row r="14">
      <c r="A14" s="62">
        <v>45245.0</v>
      </c>
      <c r="B14" s="61">
        <v>2.0</v>
      </c>
      <c r="C14" s="61">
        <v>31.0</v>
      </c>
      <c r="D14" s="61">
        <v>6.0</v>
      </c>
      <c r="E14" s="61">
        <v>8.0</v>
      </c>
      <c r="F14" s="61" t="s">
        <v>170</v>
      </c>
      <c r="G14" s="61">
        <v>2.0</v>
      </c>
      <c r="H14" s="65">
        <v>210000.0</v>
      </c>
      <c r="I14" s="14">
        <v>46.0</v>
      </c>
    </row>
    <row r="15">
      <c r="A15" s="62">
        <v>45246.0</v>
      </c>
      <c r="B15" s="61">
        <v>2.0</v>
      </c>
      <c r="C15" s="61">
        <v>33.0</v>
      </c>
      <c r="D15" s="61">
        <v>6.0</v>
      </c>
      <c r="E15" s="61">
        <v>8.0</v>
      </c>
      <c r="F15" s="61">
        <v>48.71</v>
      </c>
      <c r="G15" s="61">
        <v>1.0</v>
      </c>
      <c r="H15" s="65">
        <v>95000.0</v>
      </c>
      <c r="I15" s="14">
        <v>46.0</v>
      </c>
    </row>
    <row r="16">
      <c r="A16" s="62">
        <v>45247.0</v>
      </c>
      <c r="B16" s="61">
        <v>0.0</v>
      </c>
      <c r="C16" s="61">
        <v>28.0</v>
      </c>
      <c r="D16" s="61">
        <v>6.0</v>
      </c>
      <c r="E16" s="61">
        <v>8.0</v>
      </c>
      <c r="F16" s="61">
        <v>48.71</v>
      </c>
      <c r="G16" s="61">
        <v>5.0</v>
      </c>
      <c r="H16" s="65">
        <v>318000.0</v>
      </c>
      <c r="I16" s="14">
        <v>46.0</v>
      </c>
    </row>
    <row r="17">
      <c r="A17" s="62">
        <v>45248.0</v>
      </c>
      <c r="B17" s="61">
        <v>0.0</v>
      </c>
      <c r="C17" s="63"/>
      <c r="D17" s="61">
        <v>18.0</v>
      </c>
      <c r="E17" s="61">
        <v>8.0</v>
      </c>
      <c r="F17" s="61" t="s">
        <v>171</v>
      </c>
      <c r="G17" s="64"/>
      <c r="H17" s="64"/>
      <c r="I17" s="14">
        <v>46.0</v>
      </c>
    </row>
    <row r="18">
      <c r="A18" s="62">
        <v>45249.0</v>
      </c>
      <c r="B18" s="61">
        <v>0.0</v>
      </c>
    </row>
    <row r="19">
      <c r="A19" s="62">
        <v>45250.0</v>
      </c>
      <c r="B19" s="66">
        <v>3.0</v>
      </c>
      <c r="C19" s="66">
        <v>31.0</v>
      </c>
      <c r="D19" s="66">
        <v>5.0</v>
      </c>
      <c r="E19" s="66">
        <v>8.0</v>
      </c>
      <c r="F19" s="66">
        <v>56.0</v>
      </c>
      <c r="G19" s="66">
        <v>5.0</v>
      </c>
      <c r="H19" s="66">
        <v>318000.0</v>
      </c>
    </row>
    <row r="20">
      <c r="A20" s="62">
        <v>45251.0</v>
      </c>
      <c r="B20" s="66">
        <v>2.0</v>
      </c>
      <c r="C20" s="66">
        <v>34.0</v>
      </c>
      <c r="D20" s="66">
        <v>5.0</v>
      </c>
      <c r="E20" s="66">
        <v>8.0</v>
      </c>
      <c r="F20" s="66">
        <v>61.0</v>
      </c>
      <c r="G20" s="66">
        <v>5.0</v>
      </c>
      <c r="H20" s="66">
        <v>318000.0</v>
      </c>
    </row>
    <row r="21">
      <c r="A21" s="62">
        <v>45252.0</v>
      </c>
      <c r="B21" s="66">
        <v>1.0</v>
      </c>
      <c r="C21" s="66">
        <v>34.0</v>
      </c>
      <c r="D21" s="66">
        <v>5.0</v>
      </c>
      <c r="E21" s="66">
        <v>8.0</v>
      </c>
      <c r="F21" s="66">
        <v>65.0</v>
      </c>
      <c r="G21" s="66">
        <v>2.0</v>
      </c>
      <c r="H21" s="66">
        <v>150000.0</v>
      </c>
    </row>
    <row r="22">
      <c r="A22" s="62">
        <v>45253.0</v>
      </c>
      <c r="B22" s="66">
        <v>1.0</v>
      </c>
      <c r="C22" s="66">
        <v>34.0</v>
      </c>
      <c r="D22" s="66">
        <v>5.0</v>
      </c>
      <c r="E22" s="66">
        <v>8.0</v>
      </c>
      <c r="F22" s="66">
        <v>69.0</v>
      </c>
      <c r="G22" s="66">
        <v>0.0</v>
      </c>
      <c r="H22" s="67"/>
    </row>
    <row r="23">
      <c r="A23" s="62">
        <v>45254.0</v>
      </c>
      <c r="B23" s="66">
        <v>4.0</v>
      </c>
      <c r="C23" s="66">
        <v>33.0</v>
      </c>
      <c r="D23" s="66">
        <v>5.0</v>
      </c>
      <c r="E23" s="66">
        <v>8.0</v>
      </c>
      <c r="F23" s="66">
        <v>76.0</v>
      </c>
      <c r="G23" s="66">
        <v>7.0</v>
      </c>
      <c r="H23" s="66">
        <v>335000.0</v>
      </c>
    </row>
    <row r="24">
      <c r="A24" s="62">
        <v>45255.0</v>
      </c>
      <c r="B24" s="66">
        <v>0.0</v>
      </c>
      <c r="C24" s="66"/>
      <c r="D24" s="66"/>
      <c r="E24" s="66"/>
      <c r="F24" s="66"/>
      <c r="G24" s="66"/>
      <c r="H24" s="66"/>
    </row>
    <row r="25">
      <c r="A25" s="62">
        <v>45256.0</v>
      </c>
      <c r="B25" s="66">
        <v>0.0</v>
      </c>
      <c r="C25" s="67"/>
      <c r="D25" s="67"/>
      <c r="E25" s="67"/>
      <c r="F25" s="67"/>
      <c r="G25" s="67"/>
      <c r="H25" s="67"/>
    </row>
    <row r="26">
      <c r="A26" s="62">
        <v>45257.0</v>
      </c>
      <c r="B26" s="66">
        <v>0.0</v>
      </c>
      <c r="C26" s="66">
        <v>32.0</v>
      </c>
      <c r="D26" s="66">
        <v>5.0</v>
      </c>
      <c r="E26" s="66">
        <v>8.0</v>
      </c>
      <c r="F26" s="66">
        <v>76.0</v>
      </c>
      <c r="G26" s="66">
        <v>2.0</v>
      </c>
      <c r="H26" s="66">
        <v>85000.0</v>
      </c>
    </row>
    <row r="27">
      <c r="A27" s="62">
        <v>45258.0</v>
      </c>
      <c r="B27" s="66">
        <v>4.0</v>
      </c>
      <c r="C27" s="66">
        <v>36.0</v>
      </c>
      <c r="D27" s="66">
        <v>5.0</v>
      </c>
      <c r="E27" s="66">
        <v>8.0</v>
      </c>
      <c r="F27" s="66">
        <v>87.0</v>
      </c>
      <c r="G27" s="66">
        <v>1.0</v>
      </c>
      <c r="H27" s="66">
        <v>45000.0</v>
      </c>
    </row>
    <row r="28">
      <c r="A28" s="62">
        <v>45259.0</v>
      </c>
      <c r="B28" s="66">
        <v>3.0</v>
      </c>
      <c r="C28" s="66">
        <v>38.0</v>
      </c>
      <c r="D28" s="66">
        <v>5.0</v>
      </c>
      <c r="E28" s="66">
        <v>8.0</v>
      </c>
      <c r="F28" s="66">
        <v>94.0</v>
      </c>
      <c r="G28" s="66">
        <v>1.0</v>
      </c>
      <c r="H28" s="66">
        <v>46000.0</v>
      </c>
    </row>
    <row r="29">
      <c r="A29" s="62">
        <v>45260.0</v>
      </c>
      <c r="B29" s="66">
        <v>2.0</v>
      </c>
      <c r="C29" s="66">
        <v>39.0</v>
      </c>
      <c r="D29" s="66">
        <v>5.0</v>
      </c>
      <c r="E29" s="66">
        <v>8.0</v>
      </c>
      <c r="F29" s="66">
        <v>100.0</v>
      </c>
      <c r="G29" s="67"/>
      <c r="H29" s="67"/>
    </row>
    <row r="31">
      <c r="A31" s="68">
        <v>45261.0</v>
      </c>
      <c r="B31" s="5">
        <v>0.0</v>
      </c>
    </row>
    <row r="32">
      <c r="A32" s="68">
        <v>45262.0</v>
      </c>
    </row>
    <row r="33">
      <c r="A33" s="68">
        <v>45263.0</v>
      </c>
    </row>
    <row r="34">
      <c r="A34" s="68">
        <v>45264.0</v>
      </c>
      <c r="B34" s="66">
        <v>0.0</v>
      </c>
      <c r="C34" s="66">
        <v>39.0</v>
      </c>
      <c r="D34" s="66">
        <v>5.0</v>
      </c>
      <c r="E34" s="66">
        <v>11.0</v>
      </c>
      <c r="F34" s="69">
        <v>0.0</v>
      </c>
      <c r="G34" s="66">
        <v>10.0</v>
      </c>
      <c r="H34" s="66">
        <v>270000.0</v>
      </c>
    </row>
    <row r="35">
      <c r="A35" s="68">
        <v>45265.0</v>
      </c>
      <c r="B35" s="66">
        <v>1.0</v>
      </c>
      <c r="C35" s="66">
        <v>4.0</v>
      </c>
      <c r="D35" s="66">
        <v>5.0</v>
      </c>
      <c r="E35" s="66">
        <v>11.0</v>
      </c>
      <c r="F35" s="69">
        <v>0.025</v>
      </c>
      <c r="G35" s="66">
        <v>8.0</v>
      </c>
      <c r="H35" s="66">
        <v>140000.0</v>
      </c>
    </row>
    <row r="36">
      <c r="A36" s="68">
        <v>45266.0</v>
      </c>
      <c r="B36" s="66">
        <v>1.0</v>
      </c>
      <c r="C36" s="66">
        <v>8.0</v>
      </c>
      <c r="D36" s="66">
        <v>5.0</v>
      </c>
      <c r="E36" s="66">
        <v>11.0</v>
      </c>
      <c r="F36" s="69">
        <v>0.051</v>
      </c>
      <c r="G36" s="66">
        <v>6.0</v>
      </c>
      <c r="H36" s="66">
        <v>91000.0</v>
      </c>
    </row>
    <row r="37">
      <c r="A37" s="68">
        <v>45267.0</v>
      </c>
      <c r="B37" s="66">
        <v>2.0</v>
      </c>
      <c r="C37" s="66">
        <v>11.0</v>
      </c>
      <c r="D37" s="66">
        <v>5.0</v>
      </c>
      <c r="E37" s="66">
        <v>11.0</v>
      </c>
      <c r="F37" s="69">
        <v>0.1</v>
      </c>
      <c r="G37" s="66">
        <v>6.0</v>
      </c>
      <c r="H37" s="66">
        <v>91000.0</v>
      </c>
    </row>
    <row r="38">
      <c r="A38" s="68">
        <v>45268.0</v>
      </c>
      <c r="B38" s="66">
        <v>1.0</v>
      </c>
      <c r="C38" s="66">
        <v>10.0</v>
      </c>
      <c r="D38" s="66">
        <v>5.0</v>
      </c>
      <c r="E38" s="66">
        <v>11.0</v>
      </c>
      <c r="F38" s="69">
        <v>0.12</v>
      </c>
      <c r="G38" s="66">
        <v>6.0</v>
      </c>
      <c r="H38" s="66">
        <v>91000.0</v>
      </c>
    </row>
    <row r="39">
      <c r="A39" s="68">
        <v>45269.0</v>
      </c>
      <c r="B39" s="66"/>
      <c r="C39" s="67"/>
      <c r="D39" s="67"/>
      <c r="E39" s="67"/>
      <c r="F39" s="70"/>
      <c r="G39" s="67"/>
      <c r="H39" s="67"/>
    </row>
    <row r="40">
      <c r="A40" s="68">
        <v>45270.0</v>
      </c>
      <c r="B40" s="66"/>
      <c r="C40" s="67"/>
      <c r="D40" s="66"/>
      <c r="E40" s="67"/>
      <c r="F40" s="70"/>
      <c r="G40" s="67"/>
      <c r="H40" s="67"/>
    </row>
    <row r="41">
      <c r="A41" s="68">
        <v>45271.0</v>
      </c>
      <c r="B41" s="66">
        <v>0.0</v>
      </c>
      <c r="C41" s="67"/>
      <c r="D41" s="66">
        <v>5.0</v>
      </c>
      <c r="E41" s="66">
        <v>11.0</v>
      </c>
      <c r="F41" s="70"/>
      <c r="G41" s="67"/>
      <c r="H41" s="67"/>
    </row>
    <row r="42">
      <c r="A42" s="68">
        <v>45272.0</v>
      </c>
      <c r="B42" s="66">
        <v>0.0</v>
      </c>
      <c r="C42" s="67"/>
      <c r="D42" s="66">
        <v>5.0</v>
      </c>
      <c r="E42" s="66">
        <v>11.0</v>
      </c>
      <c r="F42" s="69">
        <v>0.12</v>
      </c>
      <c r="G42" s="66">
        <v>8.0</v>
      </c>
      <c r="H42" s="66">
        <v>361000.0</v>
      </c>
    </row>
    <row r="43">
      <c r="A43" s="68">
        <v>45273.0</v>
      </c>
      <c r="B43" s="66">
        <v>1.0</v>
      </c>
      <c r="C43" s="67"/>
      <c r="D43" s="67"/>
      <c r="E43" s="67"/>
      <c r="F43" s="70"/>
      <c r="G43" s="67"/>
      <c r="H43" s="67"/>
    </row>
    <row r="44">
      <c r="A44" s="68">
        <v>45274.0</v>
      </c>
      <c r="B44" s="66">
        <v>1.0</v>
      </c>
      <c r="C44" s="67"/>
      <c r="D44" s="66">
        <v>5.0</v>
      </c>
      <c r="E44" s="66">
        <v>11.0</v>
      </c>
      <c r="F44" s="69">
        <v>0.17</v>
      </c>
      <c r="G44" s="66">
        <v>3.0</v>
      </c>
      <c r="H44" s="66">
        <v>238000.0</v>
      </c>
    </row>
    <row r="45">
      <c r="A45" s="68">
        <v>45275.0</v>
      </c>
      <c r="B45" s="66">
        <v>2.0</v>
      </c>
      <c r="C45" s="67"/>
      <c r="D45" s="66">
        <v>5.0</v>
      </c>
      <c r="E45" s="66">
        <v>11.0</v>
      </c>
      <c r="F45" s="69">
        <v>0.23</v>
      </c>
      <c r="G45" s="66">
        <v>4.0</v>
      </c>
      <c r="H45" s="66">
        <v>265000.0</v>
      </c>
    </row>
    <row r="46">
      <c r="A46" s="68">
        <v>45276.0</v>
      </c>
      <c r="B46" s="66">
        <v>0.0</v>
      </c>
      <c r="C46" s="67"/>
      <c r="D46" s="67"/>
      <c r="E46" s="67"/>
      <c r="F46" s="70"/>
      <c r="G46" s="67"/>
      <c r="H46" s="67"/>
    </row>
    <row r="47">
      <c r="A47" s="68">
        <v>45277.0</v>
      </c>
      <c r="B47" s="66">
        <v>0.0</v>
      </c>
      <c r="C47" s="67"/>
      <c r="D47" s="67"/>
      <c r="E47" s="67"/>
      <c r="F47" s="70"/>
      <c r="G47" s="67"/>
      <c r="H47" s="67"/>
    </row>
    <row r="48">
      <c r="A48" s="68">
        <v>45278.0</v>
      </c>
      <c r="B48" s="66">
        <v>1.0</v>
      </c>
      <c r="C48" s="67"/>
      <c r="D48" s="66">
        <v>5.0</v>
      </c>
      <c r="E48" s="66">
        <v>11.0</v>
      </c>
      <c r="F48" s="69">
        <v>0.25</v>
      </c>
      <c r="G48" s="66">
        <v>4.0</v>
      </c>
      <c r="H48" s="66">
        <v>265000.0</v>
      </c>
    </row>
    <row r="49">
      <c r="A49" s="68">
        <v>45279.0</v>
      </c>
      <c r="B49" s="66">
        <v>5.0</v>
      </c>
      <c r="C49" s="67"/>
      <c r="D49" s="66">
        <v>5.0</v>
      </c>
      <c r="E49" s="66">
        <v>11.0</v>
      </c>
      <c r="F49" s="69">
        <v>0.38</v>
      </c>
      <c r="G49" s="66">
        <v>4.0</v>
      </c>
      <c r="H49" s="66">
        <v>265000.0</v>
      </c>
    </row>
    <row r="50">
      <c r="A50" s="68">
        <v>45280.0</v>
      </c>
      <c r="B50" s="66">
        <v>2.0</v>
      </c>
      <c r="C50" s="67"/>
      <c r="D50" s="66">
        <v>5.0</v>
      </c>
      <c r="E50" s="66">
        <v>11.0</v>
      </c>
      <c r="F50" s="69">
        <v>0.62</v>
      </c>
      <c r="G50" s="66">
        <v>2.0</v>
      </c>
      <c r="H50" s="66">
        <v>110000.0</v>
      </c>
    </row>
    <row r="51">
      <c r="A51" s="68">
        <v>45281.0</v>
      </c>
      <c r="B51" s="66">
        <v>2.0</v>
      </c>
      <c r="C51" s="67"/>
      <c r="D51" s="67"/>
      <c r="E51" s="67"/>
      <c r="F51" s="70"/>
      <c r="G51" s="67"/>
      <c r="H51" s="67"/>
    </row>
    <row r="52">
      <c r="A52" s="68">
        <v>45282.0</v>
      </c>
      <c r="B52" s="67"/>
      <c r="C52" s="67"/>
      <c r="D52" s="67"/>
      <c r="E52" s="67"/>
      <c r="F52" s="67"/>
      <c r="G52" s="67"/>
      <c r="H52" s="67"/>
    </row>
    <row r="53">
      <c r="A53" s="71"/>
      <c r="B53" s="67"/>
    </row>
    <row r="54">
      <c r="A54" s="71">
        <v>45293.0</v>
      </c>
      <c r="B54" s="66">
        <v>0.0</v>
      </c>
      <c r="C54" s="67"/>
      <c r="D54" s="67"/>
      <c r="E54" s="66">
        <v>3.0</v>
      </c>
      <c r="F54" s="67"/>
      <c r="G54" s="66">
        <v>3.0</v>
      </c>
      <c r="H54" s="66">
        <v>185000.0</v>
      </c>
    </row>
    <row r="55">
      <c r="A55" s="71">
        <v>45294.0</v>
      </c>
      <c r="B55" s="66">
        <v>0.0</v>
      </c>
      <c r="E55" s="5">
        <v>3.0</v>
      </c>
    </row>
    <row r="56">
      <c r="A56" s="71">
        <v>45295.0</v>
      </c>
      <c r="B56" s="66">
        <v>1.0</v>
      </c>
      <c r="C56" s="67"/>
      <c r="D56" s="67"/>
      <c r="E56" s="66">
        <v>1.0</v>
      </c>
      <c r="F56" s="67"/>
      <c r="G56" s="66">
        <v>1.0</v>
      </c>
      <c r="H56" s="66">
        <v>65000.0</v>
      </c>
    </row>
    <row r="57">
      <c r="A57" s="71">
        <v>45296.0</v>
      </c>
      <c r="B57" s="66">
        <v>1.0</v>
      </c>
      <c r="C57" s="67"/>
      <c r="D57" s="67"/>
      <c r="E57" s="67"/>
      <c r="F57" s="67"/>
      <c r="G57" s="66">
        <v>6.0</v>
      </c>
      <c r="H57" s="66">
        <v>382000.0</v>
      </c>
    </row>
    <row r="58">
      <c r="A58" s="67"/>
      <c r="B58" s="67"/>
      <c r="C58" s="67"/>
      <c r="D58" s="67"/>
      <c r="E58" s="67"/>
      <c r="F58" s="67"/>
      <c r="G58" s="67"/>
      <c r="H58" s="67"/>
    </row>
    <row r="59">
      <c r="A59" s="72">
        <v>45299.0</v>
      </c>
      <c r="B59" s="66">
        <v>1.0</v>
      </c>
      <c r="C59" s="67"/>
      <c r="D59" s="67"/>
      <c r="E59" s="67"/>
      <c r="F59" s="67"/>
      <c r="G59" s="66">
        <v>6.0</v>
      </c>
      <c r="H59" s="66">
        <v>382000.0</v>
      </c>
    </row>
    <row r="60">
      <c r="A60" s="72">
        <v>45300.0</v>
      </c>
      <c r="B60" s="66">
        <v>0.0</v>
      </c>
      <c r="C60" s="67"/>
      <c r="D60" s="67"/>
      <c r="E60" s="67"/>
      <c r="F60" s="67"/>
      <c r="G60" s="66">
        <v>6.0</v>
      </c>
      <c r="H60" s="66">
        <v>382000.0</v>
      </c>
    </row>
    <row r="61">
      <c r="A61" s="72">
        <v>45301.0</v>
      </c>
      <c r="B61" s="66">
        <v>0.0</v>
      </c>
      <c r="C61" s="67"/>
      <c r="D61" s="67"/>
      <c r="E61" s="67"/>
      <c r="F61" s="67"/>
      <c r="G61" s="66">
        <v>5.0</v>
      </c>
      <c r="H61" s="66">
        <v>307000.0</v>
      </c>
    </row>
    <row r="62">
      <c r="A62" s="72">
        <v>45302.0</v>
      </c>
      <c r="B62" s="66">
        <v>0.0</v>
      </c>
      <c r="C62" s="67"/>
      <c r="D62" s="67"/>
      <c r="E62" s="67"/>
      <c r="F62" s="67"/>
      <c r="G62" s="67"/>
      <c r="H62" s="67"/>
    </row>
    <row r="63">
      <c r="A63" s="72">
        <v>45303.0</v>
      </c>
      <c r="B63" s="66">
        <v>2.0</v>
      </c>
      <c r="C63" s="67"/>
      <c r="D63" s="67"/>
      <c r="E63" s="67"/>
      <c r="F63" s="67"/>
      <c r="G63" s="66">
        <v>5.0</v>
      </c>
      <c r="H63" s="66">
        <v>307000.0</v>
      </c>
    </row>
    <row r="64">
      <c r="A64" s="67"/>
      <c r="B64" s="67"/>
      <c r="C64" s="67"/>
      <c r="D64" s="67"/>
      <c r="E64" s="67"/>
      <c r="F64" s="67"/>
      <c r="G64" s="67"/>
      <c r="H64" s="67"/>
    </row>
    <row r="65">
      <c r="A65" s="72">
        <v>45306.0</v>
      </c>
      <c r="B65" s="66">
        <v>1.0</v>
      </c>
      <c r="C65" s="67"/>
      <c r="D65" s="67"/>
      <c r="E65" s="67"/>
      <c r="F65" s="67"/>
      <c r="G65" s="66">
        <v>6.0</v>
      </c>
      <c r="H65" s="66">
        <v>482000.0</v>
      </c>
    </row>
    <row r="66">
      <c r="A66" s="72">
        <v>45307.0</v>
      </c>
      <c r="B66" s="66">
        <v>0.0</v>
      </c>
      <c r="C66" s="67"/>
      <c r="D66" s="67"/>
      <c r="E66" s="67"/>
      <c r="F66" s="67"/>
      <c r="G66" s="67"/>
      <c r="H66" s="67"/>
    </row>
    <row r="67">
      <c r="A67" s="72">
        <v>45308.0</v>
      </c>
      <c r="B67" s="66">
        <v>3.0</v>
      </c>
      <c r="C67" s="67"/>
      <c r="D67" s="67"/>
      <c r="E67" s="67"/>
      <c r="F67" s="67"/>
      <c r="G67" s="66">
        <v>4.0</v>
      </c>
      <c r="H67" s="66">
        <v>218000.0</v>
      </c>
    </row>
    <row r="68">
      <c r="A68" s="72">
        <v>45309.0</v>
      </c>
      <c r="B68" s="66">
        <v>3.0</v>
      </c>
      <c r="C68" s="67"/>
      <c r="D68" s="67"/>
      <c r="E68" s="67"/>
      <c r="F68" s="67"/>
      <c r="G68" s="66">
        <v>9.0</v>
      </c>
      <c r="H68" s="66">
        <v>455000.0</v>
      </c>
    </row>
    <row r="69">
      <c r="A69" s="72">
        <v>45310.0</v>
      </c>
      <c r="B69" s="66">
        <v>4.0</v>
      </c>
      <c r="C69" s="67"/>
      <c r="D69" s="67"/>
      <c r="E69" s="67"/>
      <c r="F69" s="67"/>
      <c r="G69" s="66">
        <v>9.0</v>
      </c>
      <c r="H69" s="66">
        <v>455000.0</v>
      </c>
    </row>
    <row r="70">
      <c r="A70" s="67"/>
      <c r="B70" s="67"/>
      <c r="C70" s="67"/>
      <c r="D70" s="67"/>
      <c r="E70" s="67"/>
      <c r="F70" s="67"/>
      <c r="G70" s="67"/>
      <c r="H70" s="67"/>
    </row>
    <row r="71">
      <c r="A71" s="72">
        <v>45313.0</v>
      </c>
      <c r="B71" s="66">
        <v>1.0</v>
      </c>
      <c r="C71" s="67"/>
      <c r="D71" s="67"/>
      <c r="E71" s="67"/>
      <c r="F71" s="67"/>
      <c r="G71" s="66">
        <v>7.0</v>
      </c>
      <c r="H71" s="66">
        <v>383000.0</v>
      </c>
    </row>
    <row r="72">
      <c r="A72" s="72">
        <v>45314.0</v>
      </c>
      <c r="B72" s="66">
        <v>1.0</v>
      </c>
      <c r="C72" s="67"/>
      <c r="D72" s="67"/>
      <c r="E72" s="67"/>
      <c r="F72" s="67"/>
      <c r="G72" s="66">
        <v>5.0</v>
      </c>
      <c r="H72" s="66">
        <v>250000.0</v>
      </c>
    </row>
    <row r="73">
      <c r="A73" s="72">
        <v>45315.0</v>
      </c>
      <c r="B73" s="66">
        <v>1.0</v>
      </c>
      <c r="C73" s="67"/>
      <c r="D73" s="67"/>
      <c r="E73" s="67"/>
      <c r="F73" s="67"/>
      <c r="G73" s="66">
        <v>4.0</v>
      </c>
      <c r="H73" s="66">
        <v>181000.0</v>
      </c>
    </row>
    <row r="74">
      <c r="A74" s="72">
        <v>45316.0</v>
      </c>
      <c r="B74" s="66">
        <v>5.0</v>
      </c>
      <c r="C74" s="67"/>
      <c r="D74" s="67"/>
      <c r="E74" s="67"/>
      <c r="F74" s="67"/>
      <c r="G74" s="66">
        <v>3.0</v>
      </c>
      <c r="H74" s="66">
        <v>140000.0</v>
      </c>
    </row>
    <row r="75">
      <c r="A75" s="72">
        <v>45317.0</v>
      </c>
      <c r="B75" s="66">
        <v>1.0</v>
      </c>
      <c r="C75" s="67"/>
      <c r="D75" s="67"/>
      <c r="E75" s="67"/>
      <c r="F75" s="67"/>
      <c r="G75" s="66">
        <v>7.0</v>
      </c>
      <c r="H75" s="66">
        <v>730000.0</v>
      </c>
    </row>
    <row r="76">
      <c r="A76" s="67"/>
      <c r="B76" s="67"/>
      <c r="C76" s="67"/>
      <c r="D76" s="67"/>
      <c r="E76" s="67"/>
      <c r="F76" s="67"/>
      <c r="G76" s="67"/>
      <c r="H76" s="67"/>
    </row>
    <row r="77">
      <c r="A77" s="72">
        <v>45320.0</v>
      </c>
      <c r="B77" s="66">
        <v>0.0</v>
      </c>
      <c r="C77" s="67"/>
      <c r="D77" s="67"/>
      <c r="E77" s="67"/>
      <c r="F77" s="67"/>
      <c r="G77" s="66">
        <v>2.0</v>
      </c>
      <c r="H77" s="66">
        <v>140000.0</v>
      </c>
    </row>
    <row r="78">
      <c r="A78" s="72">
        <v>45321.0</v>
      </c>
      <c r="B78" s="66">
        <v>4.0</v>
      </c>
      <c r="C78" s="67"/>
      <c r="D78" s="67"/>
      <c r="E78" s="67"/>
      <c r="F78" s="67"/>
      <c r="G78" s="67"/>
      <c r="H78" s="67"/>
    </row>
    <row r="79">
      <c r="A79" s="72">
        <v>45322.0</v>
      </c>
      <c r="B79" s="66">
        <v>2.0</v>
      </c>
      <c r="C79" s="67"/>
      <c r="D79" s="67"/>
      <c r="E79" s="67"/>
      <c r="F79" s="67"/>
      <c r="G79" s="66">
        <v>2.0</v>
      </c>
      <c r="H79" s="66">
        <v>131000.0</v>
      </c>
    </row>
    <row r="80">
      <c r="A80" s="67"/>
      <c r="B80" s="67"/>
      <c r="C80" s="67"/>
      <c r="D80" s="67"/>
      <c r="E80" s="67"/>
      <c r="F80" s="67"/>
      <c r="G80" s="67"/>
      <c r="H80" s="67"/>
    </row>
    <row r="81">
      <c r="A81" s="72">
        <v>45323.0</v>
      </c>
      <c r="B81" s="66">
        <v>0.0</v>
      </c>
      <c r="C81" s="67"/>
      <c r="D81" s="67"/>
      <c r="E81" s="67"/>
      <c r="F81" s="67"/>
      <c r="G81" s="66">
        <v>10.0</v>
      </c>
      <c r="H81" s="66">
        <v>830000.0</v>
      </c>
    </row>
    <row r="82">
      <c r="A82" s="72">
        <v>45324.0</v>
      </c>
      <c r="B82" s="66">
        <v>2.0</v>
      </c>
      <c r="C82" s="67"/>
      <c r="D82" s="67"/>
      <c r="E82" s="67"/>
      <c r="F82" s="67"/>
      <c r="G82" s="67"/>
      <c r="H82" s="67"/>
    </row>
    <row r="83">
      <c r="A83" s="72"/>
      <c r="B83" s="67"/>
      <c r="C83" s="67"/>
      <c r="D83" s="67"/>
      <c r="E83" s="67"/>
      <c r="F83" s="67"/>
      <c r="G83" s="67"/>
      <c r="H83" s="67"/>
    </row>
    <row r="84">
      <c r="A84" s="72">
        <v>45327.0</v>
      </c>
      <c r="B84" s="73">
        <v>1.0</v>
      </c>
      <c r="C84" s="67"/>
      <c r="D84" s="67"/>
      <c r="E84" s="67"/>
      <c r="F84" s="67"/>
      <c r="G84" s="67"/>
      <c r="H84" s="67"/>
    </row>
    <row r="85">
      <c r="A85" s="72">
        <v>45328.0</v>
      </c>
      <c r="B85" s="74"/>
      <c r="C85" s="67"/>
      <c r="D85" s="67"/>
      <c r="E85" s="67"/>
      <c r="F85" s="67"/>
      <c r="G85" s="67"/>
      <c r="H85" s="67"/>
    </row>
    <row r="86">
      <c r="A86" s="72">
        <v>45329.0</v>
      </c>
      <c r="B86" s="73">
        <v>4.0</v>
      </c>
      <c r="C86" s="67"/>
      <c r="D86" s="67"/>
      <c r="E86" s="67"/>
      <c r="F86" s="67"/>
      <c r="G86" s="67"/>
      <c r="H86" s="67"/>
    </row>
    <row r="87">
      <c r="A87" s="72">
        <v>45330.0</v>
      </c>
      <c r="B87" s="73">
        <v>1.0</v>
      </c>
      <c r="C87" s="67"/>
      <c r="D87" s="67"/>
      <c r="E87" s="67"/>
      <c r="F87" s="67"/>
      <c r="G87" s="67"/>
      <c r="H87" s="67"/>
    </row>
    <row r="88">
      <c r="A88" s="72">
        <v>45331.0</v>
      </c>
      <c r="B88" s="73">
        <v>1.0</v>
      </c>
      <c r="C88" s="67"/>
      <c r="D88" s="67"/>
      <c r="E88" s="67"/>
      <c r="F88" s="67"/>
      <c r="G88" s="67"/>
      <c r="H88" s="67"/>
    </row>
    <row r="89">
      <c r="A89" s="67"/>
      <c r="B89" s="67"/>
      <c r="C89" s="67"/>
      <c r="D89" s="67"/>
      <c r="E89" s="67"/>
      <c r="F89" s="67"/>
      <c r="G89" s="67"/>
      <c r="H89" s="67"/>
    </row>
    <row r="90">
      <c r="A90" s="72">
        <v>45334.0</v>
      </c>
      <c r="B90" s="73">
        <v>1.0</v>
      </c>
      <c r="C90" s="67"/>
      <c r="D90" s="67"/>
      <c r="E90" s="67"/>
      <c r="F90" s="67"/>
      <c r="G90" s="67"/>
      <c r="H90" s="67"/>
    </row>
    <row r="91">
      <c r="A91" s="72">
        <v>45335.0</v>
      </c>
      <c r="B91" s="73">
        <v>1.0</v>
      </c>
      <c r="C91" s="67"/>
      <c r="D91" s="67"/>
      <c r="E91" s="67"/>
      <c r="F91" s="67"/>
      <c r="G91" s="67"/>
      <c r="H91" s="67"/>
    </row>
    <row r="92">
      <c r="A92" s="72">
        <v>45336.0</v>
      </c>
      <c r="B92" s="73">
        <v>1.0</v>
      </c>
      <c r="C92" s="67"/>
      <c r="D92" s="67"/>
      <c r="E92" s="67"/>
      <c r="F92" s="67"/>
      <c r="G92" s="67"/>
      <c r="H92" s="67"/>
    </row>
    <row r="93">
      <c r="A93" s="72">
        <v>45337.0</v>
      </c>
      <c r="B93" s="73">
        <v>1.0</v>
      </c>
      <c r="C93" s="67"/>
      <c r="D93" s="67"/>
      <c r="E93" s="67"/>
      <c r="F93" s="67"/>
      <c r="G93" s="67"/>
      <c r="H93" s="67"/>
    </row>
    <row r="94">
      <c r="A94" s="72">
        <v>45338.0</v>
      </c>
      <c r="B94" s="75">
        <v>2.0</v>
      </c>
      <c r="C94" s="67"/>
      <c r="D94" s="67"/>
      <c r="E94" s="67"/>
      <c r="F94" s="67"/>
      <c r="G94" s="73">
        <v>9.0</v>
      </c>
      <c r="H94" s="73">
        <v>672000.0</v>
      </c>
    </row>
    <row r="95">
      <c r="A95" s="67"/>
      <c r="B95" s="67"/>
      <c r="C95" s="67"/>
      <c r="D95" s="67"/>
      <c r="E95" s="67"/>
      <c r="F95" s="67"/>
      <c r="G95" s="67"/>
      <c r="H95" s="67"/>
    </row>
    <row r="96">
      <c r="A96" s="72">
        <v>45341.0</v>
      </c>
      <c r="B96" s="66">
        <v>0.0</v>
      </c>
      <c r="C96" s="67"/>
      <c r="D96" s="67"/>
      <c r="E96" s="67"/>
      <c r="F96" s="67"/>
      <c r="G96" s="66">
        <v>7.0</v>
      </c>
      <c r="H96" s="66">
        <v>387000.0</v>
      </c>
    </row>
    <row r="97">
      <c r="A97" s="72" t="s">
        <v>172</v>
      </c>
      <c r="B97" s="66">
        <v>0.0</v>
      </c>
      <c r="C97" s="67"/>
      <c r="D97" s="67"/>
      <c r="E97" s="67"/>
      <c r="F97" s="67"/>
      <c r="G97" s="67"/>
      <c r="H97" s="67"/>
    </row>
    <row r="98">
      <c r="A98" s="72">
        <v>45343.0</v>
      </c>
      <c r="B98" s="66">
        <v>1.0</v>
      </c>
      <c r="C98" s="67"/>
      <c r="D98" s="67"/>
      <c r="E98" s="67"/>
      <c r="F98" s="67"/>
      <c r="G98" s="66">
        <v>6.0</v>
      </c>
      <c r="H98" s="66">
        <v>334000.0</v>
      </c>
    </row>
    <row r="99">
      <c r="A99" s="72">
        <v>45344.0</v>
      </c>
      <c r="B99" s="66">
        <v>0.0</v>
      </c>
      <c r="C99" s="67"/>
      <c r="D99" s="67"/>
      <c r="E99" s="67"/>
      <c r="F99" s="67"/>
      <c r="G99" s="66">
        <v>12.0</v>
      </c>
      <c r="H99" s="66">
        <v>680000.0</v>
      </c>
    </row>
    <row r="100">
      <c r="A100" s="72">
        <v>45345.0</v>
      </c>
      <c r="B100" s="66">
        <v>3.0</v>
      </c>
      <c r="C100" s="67"/>
      <c r="D100" s="67"/>
      <c r="E100" s="67"/>
      <c r="F100" s="67"/>
      <c r="G100" s="66">
        <v>11.0</v>
      </c>
      <c r="H100" s="66">
        <v>470000.0</v>
      </c>
    </row>
    <row r="101">
      <c r="A101" s="67"/>
      <c r="B101" s="67"/>
      <c r="C101" s="67"/>
      <c r="D101" s="67"/>
      <c r="E101" s="67"/>
      <c r="F101" s="67"/>
      <c r="G101" s="67"/>
      <c r="H101" s="67"/>
    </row>
    <row r="102">
      <c r="A102" s="72">
        <v>45348.0</v>
      </c>
      <c r="B102" s="66">
        <v>0.0</v>
      </c>
      <c r="C102" s="67"/>
      <c r="D102" s="67"/>
      <c r="E102" s="67"/>
      <c r="F102" s="67"/>
      <c r="G102" s="66">
        <v>10.0</v>
      </c>
      <c r="H102" s="66">
        <v>315000.0</v>
      </c>
    </row>
    <row r="103">
      <c r="A103" s="72">
        <v>45349.0</v>
      </c>
      <c r="B103" s="66">
        <v>1.0</v>
      </c>
      <c r="C103" s="67"/>
      <c r="D103" s="67"/>
      <c r="E103" s="67"/>
      <c r="F103" s="67"/>
      <c r="G103" s="66">
        <v>5.0</v>
      </c>
      <c r="H103" s="66">
        <v>250000.0</v>
      </c>
    </row>
    <row r="104">
      <c r="A104" s="72">
        <v>45350.0</v>
      </c>
      <c r="B104" s="66">
        <v>5.0</v>
      </c>
    </row>
    <row r="105">
      <c r="A105" s="72">
        <v>45351.0</v>
      </c>
      <c r="B105" s="66">
        <v>0.0</v>
      </c>
      <c r="C105" s="67"/>
      <c r="D105" s="67"/>
      <c r="E105" s="67"/>
      <c r="F105" s="67"/>
      <c r="G105" s="66">
        <v>6.0</v>
      </c>
      <c r="H105" s="66">
        <v>490000.0</v>
      </c>
    </row>
    <row r="106">
      <c r="A106" s="67"/>
      <c r="B106" s="67"/>
      <c r="C106" s="67"/>
      <c r="D106" s="67"/>
      <c r="E106" s="67"/>
      <c r="F106" s="67"/>
      <c r="G106" s="67"/>
      <c r="H106" s="67"/>
    </row>
    <row r="107">
      <c r="A107" s="72">
        <v>45352.0</v>
      </c>
      <c r="B107" s="66">
        <v>0.0</v>
      </c>
      <c r="C107" s="67"/>
      <c r="D107" s="67"/>
      <c r="E107" s="67"/>
      <c r="F107" s="67"/>
      <c r="G107" s="66">
        <v>6.0</v>
      </c>
      <c r="H107" s="66">
        <v>490000.0</v>
      </c>
    </row>
    <row r="108">
      <c r="A108" s="67"/>
      <c r="B108" s="67"/>
      <c r="C108" s="67"/>
      <c r="D108" s="67"/>
      <c r="E108" s="67"/>
      <c r="F108" s="67"/>
      <c r="G108" s="67"/>
      <c r="H108" s="67"/>
    </row>
    <row r="109">
      <c r="A109" s="72">
        <v>45355.0</v>
      </c>
      <c r="B109" s="66">
        <v>0.0</v>
      </c>
      <c r="C109" s="67"/>
      <c r="D109" s="67"/>
      <c r="E109" s="67"/>
      <c r="F109" s="67"/>
      <c r="G109" s="66">
        <v>8.0</v>
      </c>
      <c r="H109" s="66">
        <v>490000.0</v>
      </c>
    </row>
    <row r="110">
      <c r="A110" s="72">
        <v>45356.0</v>
      </c>
      <c r="B110" s="66">
        <v>0.0</v>
      </c>
      <c r="C110" s="67"/>
      <c r="D110" s="67"/>
      <c r="E110" s="67"/>
      <c r="F110" s="67"/>
      <c r="G110" s="66">
        <v>5.0</v>
      </c>
      <c r="H110" s="66">
        <v>260000.0</v>
      </c>
    </row>
    <row r="111">
      <c r="A111" s="72">
        <v>45357.0</v>
      </c>
      <c r="B111" s="66">
        <v>5.0</v>
      </c>
      <c r="C111" s="67"/>
      <c r="D111" s="67"/>
      <c r="E111" s="67"/>
      <c r="F111" s="67"/>
      <c r="G111" s="67"/>
      <c r="H111" s="67"/>
    </row>
    <row r="112">
      <c r="A112" s="72">
        <v>45358.0</v>
      </c>
      <c r="B112" s="66">
        <v>1.0</v>
      </c>
      <c r="C112" s="67"/>
      <c r="D112" s="67"/>
      <c r="E112" s="67"/>
      <c r="F112" s="67"/>
      <c r="G112" s="66">
        <v>9.0</v>
      </c>
      <c r="H112" s="66">
        <v>417000.0</v>
      </c>
    </row>
    <row r="113">
      <c r="A113" s="72">
        <v>45359.0</v>
      </c>
      <c r="B113" s="66">
        <v>3.0</v>
      </c>
      <c r="C113" s="67"/>
      <c r="D113" s="67"/>
      <c r="E113" s="67"/>
      <c r="F113" s="67"/>
      <c r="G113" s="66">
        <v>9.0</v>
      </c>
      <c r="H113" s="66">
        <v>417000.0</v>
      </c>
    </row>
    <row r="114">
      <c r="A114" s="67"/>
      <c r="B114" s="67"/>
      <c r="C114" s="67"/>
      <c r="D114" s="67"/>
      <c r="E114" s="67"/>
      <c r="F114" s="67"/>
      <c r="G114" s="67"/>
      <c r="H114" s="67"/>
    </row>
    <row r="115">
      <c r="A115" s="72">
        <v>45362.0</v>
      </c>
      <c r="B115" s="66">
        <v>1.0</v>
      </c>
      <c r="C115" s="67"/>
      <c r="D115" s="67"/>
      <c r="E115" s="67"/>
      <c r="F115" s="67"/>
      <c r="G115" s="66">
        <v>9.0</v>
      </c>
      <c r="H115" s="66">
        <v>417000.0</v>
      </c>
    </row>
    <row r="116">
      <c r="A116" s="72">
        <v>45363.0</v>
      </c>
      <c r="B116" s="66">
        <v>0.0</v>
      </c>
      <c r="C116" s="67"/>
      <c r="D116" s="67"/>
      <c r="E116" s="67"/>
      <c r="F116" s="67"/>
      <c r="G116" s="67"/>
      <c r="H116" s="67"/>
    </row>
    <row r="117">
      <c r="A117" s="72">
        <v>45364.0</v>
      </c>
      <c r="B117" s="66">
        <v>1.0</v>
      </c>
      <c r="C117" s="67"/>
      <c r="D117" s="67"/>
      <c r="E117" s="67"/>
      <c r="F117" s="67"/>
      <c r="G117" s="66">
        <v>8.0</v>
      </c>
      <c r="H117" s="66">
        <v>320000.0</v>
      </c>
    </row>
    <row r="118">
      <c r="A118" s="72">
        <v>45365.0</v>
      </c>
      <c r="B118" s="66">
        <v>1.0</v>
      </c>
      <c r="C118" s="67"/>
      <c r="D118" s="67"/>
      <c r="E118" s="67"/>
      <c r="F118" s="67"/>
      <c r="G118" s="66">
        <v>9.0</v>
      </c>
      <c r="H118" s="66">
        <v>531000.0</v>
      </c>
    </row>
    <row r="119">
      <c r="A119" s="72">
        <v>45366.0</v>
      </c>
      <c r="B119" s="66">
        <v>2.0</v>
      </c>
      <c r="C119" s="67"/>
      <c r="D119" s="67"/>
      <c r="E119" s="67"/>
      <c r="F119" s="67"/>
      <c r="G119" s="67"/>
      <c r="H119" s="67"/>
    </row>
    <row r="120">
      <c r="A120" s="72"/>
      <c r="B120" s="66"/>
      <c r="C120" s="67"/>
      <c r="D120" s="67"/>
      <c r="E120" s="67"/>
      <c r="F120" s="67"/>
      <c r="G120" s="66">
        <v>7.0</v>
      </c>
      <c r="H120" s="66">
        <v>350000.0</v>
      </c>
    </row>
    <row r="121">
      <c r="A121" s="72">
        <v>45369.0</v>
      </c>
      <c r="B121" s="66">
        <v>2.0</v>
      </c>
      <c r="C121" s="67"/>
      <c r="D121" s="67"/>
      <c r="E121" s="67"/>
      <c r="F121" s="67"/>
      <c r="G121" s="67"/>
      <c r="H121" s="67"/>
    </row>
    <row r="122">
      <c r="A122" s="72">
        <v>45370.0</v>
      </c>
      <c r="B122" s="66">
        <v>0.0</v>
      </c>
      <c r="C122" s="67"/>
      <c r="D122" s="67"/>
      <c r="E122" s="67"/>
      <c r="F122" s="67"/>
      <c r="G122" s="66">
        <v>7.0</v>
      </c>
      <c r="H122" s="66">
        <v>350000.0</v>
      </c>
    </row>
    <row r="123">
      <c r="A123" s="72">
        <v>45371.0</v>
      </c>
      <c r="B123" s="66">
        <v>2.0</v>
      </c>
      <c r="C123" s="67"/>
      <c r="D123" s="67"/>
      <c r="E123" s="67"/>
      <c r="F123" s="67"/>
      <c r="G123" s="66">
        <v>5.0</v>
      </c>
      <c r="H123" s="66">
        <v>220000.0</v>
      </c>
    </row>
    <row r="124">
      <c r="A124" s="72">
        <v>45372.0</v>
      </c>
      <c r="B124" s="66">
        <v>2.0</v>
      </c>
      <c r="C124" s="67"/>
      <c r="D124" s="67"/>
      <c r="E124" s="67"/>
      <c r="F124" s="67"/>
      <c r="G124" s="66">
        <v>8.0</v>
      </c>
      <c r="H124" s="66">
        <v>904840.0</v>
      </c>
    </row>
    <row r="125">
      <c r="A125" s="72">
        <v>45373.0</v>
      </c>
      <c r="B125" s="66">
        <v>2.0</v>
      </c>
      <c r="C125" s="67"/>
      <c r="D125" s="67"/>
      <c r="E125" s="67"/>
      <c r="F125" s="67"/>
      <c r="G125" s="66">
        <v>4.0</v>
      </c>
      <c r="H125" s="66">
        <v>428000.0</v>
      </c>
    </row>
    <row r="126">
      <c r="A126" s="67"/>
      <c r="B126" s="67"/>
      <c r="C126" s="67"/>
      <c r="D126" s="67"/>
      <c r="E126" s="67"/>
      <c r="F126" s="67"/>
      <c r="G126" s="67"/>
      <c r="H126" s="67"/>
    </row>
    <row r="127">
      <c r="A127" s="72">
        <v>45376.0</v>
      </c>
      <c r="B127" s="66">
        <v>0.0</v>
      </c>
      <c r="C127" s="67"/>
      <c r="D127" s="67"/>
      <c r="E127" s="67"/>
      <c r="F127" s="67"/>
      <c r="G127" s="67"/>
      <c r="H127" s="67"/>
    </row>
    <row r="128">
      <c r="A128" s="72">
        <v>45377.0</v>
      </c>
      <c r="B128" s="66">
        <v>5.0</v>
      </c>
      <c r="C128" s="67"/>
      <c r="D128" s="67"/>
      <c r="E128" s="67"/>
      <c r="F128" s="67"/>
      <c r="G128" s="66">
        <v>7.0</v>
      </c>
      <c r="H128" s="66">
        <v>470000.0</v>
      </c>
    </row>
    <row r="129">
      <c r="A129" s="67"/>
      <c r="B129" s="67"/>
      <c r="C129" s="67"/>
      <c r="D129" s="67"/>
      <c r="E129" s="67"/>
      <c r="F129" s="67"/>
      <c r="G129" s="67"/>
      <c r="H129" s="67"/>
    </row>
    <row r="130">
      <c r="A130" s="67"/>
      <c r="B130" s="67"/>
      <c r="C130" s="67"/>
      <c r="D130" s="67"/>
      <c r="E130" s="67"/>
      <c r="F130" s="67"/>
      <c r="G130" s="67"/>
      <c r="H130" s="67"/>
    </row>
    <row r="131">
      <c r="A131" s="72">
        <v>45383.0</v>
      </c>
      <c r="B131" s="66">
        <v>0.0</v>
      </c>
      <c r="C131" s="67"/>
      <c r="D131" s="67"/>
      <c r="E131" s="67"/>
      <c r="F131" s="67"/>
      <c r="G131" s="67"/>
      <c r="H131" s="67"/>
    </row>
    <row r="132">
      <c r="A132" s="72">
        <v>45384.0</v>
      </c>
      <c r="B132" s="66">
        <v>0.0</v>
      </c>
      <c r="C132" s="67"/>
      <c r="D132" s="67"/>
      <c r="E132" s="67"/>
      <c r="F132" s="67"/>
      <c r="G132" s="67"/>
      <c r="H132" s="67"/>
    </row>
    <row r="133">
      <c r="A133" s="72">
        <v>45385.0</v>
      </c>
      <c r="B133" s="66">
        <v>1.0</v>
      </c>
      <c r="C133" s="67"/>
      <c r="D133" s="67"/>
      <c r="E133" s="67"/>
      <c r="F133" s="67"/>
      <c r="G133" s="66">
        <v>6.0</v>
      </c>
      <c r="H133" s="66">
        <v>339000.0</v>
      </c>
    </row>
    <row r="134">
      <c r="A134" s="72">
        <v>45386.0</v>
      </c>
      <c r="B134" s="66">
        <v>0.0</v>
      </c>
      <c r="C134" s="67"/>
      <c r="D134" s="67"/>
      <c r="E134" s="67"/>
      <c r="F134" s="67"/>
      <c r="G134" s="66">
        <v>7.0</v>
      </c>
      <c r="H134" s="66">
        <v>455000.0</v>
      </c>
    </row>
    <row r="135">
      <c r="A135" s="72">
        <v>45387.0</v>
      </c>
      <c r="B135" s="66">
        <v>0.0</v>
      </c>
      <c r="C135" s="67"/>
      <c r="D135" s="67"/>
      <c r="E135" s="67"/>
      <c r="F135" s="67"/>
      <c r="G135" s="66">
        <v>7.0</v>
      </c>
      <c r="H135" s="66">
        <v>455000.0</v>
      </c>
    </row>
    <row r="136">
      <c r="A136" s="67"/>
      <c r="B136" s="67"/>
      <c r="C136" s="67"/>
      <c r="D136" s="67"/>
      <c r="E136" s="67"/>
      <c r="F136" s="67"/>
      <c r="G136" s="67"/>
      <c r="H136" s="67"/>
    </row>
    <row r="137">
      <c r="A137" s="72">
        <v>45390.0</v>
      </c>
      <c r="B137" s="66">
        <v>0.0</v>
      </c>
      <c r="C137" s="67"/>
      <c r="D137" s="67"/>
      <c r="E137" s="67"/>
      <c r="F137" s="67"/>
      <c r="G137" s="66">
        <v>5.0</v>
      </c>
      <c r="H137" s="66">
        <v>363000.0</v>
      </c>
    </row>
    <row r="138">
      <c r="A138" s="72">
        <v>45391.0</v>
      </c>
      <c r="B138" s="66">
        <v>1.0</v>
      </c>
      <c r="C138" s="67"/>
      <c r="D138" s="67"/>
      <c r="E138" s="67"/>
      <c r="F138" s="67"/>
      <c r="G138" s="66">
        <v>5.0</v>
      </c>
      <c r="H138" s="66">
        <v>363000.0</v>
      </c>
    </row>
    <row r="139">
      <c r="A139" s="72">
        <v>45392.0</v>
      </c>
      <c r="B139" s="66">
        <v>2.0</v>
      </c>
      <c r="C139" s="67"/>
      <c r="D139" s="67"/>
      <c r="E139" s="67"/>
      <c r="F139" s="67"/>
      <c r="G139" s="66">
        <v>3.0</v>
      </c>
      <c r="H139" s="66">
        <v>200000.0</v>
      </c>
    </row>
    <row r="140">
      <c r="A140" s="72">
        <v>45393.0</v>
      </c>
      <c r="B140" s="66">
        <v>1.0</v>
      </c>
      <c r="C140" s="67"/>
      <c r="D140" s="67"/>
      <c r="E140" s="67"/>
      <c r="F140" s="67"/>
      <c r="G140" s="66">
        <v>3.0</v>
      </c>
      <c r="H140" s="66">
        <v>200000.0</v>
      </c>
    </row>
    <row r="141">
      <c r="A141" s="72">
        <v>45394.0</v>
      </c>
      <c r="B141" s="66">
        <v>0.0</v>
      </c>
      <c r="C141" s="67"/>
      <c r="D141" s="67"/>
      <c r="E141" s="67"/>
      <c r="F141" s="67"/>
      <c r="G141" s="66">
        <v>11.0</v>
      </c>
      <c r="H141" s="66">
        <v>653000.0</v>
      </c>
    </row>
    <row r="142">
      <c r="A142" s="67"/>
      <c r="B142" s="67"/>
      <c r="C142" s="67"/>
      <c r="D142" s="67"/>
      <c r="E142" s="67"/>
      <c r="F142" s="67"/>
      <c r="G142" s="67"/>
      <c r="H142" s="67"/>
    </row>
    <row r="143">
      <c r="A143" s="72">
        <v>45397.0</v>
      </c>
      <c r="B143" s="66">
        <v>1.0</v>
      </c>
      <c r="C143" s="67"/>
      <c r="D143" s="67"/>
      <c r="E143" s="67"/>
      <c r="F143" s="67"/>
      <c r="G143" s="66">
        <v>9.0</v>
      </c>
      <c r="H143" s="66">
        <v>355000.0</v>
      </c>
    </row>
    <row r="144">
      <c r="A144" s="72">
        <v>45398.0</v>
      </c>
      <c r="B144" s="66">
        <v>1.0</v>
      </c>
      <c r="C144" s="67"/>
      <c r="D144" s="67"/>
      <c r="E144" s="67"/>
      <c r="F144" s="67"/>
      <c r="G144" s="67"/>
      <c r="H144" s="67"/>
    </row>
    <row r="145">
      <c r="A145" s="72">
        <v>45399.0</v>
      </c>
      <c r="B145" s="66">
        <v>2.0</v>
      </c>
      <c r="C145" s="67"/>
      <c r="D145" s="67"/>
      <c r="E145" s="67"/>
      <c r="F145" s="67"/>
      <c r="G145" s="66">
        <v>6.0</v>
      </c>
      <c r="H145" s="66">
        <v>263000.0</v>
      </c>
    </row>
    <row r="146">
      <c r="A146" s="72">
        <v>45400.0</v>
      </c>
      <c r="B146" s="66">
        <v>1.0</v>
      </c>
      <c r="C146" s="67"/>
      <c r="D146" s="67"/>
      <c r="E146" s="67"/>
      <c r="F146" s="67"/>
      <c r="G146" s="67"/>
      <c r="H146" s="67"/>
    </row>
    <row r="147">
      <c r="A147" s="72">
        <v>45401.0</v>
      </c>
      <c r="B147" s="66">
        <v>1.0</v>
      </c>
      <c r="C147" s="67"/>
      <c r="D147" s="67"/>
      <c r="E147" s="67"/>
      <c r="F147" s="67"/>
      <c r="G147" s="66">
        <v>6.0</v>
      </c>
      <c r="H147" s="66">
        <v>263000.0</v>
      </c>
    </row>
    <row r="148">
      <c r="A148" s="67"/>
      <c r="B148" s="67"/>
      <c r="C148" s="67"/>
      <c r="D148" s="67"/>
      <c r="E148" s="67"/>
      <c r="F148" s="67"/>
      <c r="G148" s="67"/>
      <c r="H148" s="67"/>
    </row>
    <row r="149">
      <c r="A149" s="72">
        <v>45404.0</v>
      </c>
      <c r="B149" s="66">
        <v>0.0</v>
      </c>
      <c r="C149" s="67"/>
      <c r="D149" s="67"/>
      <c r="E149" s="67"/>
      <c r="F149" s="67"/>
      <c r="G149" s="67"/>
      <c r="H149" s="67"/>
    </row>
    <row r="150">
      <c r="A150" s="72">
        <v>45405.0</v>
      </c>
      <c r="B150" s="66">
        <v>1.0</v>
      </c>
      <c r="C150" s="67"/>
      <c r="D150" s="67"/>
      <c r="E150" s="67"/>
      <c r="F150" s="67"/>
      <c r="G150" s="67"/>
      <c r="H150" s="67"/>
    </row>
    <row r="151">
      <c r="A151" s="72">
        <v>45406.0</v>
      </c>
      <c r="B151" s="66">
        <v>3.0</v>
      </c>
      <c r="C151" s="67"/>
      <c r="D151" s="67"/>
      <c r="E151" s="67"/>
      <c r="F151" s="67"/>
      <c r="G151" s="66">
        <v>4.0</v>
      </c>
      <c r="H151" s="66">
        <v>355000.0</v>
      </c>
    </row>
    <row r="152">
      <c r="A152" s="72">
        <v>45407.0</v>
      </c>
      <c r="B152" s="66">
        <v>1.0</v>
      </c>
      <c r="C152" s="67"/>
      <c r="D152" s="67"/>
      <c r="E152" s="67"/>
      <c r="F152" s="67"/>
      <c r="G152" s="66">
        <v>4.0</v>
      </c>
      <c r="H152" s="66">
        <v>355000.0</v>
      </c>
    </row>
    <row r="153">
      <c r="A153" s="72">
        <v>45408.0</v>
      </c>
      <c r="B153" s="66">
        <v>1.0</v>
      </c>
      <c r="C153" s="67"/>
      <c r="D153" s="67"/>
      <c r="E153" s="67"/>
      <c r="F153" s="67"/>
      <c r="G153" s="66">
        <v>4.0</v>
      </c>
      <c r="H153" s="66">
        <v>355000.0</v>
      </c>
    </row>
    <row r="154">
      <c r="A154" s="67"/>
      <c r="B154" s="67"/>
      <c r="C154" s="67"/>
      <c r="D154" s="67"/>
      <c r="E154" s="67"/>
      <c r="F154" s="67"/>
      <c r="G154" s="67"/>
      <c r="H154" s="67"/>
    </row>
    <row r="155">
      <c r="A155" s="72">
        <v>45411.0</v>
      </c>
      <c r="B155" s="67"/>
      <c r="C155" s="67"/>
      <c r="D155" s="67"/>
      <c r="E155" s="67"/>
      <c r="F155" s="67"/>
      <c r="G155" s="67"/>
      <c r="H155" s="67"/>
    </row>
    <row r="156">
      <c r="A156" s="72">
        <v>45412.0</v>
      </c>
      <c r="B156" s="67"/>
      <c r="C156" s="67"/>
      <c r="D156" s="67"/>
      <c r="E156" s="67"/>
      <c r="F156" s="67"/>
      <c r="G156" s="67"/>
      <c r="H156" s="67"/>
    </row>
    <row r="157">
      <c r="A157" s="67"/>
      <c r="B157" s="67"/>
      <c r="C157" s="67"/>
      <c r="D157" s="67"/>
      <c r="E157" s="67"/>
      <c r="F157" s="67"/>
      <c r="G157" s="67"/>
      <c r="H157" s="67"/>
    </row>
    <row r="158">
      <c r="A158" s="72">
        <v>45413.0</v>
      </c>
      <c r="B158" s="67"/>
      <c r="C158" s="67"/>
      <c r="D158" s="67"/>
      <c r="E158" s="67"/>
      <c r="F158" s="67"/>
      <c r="G158" s="67"/>
      <c r="H158" s="67"/>
    </row>
    <row r="159">
      <c r="A159" s="72">
        <v>45414.0</v>
      </c>
      <c r="B159" s="66">
        <v>1.0</v>
      </c>
      <c r="C159" s="67"/>
      <c r="D159" s="67"/>
      <c r="E159" s="67"/>
      <c r="F159" s="67"/>
      <c r="G159" s="67"/>
      <c r="H159" s="67"/>
    </row>
    <row r="160">
      <c r="A160" s="72">
        <v>45385.0</v>
      </c>
      <c r="B160" s="66">
        <v>3.0</v>
      </c>
      <c r="C160" s="67"/>
      <c r="D160" s="67"/>
      <c r="E160" s="67"/>
      <c r="F160" s="67"/>
      <c r="G160" s="66">
        <v>9.0</v>
      </c>
      <c r="H160" s="66">
        <v>750000.0</v>
      </c>
    </row>
    <row r="161">
      <c r="A161" s="72"/>
      <c r="B161" s="67"/>
      <c r="C161" s="67"/>
      <c r="D161" s="67"/>
      <c r="E161" s="67"/>
      <c r="F161" s="67"/>
      <c r="G161" s="67"/>
      <c r="H161" s="67"/>
    </row>
    <row r="162">
      <c r="A162" s="72">
        <v>45418.0</v>
      </c>
      <c r="B162" s="66">
        <v>2.0</v>
      </c>
      <c r="C162" s="67"/>
      <c r="D162" s="67"/>
      <c r="E162" s="67"/>
      <c r="F162" s="67"/>
      <c r="G162" s="66">
        <v>8.0</v>
      </c>
      <c r="H162" s="66">
        <v>685000.0</v>
      </c>
    </row>
    <row r="163">
      <c r="A163" s="72">
        <v>45419.0</v>
      </c>
      <c r="B163" s="66">
        <v>0.0</v>
      </c>
      <c r="C163" s="67"/>
      <c r="D163" s="67"/>
      <c r="E163" s="67"/>
      <c r="F163" s="67"/>
      <c r="G163" s="67"/>
      <c r="H163" s="67"/>
    </row>
    <row r="164">
      <c r="A164" s="72">
        <v>45420.0</v>
      </c>
      <c r="B164" s="66">
        <v>3.0</v>
      </c>
      <c r="C164" s="67"/>
      <c r="D164" s="67"/>
      <c r="E164" s="67"/>
      <c r="F164" s="67"/>
      <c r="G164" s="67"/>
      <c r="H164" s="67"/>
    </row>
    <row r="165">
      <c r="A165" s="72">
        <v>45421.0</v>
      </c>
      <c r="B165" s="66">
        <v>3.0</v>
      </c>
      <c r="C165" s="67"/>
      <c r="D165" s="67"/>
      <c r="E165" s="67"/>
      <c r="F165" s="67"/>
      <c r="G165" s="66">
        <v>14.0</v>
      </c>
      <c r="H165" s="66">
        <v>850000.0</v>
      </c>
    </row>
    <row r="166">
      <c r="A166" s="72">
        <v>45422.0</v>
      </c>
      <c r="B166" s="66">
        <v>2.0</v>
      </c>
      <c r="C166" s="67"/>
      <c r="D166" s="67"/>
      <c r="E166" s="67"/>
      <c r="F166" s="67"/>
      <c r="G166" s="66">
        <v>14.0</v>
      </c>
      <c r="H166" s="66">
        <v>850000.0</v>
      </c>
    </row>
    <row r="167">
      <c r="A167" s="67"/>
      <c r="B167" s="67"/>
      <c r="C167" s="67"/>
      <c r="D167" s="67"/>
      <c r="E167" s="67"/>
      <c r="F167" s="67"/>
      <c r="G167" s="67"/>
      <c r="H167" s="67"/>
    </row>
    <row r="168">
      <c r="A168" s="72">
        <v>45425.0</v>
      </c>
      <c r="B168" s="66">
        <v>2.0</v>
      </c>
      <c r="C168" s="67"/>
      <c r="D168" s="67"/>
      <c r="E168" s="67"/>
      <c r="F168" s="67"/>
      <c r="G168" s="66">
        <v>12.0</v>
      </c>
      <c r="H168" s="66">
        <v>715000.0</v>
      </c>
    </row>
    <row r="169">
      <c r="A169" s="72">
        <v>45426.0</v>
      </c>
      <c r="B169" s="66">
        <v>2.0</v>
      </c>
      <c r="C169" s="67"/>
      <c r="D169" s="67"/>
      <c r="E169" s="67"/>
      <c r="F169" s="67"/>
      <c r="G169" s="67"/>
      <c r="H169" s="67"/>
    </row>
    <row r="170">
      <c r="A170" s="72">
        <v>45427.0</v>
      </c>
      <c r="B170" s="66">
        <v>3.0</v>
      </c>
      <c r="C170" s="67"/>
      <c r="D170" s="67"/>
      <c r="E170" s="67"/>
      <c r="F170" s="67"/>
      <c r="G170" s="67"/>
      <c r="H170" s="67"/>
    </row>
    <row r="171">
      <c r="A171" s="72">
        <v>45428.0</v>
      </c>
      <c r="B171" s="66">
        <v>2.0</v>
      </c>
      <c r="C171" s="67"/>
      <c r="D171" s="67"/>
      <c r="E171" s="67"/>
      <c r="F171" s="67"/>
      <c r="G171" s="66">
        <v>12.0</v>
      </c>
      <c r="H171" s="66">
        <v>715000.0</v>
      </c>
    </row>
    <row r="172">
      <c r="A172" s="72">
        <v>45429.0</v>
      </c>
      <c r="B172" s="66">
        <v>2.0</v>
      </c>
      <c r="C172" s="67"/>
      <c r="D172" s="67"/>
      <c r="E172" s="67"/>
      <c r="F172" s="67"/>
      <c r="G172" s="66">
        <v>12.0</v>
      </c>
      <c r="H172" s="66">
        <v>715000.0</v>
      </c>
    </row>
    <row r="173">
      <c r="A173" s="67"/>
      <c r="B173" s="67"/>
      <c r="C173" s="67"/>
      <c r="D173" s="67"/>
      <c r="E173" s="67"/>
      <c r="F173" s="67"/>
      <c r="G173" s="67"/>
      <c r="H173" s="67"/>
    </row>
    <row r="174">
      <c r="A174" s="72">
        <v>45432.0</v>
      </c>
      <c r="B174" s="66">
        <v>1.0</v>
      </c>
      <c r="C174" s="67"/>
      <c r="D174" s="67"/>
      <c r="E174" s="67"/>
      <c r="F174" s="67"/>
      <c r="G174" s="66">
        <v>17.0</v>
      </c>
      <c r="H174" s="66">
        <v>1082000.0</v>
      </c>
    </row>
    <row r="175">
      <c r="A175" s="72">
        <v>45433.0</v>
      </c>
      <c r="B175" s="66">
        <v>1.0</v>
      </c>
      <c r="C175" s="67"/>
      <c r="D175" s="67"/>
      <c r="E175" s="67"/>
      <c r="F175" s="67"/>
      <c r="G175" s="67"/>
      <c r="H175" s="67"/>
    </row>
    <row r="176">
      <c r="A176" s="72">
        <v>45434.0</v>
      </c>
      <c r="B176" s="66">
        <v>1.0</v>
      </c>
      <c r="C176" s="67"/>
      <c r="D176" s="67"/>
      <c r="E176" s="67"/>
      <c r="F176" s="67"/>
      <c r="G176" s="67"/>
      <c r="H176" s="67"/>
    </row>
    <row r="177">
      <c r="A177" s="72">
        <v>45435.0</v>
      </c>
      <c r="B177" s="66">
        <v>2.0</v>
      </c>
      <c r="C177" s="67"/>
      <c r="D177" s="67"/>
      <c r="E177" s="67"/>
      <c r="F177" s="67"/>
      <c r="G177" s="67"/>
      <c r="H177" s="67"/>
    </row>
    <row r="178">
      <c r="A178" s="72">
        <v>45801.0</v>
      </c>
      <c r="B178" s="66">
        <v>5.0</v>
      </c>
      <c r="G178" s="66">
        <v>13.0</v>
      </c>
      <c r="H178" s="66">
        <v>838000.0</v>
      </c>
    </row>
    <row r="179">
      <c r="A179" s="67"/>
      <c r="G179" s="67"/>
      <c r="H179" s="67"/>
    </row>
    <row r="180">
      <c r="A180" s="72">
        <v>45439.0</v>
      </c>
      <c r="B180" s="66">
        <v>0.0</v>
      </c>
      <c r="C180" s="67"/>
      <c r="D180" s="67"/>
      <c r="E180" s="67"/>
      <c r="F180" s="67"/>
      <c r="G180" s="67"/>
      <c r="H180" s="67"/>
    </row>
    <row r="181">
      <c r="A181" s="72">
        <v>45440.0</v>
      </c>
      <c r="B181" s="66">
        <v>2.0</v>
      </c>
      <c r="C181" s="67"/>
      <c r="D181" s="67"/>
      <c r="E181" s="67"/>
      <c r="F181" s="67"/>
      <c r="G181" s="67"/>
      <c r="H181" s="67"/>
    </row>
    <row r="182">
      <c r="A182" s="72">
        <v>45441.0</v>
      </c>
      <c r="B182" s="66">
        <v>2.0</v>
      </c>
      <c r="C182" s="67"/>
      <c r="D182" s="67"/>
      <c r="E182" s="67"/>
      <c r="F182" s="67"/>
      <c r="G182" s="67"/>
      <c r="H182" s="67"/>
    </row>
    <row r="183">
      <c r="A183" s="72">
        <v>45442.0</v>
      </c>
      <c r="B183" s="66">
        <v>2.0</v>
      </c>
      <c r="C183" s="67"/>
      <c r="D183" s="67"/>
      <c r="E183" s="67"/>
      <c r="F183" s="67"/>
      <c r="G183" s="67"/>
      <c r="H183" s="67"/>
    </row>
    <row r="184">
      <c r="A184" s="72">
        <v>45443.0</v>
      </c>
      <c r="B184" s="66">
        <v>7.0</v>
      </c>
      <c r="C184" s="67"/>
      <c r="D184" s="67"/>
      <c r="E184" s="67"/>
      <c r="F184" s="67"/>
      <c r="G184" s="67"/>
      <c r="H184" s="67"/>
    </row>
    <row r="185">
      <c r="A185" s="67"/>
      <c r="G185" s="67"/>
      <c r="H185" s="67"/>
    </row>
    <row r="186">
      <c r="A186" s="72">
        <v>45446.0</v>
      </c>
      <c r="B186" s="66">
        <v>0.0</v>
      </c>
      <c r="G186" s="67"/>
      <c r="H186" s="67"/>
    </row>
    <row r="187">
      <c r="A187" s="72">
        <v>45447.0</v>
      </c>
      <c r="B187" s="66">
        <v>2.0</v>
      </c>
    </row>
    <row r="188">
      <c r="A188" s="72">
        <v>45448.0</v>
      </c>
      <c r="B188" s="66">
        <v>1.0</v>
      </c>
    </row>
    <row r="189">
      <c r="A189" s="72">
        <v>45449.0</v>
      </c>
      <c r="B189" s="66">
        <v>1.0</v>
      </c>
    </row>
    <row r="190">
      <c r="A190" s="72">
        <v>45450.0</v>
      </c>
      <c r="B190" s="66">
        <v>2.0</v>
      </c>
    </row>
    <row r="191">
      <c r="A191" s="67"/>
      <c r="B191" s="67"/>
    </row>
    <row r="192">
      <c r="A192" s="72">
        <v>45453.0</v>
      </c>
      <c r="B192" s="66">
        <v>1.0</v>
      </c>
    </row>
    <row r="193">
      <c r="A193" s="72">
        <v>45454.0</v>
      </c>
      <c r="B193" s="66">
        <v>3.0</v>
      </c>
    </row>
    <row r="194">
      <c r="A194" s="72">
        <v>45455.0</v>
      </c>
      <c r="B194" s="66">
        <v>3.0</v>
      </c>
    </row>
    <row r="195">
      <c r="A195" s="72">
        <v>45456.0</v>
      </c>
      <c r="B195" s="66">
        <v>1.0</v>
      </c>
    </row>
    <row r="196">
      <c r="A196" s="72">
        <v>45457.0</v>
      </c>
      <c r="B196" s="66">
        <v>1.0</v>
      </c>
    </row>
    <row r="197" ht="6.0" customHeight="1">
      <c r="A197" s="67"/>
      <c r="B197" s="67"/>
    </row>
    <row r="198">
      <c r="A198" s="72">
        <v>45460.0</v>
      </c>
      <c r="B198" s="66">
        <v>3.0</v>
      </c>
    </row>
    <row r="199">
      <c r="A199" s="72">
        <v>45461.0</v>
      </c>
      <c r="B199" s="66">
        <v>4.0</v>
      </c>
    </row>
    <row r="200">
      <c r="A200" s="72">
        <v>45462.0</v>
      </c>
      <c r="B200" s="66">
        <v>1.0</v>
      </c>
    </row>
    <row r="201">
      <c r="A201" s="72">
        <v>45463.0</v>
      </c>
      <c r="B201" s="66">
        <v>3.0</v>
      </c>
    </row>
    <row r="202">
      <c r="A202" s="72">
        <v>45464.0</v>
      </c>
      <c r="B202" s="66">
        <v>3.0</v>
      </c>
    </row>
    <row r="203" ht="13.5" customHeight="1">
      <c r="A203" s="67"/>
      <c r="B203" s="67"/>
    </row>
    <row r="204">
      <c r="A204" s="72">
        <v>45467.0</v>
      </c>
      <c r="B204" s="66">
        <v>3.0</v>
      </c>
    </row>
    <row r="205">
      <c r="A205" s="72">
        <v>45468.0</v>
      </c>
      <c r="B205" s="66">
        <v>0.0</v>
      </c>
    </row>
    <row r="206">
      <c r="A206" s="72">
        <v>45469.0</v>
      </c>
      <c r="B206" s="66">
        <v>3.0</v>
      </c>
    </row>
    <row r="207">
      <c r="A207" s="72">
        <v>45470.0</v>
      </c>
      <c r="B207" s="66">
        <v>2.0</v>
      </c>
    </row>
    <row r="208">
      <c r="A208" s="72">
        <v>45471.0</v>
      </c>
      <c r="B208" s="66">
        <v>5.0</v>
      </c>
    </row>
    <row r="209" ht="11.25" customHeight="1">
      <c r="A209" s="67"/>
      <c r="B209" s="67"/>
    </row>
    <row r="210">
      <c r="A210" s="72">
        <v>45474.0</v>
      </c>
      <c r="B210" s="66" t="s">
        <v>173</v>
      </c>
    </row>
    <row r="211">
      <c r="A211" s="72">
        <v>45475.0</v>
      </c>
      <c r="B211" s="66">
        <v>0.0</v>
      </c>
    </row>
    <row r="212">
      <c r="A212" s="72">
        <v>45476.0</v>
      </c>
      <c r="B212" s="66">
        <v>4.0</v>
      </c>
    </row>
    <row r="213">
      <c r="A213" s="72">
        <v>45477.0</v>
      </c>
      <c r="B213" s="66">
        <v>2.0</v>
      </c>
    </row>
    <row r="214">
      <c r="A214" s="72">
        <v>45478.0</v>
      </c>
      <c r="B214" s="66">
        <v>0.0</v>
      </c>
    </row>
    <row r="215">
      <c r="A215" s="67"/>
      <c r="B215" s="67"/>
    </row>
    <row r="216">
      <c r="A216" s="72">
        <v>45481.0</v>
      </c>
      <c r="B216" s="66">
        <v>2.0</v>
      </c>
      <c r="C216" s="67"/>
      <c r="D216" s="67"/>
      <c r="E216" s="67"/>
      <c r="F216" s="67"/>
      <c r="G216" s="67"/>
      <c r="H216" s="67"/>
    </row>
    <row r="217">
      <c r="A217" s="72">
        <v>45482.0</v>
      </c>
      <c r="B217" s="66">
        <v>3.0</v>
      </c>
      <c r="C217" s="67"/>
      <c r="D217" s="67"/>
      <c r="E217" s="67"/>
      <c r="F217" s="67"/>
      <c r="G217" s="67"/>
      <c r="H217" s="67"/>
    </row>
    <row r="218">
      <c r="A218" s="72">
        <v>45483.0</v>
      </c>
      <c r="B218" s="66">
        <v>0.0</v>
      </c>
      <c r="C218" s="67"/>
      <c r="D218" s="67"/>
      <c r="E218" s="67"/>
      <c r="F218" s="67"/>
      <c r="G218" s="67"/>
      <c r="H218" s="67"/>
    </row>
    <row r="219">
      <c r="A219" s="72">
        <v>45484.0</v>
      </c>
      <c r="B219" s="66">
        <v>1.0</v>
      </c>
      <c r="C219" s="67"/>
      <c r="D219" s="67"/>
      <c r="E219" s="67"/>
      <c r="F219" s="67"/>
      <c r="G219" s="67"/>
      <c r="H219" s="67"/>
    </row>
    <row r="220">
      <c r="A220" s="72">
        <v>45485.0</v>
      </c>
      <c r="B220" s="66">
        <v>3.0</v>
      </c>
      <c r="C220" s="67"/>
      <c r="D220" s="67"/>
      <c r="E220" s="67"/>
      <c r="F220" s="67"/>
      <c r="G220" s="67"/>
      <c r="H220" s="67"/>
    </row>
    <row r="221">
      <c r="A221" s="67"/>
      <c r="B221" s="67"/>
    </row>
    <row r="222">
      <c r="A222" s="72">
        <v>45488.0</v>
      </c>
      <c r="B222" s="66">
        <v>0.0</v>
      </c>
    </row>
    <row r="223">
      <c r="A223" s="72">
        <v>45489.0</v>
      </c>
      <c r="B223" s="66">
        <v>2.0</v>
      </c>
    </row>
    <row r="224">
      <c r="A224" s="72">
        <v>46585.0</v>
      </c>
      <c r="B224" s="66">
        <v>2.0</v>
      </c>
    </row>
    <row r="225">
      <c r="A225" s="72">
        <v>45491.0</v>
      </c>
      <c r="B225" s="66">
        <v>4.0</v>
      </c>
    </row>
    <row r="226">
      <c r="A226" s="72">
        <v>45492.0</v>
      </c>
      <c r="B226" s="66">
        <v>2.0</v>
      </c>
    </row>
    <row r="227">
      <c r="A227" s="67"/>
      <c r="B227" s="67"/>
    </row>
    <row r="228">
      <c r="A228" s="72">
        <v>45495.0</v>
      </c>
      <c r="B228" s="66">
        <v>0.0</v>
      </c>
    </row>
    <row r="229">
      <c r="A229" s="72">
        <v>45496.0</v>
      </c>
      <c r="B229" s="66">
        <v>2.0</v>
      </c>
    </row>
    <row r="230">
      <c r="A230" s="72">
        <v>45497.0</v>
      </c>
      <c r="B230" s="66">
        <v>1.0</v>
      </c>
    </row>
    <row r="231">
      <c r="A231" s="72">
        <v>45498.0</v>
      </c>
      <c r="B231" s="66">
        <v>2.0</v>
      </c>
    </row>
    <row r="232">
      <c r="A232" s="72">
        <v>45499.0</v>
      </c>
      <c r="B232" s="66">
        <v>3.0</v>
      </c>
    </row>
    <row r="233">
      <c r="A233" s="67"/>
      <c r="B233" s="67"/>
    </row>
    <row r="234">
      <c r="A234" s="72">
        <v>45502.0</v>
      </c>
      <c r="B234" s="66">
        <v>1.0</v>
      </c>
    </row>
    <row r="235">
      <c r="A235" s="72">
        <v>45503.0</v>
      </c>
      <c r="B235" s="66">
        <v>0.0</v>
      </c>
    </row>
    <row r="236">
      <c r="A236" s="72">
        <v>45504.0</v>
      </c>
      <c r="B236" s="66">
        <v>6.0</v>
      </c>
    </row>
    <row r="237" ht="7.5" customHeight="1">
      <c r="A237" s="67"/>
      <c r="B237" s="67"/>
    </row>
    <row r="238">
      <c r="A238" s="72">
        <v>45505.0</v>
      </c>
      <c r="B238" s="66">
        <v>1.0</v>
      </c>
    </row>
    <row r="239">
      <c r="A239" s="72">
        <v>45506.0</v>
      </c>
      <c r="B239" s="66">
        <v>3.0</v>
      </c>
    </row>
    <row r="240">
      <c r="A240" s="67"/>
      <c r="B240" s="67"/>
    </row>
    <row r="241">
      <c r="A241" s="72">
        <v>45509.0</v>
      </c>
      <c r="B241" s="66">
        <v>2.0</v>
      </c>
    </row>
    <row r="242">
      <c r="A242" s="72">
        <v>45510.0</v>
      </c>
      <c r="B242" s="66">
        <v>0.0</v>
      </c>
    </row>
    <row r="243">
      <c r="A243" s="72">
        <v>45511.0</v>
      </c>
      <c r="B243" s="66">
        <v>0.0</v>
      </c>
    </row>
    <row r="244">
      <c r="A244" s="72">
        <v>45512.0</v>
      </c>
      <c r="B244" s="66">
        <v>0.0</v>
      </c>
    </row>
    <row r="245">
      <c r="A245" s="72">
        <v>45513.0</v>
      </c>
      <c r="B245" s="66">
        <v>3.0</v>
      </c>
    </row>
    <row r="246">
      <c r="A246" s="67"/>
      <c r="B246" s="67"/>
    </row>
    <row r="247">
      <c r="A247" s="72">
        <v>45516.0</v>
      </c>
      <c r="B247" s="66">
        <v>0.0</v>
      </c>
    </row>
    <row r="248">
      <c r="A248" s="72">
        <v>45517.0</v>
      </c>
      <c r="B248" s="66">
        <v>2.0</v>
      </c>
    </row>
    <row r="249">
      <c r="A249" s="72">
        <v>45518.0</v>
      </c>
      <c r="B249" s="66">
        <v>2.0</v>
      </c>
    </row>
    <row r="250">
      <c r="A250" s="72">
        <v>45519.0</v>
      </c>
      <c r="B250" s="66">
        <v>0.0</v>
      </c>
    </row>
    <row r="251">
      <c r="A251" s="72">
        <v>45520.0</v>
      </c>
      <c r="B251" s="66">
        <v>1.0</v>
      </c>
    </row>
    <row r="252" ht="7.5" customHeight="1">
      <c r="A252" s="67"/>
      <c r="B252" s="67"/>
    </row>
    <row r="253">
      <c r="A253" s="68">
        <v>45523.0</v>
      </c>
      <c r="B253" s="66">
        <v>0.0</v>
      </c>
    </row>
    <row r="254">
      <c r="A254" s="68">
        <v>45524.0</v>
      </c>
      <c r="B254" s="66">
        <v>2.0</v>
      </c>
    </row>
    <row r="255">
      <c r="A255" s="68">
        <v>45525.0</v>
      </c>
      <c r="B255" s="66">
        <v>2.0</v>
      </c>
    </row>
    <row r="256">
      <c r="A256" s="68">
        <v>45526.0</v>
      </c>
      <c r="B256" s="66">
        <v>3.0</v>
      </c>
    </row>
    <row r="257">
      <c r="A257" s="68">
        <v>45527.0</v>
      </c>
      <c r="B257" s="66">
        <v>1.0</v>
      </c>
    </row>
    <row r="258">
      <c r="B258" s="67"/>
    </row>
    <row r="259">
      <c r="A259" s="68">
        <v>45530.0</v>
      </c>
      <c r="B259" s="67"/>
    </row>
    <row r="260">
      <c r="A260" s="68">
        <v>45531.0</v>
      </c>
      <c r="B260" s="66">
        <v>3.0</v>
      </c>
    </row>
    <row r="261">
      <c r="A261" s="68">
        <v>45532.0</v>
      </c>
      <c r="B261" s="66">
        <v>3.0</v>
      </c>
    </row>
    <row r="262">
      <c r="A262" s="68">
        <v>45533.0</v>
      </c>
      <c r="B262" s="66">
        <v>4.0</v>
      </c>
    </row>
    <row r="263">
      <c r="A263" s="68">
        <v>45534.0</v>
      </c>
    </row>
    <row r="265">
      <c r="A265" s="68">
        <v>45537.0</v>
      </c>
      <c r="B265" s="67"/>
    </row>
    <row r="266">
      <c r="A266" s="68">
        <v>45538.0</v>
      </c>
      <c r="B266" s="67"/>
    </row>
    <row r="267">
      <c r="A267" s="68">
        <v>45539.0</v>
      </c>
      <c r="B267" s="66">
        <v>1.0</v>
      </c>
    </row>
    <row r="268">
      <c r="A268" s="68">
        <v>45540.0</v>
      </c>
      <c r="B268" s="66">
        <v>2.0</v>
      </c>
    </row>
    <row r="269">
      <c r="A269" s="68">
        <v>45541.0</v>
      </c>
      <c r="B269" s="67"/>
    </row>
    <row r="271">
      <c r="A271" s="68">
        <v>45544.0</v>
      </c>
      <c r="B271" s="66">
        <v>1.0</v>
      </c>
      <c r="C271" s="67"/>
      <c r="D271" s="67"/>
      <c r="E271" s="66">
        <v>8.0</v>
      </c>
      <c r="F271" s="67"/>
      <c r="G271" s="66">
        <v>13.0</v>
      </c>
      <c r="H271" s="66">
        <v>1139000.0</v>
      </c>
    </row>
    <row r="272">
      <c r="A272" s="68">
        <v>45545.0</v>
      </c>
      <c r="B272" s="66">
        <v>1.0</v>
      </c>
      <c r="C272" s="67"/>
      <c r="D272" s="67"/>
      <c r="E272" s="67"/>
      <c r="F272" s="67"/>
      <c r="G272" s="67"/>
      <c r="H272" s="67"/>
    </row>
    <row r="273">
      <c r="A273" s="68">
        <v>45546.0</v>
      </c>
      <c r="B273" s="66">
        <v>3.0</v>
      </c>
      <c r="C273" s="67"/>
      <c r="D273" s="67"/>
      <c r="E273" s="67"/>
      <c r="F273" s="67"/>
      <c r="G273" s="67"/>
      <c r="H273" s="67"/>
    </row>
    <row r="274">
      <c r="A274" s="68">
        <v>45547.0</v>
      </c>
      <c r="B274" s="66">
        <v>1.0</v>
      </c>
      <c r="C274" s="67"/>
      <c r="D274" s="67"/>
      <c r="E274" s="67"/>
      <c r="F274" s="67"/>
      <c r="G274" s="67"/>
      <c r="H274" s="67"/>
    </row>
    <row r="275">
      <c r="A275" s="68">
        <v>45548.0</v>
      </c>
      <c r="B275" s="66">
        <v>2.0</v>
      </c>
      <c r="C275" s="67"/>
      <c r="D275" s="67"/>
      <c r="E275" s="67"/>
      <c r="F275" s="67"/>
      <c r="G275" s="67"/>
      <c r="H275" s="67"/>
    </row>
    <row r="276">
      <c r="B276" s="67"/>
      <c r="C276" s="67"/>
      <c r="D276" s="67"/>
      <c r="E276" s="67"/>
      <c r="F276" s="67"/>
      <c r="G276" s="67"/>
      <c r="H276" s="67"/>
    </row>
    <row r="277">
      <c r="A277" s="68">
        <v>45459.0</v>
      </c>
      <c r="B277" s="66">
        <v>2.0</v>
      </c>
      <c r="C277" s="67"/>
      <c r="D277" s="67"/>
      <c r="E277" s="67"/>
      <c r="F277" s="67"/>
      <c r="G277" s="66">
        <v>9.0</v>
      </c>
      <c r="H277" s="66">
        <v>718000.0</v>
      </c>
    </row>
    <row r="278">
      <c r="A278" s="68">
        <v>45460.0</v>
      </c>
      <c r="B278" s="67"/>
      <c r="C278" s="67"/>
      <c r="D278" s="67"/>
      <c r="E278" s="67"/>
      <c r="F278" s="67"/>
      <c r="G278" s="67"/>
      <c r="H278" s="67"/>
    </row>
    <row r="279">
      <c r="A279" s="68">
        <v>45461.0</v>
      </c>
      <c r="B279" s="67"/>
      <c r="C279" s="67"/>
      <c r="D279" s="67"/>
      <c r="E279" s="67"/>
      <c r="F279" s="67"/>
      <c r="G279" s="67"/>
      <c r="H279" s="67"/>
    </row>
    <row r="280">
      <c r="A280" s="68">
        <v>45462.0</v>
      </c>
      <c r="B280" s="66">
        <v>3.0</v>
      </c>
      <c r="C280" s="67"/>
      <c r="D280" s="67"/>
      <c r="E280" s="67"/>
      <c r="F280" s="67"/>
      <c r="G280" s="66">
        <v>9.0</v>
      </c>
      <c r="H280" s="66">
        <v>718000.0</v>
      </c>
    </row>
    <row r="281">
      <c r="A281" s="68">
        <v>45463.0</v>
      </c>
      <c r="B281" s="66">
        <v>5.0</v>
      </c>
      <c r="C281" s="67"/>
      <c r="D281" s="67"/>
      <c r="E281" s="67"/>
      <c r="F281" s="67"/>
      <c r="G281" s="66">
        <v>5.0</v>
      </c>
      <c r="H281" s="66">
        <v>780000.0</v>
      </c>
    </row>
    <row r="282">
      <c r="B282" s="67"/>
      <c r="C282" s="67"/>
      <c r="D282" s="67"/>
      <c r="E282" s="67"/>
      <c r="F282" s="67"/>
      <c r="G282" s="67"/>
      <c r="H282" s="67"/>
    </row>
    <row r="283">
      <c r="A283" s="68">
        <v>45558.0</v>
      </c>
      <c r="B283" s="66">
        <v>1.0</v>
      </c>
      <c r="C283" s="67"/>
      <c r="D283" s="67"/>
      <c r="E283" s="67"/>
      <c r="F283" s="67"/>
      <c r="G283" s="66">
        <v>5.0</v>
      </c>
      <c r="H283" s="66">
        <v>780000.0</v>
      </c>
    </row>
    <row r="284">
      <c r="A284" s="68">
        <v>45559.0</v>
      </c>
      <c r="B284" s="66">
        <v>2.0</v>
      </c>
      <c r="C284" s="67"/>
      <c r="D284" s="67"/>
      <c r="E284" s="67"/>
      <c r="F284" s="67"/>
      <c r="G284" s="67"/>
      <c r="H284" s="67"/>
    </row>
    <row r="285">
      <c r="A285" s="68">
        <v>45560.0</v>
      </c>
      <c r="B285" s="66">
        <v>3.0</v>
      </c>
      <c r="C285" s="67"/>
      <c r="D285" s="67"/>
      <c r="E285" s="67"/>
      <c r="F285" s="67"/>
      <c r="G285" s="66">
        <v>5.0</v>
      </c>
      <c r="H285" s="66">
        <v>780000.0</v>
      </c>
    </row>
    <row r="286">
      <c r="A286" s="68">
        <v>45561.0</v>
      </c>
      <c r="B286" s="66">
        <v>6.0</v>
      </c>
      <c r="C286" s="67"/>
      <c r="D286" s="67"/>
      <c r="E286" s="67"/>
      <c r="F286" s="67"/>
      <c r="G286" s="66">
        <v>5.0</v>
      </c>
      <c r="H286" s="66">
        <v>780000.0</v>
      </c>
    </row>
    <row r="287">
      <c r="A287" s="68">
        <v>45562.0</v>
      </c>
      <c r="B287" s="66">
        <v>4.0</v>
      </c>
      <c r="C287" s="67"/>
      <c r="D287" s="67"/>
      <c r="E287" s="67"/>
      <c r="F287" s="67"/>
      <c r="G287" s="66">
        <v>9.0</v>
      </c>
      <c r="H287" s="66">
        <v>740000.0</v>
      </c>
    </row>
    <row r="289">
      <c r="A289" s="72">
        <v>45565.0</v>
      </c>
      <c r="B289" s="66">
        <v>3.0</v>
      </c>
      <c r="C289" s="67"/>
      <c r="D289" s="67"/>
      <c r="E289" s="67"/>
      <c r="F289" s="67"/>
      <c r="G289" s="66">
        <v>9.0</v>
      </c>
      <c r="H289" s="66">
        <v>740000.0</v>
      </c>
    </row>
    <row r="290">
      <c r="A290" s="72">
        <v>45566.0</v>
      </c>
      <c r="B290" s="66">
        <v>0.0</v>
      </c>
      <c r="C290" s="67"/>
      <c r="D290" s="67"/>
      <c r="E290" s="67"/>
      <c r="F290" s="67"/>
      <c r="G290" s="67"/>
      <c r="H290" s="67"/>
    </row>
    <row r="291">
      <c r="A291" s="72">
        <v>45567.0</v>
      </c>
      <c r="B291" s="66">
        <v>2.0</v>
      </c>
      <c r="C291" s="67"/>
      <c r="D291" s="67"/>
      <c r="E291" s="67"/>
      <c r="F291" s="67"/>
      <c r="G291" s="67"/>
      <c r="H291" s="67"/>
    </row>
    <row r="292">
      <c r="A292" s="72">
        <v>45568.0</v>
      </c>
      <c r="B292" s="66">
        <v>1.0</v>
      </c>
      <c r="C292" s="67"/>
      <c r="D292" s="67"/>
      <c r="E292" s="67"/>
      <c r="F292" s="67"/>
      <c r="G292" s="67"/>
      <c r="H292" s="67"/>
    </row>
    <row r="293">
      <c r="A293" s="72">
        <v>45569.0</v>
      </c>
      <c r="B293" s="66">
        <v>6.0</v>
      </c>
      <c r="C293" s="67"/>
      <c r="D293" s="67"/>
      <c r="E293" s="67"/>
      <c r="F293" s="67"/>
      <c r="G293" s="66">
        <v>15.0</v>
      </c>
      <c r="H293" s="66">
        <v>1166000.0</v>
      </c>
    </row>
    <row r="294">
      <c r="A294" s="67"/>
      <c r="B294" s="67"/>
      <c r="C294" s="67"/>
      <c r="D294" s="67"/>
      <c r="E294" s="67"/>
      <c r="F294" s="67"/>
      <c r="G294" s="67"/>
      <c r="H294" s="67"/>
    </row>
    <row r="295">
      <c r="A295" s="72">
        <v>45572.0</v>
      </c>
      <c r="B295" s="67"/>
      <c r="C295" s="67"/>
      <c r="D295" s="67"/>
      <c r="E295" s="67"/>
      <c r="F295" s="67"/>
    </row>
    <row r="296">
      <c r="A296" s="72">
        <v>45573.0</v>
      </c>
      <c r="B296" s="67"/>
      <c r="C296" s="67"/>
      <c r="D296" s="67"/>
      <c r="E296" s="67"/>
      <c r="F296" s="67"/>
      <c r="G296" s="67"/>
      <c r="H296" s="67"/>
    </row>
    <row r="297">
      <c r="A297" s="71">
        <v>45574.0</v>
      </c>
      <c r="B297" s="66">
        <v>1.0</v>
      </c>
      <c r="C297" s="67"/>
      <c r="D297" s="67"/>
      <c r="E297" s="67"/>
      <c r="F297" s="67"/>
      <c r="G297" s="67"/>
      <c r="H297" s="67"/>
    </row>
    <row r="298">
      <c r="A298" s="71">
        <v>45575.0</v>
      </c>
      <c r="B298" s="66">
        <v>1.0</v>
      </c>
      <c r="C298" s="67"/>
      <c r="D298" s="67"/>
      <c r="E298" s="67"/>
      <c r="F298" s="67"/>
      <c r="G298" s="67"/>
      <c r="H298" s="67"/>
    </row>
    <row r="299">
      <c r="A299" s="71">
        <v>45576.0</v>
      </c>
      <c r="B299" s="66">
        <v>3.0</v>
      </c>
      <c r="C299" s="67"/>
      <c r="D299" s="67"/>
      <c r="E299" s="67"/>
      <c r="F299" s="67"/>
      <c r="G299" s="67"/>
      <c r="H299" s="67"/>
    </row>
    <row r="300">
      <c r="A300" s="67"/>
      <c r="B300" s="67"/>
      <c r="C300" s="67"/>
      <c r="D300" s="67"/>
      <c r="E300" s="67"/>
      <c r="F300" s="67"/>
      <c r="G300" s="67"/>
      <c r="H300" s="67"/>
    </row>
    <row r="301">
      <c r="A301" s="71">
        <v>45579.0</v>
      </c>
      <c r="B301" s="67"/>
      <c r="C301" s="67"/>
      <c r="D301" s="67"/>
      <c r="E301" s="67"/>
      <c r="F301" s="67"/>
      <c r="G301" s="67"/>
      <c r="H301" s="67"/>
    </row>
    <row r="302">
      <c r="A302" s="71">
        <v>45580.0</v>
      </c>
      <c r="B302" s="66">
        <v>1.0</v>
      </c>
      <c r="C302" s="67"/>
      <c r="D302" s="67"/>
      <c r="E302" s="67"/>
      <c r="F302" s="67"/>
      <c r="G302" s="67"/>
      <c r="H302" s="67"/>
    </row>
    <row r="303">
      <c r="A303" s="71">
        <v>45581.0</v>
      </c>
      <c r="B303" s="66">
        <v>3.0</v>
      </c>
      <c r="C303" s="67"/>
      <c r="D303" s="67"/>
      <c r="E303" s="67"/>
      <c r="F303" s="67"/>
      <c r="G303" s="67"/>
      <c r="H303" s="67"/>
    </row>
    <row r="304">
      <c r="A304" s="71">
        <v>45582.0</v>
      </c>
      <c r="B304" s="66">
        <v>2.0</v>
      </c>
      <c r="C304" s="67"/>
      <c r="D304" s="67"/>
      <c r="E304" s="67"/>
      <c r="F304" s="67"/>
      <c r="G304" s="67"/>
      <c r="H304" s="67"/>
    </row>
    <row r="305">
      <c r="A305" s="71">
        <v>45583.0</v>
      </c>
      <c r="B305" s="66">
        <v>1.0</v>
      </c>
      <c r="C305" s="67"/>
      <c r="D305" s="67"/>
      <c r="E305" s="67"/>
      <c r="F305" s="67"/>
      <c r="G305" s="66">
        <v>6.0</v>
      </c>
      <c r="H305" s="66">
        <v>380000.0</v>
      </c>
    </row>
    <row r="306">
      <c r="A306" s="67"/>
      <c r="B306" s="67"/>
      <c r="C306" s="67"/>
      <c r="D306" s="67"/>
      <c r="E306" s="67"/>
      <c r="F306" s="67"/>
      <c r="G306" s="67"/>
      <c r="H306" s="67"/>
    </row>
    <row r="307">
      <c r="A307" s="71">
        <v>45586.0</v>
      </c>
      <c r="B307" s="67"/>
      <c r="C307" s="67"/>
      <c r="D307" s="67"/>
      <c r="E307" s="67"/>
      <c r="F307" s="67"/>
      <c r="G307" s="67"/>
      <c r="H307" s="67"/>
    </row>
    <row r="308">
      <c r="A308" s="71">
        <v>45587.0</v>
      </c>
      <c r="B308" s="66">
        <v>4.0</v>
      </c>
      <c r="C308" s="67"/>
      <c r="D308" s="67"/>
      <c r="E308" s="67"/>
      <c r="F308" s="67"/>
      <c r="G308" s="67"/>
      <c r="H308" s="67"/>
    </row>
    <row r="309">
      <c r="A309" s="71">
        <v>45588.0</v>
      </c>
      <c r="B309" s="66">
        <v>1.0</v>
      </c>
      <c r="C309" s="67"/>
      <c r="D309" s="67"/>
      <c r="E309" s="67"/>
      <c r="F309" s="67"/>
      <c r="G309" s="67"/>
      <c r="H309" s="67"/>
    </row>
    <row r="310">
      <c r="A310" s="71">
        <v>45589.0</v>
      </c>
      <c r="B310" s="66">
        <v>2.0</v>
      </c>
      <c r="C310" s="67"/>
      <c r="D310" s="67"/>
      <c r="E310" s="67"/>
      <c r="F310" s="67"/>
      <c r="G310" s="67"/>
      <c r="H310" s="67"/>
    </row>
    <row r="311">
      <c r="A311" s="71">
        <v>45590.0</v>
      </c>
      <c r="B311" s="66">
        <v>1.0</v>
      </c>
      <c r="C311" s="67"/>
      <c r="D311" s="67"/>
      <c r="E311" s="67"/>
      <c r="F311" s="67"/>
      <c r="G311" s="66">
        <v>11.0</v>
      </c>
      <c r="H311" s="66">
        <v>875000.0</v>
      </c>
    </row>
    <row r="312">
      <c r="A312" s="67"/>
      <c r="B312" s="67"/>
      <c r="C312" s="67"/>
      <c r="D312" s="67"/>
      <c r="E312" s="67"/>
      <c r="F312" s="67"/>
      <c r="G312" s="67"/>
      <c r="H312" s="67"/>
    </row>
    <row r="313">
      <c r="A313" s="71">
        <v>45593.0</v>
      </c>
      <c r="B313" s="67"/>
      <c r="C313" s="67"/>
      <c r="D313" s="67"/>
      <c r="E313" s="67"/>
      <c r="F313" s="67"/>
      <c r="G313" s="67"/>
      <c r="H313" s="67"/>
    </row>
    <row r="314">
      <c r="A314" s="71">
        <v>45594.0</v>
      </c>
      <c r="B314" s="66">
        <v>2.0</v>
      </c>
      <c r="C314" s="67"/>
      <c r="D314" s="67"/>
      <c r="E314" s="67"/>
      <c r="F314" s="67"/>
      <c r="G314" s="67"/>
      <c r="H314" s="67"/>
    </row>
    <row r="315">
      <c r="A315" s="71">
        <v>45595.0</v>
      </c>
      <c r="B315" s="66">
        <v>2.0</v>
      </c>
      <c r="C315" s="67"/>
      <c r="D315" s="67"/>
      <c r="E315" s="67"/>
      <c r="F315" s="67"/>
      <c r="G315" s="67"/>
      <c r="H315" s="67"/>
    </row>
    <row r="316">
      <c r="A316" s="71">
        <v>45596.0</v>
      </c>
      <c r="B316" s="66">
        <v>9.0</v>
      </c>
      <c r="C316" s="67"/>
      <c r="D316" s="67"/>
      <c r="E316" s="67"/>
      <c r="F316" s="67"/>
      <c r="G316" s="67"/>
      <c r="H316" s="67"/>
    </row>
    <row r="317">
      <c r="A317" s="67"/>
      <c r="B317" s="67"/>
      <c r="C317" s="67"/>
      <c r="D317" s="67"/>
      <c r="E317" s="67"/>
      <c r="F317" s="67"/>
      <c r="G317" s="67"/>
      <c r="H317" s="67"/>
    </row>
    <row r="318">
      <c r="A318" s="72">
        <v>45600.0</v>
      </c>
      <c r="B318" s="66">
        <v>0.0</v>
      </c>
      <c r="C318" s="67"/>
      <c r="D318" s="67"/>
      <c r="E318" s="67"/>
      <c r="F318" s="67"/>
      <c r="G318" s="67"/>
      <c r="H318" s="67"/>
    </row>
    <row r="319">
      <c r="A319" s="72">
        <v>45601.0</v>
      </c>
      <c r="B319" s="66">
        <v>1.0</v>
      </c>
      <c r="C319" s="67"/>
      <c r="D319" s="67"/>
      <c r="E319" s="67"/>
      <c r="F319" s="67"/>
      <c r="G319" s="67"/>
      <c r="H319" s="67"/>
    </row>
    <row r="320">
      <c r="A320" s="72">
        <v>45602.0</v>
      </c>
      <c r="B320" s="66">
        <v>0.0</v>
      </c>
      <c r="C320" s="67"/>
      <c r="D320" s="67"/>
      <c r="E320" s="67"/>
      <c r="F320" s="67"/>
      <c r="G320" s="67"/>
      <c r="H320" s="67"/>
    </row>
    <row r="321">
      <c r="A321" s="72">
        <v>45603.0</v>
      </c>
      <c r="B321" s="66">
        <v>0.0</v>
      </c>
      <c r="C321" s="67"/>
      <c r="D321" s="67"/>
      <c r="E321" s="67"/>
      <c r="F321" s="67"/>
      <c r="G321" s="67"/>
      <c r="H321" s="67"/>
    </row>
    <row r="322">
      <c r="A322" s="72">
        <v>45604.0</v>
      </c>
      <c r="B322" s="66">
        <v>8.0</v>
      </c>
      <c r="C322" s="67"/>
      <c r="D322" s="67"/>
      <c r="E322" s="67"/>
      <c r="F322" s="67"/>
      <c r="G322" s="66">
        <v>8.0</v>
      </c>
      <c r="H322" s="66">
        <v>668000.0</v>
      </c>
    </row>
    <row r="323">
      <c r="A323" s="67"/>
      <c r="B323" s="67"/>
      <c r="C323" s="67"/>
      <c r="D323" s="67"/>
      <c r="E323" s="67"/>
      <c r="F323" s="67"/>
      <c r="G323" s="67"/>
      <c r="H323" s="67"/>
    </row>
    <row r="324">
      <c r="A324" s="71">
        <v>45607.0</v>
      </c>
      <c r="B324" s="66">
        <v>1.0</v>
      </c>
      <c r="C324" s="67"/>
      <c r="D324" s="67"/>
      <c r="E324" s="67"/>
      <c r="F324" s="67"/>
      <c r="G324" s="67"/>
      <c r="H324" s="67"/>
    </row>
    <row r="325">
      <c r="A325" s="71">
        <v>45608.0</v>
      </c>
      <c r="B325" s="66">
        <v>1.0</v>
      </c>
      <c r="C325" s="67"/>
      <c r="D325" s="67"/>
      <c r="E325" s="67"/>
      <c r="F325" s="67"/>
      <c r="G325" s="67"/>
      <c r="H325" s="67"/>
    </row>
    <row r="326">
      <c r="A326" s="71">
        <v>45609.0</v>
      </c>
      <c r="B326" s="66">
        <v>1.0</v>
      </c>
      <c r="C326" s="67"/>
      <c r="D326" s="67"/>
      <c r="E326" s="67"/>
      <c r="F326" s="67"/>
      <c r="G326" s="67"/>
      <c r="H326" s="67"/>
    </row>
    <row r="327">
      <c r="A327" s="71">
        <v>45610.0</v>
      </c>
      <c r="B327" s="66">
        <v>1.0</v>
      </c>
      <c r="C327" s="67"/>
      <c r="D327" s="67"/>
      <c r="E327" s="67"/>
      <c r="F327" s="67"/>
      <c r="G327" s="67"/>
      <c r="H327" s="67"/>
    </row>
    <row r="328">
      <c r="A328" s="71">
        <v>45611.0</v>
      </c>
      <c r="B328" s="66">
        <v>2.0</v>
      </c>
      <c r="C328" s="67"/>
      <c r="D328" s="67"/>
      <c r="E328" s="67"/>
      <c r="F328" s="67"/>
      <c r="G328" s="66">
        <v>7.0</v>
      </c>
      <c r="H328" s="66">
        <v>740000.0</v>
      </c>
    </row>
    <row r="329">
      <c r="A329" s="67"/>
      <c r="B329" s="67"/>
      <c r="C329" s="67"/>
      <c r="D329" s="67"/>
      <c r="E329" s="67"/>
      <c r="F329" s="67"/>
      <c r="G329" s="67"/>
      <c r="H329" s="67"/>
    </row>
    <row r="330">
      <c r="A330" s="71">
        <v>45614.0</v>
      </c>
      <c r="B330" s="67"/>
      <c r="C330" s="67"/>
      <c r="D330" s="67"/>
      <c r="E330" s="67"/>
      <c r="F330" s="67"/>
      <c r="G330" s="67"/>
      <c r="H330" s="67"/>
    </row>
    <row r="331">
      <c r="A331" s="71">
        <v>45615.0</v>
      </c>
      <c r="B331" s="66">
        <v>1.0</v>
      </c>
      <c r="C331" s="67"/>
      <c r="D331" s="67"/>
      <c r="E331" s="67"/>
      <c r="F331" s="67"/>
      <c r="G331" s="67"/>
      <c r="H331" s="67"/>
    </row>
    <row r="332">
      <c r="A332" s="71">
        <v>45616.0</v>
      </c>
      <c r="B332" s="66">
        <v>4.0</v>
      </c>
      <c r="C332" s="67"/>
      <c r="D332" s="67"/>
      <c r="E332" s="67"/>
      <c r="F332" s="67"/>
      <c r="G332" s="67"/>
      <c r="H332" s="67"/>
    </row>
    <row r="333">
      <c r="A333" s="71">
        <v>45617.0</v>
      </c>
      <c r="B333" s="66">
        <v>5.0</v>
      </c>
      <c r="C333" s="67"/>
      <c r="D333" s="67"/>
      <c r="E333" s="67"/>
      <c r="F333" s="67"/>
      <c r="G333" s="67"/>
      <c r="H333" s="67"/>
    </row>
    <row r="334">
      <c r="A334" s="71">
        <v>45618.0</v>
      </c>
      <c r="B334" s="66">
        <v>5.0</v>
      </c>
      <c r="C334" s="67"/>
      <c r="D334" s="67"/>
      <c r="E334" s="67"/>
      <c r="F334" s="67"/>
      <c r="G334" s="66">
        <v>8.0</v>
      </c>
      <c r="H334" s="66">
        <v>845000.0</v>
      </c>
    </row>
    <row r="335">
      <c r="A335" s="71"/>
      <c r="B335" s="67"/>
      <c r="C335" s="67"/>
      <c r="D335" s="67"/>
      <c r="E335" s="67"/>
      <c r="F335" s="67"/>
      <c r="G335" s="67"/>
      <c r="H335" s="67"/>
    </row>
    <row r="336">
      <c r="A336" s="71">
        <v>45621.0</v>
      </c>
      <c r="B336" s="66">
        <v>1.0</v>
      </c>
      <c r="C336" s="67"/>
      <c r="D336" s="67"/>
      <c r="E336" s="67"/>
      <c r="F336" s="67"/>
      <c r="G336" s="67"/>
      <c r="H336" s="67"/>
    </row>
    <row r="337">
      <c r="A337" s="71">
        <v>45622.0</v>
      </c>
      <c r="B337" s="66">
        <v>3.0</v>
      </c>
      <c r="C337" s="67"/>
      <c r="D337" s="67"/>
      <c r="E337" s="67"/>
      <c r="F337" s="67"/>
      <c r="G337" s="67"/>
      <c r="H337" s="67"/>
    </row>
    <row r="338">
      <c r="A338" s="71">
        <v>45623.0</v>
      </c>
      <c r="B338" s="66">
        <v>4.0</v>
      </c>
      <c r="C338" s="67"/>
      <c r="D338" s="67"/>
      <c r="E338" s="67"/>
      <c r="F338" s="67"/>
      <c r="G338" s="67"/>
      <c r="H338" s="67"/>
    </row>
    <row r="339">
      <c r="A339" s="71">
        <v>45624.0</v>
      </c>
      <c r="B339" s="66">
        <v>2.0</v>
      </c>
      <c r="C339" s="67"/>
      <c r="D339" s="67"/>
      <c r="E339" s="67"/>
      <c r="F339" s="67"/>
      <c r="G339" s="67"/>
      <c r="H339" s="67"/>
    </row>
    <row r="340">
      <c r="A340" s="71">
        <v>45625.0</v>
      </c>
      <c r="B340" s="66">
        <v>4.0</v>
      </c>
      <c r="C340" s="67"/>
      <c r="D340" s="67"/>
      <c r="E340" s="67"/>
      <c r="F340" s="67"/>
      <c r="G340" s="66">
        <v>7.0</v>
      </c>
      <c r="H340" s="66">
        <v>765000.0</v>
      </c>
    </row>
    <row r="341">
      <c r="A341" s="71"/>
      <c r="B341" s="67"/>
      <c r="C341" s="67"/>
      <c r="D341" s="67"/>
      <c r="E341" s="67"/>
      <c r="F341" s="67"/>
      <c r="G341" s="67"/>
      <c r="H341" s="67"/>
    </row>
    <row r="342">
      <c r="A342" s="72">
        <v>45628.0</v>
      </c>
      <c r="B342" s="66">
        <v>0.0</v>
      </c>
      <c r="C342" s="67"/>
      <c r="D342" s="67"/>
      <c r="E342" s="67"/>
      <c r="F342" s="67"/>
      <c r="G342" s="67"/>
      <c r="H342" s="67"/>
    </row>
    <row r="343">
      <c r="A343" s="72">
        <v>45629.0</v>
      </c>
      <c r="B343" s="66">
        <v>0.0</v>
      </c>
      <c r="C343" s="67"/>
      <c r="D343" s="67"/>
      <c r="E343" s="67"/>
      <c r="F343" s="67"/>
      <c r="G343" s="67"/>
      <c r="H343" s="67"/>
    </row>
    <row r="344">
      <c r="A344" s="72">
        <v>45630.0</v>
      </c>
      <c r="B344" s="66">
        <v>2.0</v>
      </c>
      <c r="C344" s="67"/>
      <c r="D344" s="67"/>
      <c r="E344" s="67"/>
      <c r="F344" s="67"/>
      <c r="G344" s="67"/>
      <c r="H344" s="67"/>
    </row>
    <row r="345">
      <c r="A345" s="72">
        <v>45631.0</v>
      </c>
      <c r="B345" s="66">
        <v>1.0</v>
      </c>
      <c r="C345" s="67"/>
      <c r="D345" s="67"/>
      <c r="E345" s="67"/>
      <c r="F345" s="67"/>
      <c r="G345" s="67"/>
      <c r="H345" s="67"/>
    </row>
    <row r="346">
      <c r="A346" s="72">
        <v>45632.0</v>
      </c>
      <c r="B346" s="66">
        <v>1.0</v>
      </c>
      <c r="C346" s="67"/>
      <c r="D346" s="67"/>
      <c r="E346" s="67"/>
      <c r="F346" s="67"/>
      <c r="G346" s="67"/>
      <c r="H346" s="67"/>
    </row>
    <row r="347">
      <c r="A347" s="72"/>
      <c r="B347" s="67"/>
      <c r="C347" s="67"/>
      <c r="D347" s="67"/>
      <c r="E347" s="67"/>
      <c r="F347" s="67"/>
      <c r="G347" s="67"/>
      <c r="H347" s="67"/>
    </row>
    <row r="348">
      <c r="A348" s="72">
        <v>45635.0</v>
      </c>
      <c r="B348" s="66">
        <v>3.0</v>
      </c>
      <c r="C348" s="67"/>
      <c r="D348" s="67"/>
      <c r="E348" s="67"/>
      <c r="F348" s="67"/>
      <c r="G348" s="67"/>
      <c r="H348" s="67"/>
    </row>
    <row r="349">
      <c r="A349" s="72">
        <v>45636.0</v>
      </c>
      <c r="B349" s="66">
        <v>2.0</v>
      </c>
      <c r="C349" s="67"/>
      <c r="D349" s="67"/>
      <c r="E349" s="67"/>
      <c r="F349" s="67"/>
      <c r="G349" s="67"/>
      <c r="H349" s="67"/>
    </row>
    <row r="350">
      <c r="A350" s="72">
        <v>45637.0</v>
      </c>
      <c r="B350" s="66">
        <v>2.0</v>
      </c>
      <c r="C350" s="67"/>
      <c r="D350" s="67"/>
      <c r="E350" s="67"/>
      <c r="F350" s="67"/>
      <c r="G350" s="67"/>
      <c r="H350" s="67"/>
    </row>
    <row r="351">
      <c r="A351" s="72">
        <v>45638.0</v>
      </c>
      <c r="B351" s="66">
        <v>4.0</v>
      </c>
      <c r="C351" s="67"/>
      <c r="D351" s="67"/>
      <c r="E351" s="67"/>
      <c r="F351" s="67"/>
      <c r="G351" s="67"/>
      <c r="H351" s="67"/>
    </row>
    <row r="352">
      <c r="A352" s="72">
        <v>45639.0</v>
      </c>
      <c r="B352" s="66">
        <v>4.0</v>
      </c>
      <c r="C352" s="67"/>
      <c r="D352" s="67"/>
      <c r="E352" s="67"/>
      <c r="F352" s="67"/>
      <c r="G352" s="66">
        <v>2.0</v>
      </c>
      <c r="H352" s="66">
        <v>185000.0</v>
      </c>
    </row>
    <row r="353">
      <c r="A353" s="72"/>
      <c r="B353" s="67"/>
      <c r="C353" s="67"/>
      <c r="D353" s="67"/>
      <c r="E353" s="67"/>
      <c r="F353" s="67"/>
      <c r="G353" s="67"/>
      <c r="H353" s="67"/>
    </row>
    <row r="354">
      <c r="A354" s="72">
        <v>45642.0</v>
      </c>
      <c r="B354" s="66">
        <v>2.0</v>
      </c>
      <c r="C354" s="67"/>
      <c r="D354" s="67"/>
      <c r="E354" s="67"/>
      <c r="F354" s="67"/>
      <c r="G354" s="67"/>
      <c r="H354" s="67"/>
    </row>
    <row r="355">
      <c r="A355" s="72">
        <v>45643.0</v>
      </c>
      <c r="B355" s="66">
        <v>4.0</v>
      </c>
      <c r="C355" s="67"/>
      <c r="D355" s="67"/>
      <c r="E355" s="67"/>
      <c r="F355" s="67"/>
      <c r="G355" s="67"/>
      <c r="H355" s="67"/>
    </row>
    <row r="356">
      <c r="A356" s="72">
        <v>45644.0</v>
      </c>
      <c r="B356" s="66">
        <v>1.0</v>
      </c>
      <c r="C356" s="67"/>
      <c r="D356" s="67"/>
      <c r="E356" s="67"/>
      <c r="F356" s="67"/>
      <c r="G356" s="67"/>
      <c r="H356" s="67"/>
    </row>
    <row r="357">
      <c r="A357" s="72">
        <v>45645.0</v>
      </c>
      <c r="B357" s="66">
        <v>10.0</v>
      </c>
      <c r="C357" s="67"/>
      <c r="D357" s="67"/>
      <c r="E357" s="67"/>
      <c r="F357" s="67"/>
      <c r="G357" s="67"/>
      <c r="H357" s="67"/>
    </row>
    <row r="358">
      <c r="A358" s="72">
        <v>45646.0</v>
      </c>
      <c r="B358" s="66">
        <v>7.0</v>
      </c>
      <c r="C358" s="67"/>
      <c r="D358" s="67"/>
      <c r="E358" s="67"/>
      <c r="F358" s="67"/>
      <c r="G358" s="66">
        <v>3.0</v>
      </c>
      <c r="H358" s="66">
        <v>318000.0</v>
      </c>
    </row>
    <row r="359" ht="8.25" customHeight="1">
      <c r="A359" s="76"/>
      <c r="B359" s="77"/>
      <c r="C359" s="77"/>
      <c r="D359" s="77"/>
      <c r="E359" s="77"/>
      <c r="F359" s="77"/>
      <c r="G359" s="77"/>
      <c r="H359" s="77"/>
      <c r="I359" s="78"/>
      <c r="J359" s="78"/>
      <c r="K359" s="78"/>
    </row>
    <row r="360">
      <c r="A360" s="72"/>
      <c r="B360" s="67"/>
      <c r="C360" s="67"/>
      <c r="D360" s="67"/>
      <c r="E360" s="67"/>
      <c r="F360" s="67"/>
      <c r="G360" s="67"/>
      <c r="H360" s="67"/>
    </row>
    <row r="361">
      <c r="A361" s="72"/>
      <c r="B361" s="67"/>
      <c r="C361" s="67"/>
      <c r="D361" s="67"/>
      <c r="E361" s="67"/>
      <c r="F361" s="67"/>
      <c r="G361" s="67"/>
      <c r="H361" s="67"/>
    </row>
    <row r="362">
      <c r="A362" s="72">
        <v>45659.0</v>
      </c>
      <c r="B362" s="67"/>
      <c r="C362" s="67"/>
      <c r="D362" s="67"/>
      <c r="E362" s="67"/>
      <c r="F362" s="67"/>
      <c r="G362" s="67"/>
      <c r="H362" s="67"/>
    </row>
    <row r="363">
      <c r="A363" s="72">
        <v>45660.0</v>
      </c>
      <c r="B363" s="67"/>
      <c r="C363" s="67"/>
      <c r="D363" s="67"/>
      <c r="E363" s="67"/>
      <c r="F363" s="67"/>
      <c r="G363" s="67"/>
      <c r="H363" s="67"/>
    </row>
    <row r="364">
      <c r="A364" s="67"/>
    </row>
    <row r="365">
      <c r="A365" s="72">
        <v>45663.0</v>
      </c>
      <c r="B365" s="66">
        <v>1.0</v>
      </c>
    </row>
    <row r="366">
      <c r="A366" s="72">
        <v>45664.0</v>
      </c>
      <c r="B366" s="66">
        <v>0.0</v>
      </c>
    </row>
    <row r="367">
      <c r="A367" s="72">
        <v>45665.0</v>
      </c>
      <c r="B367" s="66">
        <v>0.0</v>
      </c>
    </row>
    <row r="368">
      <c r="A368" s="72">
        <v>45666.0</v>
      </c>
      <c r="B368" s="66">
        <v>2.0</v>
      </c>
    </row>
    <row r="369">
      <c r="A369" s="72">
        <v>45667.0</v>
      </c>
      <c r="B369" s="66">
        <v>0.0</v>
      </c>
      <c r="G369" s="66">
        <v>8.0</v>
      </c>
      <c r="H369" s="66">
        <v>585000.0</v>
      </c>
    </row>
    <row r="370">
      <c r="A370" s="67"/>
      <c r="B370" s="67"/>
      <c r="G370" s="67"/>
    </row>
    <row r="371">
      <c r="A371" s="72">
        <v>45670.0</v>
      </c>
      <c r="B371" s="67"/>
      <c r="G371" s="67"/>
    </row>
    <row r="372">
      <c r="A372" s="72">
        <v>45671.0</v>
      </c>
      <c r="B372" s="67"/>
      <c r="G372" s="67"/>
    </row>
    <row r="373">
      <c r="A373" s="72">
        <v>45672.0</v>
      </c>
      <c r="B373" s="67"/>
      <c r="G373" s="67"/>
    </row>
    <row r="374">
      <c r="A374" s="72">
        <v>45673.0</v>
      </c>
      <c r="B374" s="66">
        <v>3.0</v>
      </c>
      <c r="G374" s="67"/>
    </row>
    <row r="375">
      <c r="A375" s="72">
        <v>45674.0</v>
      </c>
      <c r="B375" s="66">
        <v>5.0</v>
      </c>
      <c r="G375" s="66">
        <v>7.0</v>
      </c>
      <c r="H375" s="5">
        <v>631373.12</v>
      </c>
    </row>
    <row r="376">
      <c r="A376" s="67"/>
      <c r="B376" s="67"/>
      <c r="G376" s="67"/>
    </row>
    <row r="377">
      <c r="A377" s="72">
        <v>45677.0</v>
      </c>
      <c r="B377" s="67"/>
      <c r="G377" s="67"/>
    </row>
    <row r="378">
      <c r="A378" s="72">
        <v>45678.0</v>
      </c>
      <c r="B378" s="66">
        <v>2.0</v>
      </c>
      <c r="G378" s="67"/>
    </row>
    <row r="379">
      <c r="A379" s="72">
        <v>45679.0</v>
      </c>
      <c r="B379" s="66">
        <v>4.0</v>
      </c>
      <c r="G379" s="67"/>
    </row>
    <row r="380">
      <c r="A380" s="72">
        <v>45680.0</v>
      </c>
      <c r="B380" s="66">
        <v>1.0</v>
      </c>
      <c r="G380" s="67"/>
    </row>
    <row r="381">
      <c r="A381" s="72">
        <v>45681.0</v>
      </c>
      <c r="B381" s="66">
        <v>6.0</v>
      </c>
      <c r="G381" s="66">
        <v>4.0</v>
      </c>
      <c r="H381" s="5">
        <v>338000.0</v>
      </c>
    </row>
    <row r="382">
      <c r="A382" s="67"/>
      <c r="B382" s="67"/>
      <c r="G382" s="67"/>
    </row>
    <row r="383">
      <c r="A383" s="72">
        <v>45684.0</v>
      </c>
      <c r="B383" s="66">
        <v>5.0</v>
      </c>
      <c r="G383" s="67"/>
    </row>
    <row r="384">
      <c r="A384" s="72">
        <v>45685.0</v>
      </c>
      <c r="B384" s="66">
        <v>3.0</v>
      </c>
      <c r="G384" s="67"/>
    </row>
    <row r="385">
      <c r="A385" s="72">
        <v>45686.0</v>
      </c>
      <c r="B385" s="66">
        <v>3.0</v>
      </c>
    </row>
    <row r="386">
      <c r="A386" s="72">
        <v>45687.0</v>
      </c>
      <c r="B386" s="66">
        <v>1.0</v>
      </c>
    </row>
    <row r="387">
      <c r="A387" s="72">
        <v>45688.0</v>
      </c>
      <c r="B387" s="66">
        <v>2.0</v>
      </c>
      <c r="G387" s="66">
        <v>6.0</v>
      </c>
      <c r="H387" s="5">
        <v>510500.0</v>
      </c>
    </row>
    <row r="388">
      <c r="A388" s="67"/>
      <c r="B388" s="67"/>
    </row>
    <row r="389">
      <c r="A389" s="72">
        <v>45691.0</v>
      </c>
      <c r="B389" s="67"/>
    </row>
    <row r="390">
      <c r="A390" s="72">
        <v>45692.0</v>
      </c>
      <c r="B390" s="66">
        <v>1.0</v>
      </c>
    </row>
    <row r="391">
      <c r="A391" s="72">
        <v>45693.0</v>
      </c>
      <c r="B391" s="66">
        <v>4.0</v>
      </c>
    </row>
    <row r="392">
      <c r="A392" s="72">
        <v>45694.0</v>
      </c>
      <c r="B392" s="66">
        <v>2.0</v>
      </c>
    </row>
    <row r="393">
      <c r="A393" s="72">
        <v>45695.0</v>
      </c>
      <c r="B393" s="66">
        <v>2.0</v>
      </c>
      <c r="G393" s="5">
        <v>9.0</v>
      </c>
      <c r="H393" s="5">
        <v>884000.0</v>
      </c>
    </row>
    <row r="394">
      <c r="A394" s="67"/>
      <c r="B394" s="67"/>
    </row>
    <row r="395">
      <c r="A395" s="72">
        <v>45698.0</v>
      </c>
      <c r="B395" s="66">
        <v>1.0</v>
      </c>
      <c r="C395" s="67"/>
      <c r="D395" s="67"/>
      <c r="E395" s="67"/>
      <c r="F395" s="67"/>
      <c r="G395" s="67"/>
      <c r="H395" s="67"/>
      <c r="I395" s="67"/>
    </row>
    <row r="396">
      <c r="A396" s="72">
        <v>45699.0</v>
      </c>
      <c r="B396" s="66">
        <v>1.0</v>
      </c>
      <c r="C396" s="67"/>
      <c r="D396" s="67"/>
      <c r="E396" s="67"/>
      <c r="F396" s="67"/>
      <c r="G396" s="67"/>
      <c r="H396" s="67"/>
      <c r="I396" s="67"/>
    </row>
    <row r="397">
      <c r="A397" s="72">
        <v>45700.0</v>
      </c>
      <c r="B397" s="66">
        <v>5.0</v>
      </c>
      <c r="C397" s="67"/>
      <c r="D397" s="67"/>
      <c r="E397" s="67"/>
      <c r="F397" s="67"/>
      <c r="G397" s="67"/>
      <c r="H397" s="67"/>
      <c r="I397" s="67"/>
    </row>
    <row r="398">
      <c r="A398" s="72">
        <v>45701.0</v>
      </c>
      <c r="B398" s="66">
        <v>1.0</v>
      </c>
      <c r="C398" s="67"/>
      <c r="D398" s="67"/>
      <c r="E398" s="67"/>
      <c r="F398" s="67"/>
      <c r="G398" s="67"/>
      <c r="H398" s="67"/>
      <c r="I398" s="67"/>
    </row>
    <row r="399">
      <c r="A399" s="72">
        <v>45702.0</v>
      </c>
      <c r="B399" s="66">
        <v>0.0</v>
      </c>
      <c r="C399" s="67"/>
      <c r="D399" s="67"/>
      <c r="E399" s="67"/>
      <c r="F399" s="67"/>
      <c r="G399" s="66">
        <v>10.0</v>
      </c>
      <c r="H399" s="66">
        <v>1173997.64</v>
      </c>
      <c r="I399" s="67"/>
    </row>
    <row r="400">
      <c r="A400" s="72"/>
      <c r="B400" s="67"/>
      <c r="C400" s="67"/>
      <c r="D400" s="67"/>
      <c r="E400" s="67"/>
      <c r="F400" s="67"/>
      <c r="G400" s="67"/>
      <c r="H400" s="67"/>
      <c r="I400" s="67"/>
    </row>
    <row r="401">
      <c r="A401" s="72">
        <v>45705.0</v>
      </c>
      <c r="B401" s="66">
        <v>1.0</v>
      </c>
      <c r="C401" s="67"/>
      <c r="D401" s="67"/>
      <c r="E401" s="67"/>
      <c r="F401" s="67"/>
      <c r="G401" s="67"/>
      <c r="H401" s="67"/>
      <c r="I401" s="67"/>
    </row>
    <row r="402">
      <c r="A402" s="72">
        <v>45706.0</v>
      </c>
      <c r="B402" s="66">
        <v>1.0</v>
      </c>
      <c r="C402" s="67"/>
      <c r="D402" s="67"/>
      <c r="E402" s="67"/>
      <c r="F402" s="67"/>
      <c r="G402" s="67"/>
      <c r="H402" s="67"/>
      <c r="I402" s="67"/>
    </row>
    <row r="403">
      <c r="A403" s="72">
        <v>45707.0</v>
      </c>
      <c r="B403" s="66">
        <v>3.0</v>
      </c>
    </row>
    <row r="404">
      <c r="A404" s="72">
        <v>45708.0</v>
      </c>
      <c r="B404" s="66">
        <v>2.0</v>
      </c>
    </row>
    <row r="405">
      <c r="A405" s="72">
        <v>45709.0</v>
      </c>
      <c r="B405" s="66">
        <v>1.0</v>
      </c>
      <c r="G405" s="5">
        <v>7.0</v>
      </c>
      <c r="H405" s="5">
        <v>714000.0</v>
      </c>
    </row>
    <row r="406">
      <c r="A406" s="67"/>
      <c r="B406" s="67"/>
    </row>
    <row r="407">
      <c r="A407" s="72">
        <v>45712.0</v>
      </c>
      <c r="B407" s="67"/>
    </row>
    <row r="408">
      <c r="A408" s="72">
        <v>45713.0</v>
      </c>
      <c r="B408" s="66">
        <v>2.0</v>
      </c>
    </row>
    <row r="409">
      <c r="A409" s="72">
        <v>45714.0</v>
      </c>
      <c r="B409" s="67"/>
    </row>
    <row r="410">
      <c r="A410" s="72">
        <v>45715.0</v>
      </c>
      <c r="B410" s="67"/>
    </row>
    <row r="411">
      <c r="A411" s="72">
        <v>45716.0</v>
      </c>
      <c r="B411" s="66">
        <v>11.0</v>
      </c>
      <c r="H411" s="5">
        <v>1164256.0</v>
      </c>
    </row>
    <row r="412">
      <c r="A412" s="67"/>
      <c r="B412" s="67"/>
    </row>
    <row r="413">
      <c r="A413" s="72">
        <v>45719.0</v>
      </c>
      <c r="B413" s="66">
        <v>1.0</v>
      </c>
    </row>
    <row r="414">
      <c r="A414" s="72">
        <v>45720.0</v>
      </c>
      <c r="B414" s="67"/>
    </row>
    <row r="415">
      <c r="A415" s="72">
        <v>45721.0</v>
      </c>
      <c r="B415" s="67"/>
    </row>
    <row r="416">
      <c r="A416" s="68">
        <v>45722.0</v>
      </c>
      <c r="B416" s="67"/>
    </row>
    <row r="417">
      <c r="A417" s="68">
        <v>45723.0</v>
      </c>
      <c r="B417" s="66">
        <v>2.0</v>
      </c>
      <c r="G417" s="5">
        <v>15.0</v>
      </c>
      <c r="H417" s="5">
        <v>1300773.26</v>
      </c>
    </row>
    <row r="418">
      <c r="B418" s="67"/>
    </row>
    <row r="419">
      <c r="A419" s="68">
        <v>45726.0</v>
      </c>
      <c r="B419" s="66">
        <v>1.0</v>
      </c>
    </row>
    <row r="420">
      <c r="A420" s="68">
        <v>45727.0</v>
      </c>
      <c r="B420" s="66">
        <v>0.0</v>
      </c>
    </row>
    <row r="421">
      <c r="A421" s="68">
        <v>45728.0</v>
      </c>
      <c r="B421" s="66">
        <v>4.0</v>
      </c>
    </row>
    <row r="422">
      <c r="A422" s="68">
        <v>45729.0</v>
      </c>
      <c r="B422" s="66">
        <v>7.0</v>
      </c>
    </row>
    <row r="423">
      <c r="A423" s="68">
        <v>45730.0</v>
      </c>
      <c r="B423" s="66">
        <v>1.0</v>
      </c>
      <c r="G423" s="5">
        <v>14.0</v>
      </c>
      <c r="H423" s="5">
        <v>1442288.26</v>
      </c>
    </row>
    <row r="424">
      <c r="B424" s="67"/>
    </row>
    <row r="425">
      <c r="A425" s="68" t="s">
        <v>174</v>
      </c>
      <c r="B425" s="66">
        <v>1.0</v>
      </c>
    </row>
    <row r="426">
      <c r="A426" s="68">
        <v>45734.0</v>
      </c>
      <c r="B426" s="67"/>
    </row>
    <row r="427">
      <c r="A427" s="68">
        <v>45735.0</v>
      </c>
      <c r="B427" s="66">
        <v>4.0</v>
      </c>
    </row>
    <row r="428">
      <c r="A428" s="68">
        <v>45736.0</v>
      </c>
      <c r="B428" s="66">
        <v>3.0</v>
      </c>
    </row>
    <row r="429">
      <c r="A429" s="68">
        <v>45737.0</v>
      </c>
      <c r="B429" s="66">
        <v>3.0</v>
      </c>
      <c r="G429" s="5">
        <v>15.0</v>
      </c>
      <c r="H429" s="5">
        <v>1504257.68</v>
      </c>
    </row>
    <row r="430">
      <c r="B430" s="67"/>
    </row>
    <row r="431">
      <c r="A431" s="68">
        <v>45740.0</v>
      </c>
      <c r="B431" s="67"/>
    </row>
    <row r="432">
      <c r="A432" s="68">
        <v>45741.0</v>
      </c>
      <c r="B432" s="66">
        <v>1.0</v>
      </c>
    </row>
    <row r="433">
      <c r="A433" s="68">
        <v>45742.0</v>
      </c>
      <c r="B433" s="66">
        <v>1.0</v>
      </c>
    </row>
    <row r="434">
      <c r="A434" s="68">
        <v>45743.0</v>
      </c>
      <c r="B434" s="66">
        <v>1.0</v>
      </c>
    </row>
    <row r="435">
      <c r="A435" s="68">
        <v>45744.0</v>
      </c>
      <c r="B435" s="66">
        <v>1.0</v>
      </c>
      <c r="G435" s="5">
        <v>14.0</v>
      </c>
      <c r="H435" s="12">
        <v>1128868.05</v>
      </c>
    </row>
    <row r="436">
      <c r="B436" s="67"/>
    </row>
    <row r="437">
      <c r="A437" s="68">
        <v>45747.0</v>
      </c>
      <c r="B437" s="66">
        <v>4.0</v>
      </c>
    </row>
    <row r="438">
      <c r="B438" s="67"/>
    </row>
    <row r="439">
      <c r="A439" s="68">
        <v>45748.0</v>
      </c>
      <c r="B439" s="66">
        <v>4.0</v>
      </c>
    </row>
    <row r="440">
      <c r="A440" s="68">
        <v>45749.0</v>
      </c>
      <c r="B440" s="66">
        <v>14.0</v>
      </c>
    </row>
    <row r="441">
      <c r="A441" s="68">
        <v>45750.0</v>
      </c>
      <c r="B441" s="66">
        <v>9.0</v>
      </c>
    </row>
    <row r="442">
      <c r="A442" s="68">
        <v>45751.0</v>
      </c>
      <c r="B442" s="66">
        <v>6.0</v>
      </c>
      <c r="G442" s="5">
        <v>15.0</v>
      </c>
      <c r="H442" s="5">
        <v>1422557.97</v>
      </c>
    </row>
    <row r="443">
      <c r="B443" s="67"/>
    </row>
    <row r="444">
      <c r="A444" s="68">
        <v>45754.0</v>
      </c>
      <c r="B444" s="66">
        <v>1.0</v>
      </c>
    </row>
    <row r="445">
      <c r="A445" s="68">
        <v>45755.0</v>
      </c>
      <c r="B445" s="66">
        <v>0.0</v>
      </c>
    </row>
    <row r="446">
      <c r="A446" s="68">
        <v>45756.0</v>
      </c>
      <c r="B446" s="66">
        <v>5.0</v>
      </c>
    </row>
    <row r="447">
      <c r="A447" s="68">
        <v>45757.0</v>
      </c>
      <c r="B447" s="66">
        <v>0.0</v>
      </c>
    </row>
    <row r="448">
      <c r="A448" s="68">
        <v>45758.0</v>
      </c>
      <c r="B448" s="66">
        <v>6.0</v>
      </c>
    </row>
    <row r="449">
      <c r="B449" s="67"/>
    </row>
    <row r="450">
      <c r="A450" s="68">
        <v>45761.0</v>
      </c>
      <c r="B450" s="66">
        <v>2.0</v>
      </c>
    </row>
    <row r="451">
      <c r="A451" s="68">
        <v>45762.0</v>
      </c>
      <c r="B451" s="67"/>
    </row>
    <row r="452">
      <c r="A452" s="68">
        <v>45763.0</v>
      </c>
      <c r="B452" s="66">
        <v>0.0</v>
      </c>
    </row>
    <row r="453">
      <c r="A453" s="68">
        <v>45764.0</v>
      </c>
      <c r="B453" s="66">
        <v>0.0</v>
      </c>
    </row>
    <row r="454">
      <c r="A454" s="68">
        <v>45765.0</v>
      </c>
      <c r="B454" s="66">
        <v>0.0</v>
      </c>
    </row>
    <row r="455">
      <c r="B455" s="67"/>
    </row>
    <row r="456">
      <c r="A456" s="68">
        <v>45768.0</v>
      </c>
      <c r="B456" s="67"/>
    </row>
    <row r="457">
      <c r="A457" s="68">
        <v>45769.0</v>
      </c>
      <c r="B457" s="67"/>
    </row>
    <row r="458">
      <c r="A458" s="68">
        <v>45770.0</v>
      </c>
      <c r="B458" s="67"/>
    </row>
    <row r="459">
      <c r="A459" s="68">
        <v>45771.0</v>
      </c>
      <c r="B459" s="66">
        <v>9.0</v>
      </c>
    </row>
    <row r="460">
      <c r="A460" s="68">
        <v>45772.0</v>
      </c>
      <c r="B460" s="66">
        <v>10.0</v>
      </c>
      <c r="H460" s="5">
        <v>471671.0</v>
      </c>
    </row>
    <row r="461">
      <c r="B461" s="67"/>
    </row>
    <row r="462">
      <c r="A462" s="68">
        <v>45775.0</v>
      </c>
      <c r="B462" s="66">
        <v>7.0</v>
      </c>
    </row>
    <row r="463">
      <c r="A463" s="68">
        <v>45776.0</v>
      </c>
      <c r="B463" s="66">
        <v>8.0</v>
      </c>
    </row>
    <row r="464">
      <c r="A464" s="68">
        <v>45777.0</v>
      </c>
      <c r="B464" s="66">
        <v>1.0</v>
      </c>
    </row>
    <row r="465">
      <c r="A465" s="68">
        <v>45748.0</v>
      </c>
      <c r="B465" s="66" t="s">
        <v>175</v>
      </c>
    </row>
    <row r="466">
      <c r="A466" s="68">
        <v>45749.0</v>
      </c>
      <c r="B466" s="66">
        <v>1.0</v>
      </c>
      <c r="H466" s="12">
        <v>1777931.5</v>
      </c>
    </row>
    <row r="468">
      <c r="A468" s="68">
        <v>45782.0</v>
      </c>
      <c r="B468" s="67"/>
    </row>
    <row r="469">
      <c r="A469" s="68">
        <v>45783.0</v>
      </c>
      <c r="B469" s="66">
        <v>1.0</v>
      </c>
    </row>
    <row r="470">
      <c r="A470" s="68">
        <v>45784.0</v>
      </c>
      <c r="B470" s="66">
        <v>1.0</v>
      </c>
    </row>
    <row r="471">
      <c r="A471" s="68">
        <v>45785.0</v>
      </c>
      <c r="B471" s="66">
        <v>3.0</v>
      </c>
    </row>
    <row r="472">
      <c r="A472" s="68">
        <v>45786.0</v>
      </c>
      <c r="B472" s="66">
        <v>1.0</v>
      </c>
      <c r="G472" s="5">
        <v>16.0</v>
      </c>
      <c r="H472" s="5">
        <v>1402610.93</v>
      </c>
    </row>
    <row r="473">
      <c r="B473" s="67"/>
    </row>
    <row r="474">
      <c r="A474" s="68">
        <v>45789.0</v>
      </c>
      <c r="B474" s="67"/>
    </row>
    <row r="475">
      <c r="A475" s="68">
        <v>45790.0</v>
      </c>
      <c r="B475" s="66">
        <v>1.0</v>
      </c>
    </row>
    <row r="476">
      <c r="A476" s="68">
        <v>45791.0</v>
      </c>
      <c r="B476" s="67"/>
    </row>
    <row r="477">
      <c r="A477" s="68">
        <v>45792.0</v>
      </c>
      <c r="B477" s="66">
        <v>3.0</v>
      </c>
    </row>
    <row r="478">
      <c r="A478" s="68">
        <v>45793.0</v>
      </c>
      <c r="B478" s="66">
        <v>4.0</v>
      </c>
      <c r="G478" s="5">
        <v>13.0</v>
      </c>
      <c r="H478" s="5">
        <v>1347139.2</v>
      </c>
    </row>
    <row r="480">
      <c r="A480" s="68">
        <v>45796.0</v>
      </c>
      <c r="B480" s="66">
        <v>1.0</v>
      </c>
    </row>
    <row r="481">
      <c r="A481" s="68">
        <v>45797.0</v>
      </c>
      <c r="B481" s="66">
        <v>6.0</v>
      </c>
    </row>
    <row r="482">
      <c r="A482" s="68">
        <v>45798.0</v>
      </c>
      <c r="B482" s="66">
        <v>4.0</v>
      </c>
    </row>
    <row r="483">
      <c r="A483" s="68">
        <v>45799.0</v>
      </c>
      <c r="B483" s="66">
        <v>1.0</v>
      </c>
    </row>
    <row r="484">
      <c r="A484" s="68">
        <v>45800.0</v>
      </c>
      <c r="B484" s="66">
        <v>3.0</v>
      </c>
      <c r="G484" s="5">
        <v>13.0</v>
      </c>
      <c r="H484" s="5">
        <v>2105490.07</v>
      </c>
    </row>
    <row r="485">
      <c r="B485" s="67"/>
    </row>
    <row r="486">
      <c r="A486" s="68">
        <v>45803.0</v>
      </c>
      <c r="B486" s="66">
        <v>1.0</v>
      </c>
    </row>
    <row r="487">
      <c r="A487" s="68">
        <v>45804.0</v>
      </c>
      <c r="B487" s="66">
        <v>4.0</v>
      </c>
    </row>
    <row r="488">
      <c r="A488" s="68">
        <v>45805.0</v>
      </c>
      <c r="B488" s="66">
        <v>5.0</v>
      </c>
    </row>
    <row r="489">
      <c r="A489" s="68">
        <v>45806.0</v>
      </c>
      <c r="B489" s="66">
        <v>4.0</v>
      </c>
    </row>
    <row r="490">
      <c r="A490" s="68">
        <v>45807.0</v>
      </c>
      <c r="B490" s="67"/>
    </row>
    <row r="491">
      <c r="B491" s="67"/>
    </row>
    <row r="492">
      <c r="A492" s="68">
        <v>45810.0</v>
      </c>
      <c r="B492" s="67"/>
    </row>
    <row r="493">
      <c r="A493" s="68">
        <v>45811.0</v>
      </c>
      <c r="B493" s="67"/>
    </row>
    <row r="494">
      <c r="A494" s="68">
        <v>45812.0</v>
      </c>
      <c r="B494" s="67"/>
    </row>
    <row r="495">
      <c r="A495" s="68">
        <v>45813.0</v>
      </c>
      <c r="B495" s="66">
        <v>2.0</v>
      </c>
    </row>
    <row r="496">
      <c r="A496" s="68">
        <v>45814.0</v>
      </c>
      <c r="B496" s="66">
        <v>1.0</v>
      </c>
    </row>
    <row r="497">
      <c r="B497" s="67"/>
    </row>
    <row r="498">
      <c r="A498" s="68">
        <v>45817.0</v>
      </c>
      <c r="B498" s="66">
        <v>2.0</v>
      </c>
    </row>
    <row r="499">
      <c r="A499" s="68">
        <v>45818.0</v>
      </c>
      <c r="B499" s="66">
        <v>0.0</v>
      </c>
    </row>
    <row r="500">
      <c r="A500" s="68">
        <v>45819.0</v>
      </c>
      <c r="B500" s="66">
        <v>0.0</v>
      </c>
    </row>
    <row r="501">
      <c r="A501" s="68">
        <v>45820.0</v>
      </c>
      <c r="B501" s="66">
        <v>0.0</v>
      </c>
    </row>
    <row r="502">
      <c r="A502" s="68">
        <v>45821.0</v>
      </c>
      <c r="B502" s="66">
        <v>2.0</v>
      </c>
    </row>
    <row r="503">
      <c r="B503" s="67"/>
    </row>
    <row r="504">
      <c r="A504" s="68">
        <v>45824.0</v>
      </c>
      <c r="B504" s="67"/>
    </row>
    <row r="505">
      <c r="A505" s="68">
        <v>45825.0</v>
      </c>
      <c r="B505" s="66">
        <v>4.0</v>
      </c>
    </row>
    <row r="506">
      <c r="A506" s="68">
        <v>45826.0</v>
      </c>
      <c r="B506" s="66">
        <v>1.0</v>
      </c>
    </row>
    <row r="507">
      <c r="A507" s="68">
        <v>45827.0</v>
      </c>
      <c r="B507" s="66">
        <v>1.0</v>
      </c>
    </row>
    <row r="508">
      <c r="A508" s="68">
        <v>45828.0</v>
      </c>
      <c r="B508" s="66">
        <v>4.0</v>
      </c>
    </row>
    <row r="509">
      <c r="B509" s="67"/>
    </row>
    <row r="510">
      <c r="A510" s="68">
        <v>45831.0</v>
      </c>
      <c r="B510" s="66">
        <v>1.0</v>
      </c>
    </row>
    <row r="511">
      <c r="A511" s="68">
        <v>45832.0</v>
      </c>
      <c r="B511" s="66">
        <v>3.0</v>
      </c>
    </row>
    <row r="512">
      <c r="A512" s="68">
        <v>45833.0</v>
      </c>
      <c r="B512" s="66">
        <v>0.0</v>
      </c>
    </row>
    <row r="513">
      <c r="A513" s="68">
        <v>45834.0</v>
      </c>
      <c r="B513" s="66">
        <v>0.0</v>
      </c>
    </row>
    <row r="514">
      <c r="A514" s="68">
        <v>45835.0</v>
      </c>
      <c r="B514" s="66">
        <v>2.0</v>
      </c>
    </row>
    <row r="515">
      <c r="B515" s="67"/>
    </row>
    <row r="516">
      <c r="A516" s="68">
        <v>45839.0</v>
      </c>
      <c r="B516" s="67"/>
    </row>
    <row r="517">
      <c r="A517" s="68">
        <v>45840.0</v>
      </c>
      <c r="B517" s="67"/>
    </row>
    <row r="518">
      <c r="A518" s="68">
        <v>45841.0</v>
      </c>
      <c r="B518" s="67"/>
    </row>
    <row r="519">
      <c r="A519" s="68">
        <v>45842.0</v>
      </c>
      <c r="B519" s="66">
        <v>1.0</v>
      </c>
      <c r="G519" s="5">
        <v>8.0</v>
      </c>
      <c r="H519" s="12">
        <v>1019000.0</v>
      </c>
    </row>
    <row r="520">
      <c r="B520" s="67"/>
    </row>
    <row r="521">
      <c r="A521" s="68">
        <v>45845.0</v>
      </c>
      <c r="B521" s="66">
        <v>2.0</v>
      </c>
    </row>
    <row r="522">
      <c r="A522" s="68">
        <v>45846.0</v>
      </c>
      <c r="B522" s="66">
        <v>0.0</v>
      </c>
    </row>
    <row r="523">
      <c r="A523" s="68">
        <v>45847.0</v>
      </c>
      <c r="B523" s="66">
        <v>2.0</v>
      </c>
    </row>
    <row r="524">
      <c r="A524" s="68">
        <v>45848.0</v>
      </c>
      <c r="B524" s="66">
        <v>2.0</v>
      </c>
    </row>
    <row r="525">
      <c r="A525" s="68">
        <v>45849.0</v>
      </c>
      <c r="B525" s="66">
        <v>0.0</v>
      </c>
      <c r="G525" s="5">
        <v>16.0</v>
      </c>
      <c r="H525" s="79" t="s">
        <v>176</v>
      </c>
    </row>
    <row r="526">
      <c r="B526" s="67"/>
    </row>
    <row r="527">
      <c r="A527" s="68">
        <v>45852.0</v>
      </c>
      <c r="B527" s="66">
        <v>2.0</v>
      </c>
    </row>
    <row r="528">
      <c r="A528" s="68">
        <v>45853.0</v>
      </c>
      <c r="B528" s="66">
        <v>1.0</v>
      </c>
    </row>
    <row r="529">
      <c r="A529" s="68">
        <v>45854.0</v>
      </c>
      <c r="B529" s="66">
        <v>1.0</v>
      </c>
    </row>
    <row r="530">
      <c r="A530" s="68">
        <v>45855.0</v>
      </c>
      <c r="B530" s="66">
        <v>3.0</v>
      </c>
    </row>
    <row r="531">
      <c r="A531" s="68">
        <v>45856.0</v>
      </c>
      <c r="B531" s="67"/>
    </row>
    <row r="532">
      <c r="B532" s="67"/>
    </row>
    <row r="533">
      <c r="A533" s="68">
        <v>45859.0</v>
      </c>
      <c r="B533" s="67"/>
    </row>
    <row r="534">
      <c r="A534" s="68">
        <v>45860.0</v>
      </c>
      <c r="B534" s="67"/>
    </row>
    <row r="535">
      <c r="A535" s="68">
        <v>45861.0</v>
      </c>
      <c r="B535" s="66">
        <v>4.0</v>
      </c>
    </row>
    <row r="536">
      <c r="A536" s="68">
        <v>45862.0</v>
      </c>
      <c r="B536" s="66">
        <v>7.0</v>
      </c>
    </row>
    <row r="537">
      <c r="A537" s="68">
        <v>45863.0</v>
      </c>
      <c r="B537" s="67"/>
    </row>
    <row r="538">
      <c r="B538" s="67"/>
    </row>
    <row r="539">
      <c r="A539" s="68">
        <v>45866.0</v>
      </c>
      <c r="B539" s="67"/>
    </row>
    <row r="540">
      <c r="A540" s="68">
        <v>45867.0</v>
      </c>
      <c r="B540" s="67"/>
    </row>
    <row r="541">
      <c r="A541" s="68">
        <v>45868.0</v>
      </c>
      <c r="B541" s="67"/>
    </row>
    <row r="542">
      <c r="A542" s="68">
        <v>45869.0</v>
      </c>
      <c r="B542" s="67"/>
    </row>
    <row r="543">
      <c r="A543" s="68">
        <v>45870.0</v>
      </c>
      <c r="B543" s="66">
        <v>3.0</v>
      </c>
    </row>
    <row r="544">
      <c r="B544" s="67"/>
    </row>
    <row r="545">
      <c r="A545" s="68">
        <v>45873.0</v>
      </c>
      <c r="B545" s="66">
        <v>3.0</v>
      </c>
    </row>
    <row r="546">
      <c r="A546" s="68">
        <v>45874.0</v>
      </c>
      <c r="B546" s="67"/>
    </row>
    <row r="547">
      <c r="A547" s="68">
        <v>45875.0</v>
      </c>
      <c r="B547" s="67"/>
    </row>
    <row r="548">
      <c r="A548" s="68">
        <v>45876.0</v>
      </c>
      <c r="B548" s="67"/>
    </row>
    <row r="549">
      <c r="A549" s="68">
        <v>45846.0</v>
      </c>
      <c r="B549" s="67"/>
    </row>
    <row r="550">
      <c r="B550" s="67"/>
    </row>
    <row r="551">
      <c r="B551" s="67"/>
    </row>
    <row r="552">
      <c r="B552" s="67"/>
    </row>
    <row r="553">
      <c r="B553" s="67"/>
    </row>
    <row r="554">
      <c r="B554" s="67"/>
    </row>
    <row r="555">
      <c r="B555" s="67"/>
    </row>
    <row r="556">
      <c r="B556" s="67"/>
    </row>
    <row r="557">
      <c r="B557" s="67"/>
    </row>
    <row r="558">
      <c r="B558" s="67"/>
    </row>
    <row r="559">
      <c r="B559" s="6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2" max="2" width="14.5"/>
    <col customWidth="1" min="6" max="6" width="19.75"/>
    <col customWidth="1" min="9" max="9" width="14.13"/>
    <col customWidth="1" min="10" max="10" width="16.63"/>
    <col customWidth="1" min="11" max="11" width="15.13"/>
    <col customWidth="1" min="12" max="12" width="7.13"/>
    <col customWidth="1" min="13" max="13" width="17.13"/>
    <col customWidth="1" min="14" max="14" width="20.75"/>
    <col customWidth="1" min="15" max="15" width="18.75"/>
    <col customWidth="1" min="16" max="16" width="13.5"/>
    <col customWidth="1" min="21" max="21" width="19.0"/>
  </cols>
  <sheetData>
    <row r="1">
      <c r="A1" s="1"/>
      <c r="B1" s="4" t="s">
        <v>177</v>
      </c>
      <c r="C1" s="4" t="s">
        <v>140</v>
      </c>
      <c r="D1" s="4" t="s">
        <v>141</v>
      </c>
      <c r="E1" s="4" t="s">
        <v>178</v>
      </c>
      <c r="F1" s="4" t="s">
        <v>179</v>
      </c>
      <c r="G1" s="4" t="s">
        <v>180</v>
      </c>
      <c r="H1" s="4" t="s">
        <v>181</v>
      </c>
      <c r="I1" s="80" t="s">
        <v>182</v>
      </c>
      <c r="J1" s="1" t="s">
        <v>53</v>
      </c>
      <c r="K1" s="4" t="s">
        <v>54</v>
      </c>
      <c r="L1" s="1" t="s">
        <v>57</v>
      </c>
      <c r="M1" s="1" t="s">
        <v>183</v>
      </c>
      <c r="N1" s="1" t="s">
        <v>59</v>
      </c>
      <c r="O1" s="1" t="s">
        <v>184</v>
      </c>
      <c r="P1" s="1" t="s">
        <v>61</v>
      </c>
      <c r="Q1" s="1" t="s">
        <v>62</v>
      </c>
      <c r="R1" s="1" t="s">
        <v>63</v>
      </c>
      <c r="S1" s="1" t="s">
        <v>64</v>
      </c>
      <c r="T1" s="1" t="s">
        <v>65</v>
      </c>
      <c r="U1" s="5" t="s">
        <v>66</v>
      </c>
    </row>
    <row r="2">
      <c r="A2" s="8">
        <v>45261.0</v>
      </c>
      <c r="B2" s="12"/>
      <c r="C2" s="12"/>
      <c r="D2" s="12"/>
      <c r="E2" s="12"/>
      <c r="F2" s="12"/>
      <c r="G2" s="12"/>
      <c r="H2" s="12">
        <v>0.0</v>
      </c>
      <c r="I2" s="18">
        <f>IF(H2="","",H2)</f>
        <v>0</v>
      </c>
      <c r="J2" s="10">
        <f t="shared" ref="J2:J80" si="1">IF(H2="","",IFERROR(I2/DAY(A2)*DAY(EOMONTH(A2,0)),0))</f>
        <v>0</v>
      </c>
      <c r="K2" s="16">
        <f>IFERROR(#REF!/DAY(#REF!)*5,0)</f>
        <v>0</v>
      </c>
      <c r="L2" s="14">
        <f t="shared" ref="L2:L7" si="2">WEEKNUM(A2)</f>
        <v>48</v>
      </c>
      <c r="M2" s="12">
        <v>200000.0</v>
      </c>
      <c r="N2" s="6"/>
      <c r="O2" s="16">
        <f t="shared" ref="O2:O32" si="3">$M$2/DAY(EOMONTH(A2,0))</f>
        <v>6451.612903</v>
      </c>
      <c r="P2" s="6"/>
      <c r="Q2" s="15">
        <f t="shared" ref="Q2:Q89" si="4">IF(H2="","",IFERROR(H2/O2,0))</f>
        <v>0</v>
      </c>
      <c r="T2" s="16">
        <f t="shared" ref="T2:T63" si="5">IF(H2="","",H2-O2)</f>
        <v>-6451.612903</v>
      </c>
      <c r="U2" s="16">
        <f>IF(H2="","",T2)</f>
        <v>-6451.612903</v>
      </c>
    </row>
    <row r="3">
      <c r="A3" s="8">
        <v>45262.0</v>
      </c>
      <c r="B3" s="12"/>
      <c r="C3" s="12"/>
      <c r="D3" s="12"/>
      <c r="E3" s="12"/>
      <c r="F3" s="12"/>
      <c r="G3" s="12"/>
      <c r="H3" s="12">
        <v>0.0</v>
      </c>
      <c r="I3" s="18">
        <f t="shared" ref="I3:I63" si="6">IF(H3="","",I2+H3)</f>
        <v>0</v>
      </c>
      <c r="J3" s="10">
        <f t="shared" si="1"/>
        <v>0</v>
      </c>
      <c r="K3" s="16">
        <f t="shared" ref="K3:K4" si="7">IFERROR(I1/DAY(A1)*5,0)</f>
        <v>0</v>
      </c>
      <c r="L3" s="14">
        <f t="shared" si="2"/>
        <v>48</v>
      </c>
      <c r="M3" s="6"/>
      <c r="N3" s="6"/>
      <c r="O3" s="16">
        <f t="shared" si="3"/>
        <v>6451.612903</v>
      </c>
      <c r="P3" s="6"/>
      <c r="Q3" s="15">
        <f t="shared" si="4"/>
        <v>0</v>
      </c>
      <c r="T3" s="16">
        <f t="shared" si="5"/>
        <v>-6451.612903</v>
      </c>
      <c r="U3" s="16">
        <f t="shared" ref="U3:U63" si="8">IF(H3="","",U2+T3)</f>
        <v>-12903.22581</v>
      </c>
    </row>
    <row r="4">
      <c r="A4" s="8">
        <v>45263.0</v>
      </c>
      <c r="B4" s="12"/>
      <c r="C4" s="12"/>
      <c r="D4" s="12"/>
      <c r="E4" s="12"/>
      <c r="F4" s="12"/>
      <c r="G4" s="12"/>
      <c r="H4" s="12">
        <v>0.0</v>
      </c>
      <c r="I4" s="18">
        <f t="shared" si="6"/>
        <v>0</v>
      </c>
      <c r="J4" s="10">
        <f t="shared" si="1"/>
        <v>0</v>
      </c>
      <c r="K4" s="16">
        <f t="shared" si="7"/>
        <v>0</v>
      </c>
      <c r="L4" s="14">
        <f t="shared" si="2"/>
        <v>49</v>
      </c>
      <c r="M4" s="6"/>
      <c r="N4" s="6"/>
      <c r="O4" s="16">
        <f t="shared" si="3"/>
        <v>6451.612903</v>
      </c>
      <c r="P4" s="6"/>
      <c r="Q4" s="15">
        <f t="shared" si="4"/>
        <v>0</v>
      </c>
      <c r="T4" s="16">
        <f t="shared" si="5"/>
        <v>-6451.612903</v>
      </c>
      <c r="U4" s="16">
        <f t="shared" si="8"/>
        <v>-19354.83871</v>
      </c>
    </row>
    <row r="5">
      <c r="A5" s="8">
        <v>45264.0</v>
      </c>
      <c r="B5" s="12"/>
      <c r="C5" s="12"/>
      <c r="D5" s="12"/>
      <c r="E5" s="12"/>
      <c r="F5" s="12"/>
      <c r="G5" s="12"/>
      <c r="H5" s="12">
        <v>0.0</v>
      </c>
      <c r="I5" s="18">
        <f t="shared" si="6"/>
        <v>0</v>
      </c>
      <c r="J5" s="10">
        <f t="shared" si="1"/>
        <v>0</v>
      </c>
      <c r="K5" s="16">
        <f t="shared" ref="K5:K9" si="9">K4</f>
        <v>0</v>
      </c>
      <c r="L5" s="14">
        <f t="shared" si="2"/>
        <v>49</v>
      </c>
      <c r="M5" s="6"/>
      <c r="N5" s="6"/>
      <c r="O5" s="16">
        <f t="shared" si="3"/>
        <v>6451.612903</v>
      </c>
      <c r="P5" s="6"/>
      <c r="Q5" s="15">
        <f t="shared" si="4"/>
        <v>0</v>
      </c>
      <c r="T5" s="16">
        <f t="shared" si="5"/>
        <v>-6451.612903</v>
      </c>
      <c r="U5" s="16">
        <f t="shared" si="8"/>
        <v>-25806.45161</v>
      </c>
    </row>
    <row r="6">
      <c r="A6" s="8">
        <v>45265.0</v>
      </c>
      <c r="B6" s="12"/>
      <c r="C6" s="12"/>
      <c r="D6" s="12"/>
      <c r="E6" s="12"/>
      <c r="F6" s="12"/>
      <c r="G6" s="12"/>
      <c r="H6" s="12">
        <v>0.0</v>
      </c>
      <c r="I6" s="18">
        <f t="shared" si="6"/>
        <v>0</v>
      </c>
      <c r="J6" s="10">
        <f t="shared" si="1"/>
        <v>0</v>
      </c>
      <c r="K6" s="16">
        <f t="shared" si="9"/>
        <v>0</v>
      </c>
      <c r="L6" s="14">
        <f t="shared" si="2"/>
        <v>49</v>
      </c>
      <c r="M6" s="6"/>
      <c r="N6" s="6"/>
      <c r="O6" s="16">
        <f t="shared" si="3"/>
        <v>6451.612903</v>
      </c>
      <c r="P6" s="6"/>
      <c r="Q6" s="15">
        <f t="shared" si="4"/>
        <v>0</v>
      </c>
      <c r="T6" s="16">
        <f t="shared" si="5"/>
        <v>-6451.612903</v>
      </c>
      <c r="U6" s="16">
        <f t="shared" si="8"/>
        <v>-32258.06452</v>
      </c>
    </row>
    <row r="7">
      <c r="A7" s="8">
        <v>45266.0</v>
      </c>
      <c r="B7" s="12"/>
      <c r="C7" s="12"/>
      <c r="D7" s="12"/>
      <c r="E7" s="12"/>
      <c r="F7" s="12"/>
      <c r="G7" s="12"/>
      <c r="H7" s="12">
        <v>0.0</v>
      </c>
      <c r="I7" s="18">
        <f t="shared" si="6"/>
        <v>0</v>
      </c>
      <c r="J7" s="10">
        <f t="shared" si="1"/>
        <v>0</v>
      </c>
      <c r="K7" s="16">
        <f t="shared" si="9"/>
        <v>0</v>
      </c>
      <c r="L7" s="14">
        <f t="shared" si="2"/>
        <v>49</v>
      </c>
      <c r="M7" s="6"/>
      <c r="N7" s="6"/>
      <c r="O7" s="16">
        <f t="shared" si="3"/>
        <v>6451.612903</v>
      </c>
      <c r="P7" s="6"/>
      <c r="Q7" s="15">
        <f t="shared" si="4"/>
        <v>0</v>
      </c>
      <c r="T7" s="16">
        <f t="shared" si="5"/>
        <v>-6451.612903</v>
      </c>
      <c r="U7" s="16">
        <f t="shared" si="8"/>
        <v>-38709.67742</v>
      </c>
    </row>
    <row r="8">
      <c r="A8" s="8">
        <v>45267.0</v>
      </c>
      <c r="B8" s="12"/>
      <c r="C8" s="12"/>
      <c r="D8" s="12"/>
      <c r="E8" s="12"/>
      <c r="F8" s="12"/>
      <c r="G8" s="12"/>
      <c r="H8" s="12">
        <v>0.0</v>
      </c>
      <c r="I8" s="18">
        <f t="shared" si="6"/>
        <v>0</v>
      </c>
      <c r="J8" s="10">
        <f t="shared" si="1"/>
        <v>0</v>
      </c>
      <c r="K8" s="16">
        <f t="shared" si="9"/>
        <v>0</v>
      </c>
      <c r="L8" s="14">
        <f t="shared" ref="L8:L33" si="10">IF(H8="","", WEEKNUM(A8))</f>
        <v>49</v>
      </c>
      <c r="M8" s="6"/>
      <c r="N8" s="6"/>
      <c r="O8" s="16">
        <f t="shared" si="3"/>
        <v>6451.612903</v>
      </c>
      <c r="P8" s="6"/>
      <c r="Q8" s="15">
        <f t="shared" si="4"/>
        <v>0</v>
      </c>
      <c r="T8" s="16">
        <f t="shared" si="5"/>
        <v>-6451.612903</v>
      </c>
      <c r="U8" s="16">
        <f t="shared" si="8"/>
        <v>-45161.29032</v>
      </c>
    </row>
    <row r="9">
      <c r="A9" s="8">
        <v>45268.0</v>
      </c>
      <c r="B9" s="12"/>
      <c r="C9" s="12"/>
      <c r="D9" s="12"/>
      <c r="E9" s="12"/>
      <c r="F9" s="12"/>
      <c r="G9" s="12"/>
      <c r="H9" s="12">
        <v>0.0</v>
      </c>
      <c r="I9" s="18">
        <f t="shared" si="6"/>
        <v>0</v>
      </c>
      <c r="J9" s="10">
        <f t="shared" si="1"/>
        <v>0</v>
      </c>
      <c r="K9" s="16">
        <f t="shared" si="9"/>
        <v>0</v>
      </c>
      <c r="L9" s="14">
        <f t="shared" si="10"/>
        <v>49</v>
      </c>
      <c r="M9" s="6"/>
      <c r="N9" s="6"/>
      <c r="O9" s="16">
        <f t="shared" si="3"/>
        <v>6451.612903</v>
      </c>
      <c r="P9" s="6"/>
      <c r="Q9" s="15">
        <f t="shared" si="4"/>
        <v>0</v>
      </c>
      <c r="T9" s="16">
        <f t="shared" si="5"/>
        <v>-6451.612903</v>
      </c>
      <c r="U9" s="16">
        <f t="shared" si="8"/>
        <v>-51612.90323</v>
      </c>
    </row>
    <row r="10">
      <c r="A10" s="8">
        <v>45269.0</v>
      </c>
      <c r="B10" s="12"/>
      <c r="C10" s="12"/>
      <c r="D10" s="12"/>
      <c r="E10" s="12"/>
      <c r="F10" s="12"/>
      <c r="G10" s="12"/>
      <c r="H10" s="12">
        <v>0.0</v>
      </c>
      <c r="I10" s="18">
        <f t="shared" si="6"/>
        <v>0</v>
      </c>
      <c r="J10" s="10">
        <f t="shared" si="1"/>
        <v>0</v>
      </c>
      <c r="K10" s="16"/>
      <c r="L10" s="14">
        <f t="shared" si="10"/>
        <v>49</v>
      </c>
      <c r="M10" s="6"/>
      <c r="N10" s="6"/>
      <c r="O10" s="16">
        <f t="shared" si="3"/>
        <v>6451.612903</v>
      </c>
      <c r="P10" s="6"/>
      <c r="Q10" s="15">
        <f t="shared" si="4"/>
        <v>0</v>
      </c>
      <c r="T10" s="16">
        <f t="shared" si="5"/>
        <v>-6451.612903</v>
      </c>
      <c r="U10" s="16">
        <f t="shared" si="8"/>
        <v>-58064.51613</v>
      </c>
    </row>
    <row r="11">
      <c r="A11" s="8">
        <v>45270.0</v>
      </c>
      <c r="B11" s="12"/>
      <c r="C11" s="12"/>
      <c r="D11" s="12"/>
      <c r="E11" s="12"/>
      <c r="F11" s="12"/>
      <c r="G11" s="12"/>
      <c r="H11" s="12">
        <v>0.0</v>
      </c>
      <c r="I11" s="18">
        <f t="shared" si="6"/>
        <v>0</v>
      </c>
      <c r="J11" s="10">
        <f t="shared" si="1"/>
        <v>0</v>
      </c>
      <c r="K11" s="16"/>
      <c r="L11" s="14">
        <f t="shared" si="10"/>
        <v>50</v>
      </c>
      <c r="M11" s="6"/>
      <c r="N11" s="6"/>
      <c r="O11" s="16">
        <f t="shared" si="3"/>
        <v>6451.612903</v>
      </c>
      <c r="P11" s="6"/>
      <c r="Q11" s="15">
        <f t="shared" si="4"/>
        <v>0</v>
      </c>
      <c r="T11" s="16">
        <f t="shared" si="5"/>
        <v>-6451.612903</v>
      </c>
      <c r="U11" s="16">
        <f t="shared" si="8"/>
        <v>-64516.12903</v>
      </c>
    </row>
    <row r="12">
      <c r="A12" s="8">
        <v>45271.0</v>
      </c>
      <c r="B12" s="12"/>
      <c r="C12" s="12"/>
      <c r="D12" s="12"/>
      <c r="E12" s="12"/>
      <c r="F12" s="12"/>
      <c r="G12" s="12"/>
      <c r="H12" s="12">
        <v>0.0</v>
      </c>
      <c r="I12" s="18">
        <f t="shared" si="6"/>
        <v>0</v>
      </c>
      <c r="J12" s="10">
        <f t="shared" si="1"/>
        <v>0</v>
      </c>
      <c r="K12" s="16"/>
      <c r="L12" s="14">
        <f t="shared" si="10"/>
        <v>50</v>
      </c>
      <c r="M12" s="6"/>
      <c r="N12" s="6"/>
      <c r="O12" s="16">
        <f t="shared" si="3"/>
        <v>6451.612903</v>
      </c>
      <c r="P12" s="6"/>
      <c r="Q12" s="15">
        <f t="shared" si="4"/>
        <v>0</v>
      </c>
      <c r="T12" s="16">
        <f t="shared" si="5"/>
        <v>-6451.612903</v>
      </c>
      <c r="U12" s="16">
        <f t="shared" si="8"/>
        <v>-70967.74194</v>
      </c>
    </row>
    <row r="13">
      <c r="A13" s="8">
        <v>45272.0</v>
      </c>
      <c r="B13" s="12"/>
      <c r="C13" s="12"/>
      <c r="D13" s="12"/>
      <c r="E13" s="12"/>
      <c r="F13" s="12"/>
      <c r="G13" s="12"/>
      <c r="H13" s="12">
        <v>0.0</v>
      </c>
      <c r="I13" s="18">
        <f t="shared" si="6"/>
        <v>0</v>
      </c>
      <c r="J13" s="10">
        <f t="shared" si="1"/>
        <v>0</v>
      </c>
      <c r="K13" s="16"/>
      <c r="L13" s="14">
        <f t="shared" si="10"/>
        <v>50</v>
      </c>
      <c r="M13" s="6"/>
      <c r="N13" s="6"/>
      <c r="O13" s="16">
        <f t="shared" si="3"/>
        <v>6451.612903</v>
      </c>
      <c r="P13" s="6"/>
      <c r="Q13" s="15">
        <f t="shared" si="4"/>
        <v>0</v>
      </c>
      <c r="T13" s="16">
        <f t="shared" si="5"/>
        <v>-6451.612903</v>
      </c>
      <c r="U13" s="16">
        <f t="shared" si="8"/>
        <v>-77419.35484</v>
      </c>
    </row>
    <row r="14">
      <c r="A14" s="8">
        <v>45273.0</v>
      </c>
      <c r="B14" s="12"/>
      <c r="C14" s="16"/>
      <c r="D14" s="16"/>
      <c r="E14" s="16"/>
      <c r="F14" s="12"/>
      <c r="G14" s="12"/>
      <c r="H14" s="12">
        <v>0.0</v>
      </c>
      <c r="I14" s="18">
        <f t="shared" si="6"/>
        <v>0</v>
      </c>
      <c r="J14" s="10">
        <f t="shared" si="1"/>
        <v>0</v>
      </c>
      <c r="K14" s="16"/>
      <c r="L14" s="14">
        <f t="shared" si="10"/>
        <v>50</v>
      </c>
      <c r="M14" s="6"/>
      <c r="N14" s="6"/>
      <c r="O14" s="16">
        <f t="shared" si="3"/>
        <v>6451.612903</v>
      </c>
      <c r="P14" s="6"/>
      <c r="Q14" s="15">
        <f t="shared" si="4"/>
        <v>0</v>
      </c>
      <c r="T14" s="16">
        <f t="shared" si="5"/>
        <v>-6451.612903</v>
      </c>
      <c r="U14" s="16">
        <f t="shared" si="8"/>
        <v>-83870.96774</v>
      </c>
    </row>
    <row r="15">
      <c r="A15" s="8">
        <v>45274.0</v>
      </c>
      <c r="B15" s="12"/>
      <c r="C15" s="12"/>
      <c r="D15" s="12"/>
      <c r="E15" s="12"/>
      <c r="F15" s="12"/>
      <c r="G15" s="12"/>
      <c r="H15" s="12">
        <v>0.0</v>
      </c>
      <c r="I15" s="18">
        <f t="shared" si="6"/>
        <v>0</v>
      </c>
      <c r="J15" s="10">
        <f t="shared" si="1"/>
        <v>0</v>
      </c>
      <c r="K15" s="16"/>
      <c r="L15" s="14">
        <f t="shared" si="10"/>
        <v>50</v>
      </c>
      <c r="M15" s="6"/>
      <c r="N15" s="6"/>
      <c r="O15" s="16">
        <f t="shared" si="3"/>
        <v>6451.612903</v>
      </c>
      <c r="P15" s="6"/>
      <c r="Q15" s="15">
        <f t="shared" si="4"/>
        <v>0</v>
      </c>
      <c r="T15" s="16">
        <f t="shared" si="5"/>
        <v>-6451.612903</v>
      </c>
      <c r="U15" s="16">
        <f t="shared" si="8"/>
        <v>-90322.58065</v>
      </c>
    </row>
    <row r="16">
      <c r="A16" s="8">
        <v>45275.0</v>
      </c>
      <c r="B16" s="12"/>
      <c r="C16" s="12"/>
      <c r="D16" s="12"/>
      <c r="E16" s="12"/>
      <c r="F16" s="12"/>
      <c r="G16" s="12"/>
      <c r="H16" s="12">
        <v>0.0</v>
      </c>
      <c r="I16" s="18">
        <f t="shared" si="6"/>
        <v>0</v>
      </c>
      <c r="J16" s="10">
        <f t="shared" si="1"/>
        <v>0</v>
      </c>
      <c r="K16" s="16"/>
      <c r="L16" s="14">
        <f t="shared" si="10"/>
        <v>50</v>
      </c>
      <c r="M16" s="6"/>
      <c r="N16" s="6"/>
      <c r="O16" s="16">
        <f t="shared" si="3"/>
        <v>6451.612903</v>
      </c>
      <c r="P16" s="6"/>
      <c r="Q16" s="15">
        <f t="shared" si="4"/>
        <v>0</v>
      </c>
      <c r="T16" s="16">
        <f t="shared" si="5"/>
        <v>-6451.612903</v>
      </c>
      <c r="U16" s="16">
        <f t="shared" si="8"/>
        <v>-96774.19355</v>
      </c>
    </row>
    <row r="17">
      <c r="A17" s="8">
        <v>45276.0</v>
      </c>
      <c r="B17" s="12"/>
      <c r="C17" s="12"/>
      <c r="D17" s="12"/>
      <c r="E17" s="12"/>
      <c r="F17" s="12"/>
      <c r="G17" s="12"/>
      <c r="H17" s="12">
        <v>0.0</v>
      </c>
      <c r="I17" s="18">
        <f t="shared" si="6"/>
        <v>0</v>
      </c>
      <c r="J17" s="10">
        <f t="shared" si="1"/>
        <v>0</v>
      </c>
      <c r="K17" s="16"/>
      <c r="L17" s="14">
        <f t="shared" si="10"/>
        <v>50</v>
      </c>
      <c r="M17" s="6"/>
      <c r="N17" s="6"/>
      <c r="O17" s="16">
        <f t="shared" si="3"/>
        <v>6451.612903</v>
      </c>
      <c r="P17" s="6"/>
      <c r="Q17" s="15">
        <f t="shared" si="4"/>
        <v>0</v>
      </c>
      <c r="T17" s="16">
        <f t="shared" si="5"/>
        <v>-6451.612903</v>
      </c>
      <c r="U17" s="16">
        <f t="shared" si="8"/>
        <v>-103225.8065</v>
      </c>
    </row>
    <row r="18">
      <c r="A18" s="8">
        <v>45277.0</v>
      </c>
      <c r="B18" s="12"/>
      <c r="C18" s="12"/>
      <c r="D18" s="12"/>
      <c r="E18" s="12"/>
      <c r="F18" s="12"/>
      <c r="G18" s="12"/>
      <c r="H18" s="12">
        <v>0.0</v>
      </c>
      <c r="I18" s="18">
        <f t="shared" si="6"/>
        <v>0</v>
      </c>
      <c r="J18" s="10">
        <f t="shared" si="1"/>
        <v>0</v>
      </c>
      <c r="K18" s="16"/>
      <c r="L18" s="14">
        <f t="shared" si="10"/>
        <v>51</v>
      </c>
      <c r="M18" s="6"/>
      <c r="N18" s="6"/>
      <c r="O18" s="16">
        <f t="shared" si="3"/>
        <v>6451.612903</v>
      </c>
      <c r="P18" s="6"/>
      <c r="Q18" s="15">
        <f t="shared" si="4"/>
        <v>0</v>
      </c>
      <c r="T18" s="16">
        <f t="shared" si="5"/>
        <v>-6451.612903</v>
      </c>
      <c r="U18" s="16">
        <f t="shared" si="8"/>
        <v>-109677.4194</v>
      </c>
    </row>
    <row r="19">
      <c r="A19" s="8">
        <v>45278.0</v>
      </c>
      <c r="B19" s="12"/>
      <c r="C19" s="12"/>
      <c r="D19" s="12"/>
      <c r="E19" s="12"/>
      <c r="F19" s="12"/>
      <c r="G19" s="12"/>
      <c r="H19" s="12">
        <v>0.0</v>
      </c>
      <c r="I19" s="18">
        <f t="shared" si="6"/>
        <v>0</v>
      </c>
      <c r="J19" s="10">
        <f t="shared" si="1"/>
        <v>0</v>
      </c>
      <c r="K19" s="16"/>
      <c r="L19" s="14">
        <f t="shared" si="10"/>
        <v>51</v>
      </c>
      <c r="M19" s="6"/>
      <c r="N19" s="6"/>
      <c r="O19" s="16">
        <f t="shared" si="3"/>
        <v>6451.612903</v>
      </c>
      <c r="P19" s="6"/>
      <c r="Q19" s="15">
        <f t="shared" si="4"/>
        <v>0</v>
      </c>
      <c r="T19" s="16">
        <f t="shared" si="5"/>
        <v>-6451.612903</v>
      </c>
      <c r="U19" s="16">
        <f t="shared" si="8"/>
        <v>-116129.0323</v>
      </c>
    </row>
    <row r="20">
      <c r="A20" s="8">
        <v>45279.0</v>
      </c>
      <c r="B20" s="12"/>
      <c r="C20" s="12"/>
      <c r="D20" s="12"/>
      <c r="E20" s="12"/>
      <c r="F20" s="12"/>
      <c r="G20" s="12"/>
      <c r="H20" s="12">
        <f>5033.36+300</f>
        <v>5333.36</v>
      </c>
      <c r="I20" s="18">
        <f t="shared" si="6"/>
        <v>5333.36</v>
      </c>
      <c r="J20" s="10">
        <f t="shared" si="1"/>
        <v>8701.797895</v>
      </c>
      <c r="K20" s="16"/>
      <c r="L20" s="14">
        <f t="shared" si="10"/>
        <v>51</v>
      </c>
      <c r="M20" s="6"/>
      <c r="N20" s="6"/>
      <c r="O20" s="16">
        <f t="shared" si="3"/>
        <v>6451.612903</v>
      </c>
      <c r="P20" s="6"/>
      <c r="Q20" s="15">
        <f t="shared" si="4"/>
        <v>0.8266708</v>
      </c>
      <c r="T20" s="16">
        <f t="shared" si="5"/>
        <v>-1118.252903</v>
      </c>
      <c r="U20" s="16">
        <f t="shared" si="8"/>
        <v>-117247.2852</v>
      </c>
    </row>
    <row r="21">
      <c r="A21" s="8">
        <v>45280.0</v>
      </c>
      <c r="B21" s="16"/>
      <c r="C21" s="16"/>
      <c r="D21" s="16"/>
      <c r="E21" s="16"/>
      <c r="F21" s="16"/>
      <c r="G21" s="16"/>
      <c r="H21" s="12">
        <v>0.0</v>
      </c>
      <c r="I21" s="18">
        <f t="shared" si="6"/>
        <v>5333.36</v>
      </c>
      <c r="J21" s="10">
        <f t="shared" si="1"/>
        <v>8266.708</v>
      </c>
      <c r="K21" s="16"/>
      <c r="L21" s="14">
        <f t="shared" si="10"/>
        <v>51</v>
      </c>
      <c r="M21" s="6"/>
      <c r="N21" s="6"/>
      <c r="O21" s="16">
        <f t="shared" si="3"/>
        <v>6451.612903</v>
      </c>
      <c r="P21" s="6"/>
      <c r="Q21" s="15">
        <f t="shared" si="4"/>
        <v>0</v>
      </c>
      <c r="T21" s="16">
        <f t="shared" si="5"/>
        <v>-6451.612903</v>
      </c>
      <c r="U21" s="16">
        <f t="shared" si="8"/>
        <v>-123698.8981</v>
      </c>
    </row>
    <row r="22">
      <c r="A22" s="8">
        <v>45281.0</v>
      </c>
      <c r="B22" s="16"/>
      <c r="C22" s="16"/>
      <c r="D22" s="16"/>
      <c r="E22" s="16"/>
      <c r="F22" s="16"/>
      <c r="G22" s="16"/>
      <c r="H22" s="12">
        <f>1750+6209.07</f>
        <v>7959.07</v>
      </c>
      <c r="I22" s="18">
        <f t="shared" si="6"/>
        <v>13292.43</v>
      </c>
      <c r="J22" s="10">
        <f t="shared" si="1"/>
        <v>19622.15857</v>
      </c>
      <c r="K22" s="16"/>
      <c r="L22" s="14">
        <f t="shared" si="10"/>
        <v>51</v>
      </c>
      <c r="M22" s="6"/>
      <c r="N22" s="6"/>
      <c r="O22" s="16">
        <f t="shared" si="3"/>
        <v>6451.612903</v>
      </c>
      <c r="Q22" s="15">
        <f t="shared" si="4"/>
        <v>1.23365585</v>
      </c>
      <c r="T22" s="16">
        <f t="shared" si="5"/>
        <v>1507.457097</v>
      </c>
      <c r="U22" s="16">
        <f t="shared" si="8"/>
        <v>-122191.441</v>
      </c>
    </row>
    <row r="23">
      <c r="A23" s="8">
        <v>45282.0</v>
      </c>
      <c r="B23" s="16"/>
      <c r="C23" s="16"/>
      <c r="D23" s="16"/>
      <c r="E23" s="16"/>
      <c r="F23" s="16"/>
      <c r="G23" s="16"/>
      <c r="H23" s="12">
        <v>0.0</v>
      </c>
      <c r="I23" s="18">
        <f t="shared" si="6"/>
        <v>13292.43</v>
      </c>
      <c r="J23" s="10">
        <f t="shared" si="1"/>
        <v>18730.24227</v>
      </c>
      <c r="K23" s="16"/>
      <c r="L23" s="14">
        <f t="shared" si="10"/>
        <v>51</v>
      </c>
      <c r="M23" s="6"/>
      <c r="N23" s="6"/>
      <c r="O23" s="16">
        <f t="shared" si="3"/>
        <v>6451.612903</v>
      </c>
      <c r="P23" s="6"/>
      <c r="Q23" s="15">
        <f t="shared" si="4"/>
        <v>0</v>
      </c>
      <c r="T23" s="16">
        <f t="shared" si="5"/>
        <v>-6451.612903</v>
      </c>
      <c r="U23" s="16">
        <f t="shared" si="8"/>
        <v>-128643.0539</v>
      </c>
    </row>
    <row r="24">
      <c r="A24" s="8">
        <v>45283.0</v>
      </c>
      <c r="B24" s="16"/>
      <c r="C24" s="16"/>
      <c r="D24" s="16"/>
      <c r="E24" s="16"/>
      <c r="F24" s="16"/>
      <c r="G24" s="16"/>
      <c r="H24" s="12"/>
      <c r="I24" s="18" t="str">
        <f t="shared" si="6"/>
        <v/>
      </c>
      <c r="J24" s="10" t="str">
        <f t="shared" si="1"/>
        <v/>
      </c>
      <c r="K24" s="16"/>
      <c r="L24" s="14" t="str">
        <f t="shared" si="10"/>
        <v/>
      </c>
      <c r="O24" s="16">
        <f t="shared" si="3"/>
        <v>6451.612903</v>
      </c>
      <c r="Q24" s="15" t="str">
        <f t="shared" si="4"/>
        <v/>
      </c>
      <c r="T24" s="6" t="str">
        <f t="shared" si="5"/>
        <v/>
      </c>
      <c r="U24" s="6" t="str">
        <f t="shared" si="8"/>
        <v/>
      </c>
    </row>
    <row r="25">
      <c r="A25" s="8">
        <v>45284.0</v>
      </c>
      <c r="B25" s="16"/>
      <c r="C25" s="16"/>
      <c r="D25" s="16"/>
      <c r="E25" s="16"/>
      <c r="F25" s="16"/>
      <c r="G25" s="16"/>
      <c r="H25" s="12"/>
      <c r="I25" s="19" t="str">
        <f t="shared" si="6"/>
        <v/>
      </c>
      <c r="J25" s="10" t="str">
        <f t="shared" si="1"/>
        <v/>
      </c>
      <c r="K25" s="16"/>
      <c r="L25" s="14" t="str">
        <f t="shared" si="10"/>
        <v/>
      </c>
      <c r="O25" s="16">
        <f t="shared" si="3"/>
        <v>6451.612903</v>
      </c>
      <c r="Q25" s="15" t="str">
        <f t="shared" si="4"/>
        <v/>
      </c>
      <c r="T25" s="6" t="str">
        <f t="shared" si="5"/>
        <v/>
      </c>
      <c r="U25" s="6" t="str">
        <f t="shared" si="8"/>
        <v/>
      </c>
    </row>
    <row r="26">
      <c r="A26" s="8">
        <v>45285.0</v>
      </c>
      <c r="B26" s="16"/>
      <c r="C26" s="16"/>
      <c r="D26" s="16"/>
      <c r="E26" s="16"/>
      <c r="F26" s="16"/>
      <c r="G26" s="16"/>
      <c r="H26" s="12"/>
      <c r="I26" s="19" t="str">
        <f t="shared" si="6"/>
        <v/>
      </c>
      <c r="J26" s="10" t="str">
        <f t="shared" si="1"/>
        <v/>
      </c>
      <c r="K26" s="16"/>
      <c r="L26" s="14" t="str">
        <f t="shared" si="10"/>
        <v/>
      </c>
      <c r="O26" s="16">
        <f t="shared" si="3"/>
        <v>6451.612903</v>
      </c>
      <c r="Q26" s="15" t="str">
        <f t="shared" si="4"/>
        <v/>
      </c>
      <c r="T26" s="6" t="str">
        <f t="shared" si="5"/>
        <v/>
      </c>
      <c r="U26" s="6" t="str">
        <f t="shared" si="8"/>
        <v/>
      </c>
    </row>
    <row r="27">
      <c r="A27" s="8">
        <v>45286.0</v>
      </c>
      <c r="B27" s="16"/>
      <c r="C27" s="16"/>
      <c r="D27" s="16"/>
      <c r="E27" s="16"/>
      <c r="F27" s="16"/>
      <c r="G27" s="16"/>
      <c r="H27" s="12"/>
      <c r="I27" s="19" t="str">
        <f t="shared" si="6"/>
        <v/>
      </c>
      <c r="J27" s="10" t="str">
        <f t="shared" si="1"/>
        <v/>
      </c>
      <c r="K27" s="16"/>
      <c r="L27" s="14" t="str">
        <f t="shared" si="10"/>
        <v/>
      </c>
      <c r="O27" s="16">
        <f t="shared" si="3"/>
        <v>6451.612903</v>
      </c>
      <c r="Q27" s="15" t="str">
        <f t="shared" si="4"/>
        <v/>
      </c>
      <c r="T27" s="6" t="str">
        <f t="shared" si="5"/>
        <v/>
      </c>
      <c r="U27" s="6" t="str">
        <f t="shared" si="8"/>
        <v/>
      </c>
    </row>
    <row r="28">
      <c r="A28" s="8">
        <v>45287.0</v>
      </c>
      <c r="B28" s="16"/>
      <c r="C28" s="16"/>
      <c r="D28" s="16"/>
      <c r="E28" s="16"/>
      <c r="F28" s="16"/>
      <c r="G28" s="16"/>
      <c r="H28" s="12"/>
      <c r="I28" s="19" t="str">
        <f t="shared" si="6"/>
        <v/>
      </c>
      <c r="J28" s="10" t="str">
        <f t="shared" si="1"/>
        <v/>
      </c>
      <c r="K28" s="16"/>
      <c r="L28" s="14" t="str">
        <f t="shared" si="10"/>
        <v/>
      </c>
      <c r="O28" s="16">
        <f t="shared" si="3"/>
        <v>6451.612903</v>
      </c>
      <c r="Q28" s="15" t="str">
        <f t="shared" si="4"/>
        <v/>
      </c>
      <c r="T28" s="6" t="str">
        <f t="shared" si="5"/>
        <v/>
      </c>
      <c r="U28" s="6" t="str">
        <f t="shared" si="8"/>
        <v/>
      </c>
    </row>
    <row r="29">
      <c r="A29" s="8">
        <v>45288.0</v>
      </c>
      <c r="B29" s="16"/>
      <c r="C29" s="16"/>
      <c r="D29" s="16"/>
      <c r="E29" s="16"/>
      <c r="F29" s="16"/>
      <c r="G29" s="16"/>
      <c r="H29" s="12"/>
      <c r="I29" s="19" t="str">
        <f t="shared" si="6"/>
        <v/>
      </c>
      <c r="J29" s="10" t="str">
        <f t="shared" si="1"/>
        <v/>
      </c>
      <c r="K29" s="16"/>
      <c r="L29" s="14" t="str">
        <f t="shared" si="10"/>
        <v/>
      </c>
      <c r="O29" s="16">
        <f t="shared" si="3"/>
        <v>6451.612903</v>
      </c>
      <c r="Q29" s="15" t="str">
        <f t="shared" si="4"/>
        <v/>
      </c>
      <c r="T29" s="6" t="str">
        <f t="shared" si="5"/>
        <v/>
      </c>
      <c r="U29" s="6" t="str">
        <f t="shared" si="8"/>
        <v/>
      </c>
    </row>
    <row r="30">
      <c r="A30" s="8">
        <v>45289.0</v>
      </c>
      <c r="B30" s="16"/>
      <c r="C30" s="16"/>
      <c r="D30" s="16"/>
      <c r="E30" s="16"/>
      <c r="F30" s="16"/>
      <c r="G30" s="16"/>
      <c r="H30" s="12"/>
      <c r="I30" s="19" t="str">
        <f t="shared" si="6"/>
        <v/>
      </c>
      <c r="J30" s="10" t="str">
        <f t="shared" si="1"/>
        <v/>
      </c>
      <c r="K30" s="16"/>
      <c r="L30" s="14" t="str">
        <f t="shared" si="10"/>
        <v/>
      </c>
      <c r="O30" s="16">
        <f t="shared" si="3"/>
        <v>6451.612903</v>
      </c>
      <c r="Q30" s="15" t="str">
        <f t="shared" si="4"/>
        <v/>
      </c>
      <c r="T30" s="6" t="str">
        <f t="shared" si="5"/>
        <v/>
      </c>
      <c r="U30" s="6" t="str">
        <f t="shared" si="8"/>
        <v/>
      </c>
    </row>
    <row r="31">
      <c r="A31" s="8">
        <v>45290.0</v>
      </c>
      <c r="B31" s="16"/>
      <c r="C31" s="16"/>
      <c r="D31" s="16"/>
      <c r="E31" s="16"/>
      <c r="F31" s="16"/>
      <c r="G31" s="16"/>
      <c r="H31" s="12"/>
      <c r="I31" s="19" t="str">
        <f t="shared" si="6"/>
        <v/>
      </c>
      <c r="J31" s="10" t="str">
        <f t="shared" si="1"/>
        <v/>
      </c>
      <c r="K31" s="16"/>
      <c r="L31" s="14" t="str">
        <f t="shared" si="10"/>
        <v/>
      </c>
      <c r="O31" s="16">
        <f t="shared" si="3"/>
        <v>6451.612903</v>
      </c>
      <c r="Q31" s="15" t="str">
        <f t="shared" si="4"/>
        <v/>
      </c>
      <c r="T31" s="6" t="str">
        <f t="shared" si="5"/>
        <v/>
      </c>
      <c r="U31" s="6" t="str">
        <f t="shared" si="8"/>
        <v/>
      </c>
    </row>
    <row r="32">
      <c r="A32" s="8">
        <v>45291.0</v>
      </c>
      <c r="B32" s="12">
        <v>111526.22</v>
      </c>
      <c r="C32" s="16"/>
      <c r="D32" s="16"/>
      <c r="E32" s="12">
        <v>24005.49</v>
      </c>
      <c r="F32" s="16"/>
      <c r="G32" s="16"/>
      <c r="H32" s="12">
        <v>209426.79</v>
      </c>
      <c r="I32" s="18">
        <f t="shared" si="6"/>
        <v>209426.79</v>
      </c>
      <c r="J32" s="10">
        <f t="shared" si="1"/>
        <v>209426.79</v>
      </c>
      <c r="K32" s="16"/>
      <c r="L32" s="14">
        <f t="shared" si="10"/>
        <v>53</v>
      </c>
      <c r="M32" s="6"/>
      <c r="N32" s="6"/>
      <c r="O32" s="16">
        <f t="shared" si="3"/>
        <v>6451.612903</v>
      </c>
      <c r="Q32" s="15">
        <f t="shared" si="4"/>
        <v>32.46115245</v>
      </c>
      <c r="T32" s="16">
        <f t="shared" si="5"/>
        <v>202975.1771</v>
      </c>
      <c r="U32" s="16">
        <f t="shared" si="8"/>
        <v>202975.1771</v>
      </c>
    </row>
    <row r="33">
      <c r="A33" s="8">
        <v>45292.0</v>
      </c>
      <c r="B33" s="16"/>
      <c r="C33" s="16"/>
      <c r="D33" s="16"/>
      <c r="E33" s="16"/>
      <c r="F33" s="16"/>
      <c r="G33" s="16"/>
      <c r="H33" s="12"/>
      <c r="I33" s="19" t="str">
        <f t="shared" si="6"/>
        <v/>
      </c>
      <c r="J33" s="10" t="str">
        <f t="shared" si="1"/>
        <v/>
      </c>
      <c r="K33" s="16"/>
      <c r="L33" s="14" t="str">
        <f t="shared" si="10"/>
        <v/>
      </c>
      <c r="M33" s="12">
        <v>247330.75</v>
      </c>
      <c r="O33" s="16">
        <f t="shared" ref="O33:O63" si="11">$M$33/DAY(EOMONTH(A33,0))</f>
        <v>7978.41129</v>
      </c>
      <c r="Q33" s="15" t="str">
        <f t="shared" si="4"/>
        <v/>
      </c>
      <c r="T33" s="6" t="str">
        <f t="shared" si="5"/>
        <v/>
      </c>
      <c r="U33" s="6" t="str">
        <f t="shared" si="8"/>
        <v/>
      </c>
    </row>
    <row r="34">
      <c r="A34" s="8">
        <v>45293.0</v>
      </c>
      <c r="B34" s="16"/>
      <c r="C34" s="16"/>
      <c r="D34" s="16"/>
      <c r="E34" s="16"/>
      <c r="F34" s="16"/>
      <c r="G34" s="16"/>
      <c r="H34" s="12"/>
      <c r="I34" s="19" t="str">
        <f t="shared" si="6"/>
        <v/>
      </c>
      <c r="J34" s="10" t="str">
        <f t="shared" si="1"/>
        <v/>
      </c>
      <c r="K34" s="16"/>
      <c r="O34" s="16">
        <f t="shared" si="11"/>
        <v>7978.41129</v>
      </c>
      <c r="Q34" s="15" t="str">
        <f t="shared" si="4"/>
        <v/>
      </c>
      <c r="T34" s="6" t="str">
        <f t="shared" si="5"/>
        <v/>
      </c>
      <c r="U34" s="6" t="str">
        <f t="shared" si="8"/>
        <v/>
      </c>
    </row>
    <row r="35">
      <c r="A35" s="8">
        <v>45294.0</v>
      </c>
      <c r="B35" s="16"/>
      <c r="C35" s="16"/>
      <c r="D35" s="16"/>
      <c r="E35" s="16"/>
      <c r="F35" s="16"/>
      <c r="G35" s="16"/>
      <c r="H35" s="12">
        <f>1156.13+195.65+2450+3000+296</f>
        <v>7097.78</v>
      </c>
      <c r="I35" s="18">
        <f t="shared" si="6"/>
        <v>7097.78</v>
      </c>
      <c r="J35" s="10">
        <f t="shared" si="1"/>
        <v>73343.72667</v>
      </c>
      <c r="K35" s="16"/>
      <c r="L35" s="6"/>
      <c r="M35" s="6"/>
      <c r="N35" s="6"/>
      <c r="O35" s="16">
        <f t="shared" si="11"/>
        <v>7978.41129</v>
      </c>
      <c r="P35" s="6"/>
      <c r="Q35" s="15">
        <f t="shared" si="4"/>
        <v>0.8896232272</v>
      </c>
      <c r="T35" s="16">
        <f t="shared" si="5"/>
        <v>-880.6312903</v>
      </c>
      <c r="U35" s="16">
        <f t="shared" si="8"/>
        <v>-880.6312903</v>
      </c>
    </row>
    <row r="36">
      <c r="A36" s="8">
        <v>45295.0</v>
      </c>
      <c r="B36" s="16"/>
      <c r="C36" s="16"/>
      <c r="D36" s="16"/>
      <c r="E36" s="16"/>
      <c r="F36" s="16"/>
      <c r="G36" s="16"/>
      <c r="H36" s="12">
        <v>488.95</v>
      </c>
      <c r="I36" s="18">
        <f t="shared" si="6"/>
        <v>7586.73</v>
      </c>
      <c r="J36" s="10">
        <f t="shared" si="1"/>
        <v>58797.1575</v>
      </c>
      <c r="K36" s="16"/>
      <c r="L36" s="6"/>
      <c r="M36" s="6"/>
      <c r="N36" s="6"/>
      <c r="O36" s="16">
        <f t="shared" si="11"/>
        <v>7978.41129</v>
      </c>
      <c r="P36" s="6"/>
      <c r="Q36" s="15">
        <f t="shared" si="4"/>
        <v>0.06128413066</v>
      </c>
      <c r="T36" s="16">
        <f t="shared" si="5"/>
        <v>-7489.46129</v>
      </c>
      <c r="U36" s="16">
        <f t="shared" si="8"/>
        <v>-8370.092581</v>
      </c>
    </row>
    <row r="37">
      <c r="A37" s="8">
        <v>45296.0</v>
      </c>
      <c r="B37" s="16"/>
      <c r="C37" s="16"/>
      <c r="D37" s="16"/>
      <c r="E37" s="16"/>
      <c r="F37" s="16"/>
      <c r="G37" s="16"/>
      <c r="H37" s="12">
        <f>240+199</f>
        <v>439</v>
      </c>
      <c r="I37" s="18">
        <f t="shared" si="6"/>
        <v>8025.73</v>
      </c>
      <c r="J37" s="10">
        <f t="shared" si="1"/>
        <v>49759.526</v>
      </c>
      <c r="K37" s="16"/>
      <c r="L37" s="6"/>
      <c r="M37" s="6"/>
      <c r="N37" s="6"/>
      <c r="O37" s="16">
        <f t="shared" si="11"/>
        <v>7978.41129</v>
      </c>
      <c r="P37" s="6"/>
      <c r="Q37" s="15">
        <f t="shared" si="4"/>
        <v>0.05502348576</v>
      </c>
      <c r="T37" s="16">
        <f t="shared" si="5"/>
        <v>-7539.41129</v>
      </c>
      <c r="U37" s="16">
        <f t="shared" si="8"/>
        <v>-15909.50387</v>
      </c>
    </row>
    <row r="38">
      <c r="A38" s="8">
        <v>45297.0</v>
      </c>
      <c r="B38" s="16"/>
      <c r="C38" s="16"/>
      <c r="D38" s="16"/>
      <c r="E38" s="16"/>
      <c r="F38" s="16"/>
      <c r="G38" s="16"/>
      <c r="H38" s="12">
        <f>299+141.14+110+54.44+53+96+80+53+523.86</f>
        <v>1410.44</v>
      </c>
      <c r="I38" s="18">
        <f t="shared" si="6"/>
        <v>9436.17</v>
      </c>
      <c r="J38" s="10">
        <f t="shared" si="1"/>
        <v>48753.545</v>
      </c>
      <c r="K38" s="16"/>
      <c r="L38" s="6"/>
      <c r="M38" s="6"/>
      <c r="N38" s="6"/>
      <c r="O38" s="16">
        <f t="shared" si="11"/>
        <v>7978.41129</v>
      </c>
      <c r="P38" s="6"/>
      <c r="Q38" s="15">
        <f t="shared" si="4"/>
        <v>0.1767820621</v>
      </c>
      <c r="T38" s="16">
        <f t="shared" si="5"/>
        <v>-6567.97129</v>
      </c>
      <c r="U38" s="16">
        <f t="shared" si="8"/>
        <v>-22477.47516</v>
      </c>
    </row>
    <row r="39">
      <c r="A39" s="8">
        <v>45298.0</v>
      </c>
      <c r="B39" s="16"/>
      <c r="C39" s="16"/>
      <c r="D39" s="16"/>
      <c r="E39" s="16"/>
      <c r="F39" s="16"/>
      <c r="G39" s="16"/>
      <c r="H39" s="12">
        <v>0.0</v>
      </c>
      <c r="I39" s="18">
        <f t="shared" si="6"/>
        <v>9436.17</v>
      </c>
      <c r="J39" s="10">
        <f t="shared" si="1"/>
        <v>41788.75286</v>
      </c>
      <c r="K39" s="16"/>
      <c r="L39" s="6"/>
      <c r="M39" s="6"/>
      <c r="N39" s="6"/>
      <c r="O39" s="16">
        <f t="shared" si="11"/>
        <v>7978.41129</v>
      </c>
      <c r="P39" s="6"/>
      <c r="Q39" s="15">
        <f t="shared" si="4"/>
        <v>0</v>
      </c>
      <c r="T39" s="16">
        <f t="shared" si="5"/>
        <v>-7978.41129</v>
      </c>
      <c r="U39" s="16">
        <f t="shared" si="8"/>
        <v>-30455.88645</v>
      </c>
    </row>
    <row r="40">
      <c r="A40" s="8">
        <v>45299.0</v>
      </c>
      <c r="B40" s="16"/>
      <c r="C40" s="16"/>
      <c r="D40" s="16"/>
      <c r="E40" s="16"/>
      <c r="F40" s="16"/>
      <c r="G40" s="16"/>
      <c r="H40" s="12">
        <f>475+29751+2400</f>
        <v>32626</v>
      </c>
      <c r="I40" s="18">
        <f t="shared" si="6"/>
        <v>42062.17</v>
      </c>
      <c r="J40" s="10">
        <f t="shared" si="1"/>
        <v>162990.9088</v>
      </c>
      <c r="K40" s="16"/>
      <c r="L40" s="6"/>
      <c r="M40" s="6"/>
      <c r="N40" s="6"/>
      <c r="O40" s="16">
        <f t="shared" si="11"/>
        <v>7978.41129</v>
      </c>
      <c r="Q40" s="15">
        <f t="shared" si="4"/>
        <v>4.089285299</v>
      </c>
      <c r="T40" s="16">
        <f t="shared" si="5"/>
        <v>24647.58871</v>
      </c>
      <c r="U40" s="16">
        <f t="shared" si="8"/>
        <v>-5808.297742</v>
      </c>
    </row>
    <row r="41">
      <c r="A41" s="8">
        <v>45300.0</v>
      </c>
      <c r="B41" s="16"/>
      <c r="C41" s="16"/>
      <c r="D41" s="16"/>
      <c r="E41" s="16"/>
      <c r="F41" s="16"/>
      <c r="G41" s="16"/>
      <c r="H41" s="12">
        <v>0.0</v>
      </c>
      <c r="I41" s="18">
        <f t="shared" si="6"/>
        <v>42062.17</v>
      </c>
      <c r="J41" s="10">
        <f t="shared" si="1"/>
        <v>144880.8078</v>
      </c>
      <c r="K41" s="16"/>
      <c r="L41" s="6"/>
      <c r="M41" s="6"/>
      <c r="N41" s="6"/>
      <c r="O41" s="16">
        <f t="shared" si="11"/>
        <v>7978.41129</v>
      </c>
      <c r="P41" s="6"/>
      <c r="Q41" s="15">
        <f t="shared" si="4"/>
        <v>0</v>
      </c>
      <c r="T41" s="16">
        <f t="shared" si="5"/>
        <v>-7978.41129</v>
      </c>
      <c r="U41" s="16">
        <f t="shared" si="8"/>
        <v>-13786.70903</v>
      </c>
    </row>
    <row r="42">
      <c r="A42" s="8">
        <v>45301.0</v>
      </c>
      <c r="B42" s="16"/>
      <c r="C42" s="16"/>
      <c r="D42" s="16"/>
      <c r="E42" s="16"/>
      <c r="F42" s="16"/>
      <c r="G42" s="16"/>
      <c r="H42" s="12">
        <v>0.0</v>
      </c>
      <c r="I42" s="18">
        <f t="shared" si="6"/>
        <v>42062.17</v>
      </c>
      <c r="J42" s="10">
        <f t="shared" si="1"/>
        <v>130392.727</v>
      </c>
      <c r="K42" s="16"/>
      <c r="L42" s="6"/>
      <c r="M42" s="6"/>
      <c r="N42" s="6"/>
      <c r="O42" s="16">
        <f t="shared" si="11"/>
        <v>7978.41129</v>
      </c>
      <c r="P42" s="6"/>
      <c r="Q42" s="15">
        <f t="shared" si="4"/>
        <v>0</v>
      </c>
      <c r="T42" s="16">
        <f t="shared" si="5"/>
        <v>-7978.41129</v>
      </c>
      <c r="U42" s="16">
        <f t="shared" si="8"/>
        <v>-21765.12032</v>
      </c>
    </row>
    <row r="43">
      <c r="A43" s="8">
        <v>45302.0</v>
      </c>
      <c r="B43" s="16"/>
      <c r="C43" s="16"/>
      <c r="D43" s="16"/>
      <c r="E43" s="16"/>
      <c r="F43" s="16"/>
      <c r="G43" s="16"/>
      <c r="H43" s="12">
        <v>0.0</v>
      </c>
      <c r="I43" s="18">
        <f t="shared" si="6"/>
        <v>42062.17</v>
      </c>
      <c r="J43" s="10">
        <f t="shared" si="1"/>
        <v>118538.8427</v>
      </c>
      <c r="K43" s="16"/>
      <c r="L43" s="6"/>
      <c r="M43" s="6"/>
      <c r="N43" s="6"/>
      <c r="O43" s="16">
        <f t="shared" si="11"/>
        <v>7978.41129</v>
      </c>
      <c r="P43" s="6"/>
      <c r="Q43" s="15">
        <f t="shared" si="4"/>
        <v>0</v>
      </c>
      <c r="T43" s="16">
        <f t="shared" si="5"/>
        <v>-7978.41129</v>
      </c>
      <c r="U43" s="16">
        <f t="shared" si="8"/>
        <v>-29743.53161</v>
      </c>
    </row>
    <row r="44">
      <c r="A44" s="8">
        <v>45303.0</v>
      </c>
      <c r="B44" s="16"/>
      <c r="C44" s="16"/>
      <c r="D44" s="16"/>
      <c r="E44" s="16"/>
      <c r="F44" s="16"/>
      <c r="G44" s="16"/>
      <c r="H44" s="12">
        <f>340+1345+400+364.49+260+499.8-70</f>
        <v>3139.29</v>
      </c>
      <c r="I44" s="18">
        <f t="shared" si="6"/>
        <v>45201.46</v>
      </c>
      <c r="J44" s="10">
        <f t="shared" si="1"/>
        <v>116770.4383</v>
      </c>
      <c r="K44" s="16"/>
      <c r="L44" s="6"/>
      <c r="M44" s="6"/>
      <c r="N44" s="6"/>
      <c r="O44" s="16">
        <f t="shared" si="11"/>
        <v>7978.41129</v>
      </c>
      <c r="P44" s="6"/>
      <c r="Q44" s="15">
        <f t="shared" si="4"/>
        <v>0.393473072</v>
      </c>
      <c r="T44" s="16">
        <f t="shared" si="5"/>
        <v>-4839.12129</v>
      </c>
      <c r="U44" s="16">
        <f t="shared" si="8"/>
        <v>-34582.6529</v>
      </c>
    </row>
    <row r="45">
      <c r="A45" s="8">
        <v>45304.0</v>
      </c>
      <c r="B45" s="16"/>
      <c r="C45" s="16"/>
      <c r="D45" s="16"/>
      <c r="E45" s="16"/>
      <c r="F45" s="16"/>
      <c r="G45" s="16"/>
      <c r="H45" s="12">
        <v>0.0</v>
      </c>
      <c r="I45" s="18">
        <f t="shared" si="6"/>
        <v>45201.46</v>
      </c>
      <c r="J45" s="10">
        <f t="shared" si="1"/>
        <v>107788.0969</v>
      </c>
      <c r="K45" s="16"/>
      <c r="L45" s="6"/>
      <c r="M45" s="6"/>
      <c r="N45" s="6"/>
      <c r="O45" s="16">
        <f t="shared" si="11"/>
        <v>7978.41129</v>
      </c>
      <c r="P45" s="6"/>
      <c r="Q45" s="15">
        <f t="shared" si="4"/>
        <v>0</v>
      </c>
      <c r="T45" s="16">
        <f t="shared" si="5"/>
        <v>-7978.41129</v>
      </c>
      <c r="U45" s="16">
        <f t="shared" si="8"/>
        <v>-42561.06419</v>
      </c>
    </row>
    <row r="46">
      <c r="A46" s="8">
        <v>45305.0</v>
      </c>
      <c r="B46" s="16"/>
      <c r="C46" s="16"/>
      <c r="D46" s="16"/>
      <c r="E46" s="16"/>
      <c r="F46" s="16"/>
      <c r="G46" s="16"/>
      <c r="H46" s="12">
        <v>0.0</v>
      </c>
      <c r="I46" s="18">
        <f t="shared" si="6"/>
        <v>45201.46</v>
      </c>
      <c r="J46" s="10">
        <f t="shared" si="1"/>
        <v>100088.9471</v>
      </c>
      <c r="K46" s="16"/>
      <c r="L46" s="6"/>
      <c r="M46" s="6"/>
      <c r="N46" s="6"/>
      <c r="O46" s="16">
        <f t="shared" si="11"/>
        <v>7978.41129</v>
      </c>
      <c r="P46" s="6"/>
      <c r="Q46" s="15">
        <f t="shared" si="4"/>
        <v>0</v>
      </c>
      <c r="T46" s="16">
        <f t="shared" si="5"/>
        <v>-7978.41129</v>
      </c>
      <c r="U46" s="16">
        <f t="shared" si="8"/>
        <v>-50539.47548</v>
      </c>
    </row>
    <row r="47">
      <c r="A47" s="8">
        <v>45306.0</v>
      </c>
      <c r="B47" s="16"/>
      <c r="C47" s="12"/>
      <c r="D47" s="12"/>
      <c r="E47" s="12">
        <v>0.0</v>
      </c>
      <c r="F47" s="12">
        <v>0.0</v>
      </c>
      <c r="G47" s="16"/>
      <c r="H47" s="12">
        <f>43807.54+7200+460.61</f>
        <v>51468.15</v>
      </c>
      <c r="I47" s="18">
        <f t="shared" si="6"/>
        <v>96669.61</v>
      </c>
      <c r="J47" s="10">
        <f t="shared" si="1"/>
        <v>199783.8607</v>
      </c>
      <c r="K47" s="16"/>
      <c r="L47" s="6"/>
      <c r="M47" s="6"/>
      <c r="N47" s="6"/>
      <c r="O47" s="16">
        <f t="shared" si="11"/>
        <v>7978.41129</v>
      </c>
      <c r="Q47" s="15">
        <f t="shared" si="4"/>
        <v>6.450927149</v>
      </c>
      <c r="T47" s="16">
        <f t="shared" si="5"/>
        <v>43489.73871</v>
      </c>
      <c r="U47" s="16">
        <f t="shared" si="8"/>
        <v>-7049.736774</v>
      </c>
    </row>
    <row r="48">
      <c r="A48" s="8">
        <v>45307.0</v>
      </c>
      <c r="B48" s="16"/>
      <c r="C48" s="16">
        <f>26461.27-4539.89</f>
        <v>21921.38</v>
      </c>
      <c r="D48" s="16"/>
      <c r="E48" s="12">
        <f>C48+D48</f>
        <v>21921.38</v>
      </c>
      <c r="F48" s="12">
        <v>4539.89</v>
      </c>
      <c r="G48" s="16"/>
      <c r="H48" s="12">
        <v>0.0</v>
      </c>
      <c r="I48" s="18">
        <f t="shared" si="6"/>
        <v>96669.61</v>
      </c>
      <c r="J48" s="10">
        <f t="shared" si="1"/>
        <v>187297.3694</v>
      </c>
      <c r="K48" s="16"/>
      <c r="L48" s="6"/>
      <c r="M48" s="6"/>
      <c r="N48" s="6"/>
      <c r="O48" s="16">
        <f t="shared" si="11"/>
        <v>7978.41129</v>
      </c>
      <c r="P48" s="6"/>
      <c r="Q48" s="15">
        <f t="shared" si="4"/>
        <v>0</v>
      </c>
      <c r="T48" s="16">
        <f t="shared" si="5"/>
        <v>-7978.41129</v>
      </c>
      <c r="U48" s="16">
        <f t="shared" si="8"/>
        <v>-15028.14806</v>
      </c>
    </row>
    <row r="49">
      <c r="A49" s="8">
        <v>45308.0</v>
      </c>
      <c r="B49" s="16"/>
      <c r="C49" s="16"/>
      <c r="D49" s="16"/>
      <c r="E49" s="16"/>
      <c r="F49" s="16"/>
      <c r="G49" s="16"/>
      <c r="H49" s="12">
        <v>0.0</v>
      </c>
      <c r="I49" s="18">
        <f t="shared" si="6"/>
        <v>96669.61</v>
      </c>
      <c r="J49" s="10">
        <f t="shared" si="1"/>
        <v>176279.8771</v>
      </c>
      <c r="K49" s="16"/>
      <c r="L49" s="6"/>
      <c r="M49" s="6"/>
      <c r="N49" s="6"/>
      <c r="O49" s="16">
        <f t="shared" si="11"/>
        <v>7978.41129</v>
      </c>
      <c r="P49" s="6"/>
      <c r="Q49" s="15">
        <f t="shared" si="4"/>
        <v>0</v>
      </c>
      <c r="T49" s="16">
        <f t="shared" si="5"/>
        <v>-7978.41129</v>
      </c>
      <c r="U49" s="16">
        <f t="shared" si="8"/>
        <v>-23006.55935</v>
      </c>
    </row>
    <row r="50">
      <c r="A50" s="8">
        <v>45309.0</v>
      </c>
      <c r="B50" s="16"/>
      <c r="C50" s="16"/>
      <c r="D50" s="16"/>
      <c r="E50" s="16"/>
      <c r="F50" s="16"/>
      <c r="G50" s="16"/>
      <c r="H50" s="12">
        <f>28631.99+4225.42</f>
        <v>32857.41</v>
      </c>
      <c r="I50" s="18">
        <f t="shared" si="6"/>
        <v>129527.02</v>
      </c>
      <c r="J50" s="10">
        <f t="shared" si="1"/>
        <v>223074.3122</v>
      </c>
      <c r="K50" s="16"/>
      <c r="L50" s="6"/>
      <c r="M50" s="6"/>
      <c r="N50" s="6"/>
      <c r="O50" s="16">
        <f t="shared" si="11"/>
        <v>7978.41129</v>
      </c>
      <c r="Q50" s="15">
        <f t="shared" si="4"/>
        <v>4.11828982</v>
      </c>
      <c r="T50" s="16">
        <f t="shared" si="5"/>
        <v>24878.99871</v>
      </c>
      <c r="U50" s="16">
        <f t="shared" si="8"/>
        <v>1872.439355</v>
      </c>
    </row>
    <row r="51">
      <c r="A51" s="8">
        <v>45310.0</v>
      </c>
      <c r="B51" s="12">
        <v>0.0</v>
      </c>
      <c r="C51" s="12">
        <v>0.0</v>
      </c>
      <c r="D51" s="12">
        <v>0.0</v>
      </c>
      <c r="E51" s="12">
        <v>0.0</v>
      </c>
      <c r="F51" s="12">
        <v>0.0</v>
      </c>
      <c r="G51" s="12">
        <v>0.0</v>
      </c>
      <c r="H51" s="12">
        <v>0.0</v>
      </c>
      <c r="I51" s="18">
        <f t="shared" si="6"/>
        <v>129527.02</v>
      </c>
      <c r="J51" s="10">
        <f t="shared" si="1"/>
        <v>211333.5589</v>
      </c>
      <c r="K51" s="16"/>
      <c r="L51" s="6"/>
      <c r="M51" s="6"/>
      <c r="N51" s="6"/>
      <c r="O51" s="16">
        <f t="shared" si="11"/>
        <v>7978.41129</v>
      </c>
      <c r="P51" s="6"/>
      <c r="Q51" s="15">
        <f t="shared" si="4"/>
        <v>0</v>
      </c>
      <c r="T51" s="16">
        <f t="shared" si="5"/>
        <v>-7978.41129</v>
      </c>
      <c r="U51" s="16">
        <f t="shared" si="8"/>
        <v>-6105.971935</v>
      </c>
    </row>
    <row r="52">
      <c r="A52" s="8">
        <v>45311.0</v>
      </c>
      <c r="B52" s="12">
        <v>0.0</v>
      </c>
      <c r="C52" s="12">
        <v>0.0</v>
      </c>
      <c r="D52" s="12">
        <v>0.0</v>
      </c>
      <c r="E52" s="12">
        <v>0.0</v>
      </c>
      <c r="F52" s="12">
        <v>0.0</v>
      </c>
      <c r="G52" s="12">
        <v>0.0</v>
      </c>
      <c r="H52" s="12">
        <v>0.0</v>
      </c>
      <c r="I52" s="18">
        <f t="shared" si="6"/>
        <v>129527.02</v>
      </c>
      <c r="J52" s="10">
        <f t="shared" si="1"/>
        <v>200766.881</v>
      </c>
      <c r="K52" s="16"/>
      <c r="L52" s="6"/>
      <c r="M52" s="6"/>
      <c r="N52" s="6"/>
      <c r="O52" s="16">
        <f t="shared" si="11"/>
        <v>7978.41129</v>
      </c>
      <c r="P52" s="6"/>
      <c r="Q52" s="15">
        <f t="shared" si="4"/>
        <v>0</v>
      </c>
      <c r="T52" s="16">
        <f t="shared" si="5"/>
        <v>-7978.41129</v>
      </c>
      <c r="U52" s="16">
        <f t="shared" si="8"/>
        <v>-14084.38323</v>
      </c>
    </row>
    <row r="53">
      <c r="A53" s="8">
        <v>45312.0</v>
      </c>
      <c r="B53" s="12">
        <v>0.0</v>
      </c>
      <c r="C53" s="12">
        <v>0.0</v>
      </c>
      <c r="D53" s="12">
        <v>0.0</v>
      </c>
      <c r="E53" s="12">
        <v>0.0</v>
      </c>
      <c r="F53" s="12">
        <v>0.0</v>
      </c>
      <c r="G53" s="12">
        <v>0.0</v>
      </c>
      <c r="H53" s="12">
        <v>0.0</v>
      </c>
      <c r="I53" s="18">
        <f t="shared" si="6"/>
        <v>129527.02</v>
      </c>
      <c r="J53" s="10">
        <f t="shared" si="1"/>
        <v>191206.5533</v>
      </c>
      <c r="K53" s="16"/>
      <c r="L53" s="6"/>
      <c r="M53" s="6"/>
      <c r="N53" s="6"/>
      <c r="O53" s="16">
        <f t="shared" si="11"/>
        <v>7978.41129</v>
      </c>
      <c r="P53" s="6"/>
      <c r="Q53" s="15">
        <f t="shared" si="4"/>
        <v>0</v>
      </c>
      <c r="T53" s="16">
        <f t="shared" si="5"/>
        <v>-7978.41129</v>
      </c>
      <c r="U53" s="16">
        <f t="shared" si="8"/>
        <v>-22062.79452</v>
      </c>
    </row>
    <row r="54">
      <c r="A54" s="8">
        <v>45313.0</v>
      </c>
      <c r="B54" s="12">
        <v>0.0</v>
      </c>
      <c r="C54" s="12">
        <v>0.0</v>
      </c>
      <c r="D54" s="12">
        <v>0.0</v>
      </c>
      <c r="E54" s="12">
        <v>0.0</v>
      </c>
      <c r="F54" s="12">
        <v>0.0</v>
      </c>
      <c r="G54" s="12">
        <v>0.0</v>
      </c>
      <c r="H54" s="12">
        <v>0.0</v>
      </c>
      <c r="I54" s="18">
        <f t="shared" si="6"/>
        <v>129527.02</v>
      </c>
      <c r="J54" s="10">
        <f t="shared" si="1"/>
        <v>182515.3464</v>
      </c>
      <c r="K54" s="16"/>
      <c r="L54" s="6"/>
      <c r="M54" s="6"/>
      <c r="N54" s="6"/>
      <c r="O54" s="16">
        <f t="shared" si="11"/>
        <v>7978.41129</v>
      </c>
      <c r="P54" s="6"/>
      <c r="Q54" s="15">
        <f t="shared" si="4"/>
        <v>0</v>
      </c>
      <c r="T54" s="16">
        <f t="shared" si="5"/>
        <v>-7978.41129</v>
      </c>
      <c r="U54" s="16">
        <f t="shared" si="8"/>
        <v>-30041.20581</v>
      </c>
    </row>
    <row r="55">
      <c r="A55" s="8">
        <v>45314.0</v>
      </c>
      <c r="B55" s="12">
        <v>0.0</v>
      </c>
      <c r="C55" s="16"/>
      <c r="D55" s="16"/>
      <c r="E55" s="16"/>
      <c r="F55" s="16"/>
      <c r="G55" s="16"/>
      <c r="H55" s="12">
        <v>0.0</v>
      </c>
      <c r="I55" s="18">
        <f t="shared" si="6"/>
        <v>129527.02</v>
      </c>
      <c r="J55" s="10">
        <f t="shared" si="1"/>
        <v>174579.8965</v>
      </c>
      <c r="K55" s="16"/>
      <c r="L55" s="6"/>
      <c r="M55" s="6"/>
      <c r="N55" s="6"/>
      <c r="O55" s="16">
        <f t="shared" si="11"/>
        <v>7978.41129</v>
      </c>
      <c r="P55" s="6"/>
      <c r="Q55" s="15">
        <f t="shared" si="4"/>
        <v>0</v>
      </c>
      <c r="T55" s="16">
        <f t="shared" si="5"/>
        <v>-7978.41129</v>
      </c>
      <c r="U55" s="16">
        <f t="shared" si="8"/>
        <v>-38019.6171</v>
      </c>
    </row>
    <row r="56">
      <c r="A56" s="8">
        <v>45315.0</v>
      </c>
      <c r="B56" s="12">
        <v>0.0</v>
      </c>
      <c r="C56" s="16"/>
      <c r="D56" s="16"/>
      <c r="E56" s="16"/>
      <c r="F56" s="16"/>
      <c r="G56" s="16"/>
      <c r="H56" s="12">
        <f>260+567.35</f>
        <v>827.35</v>
      </c>
      <c r="I56" s="18">
        <f t="shared" si="6"/>
        <v>130354.37</v>
      </c>
      <c r="J56" s="10">
        <f t="shared" si="1"/>
        <v>168374.3946</v>
      </c>
      <c r="K56" s="16"/>
      <c r="L56" s="6"/>
      <c r="M56" s="6"/>
      <c r="N56" s="6"/>
      <c r="O56" s="16">
        <f t="shared" si="11"/>
        <v>7978.41129</v>
      </c>
      <c r="P56" s="6"/>
      <c r="Q56" s="15">
        <f t="shared" si="4"/>
        <v>0.1036985898</v>
      </c>
      <c r="T56" s="16">
        <f t="shared" si="5"/>
        <v>-7151.06129</v>
      </c>
      <c r="U56" s="16">
        <f t="shared" si="8"/>
        <v>-45170.67839</v>
      </c>
    </row>
    <row r="57">
      <c r="A57" s="8">
        <v>45316.0</v>
      </c>
      <c r="B57" s="16"/>
      <c r="C57" s="16"/>
      <c r="D57" s="16"/>
      <c r="E57" s="16"/>
      <c r="F57" s="16"/>
      <c r="G57" s="16"/>
      <c r="H57" s="12">
        <v>0.0</v>
      </c>
      <c r="I57" s="18">
        <f t="shared" si="6"/>
        <v>130354.37</v>
      </c>
      <c r="J57" s="10">
        <f t="shared" si="1"/>
        <v>161639.4188</v>
      </c>
      <c r="K57" s="16"/>
      <c r="L57" s="6"/>
      <c r="M57" s="6"/>
      <c r="N57" s="6"/>
      <c r="O57" s="16">
        <f t="shared" si="11"/>
        <v>7978.41129</v>
      </c>
      <c r="P57" s="6"/>
      <c r="Q57" s="15">
        <f t="shared" si="4"/>
        <v>0</v>
      </c>
      <c r="T57" s="16">
        <f t="shared" si="5"/>
        <v>-7978.41129</v>
      </c>
      <c r="U57" s="16">
        <f t="shared" si="8"/>
        <v>-53149.08968</v>
      </c>
    </row>
    <row r="58">
      <c r="A58" s="8">
        <v>45317.0</v>
      </c>
      <c r="B58" s="16"/>
      <c r="C58" s="16"/>
      <c r="D58" s="16"/>
      <c r="E58" s="16"/>
      <c r="F58" s="16"/>
      <c r="G58" s="16"/>
      <c r="H58" s="12">
        <v>0.0</v>
      </c>
      <c r="I58" s="18">
        <f t="shared" si="6"/>
        <v>130354.37</v>
      </c>
      <c r="J58" s="10">
        <f t="shared" si="1"/>
        <v>155422.5181</v>
      </c>
      <c r="K58" s="16"/>
      <c r="L58" s="6"/>
      <c r="M58" s="6"/>
      <c r="N58" s="6"/>
      <c r="O58" s="16">
        <f t="shared" si="11"/>
        <v>7978.41129</v>
      </c>
      <c r="P58" s="6"/>
      <c r="Q58" s="15">
        <f t="shared" si="4"/>
        <v>0</v>
      </c>
      <c r="T58" s="16">
        <f t="shared" si="5"/>
        <v>-7978.41129</v>
      </c>
      <c r="U58" s="16">
        <f t="shared" si="8"/>
        <v>-61127.50097</v>
      </c>
    </row>
    <row r="59">
      <c r="A59" s="8">
        <v>45318.0</v>
      </c>
      <c r="B59" s="16"/>
      <c r="C59" s="16"/>
      <c r="D59" s="16"/>
      <c r="E59" s="16"/>
      <c r="F59" s="16"/>
      <c r="G59" s="16"/>
      <c r="H59" s="12">
        <v>0.0</v>
      </c>
      <c r="I59" s="18">
        <f t="shared" si="6"/>
        <v>130354.37</v>
      </c>
      <c r="J59" s="10">
        <f t="shared" si="1"/>
        <v>149666.1285</v>
      </c>
      <c r="K59" s="16"/>
      <c r="L59" s="6"/>
      <c r="M59" s="6"/>
      <c r="N59" s="6"/>
      <c r="O59" s="16">
        <f t="shared" si="11"/>
        <v>7978.41129</v>
      </c>
      <c r="P59" s="6"/>
      <c r="Q59" s="15">
        <f t="shared" si="4"/>
        <v>0</v>
      </c>
      <c r="T59" s="16">
        <f t="shared" si="5"/>
        <v>-7978.41129</v>
      </c>
      <c r="U59" s="16">
        <f t="shared" si="8"/>
        <v>-69105.91226</v>
      </c>
    </row>
    <row r="60">
      <c r="A60" s="8">
        <v>45319.0</v>
      </c>
      <c r="B60" s="16"/>
      <c r="C60" s="16"/>
      <c r="D60" s="16"/>
      <c r="E60" s="16"/>
      <c r="F60" s="16"/>
      <c r="G60" s="16"/>
      <c r="H60" s="12">
        <v>0.0</v>
      </c>
      <c r="I60" s="18">
        <f t="shared" si="6"/>
        <v>130354.37</v>
      </c>
      <c r="J60" s="10">
        <f t="shared" si="1"/>
        <v>144320.9096</v>
      </c>
      <c r="K60" s="16"/>
      <c r="L60" s="6"/>
      <c r="M60" s="6"/>
      <c r="N60" s="6"/>
      <c r="O60" s="16">
        <f t="shared" si="11"/>
        <v>7978.41129</v>
      </c>
      <c r="P60" s="6"/>
      <c r="Q60" s="15">
        <f t="shared" si="4"/>
        <v>0</v>
      </c>
      <c r="T60" s="16">
        <f t="shared" si="5"/>
        <v>-7978.41129</v>
      </c>
      <c r="U60" s="16">
        <f t="shared" si="8"/>
        <v>-77084.32355</v>
      </c>
    </row>
    <row r="61">
      <c r="A61" s="8">
        <v>45320.0</v>
      </c>
      <c r="B61" s="16"/>
      <c r="C61" s="16"/>
      <c r="D61" s="16"/>
      <c r="E61" s="16"/>
      <c r="F61" s="16"/>
      <c r="G61" s="16"/>
      <c r="H61" s="12">
        <f>225+225+9458.03+6051.94</f>
        <v>15959.97</v>
      </c>
      <c r="I61" s="18">
        <f t="shared" si="6"/>
        <v>146314.34</v>
      </c>
      <c r="J61" s="10">
        <f t="shared" si="1"/>
        <v>156404.9841</v>
      </c>
      <c r="K61" s="16"/>
      <c r="L61" s="6"/>
      <c r="M61" s="6"/>
      <c r="N61" s="6"/>
      <c r="O61" s="16">
        <f t="shared" si="11"/>
        <v>7978.41129</v>
      </c>
      <c r="Q61" s="15">
        <f t="shared" si="4"/>
        <v>2.000394492</v>
      </c>
      <c r="T61" s="16">
        <f t="shared" si="5"/>
        <v>7981.55871</v>
      </c>
      <c r="U61" s="16">
        <f t="shared" si="8"/>
        <v>-69102.76484</v>
      </c>
    </row>
    <row r="62">
      <c r="A62" s="8">
        <v>45321.0</v>
      </c>
      <c r="B62" s="16"/>
      <c r="C62" s="16"/>
      <c r="D62" s="16"/>
      <c r="E62" s="16"/>
      <c r="F62" s="16"/>
      <c r="G62" s="16"/>
      <c r="H62" s="12">
        <v>0.0</v>
      </c>
      <c r="I62" s="18">
        <f t="shared" si="6"/>
        <v>146314.34</v>
      </c>
      <c r="J62" s="10">
        <f t="shared" si="1"/>
        <v>151191.4847</v>
      </c>
      <c r="K62" s="16"/>
      <c r="L62" s="6"/>
      <c r="M62" s="6"/>
      <c r="N62" s="6"/>
      <c r="O62" s="16">
        <f t="shared" si="11"/>
        <v>7978.41129</v>
      </c>
      <c r="P62" s="6"/>
      <c r="Q62" s="15">
        <f t="shared" si="4"/>
        <v>0</v>
      </c>
      <c r="T62" s="16">
        <f t="shared" si="5"/>
        <v>-7978.41129</v>
      </c>
      <c r="U62" s="16">
        <f t="shared" si="8"/>
        <v>-77081.17613</v>
      </c>
    </row>
    <row r="63">
      <c r="A63" s="8">
        <v>45322.0</v>
      </c>
      <c r="B63" s="12">
        <f>(+(+756.75+543.72+952+750)*7.8375)+(22000+1361.02+1350+39583.33+1333.33+7800+2420+9908.53+4328.54)</f>
        <v>113616.6086</v>
      </c>
      <c r="C63" s="16"/>
      <c r="D63" s="12">
        <v>32574.0</v>
      </c>
      <c r="E63" s="16"/>
      <c r="F63" s="16"/>
      <c r="G63" s="16"/>
      <c r="H63" s="12">
        <f>224+1175+1904+400+14220+11000+10000+146.36+1500+19709.98+8817.3+35240.25-4328.54</f>
        <v>100008.35</v>
      </c>
      <c r="I63" s="18">
        <f t="shared" si="6"/>
        <v>246322.69</v>
      </c>
      <c r="J63" s="10">
        <f t="shared" si="1"/>
        <v>246322.69</v>
      </c>
      <c r="K63" s="16"/>
      <c r="L63" s="6"/>
      <c r="M63" s="6"/>
      <c r="N63" s="6"/>
      <c r="O63" s="16">
        <f t="shared" si="11"/>
        <v>7978.41129</v>
      </c>
      <c r="Q63" s="15">
        <f t="shared" si="4"/>
        <v>12.53487021</v>
      </c>
      <c r="T63" s="16">
        <f t="shared" si="5"/>
        <v>92029.93871</v>
      </c>
      <c r="U63" s="16">
        <f t="shared" si="8"/>
        <v>14948.76258</v>
      </c>
    </row>
    <row r="64">
      <c r="A64" s="8">
        <v>45323.0</v>
      </c>
      <c r="B64" s="16"/>
      <c r="C64" s="16"/>
      <c r="D64" s="16"/>
      <c r="E64" s="16"/>
      <c r="F64" s="16"/>
      <c r="G64" s="12"/>
      <c r="H64" s="31">
        <v>0.0</v>
      </c>
      <c r="I64" s="18">
        <f>IF(H64="","",H64)</f>
        <v>0</v>
      </c>
      <c r="J64" s="10">
        <f t="shared" si="1"/>
        <v>0</v>
      </c>
      <c r="K64" s="16"/>
      <c r="L64" s="6"/>
      <c r="M64" s="12">
        <v>247330.76</v>
      </c>
      <c r="N64" s="6"/>
      <c r="O64" s="16">
        <f t="shared" ref="O64:O92" si="12">$M$64/DAY(EOMONTH(A64,0))</f>
        <v>8528.646897</v>
      </c>
      <c r="P64" s="6"/>
      <c r="Q64" s="15">
        <f t="shared" si="4"/>
        <v>0</v>
      </c>
      <c r="T64" s="16">
        <f t="shared" ref="T64:T90" si="13">IF(H64="","",O64-H64)</f>
        <v>8528.646897</v>
      </c>
      <c r="U64" s="16">
        <f>IF(H64="","",T64)</f>
        <v>8528.646897</v>
      </c>
    </row>
    <row r="65">
      <c r="A65" s="8">
        <v>45324.0</v>
      </c>
      <c r="B65" s="16"/>
      <c r="C65" s="16"/>
      <c r="D65" s="16"/>
      <c r="E65" s="16"/>
      <c r="F65" s="16"/>
      <c r="G65" s="12"/>
      <c r="H65" s="31">
        <f>199+370+559.95+405</f>
        <v>1533.95</v>
      </c>
      <c r="I65" s="18">
        <f t="shared" ref="I65:I92" si="14">IF(H65="","",I64+H65)</f>
        <v>1533.95</v>
      </c>
      <c r="J65" s="10">
        <f t="shared" si="1"/>
        <v>22242.275</v>
      </c>
      <c r="K65" s="16"/>
      <c r="L65" s="6"/>
      <c r="M65" s="6"/>
      <c r="N65" s="6"/>
      <c r="O65" s="16">
        <f t="shared" si="12"/>
        <v>8528.646897</v>
      </c>
      <c r="P65" s="6"/>
      <c r="Q65" s="15">
        <f t="shared" si="4"/>
        <v>0.1798585425</v>
      </c>
      <c r="T65" s="16">
        <f t="shared" si="13"/>
        <v>6994.696897</v>
      </c>
      <c r="U65" s="16">
        <f t="shared" ref="U65:U91" si="15">IF(H65="","",U64+T65)</f>
        <v>15523.34379</v>
      </c>
    </row>
    <row r="66">
      <c r="A66" s="8">
        <v>45325.0</v>
      </c>
      <c r="B66" s="16"/>
      <c r="C66" s="16"/>
      <c r="D66" s="16"/>
      <c r="E66" s="16"/>
      <c r="F66" s="16"/>
      <c r="G66" s="12"/>
      <c r="H66" s="31">
        <f>2900+852.1+147.35</f>
        <v>3899.45</v>
      </c>
      <c r="I66" s="18">
        <f t="shared" si="14"/>
        <v>5433.4</v>
      </c>
      <c r="J66" s="10">
        <f t="shared" si="1"/>
        <v>52522.86667</v>
      </c>
      <c r="K66" s="16"/>
      <c r="L66" s="6"/>
      <c r="M66" s="6"/>
      <c r="N66" s="6"/>
      <c r="O66" s="16">
        <f t="shared" si="12"/>
        <v>8528.646897</v>
      </c>
      <c r="P66" s="6"/>
      <c r="Q66" s="15">
        <f t="shared" si="4"/>
        <v>0.4572178972</v>
      </c>
      <c r="T66" s="16">
        <f t="shared" si="13"/>
        <v>4629.196897</v>
      </c>
      <c r="U66" s="16">
        <f t="shared" si="15"/>
        <v>20152.54069</v>
      </c>
    </row>
    <row r="67">
      <c r="A67" s="8">
        <v>45326.0</v>
      </c>
      <c r="B67" s="35"/>
      <c r="C67" s="35"/>
      <c r="D67" s="35"/>
      <c r="E67" s="35"/>
      <c r="F67" s="35"/>
      <c r="G67" s="39"/>
      <c r="H67" s="31">
        <v>0.0</v>
      </c>
      <c r="I67" s="18">
        <f t="shared" si="14"/>
        <v>5433.4</v>
      </c>
      <c r="J67" s="34">
        <f t="shared" si="1"/>
        <v>39392.15</v>
      </c>
      <c r="K67" s="35"/>
      <c r="L67" s="36"/>
      <c r="M67" s="36"/>
      <c r="N67" s="36"/>
      <c r="O67" s="16">
        <f t="shared" si="12"/>
        <v>8528.646897</v>
      </c>
      <c r="P67" s="36"/>
      <c r="Q67" s="15">
        <f t="shared" si="4"/>
        <v>0</v>
      </c>
      <c r="T67" s="16">
        <f t="shared" si="13"/>
        <v>8528.646897</v>
      </c>
      <c r="U67" s="16">
        <f t="shared" si="15"/>
        <v>28681.18759</v>
      </c>
      <c r="V67" s="36"/>
      <c r="W67" s="36"/>
      <c r="X67" s="36"/>
      <c r="Y67" s="36"/>
      <c r="Z67" s="36"/>
      <c r="AA67" s="36"/>
      <c r="AB67" s="36"/>
      <c r="AC67" s="36"/>
      <c r="AD67" s="36"/>
      <c r="AE67" s="36"/>
    </row>
    <row r="68">
      <c r="A68" s="8">
        <v>45327.0</v>
      </c>
      <c r="B68" s="16"/>
      <c r="C68" s="16"/>
      <c r="D68" s="16"/>
      <c r="E68" s="16"/>
      <c r="F68" s="16"/>
      <c r="G68" s="12"/>
      <c r="H68" s="31">
        <v>1365.8</v>
      </c>
      <c r="I68" s="18">
        <f t="shared" si="14"/>
        <v>6799.2</v>
      </c>
      <c r="J68" s="34">
        <f t="shared" si="1"/>
        <v>39435.36</v>
      </c>
      <c r="K68" s="16"/>
      <c r="L68" s="6"/>
      <c r="M68" s="6"/>
      <c r="N68" s="6"/>
      <c r="O68" s="16">
        <f t="shared" si="12"/>
        <v>8528.646897</v>
      </c>
      <c r="P68" s="6"/>
      <c r="Q68" s="15">
        <f t="shared" si="4"/>
        <v>0.1601426365</v>
      </c>
      <c r="T68" s="16">
        <f t="shared" si="13"/>
        <v>7162.846897</v>
      </c>
      <c r="U68" s="16">
        <f t="shared" si="15"/>
        <v>35844.03448</v>
      </c>
    </row>
    <row r="69">
      <c r="A69" s="8">
        <v>45328.0</v>
      </c>
      <c r="B69" s="16"/>
      <c r="C69" s="16"/>
      <c r="D69" s="16"/>
      <c r="E69" s="16"/>
      <c r="F69" s="16"/>
      <c r="G69" s="12"/>
      <c r="H69" s="31">
        <f>+4950</f>
        <v>4950</v>
      </c>
      <c r="I69" s="18">
        <f t="shared" si="14"/>
        <v>11749.2</v>
      </c>
      <c r="J69" s="34">
        <f t="shared" si="1"/>
        <v>56787.8</v>
      </c>
      <c r="K69" s="16"/>
      <c r="L69" s="6"/>
      <c r="M69" s="6"/>
      <c r="N69" s="6"/>
      <c r="O69" s="16">
        <f t="shared" si="12"/>
        <v>8528.646897</v>
      </c>
      <c r="P69" s="6"/>
      <c r="Q69" s="15">
        <f t="shared" si="4"/>
        <v>0.5803968742</v>
      </c>
      <c r="T69" s="16">
        <f t="shared" si="13"/>
        <v>3578.646897</v>
      </c>
      <c r="U69" s="16">
        <f t="shared" si="15"/>
        <v>39422.68138</v>
      </c>
    </row>
    <row r="70">
      <c r="A70" s="8">
        <v>45329.0</v>
      </c>
      <c r="B70" s="16"/>
      <c r="C70" s="16"/>
      <c r="D70" s="16"/>
      <c r="E70" s="16"/>
      <c r="F70" s="16"/>
      <c r="G70" s="12"/>
      <c r="H70" s="31">
        <v>0.0</v>
      </c>
      <c r="I70" s="18">
        <f t="shared" si="14"/>
        <v>11749.2</v>
      </c>
      <c r="J70" s="34">
        <f t="shared" si="1"/>
        <v>48675.25714</v>
      </c>
      <c r="K70" s="16"/>
      <c r="L70" s="6"/>
      <c r="M70" s="6"/>
      <c r="N70" s="6"/>
      <c r="O70" s="16">
        <f t="shared" si="12"/>
        <v>8528.646897</v>
      </c>
      <c r="P70" s="6"/>
      <c r="Q70" s="15">
        <f t="shared" si="4"/>
        <v>0</v>
      </c>
      <c r="T70" s="16">
        <f t="shared" si="13"/>
        <v>8528.646897</v>
      </c>
      <c r="U70" s="16">
        <f t="shared" si="15"/>
        <v>47951.32828</v>
      </c>
    </row>
    <row r="71">
      <c r="A71" s="8">
        <v>45330.0</v>
      </c>
      <c r="B71" s="16"/>
      <c r="C71" s="16"/>
      <c r="D71" s="16"/>
      <c r="E71" s="16"/>
      <c r="F71" s="16"/>
      <c r="G71" s="12"/>
      <c r="H71" s="37">
        <v>300.0</v>
      </c>
      <c r="I71" s="18">
        <f t="shared" si="14"/>
        <v>12049.2</v>
      </c>
      <c r="J71" s="34">
        <f t="shared" si="1"/>
        <v>43678.35</v>
      </c>
      <c r="K71" s="16"/>
      <c r="L71" s="6"/>
      <c r="M71" s="6"/>
      <c r="N71" s="6"/>
      <c r="O71" s="16">
        <f t="shared" si="12"/>
        <v>8528.646897</v>
      </c>
      <c r="P71" s="6"/>
      <c r="Q71" s="15">
        <f t="shared" si="4"/>
        <v>0.03517556813</v>
      </c>
      <c r="T71" s="16">
        <f t="shared" si="13"/>
        <v>8228.646897</v>
      </c>
      <c r="U71" s="16">
        <f t="shared" si="15"/>
        <v>56179.97517</v>
      </c>
    </row>
    <row r="72">
      <c r="A72" s="8">
        <v>45331.0</v>
      </c>
      <c r="B72" s="16"/>
      <c r="C72" s="16"/>
      <c r="D72" s="16"/>
      <c r="E72" s="16"/>
      <c r="F72" s="16"/>
      <c r="G72" s="12"/>
      <c r="H72" s="31">
        <f>425+312.8+499.8+475+2850</f>
        <v>4562.6</v>
      </c>
      <c r="I72" s="18">
        <f t="shared" si="14"/>
        <v>16611.8</v>
      </c>
      <c r="J72" s="34">
        <f t="shared" si="1"/>
        <v>53526.91111</v>
      </c>
      <c r="K72" s="16"/>
      <c r="L72" s="6"/>
      <c r="M72" s="6"/>
      <c r="N72" s="6"/>
      <c r="O72" s="16">
        <f t="shared" si="12"/>
        <v>8528.646897</v>
      </c>
      <c r="P72" s="6"/>
      <c r="Q72" s="15">
        <f t="shared" si="4"/>
        <v>0.5349734906</v>
      </c>
      <c r="T72" s="16">
        <f t="shared" si="13"/>
        <v>3966.046897</v>
      </c>
      <c r="U72" s="16">
        <f t="shared" si="15"/>
        <v>60146.02207</v>
      </c>
    </row>
    <row r="73">
      <c r="A73" s="8">
        <v>45332.0</v>
      </c>
      <c r="B73" s="16"/>
      <c r="C73" s="16"/>
      <c r="D73" s="16"/>
      <c r="E73" s="16"/>
      <c r="F73" s="16"/>
      <c r="G73" s="12"/>
      <c r="H73" s="31">
        <v>0.0</v>
      </c>
      <c r="I73" s="18">
        <f t="shared" si="14"/>
        <v>16611.8</v>
      </c>
      <c r="J73" s="34">
        <f t="shared" si="1"/>
        <v>48174.22</v>
      </c>
      <c r="K73" s="16"/>
      <c r="L73" s="6"/>
      <c r="M73" s="6"/>
      <c r="N73" s="6"/>
      <c r="O73" s="16">
        <f t="shared" si="12"/>
        <v>8528.646897</v>
      </c>
      <c r="P73" s="6"/>
      <c r="Q73" s="15">
        <f t="shared" si="4"/>
        <v>0</v>
      </c>
      <c r="T73" s="16">
        <f t="shared" si="13"/>
        <v>8528.646897</v>
      </c>
      <c r="U73" s="16">
        <f t="shared" si="15"/>
        <v>68674.66897</v>
      </c>
    </row>
    <row r="74">
      <c r="A74" s="8">
        <v>45333.0</v>
      </c>
      <c r="B74" s="16"/>
      <c r="C74" s="16"/>
      <c r="D74" s="16"/>
      <c r="E74" s="16"/>
      <c r="F74" s="16"/>
      <c r="G74" s="12"/>
      <c r="H74" s="31">
        <v>0.0</v>
      </c>
      <c r="I74" s="18">
        <f t="shared" si="14"/>
        <v>16611.8</v>
      </c>
      <c r="J74" s="34">
        <f t="shared" si="1"/>
        <v>43794.74545</v>
      </c>
      <c r="K74" s="16"/>
      <c r="L74" s="6"/>
      <c r="M74" s="6"/>
      <c r="N74" s="6"/>
      <c r="O74" s="16">
        <f t="shared" si="12"/>
        <v>8528.646897</v>
      </c>
      <c r="P74" s="6"/>
      <c r="Q74" s="15">
        <f t="shared" si="4"/>
        <v>0</v>
      </c>
      <c r="T74" s="16">
        <f t="shared" si="13"/>
        <v>8528.646897</v>
      </c>
      <c r="U74" s="16">
        <f t="shared" si="15"/>
        <v>77203.31586</v>
      </c>
    </row>
    <row r="75">
      <c r="A75" s="8">
        <v>45334.0</v>
      </c>
      <c r="B75" s="16"/>
      <c r="C75" s="16"/>
      <c r="D75" s="16"/>
      <c r="E75" s="16"/>
      <c r="F75" s="16"/>
      <c r="G75" s="12"/>
      <c r="H75" s="31">
        <v>0.0</v>
      </c>
      <c r="I75" s="18">
        <f t="shared" si="14"/>
        <v>16611.8</v>
      </c>
      <c r="J75" s="34">
        <f t="shared" si="1"/>
        <v>40145.18333</v>
      </c>
      <c r="K75" s="16"/>
      <c r="L75" s="6"/>
      <c r="M75" s="6"/>
      <c r="N75" s="6"/>
      <c r="O75" s="16">
        <f t="shared" si="12"/>
        <v>8528.646897</v>
      </c>
      <c r="P75" s="6"/>
      <c r="Q75" s="15">
        <f t="shared" si="4"/>
        <v>0</v>
      </c>
      <c r="T75" s="16">
        <f t="shared" si="13"/>
        <v>8528.646897</v>
      </c>
      <c r="U75" s="16">
        <f t="shared" si="15"/>
        <v>85731.96276</v>
      </c>
    </row>
    <row r="76">
      <c r="A76" s="8">
        <v>45335.0</v>
      </c>
      <c r="B76" s="16"/>
      <c r="C76" s="16"/>
      <c r="D76" s="16"/>
      <c r="E76" s="16"/>
      <c r="F76" s="16"/>
      <c r="G76" s="12"/>
      <c r="H76" s="31">
        <v>0.0</v>
      </c>
      <c r="I76" s="18">
        <f t="shared" si="14"/>
        <v>16611.8</v>
      </c>
      <c r="J76" s="34">
        <f t="shared" si="1"/>
        <v>37057.09231</v>
      </c>
      <c r="K76" s="16"/>
      <c r="L76" s="6"/>
      <c r="M76" s="6"/>
      <c r="N76" s="6"/>
      <c r="O76" s="16">
        <f t="shared" si="12"/>
        <v>8528.646897</v>
      </c>
      <c r="P76" s="6"/>
      <c r="Q76" s="15">
        <f t="shared" si="4"/>
        <v>0</v>
      </c>
      <c r="T76" s="16">
        <f t="shared" si="13"/>
        <v>8528.646897</v>
      </c>
      <c r="U76" s="16">
        <f t="shared" si="15"/>
        <v>94260.60966</v>
      </c>
    </row>
    <row r="77">
      <c r="A77" s="8">
        <v>45336.0</v>
      </c>
      <c r="B77" s="81"/>
      <c r="C77" s="82">
        <v>28001.38</v>
      </c>
      <c r="D77" s="81"/>
      <c r="E77" s="81"/>
      <c r="F77" s="33">
        <v>4062.9</v>
      </c>
      <c r="G77" s="83">
        <v>0.0</v>
      </c>
      <c r="H77" s="31">
        <v>0.0</v>
      </c>
      <c r="I77" s="18">
        <f t="shared" si="14"/>
        <v>16611.8</v>
      </c>
      <c r="J77" s="34">
        <f t="shared" si="1"/>
        <v>34410.15714</v>
      </c>
      <c r="K77" s="16"/>
      <c r="L77" s="6"/>
      <c r="M77" s="6"/>
      <c r="N77" s="6"/>
      <c r="O77" s="16">
        <f t="shared" si="12"/>
        <v>8528.646897</v>
      </c>
      <c r="P77" s="6"/>
      <c r="Q77" s="15">
        <f t="shared" si="4"/>
        <v>0</v>
      </c>
      <c r="T77" s="16">
        <f t="shared" si="13"/>
        <v>8528.646897</v>
      </c>
      <c r="U77" s="16">
        <f t="shared" si="15"/>
        <v>102789.2566</v>
      </c>
    </row>
    <row r="78">
      <c r="A78" s="8">
        <v>45337.0</v>
      </c>
      <c r="B78" s="16"/>
      <c r="C78" s="16"/>
      <c r="D78" s="16"/>
      <c r="E78" s="16"/>
      <c r="F78" s="16"/>
      <c r="G78" s="16"/>
      <c r="H78" s="12">
        <f>7200+83.9+6800+884.05+320+300+727+1300+35240.43+8817.3</f>
        <v>61672.68</v>
      </c>
      <c r="I78" s="18">
        <f t="shared" si="14"/>
        <v>78284.48</v>
      </c>
      <c r="J78" s="34">
        <f t="shared" si="1"/>
        <v>151349.9947</v>
      </c>
      <c r="K78" s="16"/>
      <c r="L78" s="6"/>
      <c r="M78" s="6"/>
      <c r="N78" s="6"/>
      <c r="O78" s="16">
        <f t="shared" si="12"/>
        <v>8528.646897</v>
      </c>
      <c r="Q78" s="15">
        <f t="shared" si="4"/>
        <v>7.231238524</v>
      </c>
      <c r="T78" s="16">
        <f t="shared" si="13"/>
        <v>-53144.0331</v>
      </c>
      <c r="U78" s="16">
        <f t="shared" si="15"/>
        <v>49645.22345</v>
      </c>
    </row>
    <row r="79">
      <c r="A79" s="8">
        <v>45338.0</v>
      </c>
      <c r="B79" s="16"/>
      <c r="C79" s="16"/>
      <c r="D79" s="16"/>
      <c r="E79" s="16"/>
      <c r="F79" s="16"/>
      <c r="G79" s="16"/>
      <c r="H79" s="12">
        <v>0.0</v>
      </c>
      <c r="I79" s="18">
        <f t="shared" si="14"/>
        <v>78284.48</v>
      </c>
      <c r="J79" s="34">
        <f t="shared" si="1"/>
        <v>141890.62</v>
      </c>
      <c r="K79" s="16"/>
      <c r="L79" s="6"/>
      <c r="M79" s="6"/>
      <c r="N79" s="6"/>
      <c r="O79" s="16">
        <f t="shared" si="12"/>
        <v>8528.646897</v>
      </c>
      <c r="P79" s="6"/>
      <c r="Q79" s="15">
        <f t="shared" si="4"/>
        <v>0</v>
      </c>
      <c r="T79" s="16">
        <f t="shared" si="13"/>
        <v>8528.646897</v>
      </c>
      <c r="U79" s="16">
        <f t="shared" si="15"/>
        <v>58173.87034</v>
      </c>
    </row>
    <row r="80">
      <c r="A80" s="8">
        <v>45339.0</v>
      </c>
      <c r="B80" s="16"/>
      <c r="C80" s="16"/>
      <c r="D80" s="16"/>
      <c r="E80" s="16"/>
      <c r="F80" s="16"/>
      <c r="G80" s="16"/>
      <c r="H80" s="12">
        <v>0.0</v>
      </c>
      <c r="I80" s="18">
        <f t="shared" si="14"/>
        <v>78284.48</v>
      </c>
      <c r="J80" s="34">
        <f t="shared" si="1"/>
        <v>133544.1129</v>
      </c>
      <c r="K80" s="16"/>
      <c r="L80" s="6"/>
      <c r="M80" s="6"/>
      <c r="N80" s="6"/>
      <c r="O80" s="16">
        <f t="shared" si="12"/>
        <v>8528.646897</v>
      </c>
      <c r="P80" s="6"/>
      <c r="Q80" s="15">
        <f t="shared" si="4"/>
        <v>0</v>
      </c>
      <c r="T80" s="16">
        <f t="shared" si="13"/>
        <v>8528.646897</v>
      </c>
      <c r="U80" s="16">
        <f t="shared" si="15"/>
        <v>66702.51724</v>
      </c>
    </row>
    <row r="81">
      <c r="A81" s="8">
        <v>45340.0</v>
      </c>
      <c r="B81" s="16"/>
      <c r="C81" s="16"/>
      <c r="D81" s="16"/>
      <c r="E81" s="16"/>
      <c r="F81" s="16"/>
      <c r="G81" s="16"/>
      <c r="H81" s="12">
        <v>0.0</v>
      </c>
      <c r="I81" s="18">
        <f t="shared" si="14"/>
        <v>78284.48</v>
      </c>
      <c r="J81" s="6"/>
      <c r="K81" s="16"/>
      <c r="L81" s="6"/>
      <c r="M81" s="6"/>
      <c r="N81" s="6"/>
      <c r="O81" s="16">
        <f t="shared" si="12"/>
        <v>8528.646897</v>
      </c>
      <c r="P81" s="6"/>
      <c r="Q81" s="15">
        <f t="shared" si="4"/>
        <v>0</v>
      </c>
      <c r="T81" s="16">
        <f t="shared" si="13"/>
        <v>8528.646897</v>
      </c>
      <c r="U81" s="16">
        <f t="shared" si="15"/>
        <v>75231.16414</v>
      </c>
    </row>
    <row r="82">
      <c r="A82" s="8">
        <v>45341.0</v>
      </c>
      <c r="B82" s="12">
        <v>4328.54</v>
      </c>
      <c r="C82" s="16"/>
      <c r="D82" s="16"/>
      <c r="E82" s="16"/>
      <c r="F82" s="16"/>
      <c r="G82" s="16"/>
      <c r="H82" s="16">
        <f>29273.32+2868.13+13622.52-4328.54</f>
        <v>41435.43</v>
      </c>
      <c r="I82" s="18">
        <f t="shared" si="14"/>
        <v>119719.91</v>
      </c>
      <c r="J82" s="6"/>
      <c r="K82" s="16"/>
      <c r="L82" s="6"/>
      <c r="M82" s="6"/>
      <c r="N82" s="6"/>
      <c r="O82" s="16">
        <f t="shared" si="12"/>
        <v>8528.646897</v>
      </c>
      <c r="Q82" s="15">
        <f t="shared" si="4"/>
        <v>4.858382637</v>
      </c>
      <c r="T82" s="16">
        <f t="shared" si="13"/>
        <v>-32906.7831</v>
      </c>
      <c r="U82" s="16">
        <f t="shared" si="15"/>
        <v>42324.38103</v>
      </c>
    </row>
    <row r="83">
      <c r="A83" s="8">
        <v>45342.0</v>
      </c>
      <c r="B83" s="16"/>
      <c r="C83" s="16"/>
      <c r="D83" s="16"/>
      <c r="E83" s="16"/>
      <c r="F83" s="16"/>
      <c r="G83" s="16"/>
      <c r="H83" s="16">
        <f>+1750+6209.07</f>
        <v>7959.07</v>
      </c>
      <c r="I83" s="18">
        <f t="shared" si="14"/>
        <v>127678.98</v>
      </c>
      <c r="J83" s="6"/>
      <c r="K83" s="16"/>
      <c r="L83" s="6"/>
      <c r="M83" s="6"/>
      <c r="N83" s="6"/>
      <c r="O83" s="16">
        <f t="shared" si="12"/>
        <v>8528.646897</v>
      </c>
      <c r="P83" s="6"/>
      <c r="Q83" s="15">
        <f t="shared" si="4"/>
        <v>0.9332160302</v>
      </c>
      <c r="T83" s="16">
        <f t="shared" si="13"/>
        <v>569.5768966</v>
      </c>
      <c r="U83" s="16">
        <f t="shared" si="15"/>
        <v>42893.95793</v>
      </c>
    </row>
    <row r="84">
      <c r="A84" s="8">
        <v>45343.0</v>
      </c>
      <c r="B84" s="16"/>
      <c r="C84" s="16"/>
      <c r="D84" s="16"/>
      <c r="E84" s="16"/>
      <c r="F84" s="16"/>
      <c r="G84" s="16"/>
      <c r="H84" s="12">
        <v>150.0</v>
      </c>
      <c r="I84" s="18">
        <f t="shared" si="14"/>
        <v>127828.98</v>
      </c>
      <c r="J84" s="6"/>
      <c r="K84" s="16"/>
      <c r="L84" s="6"/>
      <c r="M84" s="6"/>
      <c r="N84" s="6"/>
      <c r="O84" s="16">
        <f t="shared" si="12"/>
        <v>8528.646897</v>
      </c>
      <c r="P84" s="6"/>
      <c r="Q84" s="15">
        <f t="shared" si="4"/>
        <v>0.01758778407</v>
      </c>
      <c r="T84" s="16">
        <f t="shared" si="13"/>
        <v>8378.646897</v>
      </c>
      <c r="U84" s="16">
        <f t="shared" si="15"/>
        <v>51272.60483</v>
      </c>
    </row>
    <row r="85">
      <c r="A85" s="8">
        <v>45344.0</v>
      </c>
      <c r="B85" s="16"/>
      <c r="C85" s="16"/>
      <c r="D85" s="16"/>
      <c r="E85" s="16"/>
      <c r="F85" s="16"/>
      <c r="G85" s="16"/>
      <c r="H85" s="12">
        <v>0.0</v>
      </c>
      <c r="I85" s="18">
        <f t="shared" si="14"/>
        <v>127828.98</v>
      </c>
      <c r="J85" s="6"/>
      <c r="K85" s="16"/>
      <c r="L85" s="6"/>
      <c r="M85" s="6"/>
      <c r="N85" s="6"/>
      <c r="O85" s="16">
        <f t="shared" si="12"/>
        <v>8528.646897</v>
      </c>
      <c r="P85" s="6"/>
      <c r="Q85" s="15">
        <f t="shared" si="4"/>
        <v>0</v>
      </c>
      <c r="T85" s="16">
        <f t="shared" si="13"/>
        <v>8528.646897</v>
      </c>
      <c r="U85" s="16">
        <f t="shared" si="15"/>
        <v>59801.25172</v>
      </c>
    </row>
    <row r="86">
      <c r="A86" s="8">
        <v>45345.0</v>
      </c>
      <c r="B86" s="16"/>
      <c r="C86" s="16"/>
      <c r="D86" s="16"/>
      <c r="E86" s="16"/>
      <c r="F86" s="16"/>
      <c r="G86" s="16"/>
      <c r="H86" s="12">
        <v>300.0</v>
      </c>
      <c r="I86" s="18">
        <f t="shared" si="14"/>
        <v>128128.98</v>
      </c>
      <c r="J86" s="6"/>
      <c r="K86" s="16"/>
      <c r="L86" s="6"/>
      <c r="M86" s="6"/>
      <c r="N86" s="6"/>
      <c r="O86" s="16">
        <f t="shared" si="12"/>
        <v>8528.646897</v>
      </c>
      <c r="P86" s="6"/>
      <c r="Q86" s="15">
        <f t="shared" si="4"/>
        <v>0.03517556813</v>
      </c>
      <c r="T86" s="16">
        <f t="shared" si="13"/>
        <v>8228.646897</v>
      </c>
      <c r="U86" s="16">
        <f t="shared" si="15"/>
        <v>68029.89862</v>
      </c>
    </row>
    <row r="87">
      <c r="A87" s="8">
        <v>45346.0</v>
      </c>
      <c r="B87" s="16"/>
      <c r="C87" s="16"/>
      <c r="D87" s="16"/>
      <c r="E87" s="16"/>
      <c r="F87" s="16"/>
      <c r="G87" s="16"/>
      <c r="H87" s="12">
        <v>0.0</v>
      </c>
      <c r="I87" s="18">
        <f t="shared" si="14"/>
        <v>128128.98</v>
      </c>
      <c r="J87" s="6"/>
      <c r="K87" s="16"/>
      <c r="L87" s="6"/>
      <c r="M87" s="6"/>
      <c r="N87" s="6"/>
      <c r="O87" s="16">
        <f t="shared" si="12"/>
        <v>8528.646897</v>
      </c>
      <c r="P87" s="6"/>
      <c r="Q87" s="15">
        <f t="shared" si="4"/>
        <v>0</v>
      </c>
      <c r="T87" s="16">
        <f t="shared" si="13"/>
        <v>8528.646897</v>
      </c>
      <c r="U87" s="16">
        <f t="shared" si="15"/>
        <v>76558.54552</v>
      </c>
    </row>
    <row r="88">
      <c r="A88" s="8">
        <v>45347.0</v>
      </c>
      <c r="B88" s="16"/>
      <c r="C88" s="16"/>
      <c r="D88" s="16"/>
      <c r="E88" s="16"/>
      <c r="F88" s="16"/>
      <c r="G88" s="16"/>
      <c r="H88" s="12">
        <v>0.0</v>
      </c>
      <c r="I88" s="18">
        <f t="shared" si="14"/>
        <v>128128.98</v>
      </c>
      <c r="J88" s="6"/>
      <c r="K88" s="16"/>
      <c r="L88" s="6"/>
      <c r="M88" s="6"/>
      <c r="N88" s="6"/>
      <c r="O88" s="16">
        <f t="shared" si="12"/>
        <v>8528.646897</v>
      </c>
      <c r="P88" s="6"/>
      <c r="Q88" s="15">
        <f t="shared" si="4"/>
        <v>0</v>
      </c>
      <c r="T88" s="16">
        <f t="shared" si="13"/>
        <v>8528.646897</v>
      </c>
      <c r="U88" s="16">
        <f t="shared" si="15"/>
        <v>85087.19241</v>
      </c>
    </row>
    <row r="89">
      <c r="A89" s="8">
        <v>45348.0</v>
      </c>
      <c r="B89" s="16"/>
      <c r="C89" s="16"/>
      <c r="D89" s="16"/>
      <c r="E89" s="16"/>
      <c r="F89" s="16"/>
      <c r="G89" s="16"/>
      <c r="H89" s="12">
        <v>0.0</v>
      </c>
      <c r="I89" s="18">
        <f t="shared" si="14"/>
        <v>128128.98</v>
      </c>
      <c r="J89" s="6"/>
      <c r="K89" s="16"/>
      <c r="L89" s="6"/>
      <c r="M89" s="6"/>
      <c r="N89" s="6"/>
      <c r="O89" s="16">
        <f t="shared" si="12"/>
        <v>8528.646897</v>
      </c>
      <c r="P89" s="6"/>
      <c r="Q89" s="15">
        <f t="shared" si="4"/>
        <v>0</v>
      </c>
      <c r="T89" s="16">
        <f t="shared" si="13"/>
        <v>8528.646897</v>
      </c>
      <c r="U89" s="16">
        <f t="shared" si="15"/>
        <v>93615.83931</v>
      </c>
    </row>
    <row r="90">
      <c r="A90" s="8">
        <v>45349.0</v>
      </c>
      <c r="B90" s="16"/>
      <c r="C90" s="16"/>
      <c r="D90" s="16"/>
      <c r="E90" s="16"/>
      <c r="F90" s="16"/>
      <c r="G90" s="16"/>
      <c r="H90" s="16">
        <f>6918.51+24386.16+5791.12</f>
        <v>37095.79</v>
      </c>
      <c r="I90" s="18">
        <f t="shared" si="14"/>
        <v>165224.77</v>
      </c>
      <c r="J90" s="6"/>
      <c r="K90" s="16"/>
      <c r="L90" s="6"/>
      <c r="M90" s="6"/>
      <c r="N90" s="6"/>
      <c r="O90" s="16">
        <f t="shared" si="12"/>
        <v>8528.646897</v>
      </c>
      <c r="T90" s="16">
        <f t="shared" si="13"/>
        <v>-28567.1431</v>
      </c>
      <c r="U90" s="16">
        <f t="shared" si="15"/>
        <v>65048.69621</v>
      </c>
    </row>
    <row r="91">
      <c r="A91" s="8">
        <v>45350.0</v>
      </c>
      <c r="B91" s="16"/>
      <c r="C91" s="16"/>
      <c r="D91" s="16"/>
      <c r="E91" s="16"/>
      <c r="F91" s="16"/>
      <c r="G91" s="16"/>
      <c r="H91" s="12">
        <v>0.0</v>
      </c>
      <c r="I91" s="18">
        <f t="shared" si="14"/>
        <v>165224.77</v>
      </c>
      <c r="J91" s="6"/>
      <c r="K91" s="16"/>
      <c r="L91" s="6"/>
      <c r="M91" s="6"/>
      <c r="N91" s="6"/>
      <c r="O91" s="16">
        <f t="shared" si="12"/>
        <v>8528.646897</v>
      </c>
      <c r="P91" s="6"/>
      <c r="T91" s="16">
        <f>IF(H91="","",H91-O91)</f>
        <v>-8528.646897</v>
      </c>
      <c r="U91" s="16">
        <f t="shared" si="15"/>
        <v>56520.04931</v>
      </c>
    </row>
    <row r="92">
      <c r="A92" s="8">
        <v>45351.0</v>
      </c>
      <c r="B92" s="16">
        <f>1350+1360.16+8168.61+39583.33+22000+5876.25+7458.92+4260.05+1333.33+7800+2420+9456.11</f>
        <v>111066.76</v>
      </c>
      <c r="C92" s="16"/>
      <c r="D92" s="12">
        <v>42140.68</v>
      </c>
      <c r="E92" s="16"/>
      <c r="F92" s="12">
        <v>5399.32</v>
      </c>
      <c r="G92" s="16"/>
      <c r="H92" s="12">
        <f>600+1500+400+14220+5124.09+10000+2742.77+1904+12111.58+35724.99+8817.3-14442.77+442.56</f>
        <v>79144.52</v>
      </c>
      <c r="I92" s="18">
        <f t="shared" si="14"/>
        <v>244369.29</v>
      </c>
      <c r="J92" s="6"/>
      <c r="K92" s="16"/>
      <c r="L92" s="6"/>
      <c r="M92" s="6"/>
      <c r="N92" s="6"/>
      <c r="O92" s="16">
        <f t="shared" si="12"/>
        <v>8528.646897</v>
      </c>
    </row>
    <row r="93">
      <c r="A93" s="8">
        <v>45352.0</v>
      </c>
      <c r="B93" s="12">
        <v>0.0</v>
      </c>
      <c r="C93" s="12">
        <v>0.0</v>
      </c>
      <c r="D93" s="16"/>
      <c r="E93" s="16"/>
      <c r="F93" s="16"/>
      <c r="G93" s="16"/>
      <c r="H93" s="12">
        <v>0.0</v>
      </c>
      <c r="I93" s="18">
        <f>IF(H93="","",H93)</f>
        <v>0</v>
      </c>
      <c r="J93" s="6"/>
      <c r="K93" s="16"/>
      <c r="L93" s="6"/>
      <c r="M93" s="12">
        <v>247330.76</v>
      </c>
      <c r="N93" s="6"/>
      <c r="O93" s="16">
        <f>$M$93/DAY(EOMONTH(A93,0))</f>
        <v>7978.411613</v>
      </c>
      <c r="P93" s="6"/>
    </row>
    <row r="94">
      <c r="A94" s="8">
        <v>45353.0</v>
      </c>
      <c r="B94" s="16"/>
      <c r="C94" s="16"/>
      <c r="D94" s="16"/>
      <c r="E94" s="16"/>
      <c r="F94" s="16"/>
      <c r="G94" s="16"/>
      <c r="H94" s="12">
        <v>0.0</v>
      </c>
      <c r="I94" s="18">
        <f t="shared" ref="I94:I123" si="16">IF(H94="","",I93+H94)</f>
        <v>0</v>
      </c>
      <c r="J94" s="6"/>
      <c r="K94" s="16"/>
      <c r="L94" s="6"/>
      <c r="M94" s="6"/>
      <c r="N94" s="6"/>
      <c r="O94" s="16">
        <f t="shared" ref="O94:O123" si="17">$M$64/DAY(EOMONTH(A94,0))</f>
        <v>7978.411613</v>
      </c>
      <c r="P94" s="6"/>
    </row>
    <row r="95">
      <c r="A95" s="8">
        <v>45354.0</v>
      </c>
      <c r="B95" s="16"/>
      <c r="C95" s="16"/>
      <c r="D95" s="16"/>
      <c r="E95" s="16"/>
      <c r="F95" s="16"/>
      <c r="G95" s="16"/>
      <c r="H95" s="12">
        <v>0.0</v>
      </c>
      <c r="I95" s="18">
        <f t="shared" si="16"/>
        <v>0</v>
      </c>
      <c r="J95" s="6"/>
      <c r="K95" s="16"/>
      <c r="L95" s="6"/>
      <c r="M95" s="6"/>
      <c r="N95" s="6"/>
      <c r="O95" s="16">
        <f t="shared" si="17"/>
        <v>7978.411613</v>
      </c>
      <c r="P95" s="6"/>
    </row>
    <row r="96">
      <c r="A96" s="8">
        <v>45355.0</v>
      </c>
      <c r="B96" s="16"/>
      <c r="C96" s="16"/>
      <c r="D96" s="16"/>
      <c r="E96" s="16"/>
      <c r="F96" s="16"/>
      <c r="G96" s="16"/>
      <c r="H96" s="12">
        <v>0.0</v>
      </c>
      <c r="I96" s="18">
        <f t="shared" si="16"/>
        <v>0</v>
      </c>
      <c r="J96" s="6"/>
      <c r="K96" s="16"/>
      <c r="L96" s="6"/>
      <c r="M96" s="6"/>
      <c r="N96" s="6"/>
      <c r="O96" s="16">
        <f t="shared" si="17"/>
        <v>7978.411613</v>
      </c>
      <c r="P96" s="6"/>
    </row>
    <row r="97">
      <c r="A97" s="8">
        <v>45356.0</v>
      </c>
      <c r="B97" s="16"/>
      <c r="C97" s="16"/>
      <c r="D97" s="16"/>
      <c r="E97" s="16"/>
      <c r="F97" s="16"/>
      <c r="G97" s="16"/>
      <c r="H97" s="12">
        <v>0.0</v>
      </c>
      <c r="I97" s="18">
        <f t="shared" si="16"/>
        <v>0</v>
      </c>
      <c r="J97" s="6"/>
      <c r="K97" s="16"/>
      <c r="L97" s="6"/>
      <c r="M97" s="6"/>
      <c r="N97" s="6"/>
      <c r="O97" s="16">
        <f t="shared" si="17"/>
        <v>7978.411613</v>
      </c>
      <c r="P97" s="6"/>
    </row>
    <row r="98">
      <c r="A98" s="8">
        <v>45357.0</v>
      </c>
      <c r="B98" s="16"/>
      <c r="C98" s="16"/>
      <c r="D98" s="16"/>
      <c r="E98" s="16"/>
      <c r="F98" s="16"/>
      <c r="G98" s="16"/>
      <c r="H98" s="12">
        <v>0.0</v>
      </c>
      <c r="I98" s="18">
        <f t="shared" si="16"/>
        <v>0</v>
      </c>
      <c r="J98" s="6"/>
      <c r="K98" s="16"/>
      <c r="L98" s="6"/>
      <c r="M98" s="6"/>
      <c r="N98" s="6"/>
      <c r="O98" s="16">
        <f t="shared" si="17"/>
        <v>7978.411613</v>
      </c>
      <c r="P98" s="6"/>
    </row>
    <row r="99">
      <c r="A99" s="8">
        <v>45358.0</v>
      </c>
      <c r="B99" s="16"/>
      <c r="C99" s="16"/>
      <c r="D99" s="16"/>
      <c r="E99" s="16"/>
      <c r="F99" s="16"/>
      <c r="G99" s="16"/>
      <c r="H99" s="12">
        <v>0.0</v>
      </c>
      <c r="I99" s="18">
        <f t="shared" si="16"/>
        <v>0</v>
      </c>
      <c r="J99" s="6"/>
      <c r="K99" s="16"/>
      <c r="L99" s="6"/>
      <c r="M99" s="6"/>
      <c r="N99" s="6"/>
      <c r="O99" s="16">
        <f t="shared" si="17"/>
        <v>7978.411613</v>
      </c>
      <c r="P99" s="6"/>
    </row>
    <row r="100">
      <c r="A100" s="8">
        <v>45359.0</v>
      </c>
      <c r="B100" s="16"/>
      <c r="C100" s="16"/>
      <c r="D100" s="16"/>
      <c r="E100" s="16"/>
      <c r="F100" s="16"/>
      <c r="G100" s="16"/>
      <c r="H100" s="12">
        <v>0.0</v>
      </c>
      <c r="I100" s="18">
        <f t="shared" si="16"/>
        <v>0</v>
      </c>
      <c r="J100" s="6"/>
      <c r="K100" s="16"/>
      <c r="L100" s="6"/>
      <c r="M100" s="6"/>
      <c r="N100" s="6"/>
      <c r="O100" s="16">
        <f t="shared" si="17"/>
        <v>7978.411613</v>
      </c>
      <c r="P100" s="6"/>
    </row>
    <row r="101">
      <c r="A101" s="8">
        <v>45360.0</v>
      </c>
      <c r="B101" s="16"/>
      <c r="C101" s="16"/>
      <c r="D101" s="16"/>
      <c r="E101" s="16"/>
      <c r="F101" s="16"/>
      <c r="G101" s="16"/>
      <c r="H101" s="12">
        <v>0.0</v>
      </c>
      <c r="I101" s="18">
        <f t="shared" si="16"/>
        <v>0</v>
      </c>
      <c r="J101" s="6"/>
      <c r="K101" s="16"/>
      <c r="L101" s="6"/>
      <c r="M101" s="6"/>
      <c r="N101" s="6"/>
      <c r="O101" s="16">
        <f t="shared" si="17"/>
        <v>7978.411613</v>
      </c>
      <c r="P101" s="6"/>
    </row>
    <row r="102">
      <c r="A102" s="8">
        <v>45361.0</v>
      </c>
      <c r="B102" s="16"/>
      <c r="C102" s="16"/>
      <c r="D102" s="16"/>
      <c r="E102" s="16"/>
      <c r="F102" s="16"/>
      <c r="G102" s="16"/>
      <c r="H102" s="12">
        <v>0.0</v>
      </c>
      <c r="I102" s="18">
        <f t="shared" si="16"/>
        <v>0</v>
      </c>
      <c r="J102" s="6"/>
      <c r="K102" s="16"/>
      <c r="L102" s="6"/>
      <c r="M102" s="6"/>
      <c r="N102" s="6"/>
      <c r="O102" s="16">
        <f t="shared" si="17"/>
        <v>7978.411613</v>
      </c>
      <c r="P102" s="6"/>
    </row>
    <row r="103">
      <c r="A103" s="8">
        <v>45362.0</v>
      </c>
      <c r="B103" s="16"/>
      <c r="C103" s="16"/>
      <c r="D103" s="16"/>
      <c r="E103" s="16"/>
      <c r="F103" s="16"/>
      <c r="G103" s="16"/>
      <c r="H103" s="12">
        <v>0.0</v>
      </c>
      <c r="I103" s="18">
        <f t="shared" si="16"/>
        <v>0</v>
      </c>
      <c r="J103" s="6"/>
      <c r="K103" s="16"/>
      <c r="L103" s="6"/>
      <c r="M103" s="6"/>
      <c r="N103" s="6"/>
      <c r="O103" s="16">
        <f t="shared" si="17"/>
        <v>7978.411613</v>
      </c>
      <c r="P103" s="6"/>
    </row>
    <row r="104">
      <c r="A104" s="8">
        <v>45363.0</v>
      </c>
      <c r="B104" s="16"/>
      <c r="C104" s="16"/>
      <c r="D104" s="16"/>
      <c r="E104" s="16"/>
      <c r="F104" s="16"/>
      <c r="G104" s="16"/>
      <c r="H104" s="12">
        <v>0.0</v>
      </c>
      <c r="I104" s="18">
        <f t="shared" si="16"/>
        <v>0</v>
      </c>
      <c r="J104" s="6"/>
      <c r="K104" s="16"/>
      <c r="L104" s="6"/>
      <c r="M104" s="6"/>
      <c r="N104" s="6"/>
      <c r="O104" s="16">
        <f t="shared" si="17"/>
        <v>7978.411613</v>
      </c>
      <c r="P104" s="6"/>
    </row>
    <row r="105">
      <c r="A105" s="8">
        <v>45364.0</v>
      </c>
      <c r="B105" s="16"/>
      <c r="C105" s="16"/>
      <c r="D105" s="16"/>
      <c r="E105" s="16"/>
      <c r="F105" s="16"/>
      <c r="G105" s="16"/>
      <c r="H105" s="12">
        <v>0.0</v>
      </c>
      <c r="I105" s="18">
        <f t="shared" si="16"/>
        <v>0</v>
      </c>
      <c r="J105" s="6"/>
      <c r="K105" s="16"/>
      <c r="L105" s="6"/>
      <c r="M105" s="6"/>
      <c r="N105" s="6"/>
      <c r="O105" s="16">
        <f t="shared" si="17"/>
        <v>7978.411613</v>
      </c>
      <c r="P105" s="6"/>
    </row>
    <row r="106">
      <c r="A106" s="8">
        <v>45365.0</v>
      </c>
      <c r="B106" s="16"/>
      <c r="C106" s="16"/>
      <c r="D106" s="16"/>
      <c r="E106" s="16"/>
      <c r="F106" s="16"/>
      <c r="G106" s="16"/>
      <c r="H106" s="12">
        <v>0.0</v>
      </c>
      <c r="I106" s="18">
        <f t="shared" si="16"/>
        <v>0</v>
      </c>
      <c r="J106" s="6"/>
      <c r="K106" s="16"/>
      <c r="L106" s="6"/>
      <c r="M106" s="6"/>
      <c r="N106" s="6"/>
      <c r="O106" s="16">
        <f t="shared" si="17"/>
        <v>7978.411613</v>
      </c>
      <c r="P106" s="6"/>
    </row>
    <row r="107">
      <c r="A107" s="8">
        <v>45366.0</v>
      </c>
      <c r="B107" s="16"/>
      <c r="C107" s="16"/>
      <c r="D107" s="16"/>
      <c r="E107" s="16"/>
      <c r="F107" s="16"/>
      <c r="G107" s="16"/>
      <c r="H107" s="12">
        <v>0.0</v>
      </c>
      <c r="I107" s="18">
        <f t="shared" si="16"/>
        <v>0</v>
      </c>
      <c r="J107" s="6"/>
      <c r="K107" s="16"/>
      <c r="L107" s="6"/>
      <c r="M107" s="6"/>
      <c r="N107" s="6"/>
      <c r="O107" s="16">
        <f t="shared" si="17"/>
        <v>7978.411613</v>
      </c>
      <c r="P107" s="6"/>
    </row>
    <row r="108">
      <c r="A108" s="8">
        <v>45367.0</v>
      </c>
      <c r="B108" s="16"/>
      <c r="C108" s="16"/>
      <c r="D108" s="16"/>
      <c r="E108" s="16"/>
      <c r="F108" s="16"/>
      <c r="G108" s="16"/>
      <c r="H108" s="12">
        <v>0.0</v>
      </c>
      <c r="I108" s="18">
        <f t="shared" si="16"/>
        <v>0</v>
      </c>
      <c r="J108" s="6"/>
      <c r="K108" s="16"/>
      <c r="L108" s="6"/>
      <c r="M108" s="6"/>
      <c r="N108" s="6"/>
      <c r="O108" s="16">
        <f t="shared" si="17"/>
        <v>7978.411613</v>
      </c>
      <c r="P108" s="6"/>
    </row>
    <row r="109">
      <c r="A109" s="8">
        <v>45368.0</v>
      </c>
      <c r="B109" s="16"/>
      <c r="C109" s="16"/>
      <c r="D109" s="16"/>
      <c r="E109" s="16"/>
      <c r="F109" s="16"/>
      <c r="G109" s="16"/>
      <c r="H109" s="12">
        <v>0.0</v>
      </c>
      <c r="I109" s="18">
        <f t="shared" si="16"/>
        <v>0</v>
      </c>
      <c r="J109" s="6"/>
      <c r="K109" s="16"/>
      <c r="L109" s="6"/>
      <c r="M109" s="6"/>
      <c r="N109" s="6"/>
      <c r="O109" s="16">
        <f t="shared" si="17"/>
        <v>7978.411613</v>
      </c>
      <c r="P109" s="6"/>
    </row>
    <row r="110">
      <c r="A110" s="8">
        <v>45369.0</v>
      </c>
      <c r="B110" s="16"/>
      <c r="C110" s="16"/>
      <c r="D110" s="16"/>
      <c r="E110" s="16"/>
      <c r="F110" s="16"/>
      <c r="G110" s="16"/>
      <c r="H110" s="12">
        <v>0.0</v>
      </c>
      <c r="I110" s="18">
        <f t="shared" si="16"/>
        <v>0</v>
      </c>
      <c r="J110" s="6"/>
      <c r="K110" s="16"/>
      <c r="L110" s="6"/>
      <c r="M110" s="6"/>
      <c r="N110" s="6"/>
      <c r="O110" s="16">
        <f t="shared" si="17"/>
        <v>7978.411613</v>
      </c>
      <c r="P110" s="6"/>
    </row>
    <row r="111">
      <c r="A111" s="8">
        <v>45370.0</v>
      </c>
      <c r="B111" s="16"/>
      <c r="C111" s="16"/>
      <c r="D111" s="16"/>
      <c r="E111" s="16"/>
      <c r="F111" s="16"/>
      <c r="G111" s="16"/>
      <c r="H111" s="12">
        <v>0.0</v>
      </c>
      <c r="I111" s="18">
        <f t="shared" si="16"/>
        <v>0</v>
      </c>
      <c r="J111" s="6"/>
      <c r="K111" s="16"/>
      <c r="L111" s="6"/>
      <c r="M111" s="6"/>
      <c r="N111" s="6"/>
      <c r="O111" s="16">
        <f t="shared" si="17"/>
        <v>7978.411613</v>
      </c>
      <c r="P111" s="6"/>
    </row>
    <row r="112">
      <c r="A112" s="8">
        <v>45371.0</v>
      </c>
      <c r="B112" s="16"/>
      <c r="C112" s="16"/>
      <c r="D112" s="16"/>
      <c r="E112" s="16"/>
      <c r="F112" s="16"/>
      <c r="G112" s="16"/>
      <c r="H112" s="12">
        <v>0.0</v>
      </c>
      <c r="I112" s="18">
        <f t="shared" si="16"/>
        <v>0</v>
      </c>
      <c r="J112" s="6"/>
      <c r="K112" s="16"/>
      <c r="L112" s="6"/>
      <c r="M112" s="6"/>
      <c r="N112" s="6"/>
      <c r="O112" s="16">
        <f t="shared" si="17"/>
        <v>7978.411613</v>
      </c>
      <c r="P112" s="6"/>
    </row>
    <row r="113">
      <c r="A113" s="8">
        <v>45372.0</v>
      </c>
      <c r="B113" s="16"/>
      <c r="C113" s="16"/>
      <c r="D113" s="16"/>
      <c r="E113" s="16"/>
      <c r="F113" s="16"/>
      <c r="G113" s="16"/>
      <c r="H113" s="12">
        <v>0.0</v>
      </c>
      <c r="I113" s="18">
        <f t="shared" si="16"/>
        <v>0</v>
      </c>
      <c r="J113" s="6"/>
      <c r="K113" s="16"/>
      <c r="L113" s="6"/>
      <c r="M113" s="6"/>
      <c r="N113" s="6"/>
      <c r="O113" s="16">
        <f t="shared" si="17"/>
        <v>7978.411613</v>
      </c>
      <c r="P113" s="6"/>
    </row>
    <row r="114">
      <c r="A114" s="8">
        <v>45373.0</v>
      </c>
      <c r="B114" s="16"/>
      <c r="C114" s="16"/>
      <c r="D114" s="16"/>
      <c r="E114" s="16"/>
      <c r="F114" s="16"/>
      <c r="G114" s="16"/>
      <c r="H114" s="12">
        <v>0.0</v>
      </c>
      <c r="I114" s="18">
        <f t="shared" si="16"/>
        <v>0</v>
      </c>
      <c r="J114" s="6"/>
      <c r="K114" s="16"/>
      <c r="L114" s="6"/>
      <c r="M114" s="6"/>
      <c r="N114" s="6"/>
      <c r="O114" s="16">
        <f t="shared" si="17"/>
        <v>7978.411613</v>
      </c>
      <c r="P114" s="6"/>
    </row>
    <row r="115">
      <c r="A115" s="8">
        <v>45374.0</v>
      </c>
      <c r="B115" s="16"/>
      <c r="C115" s="16"/>
      <c r="D115" s="16"/>
      <c r="E115" s="16"/>
      <c r="F115" s="16"/>
      <c r="G115" s="16"/>
      <c r="H115" s="12">
        <v>0.0</v>
      </c>
      <c r="I115" s="18">
        <f t="shared" si="16"/>
        <v>0</v>
      </c>
      <c r="J115" s="6"/>
      <c r="K115" s="16"/>
      <c r="L115" s="6"/>
      <c r="M115" s="6"/>
      <c r="N115" s="6"/>
      <c r="O115" s="16">
        <f t="shared" si="17"/>
        <v>7978.411613</v>
      </c>
      <c r="P115" s="6"/>
    </row>
    <row r="116">
      <c r="A116" s="8">
        <v>45375.0</v>
      </c>
      <c r="B116" s="16"/>
      <c r="C116" s="16"/>
      <c r="D116" s="16"/>
      <c r="E116" s="16"/>
      <c r="F116" s="16"/>
      <c r="G116" s="16"/>
      <c r="H116" s="12">
        <v>0.0</v>
      </c>
      <c r="I116" s="18">
        <f t="shared" si="16"/>
        <v>0</v>
      </c>
      <c r="J116" s="6"/>
      <c r="K116" s="16"/>
      <c r="L116" s="6"/>
      <c r="M116" s="6"/>
      <c r="N116" s="6"/>
      <c r="O116" s="16">
        <f t="shared" si="17"/>
        <v>7978.411613</v>
      </c>
      <c r="P116" s="6"/>
    </row>
    <row r="117">
      <c r="A117" s="8">
        <v>45376.0</v>
      </c>
      <c r="B117" s="16"/>
      <c r="C117" s="16"/>
      <c r="D117" s="16"/>
      <c r="E117" s="16"/>
      <c r="F117" s="16"/>
      <c r="G117" s="16"/>
      <c r="H117" s="12">
        <v>0.0</v>
      </c>
      <c r="I117" s="18">
        <f t="shared" si="16"/>
        <v>0</v>
      </c>
      <c r="J117" s="6"/>
      <c r="K117" s="16"/>
      <c r="L117" s="6"/>
      <c r="M117" s="6"/>
      <c r="N117" s="6"/>
      <c r="O117" s="16">
        <f t="shared" si="17"/>
        <v>7978.411613</v>
      </c>
      <c r="P117" s="6"/>
    </row>
    <row r="118">
      <c r="A118" s="8">
        <v>45377.0</v>
      </c>
      <c r="B118" s="16"/>
      <c r="C118" s="16"/>
      <c r="D118" s="16"/>
      <c r="E118" s="16"/>
      <c r="F118" s="16"/>
      <c r="G118" s="16"/>
      <c r="H118" s="12">
        <v>0.0</v>
      </c>
      <c r="I118" s="18">
        <f t="shared" si="16"/>
        <v>0</v>
      </c>
      <c r="J118" s="6"/>
      <c r="K118" s="16"/>
      <c r="L118" s="6"/>
      <c r="M118" s="6"/>
      <c r="N118" s="6"/>
      <c r="O118" s="16">
        <f t="shared" si="17"/>
        <v>7978.411613</v>
      </c>
      <c r="P118" s="6"/>
    </row>
    <row r="119">
      <c r="A119" s="8">
        <v>45378.0</v>
      </c>
      <c r="B119" s="16"/>
      <c r="C119" s="16"/>
      <c r="D119" s="16"/>
      <c r="E119" s="16"/>
      <c r="F119" s="16"/>
      <c r="G119" s="16"/>
      <c r="H119" s="12">
        <v>0.0</v>
      </c>
      <c r="I119" s="18">
        <f t="shared" si="16"/>
        <v>0</v>
      </c>
      <c r="J119" s="6"/>
      <c r="K119" s="16"/>
      <c r="L119" s="6"/>
      <c r="M119" s="6"/>
      <c r="N119" s="6"/>
      <c r="O119" s="16">
        <f t="shared" si="17"/>
        <v>7978.411613</v>
      </c>
      <c r="P119" s="6"/>
    </row>
    <row r="120">
      <c r="A120" s="8">
        <v>45379.0</v>
      </c>
      <c r="B120" s="16"/>
      <c r="C120" s="16"/>
      <c r="D120" s="16"/>
      <c r="E120" s="16"/>
      <c r="F120" s="16"/>
      <c r="G120" s="16"/>
      <c r="H120" s="12">
        <v>0.0</v>
      </c>
      <c r="I120" s="18">
        <f t="shared" si="16"/>
        <v>0</v>
      </c>
      <c r="J120" s="6"/>
      <c r="K120" s="16"/>
      <c r="L120" s="6"/>
      <c r="M120" s="6"/>
      <c r="N120" s="6"/>
      <c r="O120" s="16">
        <f t="shared" si="17"/>
        <v>7978.411613</v>
      </c>
      <c r="P120" s="6"/>
    </row>
    <row r="121">
      <c r="A121" s="8">
        <v>45380.0</v>
      </c>
      <c r="B121" s="16"/>
      <c r="C121" s="16"/>
      <c r="D121" s="16"/>
      <c r="E121" s="16"/>
      <c r="F121" s="16"/>
      <c r="G121" s="16"/>
      <c r="H121" s="12">
        <v>0.0</v>
      </c>
      <c r="I121" s="18">
        <f t="shared" si="16"/>
        <v>0</v>
      </c>
      <c r="J121" s="6"/>
      <c r="K121" s="16"/>
      <c r="L121" s="6"/>
      <c r="M121" s="6"/>
      <c r="N121" s="6"/>
      <c r="O121" s="16">
        <f t="shared" si="17"/>
        <v>7978.411613</v>
      </c>
      <c r="P121" s="6"/>
    </row>
    <row r="122">
      <c r="A122" s="8">
        <v>45381.0</v>
      </c>
      <c r="B122" s="16"/>
      <c r="C122" s="16"/>
      <c r="D122" s="16"/>
      <c r="E122" s="16"/>
      <c r="F122" s="16"/>
      <c r="G122" s="16"/>
      <c r="H122" s="12">
        <v>0.0</v>
      </c>
      <c r="I122" s="18">
        <f t="shared" si="16"/>
        <v>0</v>
      </c>
      <c r="J122" s="6"/>
      <c r="K122" s="16"/>
      <c r="L122" s="6"/>
      <c r="M122" s="6"/>
      <c r="N122" s="6"/>
      <c r="O122" s="16">
        <f t="shared" si="17"/>
        <v>7978.411613</v>
      </c>
      <c r="P122" s="6"/>
    </row>
    <row r="123">
      <c r="A123" s="8">
        <v>45382.0</v>
      </c>
      <c r="B123" s="12">
        <v>117343.56</v>
      </c>
      <c r="C123" s="12">
        <v>29990.27</v>
      </c>
      <c r="D123" s="12">
        <v>39638.6</v>
      </c>
      <c r="E123" s="16"/>
      <c r="F123" s="16">
        <f>6150.4+3587.74</f>
        <v>9738.14</v>
      </c>
      <c r="G123" s="16"/>
      <c r="H123" s="12">
        <v>244904.89</v>
      </c>
      <c r="I123" s="18">
        <f t="shared" si="16"/>
        <v>244904.89</v>
      </c>
      <c r="J123" s="6"/>
      <c r="K123" s="16"/>
      <c r="L123" s="6"/>
      <c r="M123" s="6"/>
      <c r="N123" s="6"/>
      <c r="O123" s="16">
        <f t="shared" si="17"/>
        <v>7978.411613</v>
      </c>
    </row>
    <row r="124">
      <c r="A124" s="8">
        <v>45383.0</v>
      </c>
      <c r="B124" s="16"/>
      <c r="C124" s="16"/>
      <c r="D124" s="16"/>
      <c r="E124" s="16"/>
      <c r="F124" s="16"/>
      <c r="G124" s="16"/>
      <c r="H124" s="16"/>
      <c r="K124" s="16"/>
    </row>
    <row r="125">
      <c r="A125" s="8">
        <v>45384.0</v>
      </c>
      <c r="B125" s="16"/>
      <c r="C125" s="16"/>
      <c r="D125" s="16"/>
      <c r="E125" s="16"/>
      <c r="F125" s="16"/>
      <c r="G125" s="16"/>
      <c r="H125" s="16"/>
      <c r="K125" s="16"/>
    </row>
    <row r="126">
      <c r="A126" s="8">
        <v>45385.0</v>
      </c>
      <c r="B126" s="16"/>
      <c r="C126" s="16"/>
      <c r="D126" s="16"/>
      <c r="E126" s="16"/>
      <c r="F126" s="16"/>
      <c r="G126" s="16"/>
      <c r="H126" s="16"/>
      <c r="K126" s="16"/>
    </row>
    <row r="127">
      <c r="A127" s="8">
        <v>45386.0</v>
      </c>
      <c r="B127" s="16"/>
      <c r="C127" s="16"/>
      <c r="D127" s="16"/>
      <c r="E127" s="16"/>
      <c r="F127" s="16"/>
      <c r="G127" s="16"/>
      <c r="H127" s="16"/>
      <c r="K127" s="16"/>
    </row>
    <row r="128">
      <c r="A128" s="8">
        <v>45387.0</v>
      </c>
      <c r="B128" s="16"/>
      <c r="C128" s="16"/>
      <c r="D128" s="16"/>
      <c r="E128" s="16"/>
      <c r="F128" s="16"/>
      <c r="G128" s="16"/>
      <c r="H128" s="16"/>
      <c r="K128" s="16"/>
    </row>
    <row r="129">
      <c r="A129" s="8">
        <v>45388.0</v>
      </c>
      <c r="B129" s="16"/>
      <c r="C129" s="16"/>
      <c r="D129" s="16"/>
      <c r="E129" s="16"/>
      <c r="F129" s="16"/>
      <c r="G129" s="16"/>
      <c r="H129" s="16"/>
      <c r="K129" s="16"/>
    </row>
    <row r="130">
      <c r="A130" s="8">
        <v>45389.0</v>
      </c>
      <c r="B130" s="16"/>
      <c r="C130" s="16"/>
      <c r="D130" s="16"/>
      <c r="E130" s="16"/>
      <c r="F130" s="16"/>
      <c r="G130" s="16"/>
      <c r="H130" s="16"/>
      <c r="K130" s="16"/>
    </row>
    <row r="131">
      <c r="A131" s="8">
        <v>45390.0</v>
      </c>
      <c r="B131" s="16"/>
      <c r="C131" s="16"/>
      <c r="D131" s="16"/>
      <c r="E131" s="16"/>
      <c r="F131" s="16"/>
      <c r="G131" s="16"/>
      <c r="H131" s="16"/>
      <c r="K131" s="16"/>
    </row>
    <row r="132">
      <c r="A132" s="8">
        <v>45391.0</v>
      </c>
      <c r="B132" s="16"/>
      <c r="C132" s="16"/>
      <c r="D132" s="16"/>
      <c r="E132" s="16"/>
      <c r="F132" s="16"/>
      <c r="G132" s="16"/>
      <c r="H132" s="16"/>
      <c r="K132" s="16"/>
    </row>
    <row r="133">
      <c r="A133" s="8">
        <v>45392.0</v>
      </c>
      <c r="B133" s="16"/>
      <c r="C133" s="16"/>
      <c r="D133" s="16"/>
      <c r="E133" s="16"/>
      <c r="F133" s="16"/>
      <c r="G133" s="16"/>
      <c r="H133" s="16"/>
      <c r="K133" s="16"/>
    </row>
    <row r="134">
      <c r="A134" s="8">
        <v>45393.0</v>
      </c>
      <c r="B134" s="16"/>
      <c r="C134" s="16"/>
      <c r="D134" s="16"/>
      <c r="E134" s="16"/>
      <c r="F134" s="16"/>
      <c r="G134" s="16"/>
      <c r="H134" s="16"/>
      <c r="K134" s="16"/>
    </row>
    <row r="135">
      <c r="A135" s="8">
        <v>45394.0</v>
      </c>
      <c r="B135" s="16"/>
      <c r="C135" s="16"/>
      <c r="D135" s="16"/>
      <c r="E135" s="16"/>
      <c r="F135" s="16"/>
      <c r="G135" s="16"/>
      <c r="H135" s="16"/>
      <c r="K135" s="16"/>
    </row>
    <row r="136">
      <c r="A136" s="8">
        <v>45395.0</v>
      </c>
      <c r="B136" s="16"/>
      <c r="C136" s="16"/>
      <c r="D136" s="16"/>
      <c r="E136" s="16"/>
      <c r="F136" s="16"/>
      <c r="G136" s="16"/>
      <c r="H136" s="16"/>
      <c r="K136" s="16"/>
    </row>
    <row r="137">
      <c r="A137" s="8">
        <v>45396.0</v>
      </c>
      <c r="B137" s="16"/>
      <c r="C137" s="16"/>
      <c r="D137" s="16"/>
      <c r="E137" s="16"/>
      <c r="F137" s="16"/>
      <c r="G137" s="16"/>
      <c r="H137" s="16"/>
      <c r="K137" s="16"/>
    </row>
    <row r="138">
      <c r="A138" s="8">
        <v>45397.0</v>
      </c>
      <c r="B138" s="16"/>
      <c r="C138" s="16"/>
      <c r="D138" s="16"/>
      <c r="E138" s="16"/>
      <c r="F138" s="16"/>
      <c r="G138" s="16"/>
      <c r="H138" s="16"/>
      <c r="K138" s="16"/>
    </row>
    <row r="139">
      <c r="A139" s="8">
        <v>45398.0</v>
      </c>
      <c r="B139" s="16"/>
      <c r="C139" s="16"/>
      <c r="D139" s="16"/>
      <c r="E139" s="16"/>
      <c r="F139" s="16"/>
      <c r="G139" s="16"/>
      <c r="H139" s="16"/>
      <c r="K139" s="16"/>
    </row>
    <row r="140">
      <c r="A140" s="8">
        <v>45399.0</v>
      </c>
      <c r="B140" s="16"/>
      <c r="C140" s="16"/>
      <c r="D140" s="16"/>
      <c r="E140" s="16"/>
      <c r="F140" s="16"/>
      <c r="G140" s="16"/>
      <c r="H140" s="16"/>
      <c r="K140" s="16"/>
    </row>
    <row r="141">
      <c r="A141" s="8">
        <v>45400.0</v>
      </c>
      <c r="B141" s="16"/>
      <c r="C141" s="16"/>
      <c r="D141" s="16"/>
      <c r="E141" s="16"/>
      <c r="F141" s="16"/>
      <c r="G141" s="16"/>
      <c r="H141" s="16"/>
      <c r="K141" s="16"/>
    </row>
    <row r="142">
      <c r="A142" s="8">
        <v>45401.0</v>
      </c>
      <c r="B142" s="16"/>
      <c r="C142" s="16"/>
      <c r="D142" s="16"/>
      <c r="E142" s="16"/>
      <c r="F142" s="16"/>
      <c r="G142" s="16"/>
      <c r="H142" s="16"/>
      <c r="K142" s="16"/>
    </row>
    <row r="143">
      <c r="A143" s="8">
        <v>45402.0</v>
      </c>
      <c r="B143" s="16"/>
      <c r="C143" s="16"/>
      <c r="D143" s="16"/>
      <c r="E143" s="16"/>
      <c r="F143" s="16"/>
      <c r="G143" s="16"/>
      <c r="H143" s="16"/>
      <c r="K143" s="16"/>
    </row>
    <row r="144">
      <c r="A144" s="8">
        <v>45403.0</v>
      </c>
      <c r="B144" s="16"/>
      <c r="C144" s="16"/>
      <c r="D144" s="16"/>
      <c r="E144" s="16"/>
      <c r="F144" s="16"/>
      <c r="G144" s="16"/>
      <c r="H144" s="16"/>
      <c r="K144" s="16"/>
    </row>
    <row r="145">
      <c r="A145" s="8">
        <v>45404.0</v>
      </c>
      <c r="B145" s="16"/>
      <c r="C145" s="16"/>
      <c r="D145" s="16"/>
      <c r="E145" s="16"/>
      <c r="F145" s="16"/>
      <c r="G145" s="16"/>
      <c r="H145" s="16"/>
      <c r="K145" s="16"/>
    </row>
    <row r="146">
      <c r="A146" s="8">
        <v>45405.0</v>
      </c>
      <c r="B146" s="16"/>
      <c r="C146" s="16"/>
      <c r="D146" s="16"/>
      <c r="E146" s="16"/>
      <c r="F146" s="16"/>
      <c r="G146" s="16"/>
      <c r="H146" s="16"/>
      <c r="K146" s="16"/>
    </row>
    <row r="147">
      <c r="A147" s="8">
        <v>45406.0</v>
      </c>
      <c r="B147" s="16"/>
      <c r="C147" s="16"/>
      <c r="D147" s="16"/>
      <c r="E147" s="16"/>
      <c r="F147" s="16"/>
      <c r="G147" s="16"/>
      <c r="H147" s="16"/>
      <c r="K147" s="16"/>
    </row>
    <row r="148">
      <c r="A148" s="8">
        <v>45407.0</v>
      </c>
      <c r="B148" s="16"/>
      <c r="C148" s="16"/>
      <c r="D148" s="16"/>
      <c r="E148" s="16"/>
      <c r="F148" s="16"/>
      <c r="G148" s="16"/>
      <c r="H148" s="16"/>
      <c r="K148" s="16"/>
    </row>
    <row r="149">
      <c r="A149" s="8">
        <v>45408.0</v>
      </c>
      <c r="B149" s="16"/>
      <c r="C149" s="16"/>
      <c r="D149" s="16"/>
      <c r="E149" s="16"/>
      <c r="F149" s="16"/>
      <c r="G149" s="16"/>
      <c r="H149" s="16"/>
      <c r="K149" s="16"/>
    </row>
    <row r="150">
      <c r="A150" s="8">
        <v>45409.0</v>
      </c>
      <c r="B150" s="16"/>
      <c r="C150" s="16"/>
      <c r="D150" s="16"/>
      <c r="E150" s="16"/>
      <c r="F150" s="16"/>
      <c r="G150" s="16"/>
      <c r="H150" s="16"/>
      <c r="K150" s="16"/>
    </row>
    <row r="151">
      <c r="A151" s="8">
        <v>45410.0</v>
      </c>
      <c r="B151" s="16"/>
      <c r="C151" s="16"/>
      <c r="D151" s="16"/>
      <c r="E151" s="16"/>
      <c r="F151" s="16"/>
      <c r="G151" s="16"/>
      <c r="H151" s="16"/>
      <c r="K151" s="16"/>
    </row>
    <row r="152">
      <c r="A152" s="8">
        <v>45411.0</v>
      </c>
      <c r="B152" s="16"/>
      <c r="C152" s="16"/>
      <c r="D152" s="16"/>
      <c r="E152" s="16"/>
      <c r="F152" s="16"/>
      <c r="G152" s="16"/>
      <c r="H152" s="16"/>
      <c r="K152" s="16"/>
    </row>
    <row r="153">
      <c r="A153" s="8">
        <v>45412.0</v>
      </c>
      <c r="B153" s="12">
        <v>123278.17</v>
      </c>
      <c r="C153" s="12">
        <v>25201.64</v>
      </c>
      <c r="D153" s="12">
        <v>31927.47</v>
      </c>
      <c r="E153" s="12">
        <v>57129.11</v>
      </c>
      <c r="F153" s="16">
        <f>4064.39+6967.53</f>
        <v>11031.92</v>
      </c>
      <c r="G153" s="16"/>
      <c r="H153" s="12">
        <v>246276.12</v>
      </c>
      <c r="I153" s="6"/>
      <c r="J153" s="6"/>
      <c r="K153" s="16"/>
      <c r="L153" s="6"/>
      <c r="M153" s="6"/>
      <c r="N153" s="6"/>
      <c r="O153" s="6"/>
    </row>
    <row r="154">
      <c r="A154" s="8">
        <v>45413.0</v>
      </c>
      <c r="B154" s="16"/>
      <c r="C154" s="16"/>
      <c r="D154" s="16"/>
      <c r="E154" s="16"/>
      <c r="F154" s="16"/>
      <c r="G154" s="16"/>
      <c r="H154" s="16"/>
      <c r="K154" s="16"/>
    </row>
    <row r="155">
      <c r="A155" s="8">
        <v>45414.0</v>
      </c>
      <c r="B155" s="16"/>
      <c r="C155" s="16"/>
      <c r="D155" s="16"/>
      <c r="E155" s="16"/>
      <c r="F155" s="16"/>
      <c r="G155" s="16"/>
      <c r="H155" s="16"/>
      <c r="K155" s="16"/>
    </row>
    <row r="156">
      <c r="A156" s="8">
        <v>45415.0</v>
      </c>
      <c r="B156" s="16"/>
      <c r="C156" s="16"/>
      <c r="D156" s="16"/>
      <c r="E156" s="16"/>
      <c r="F156" s="16"/>
      <c r="G156" s="16"/>
      <c r="H156" s="16"/>
      <c r="K156" s="16"/>
    </row>
    <row r="157">
      <c r="A157" s="8">
        <v>45416.0</v>
      </c>
      <c r="B157" s="16"/>
      <c r="C157" s="16"/>
      <c r="D157" s="16"/>
      <c r="E157" s="16"/>
      <c r="F157" s="16"/>
      <c r="G157" s="16"/>
      <c r="H157" s="16"/>
      <c r="K157" s="16"/>
    </row>
    <row r="158">
      <c r="A158" s="8">
        <v>45417.0</v>
      </c>
      <c r="B158" s="16"/>
      <c r="C158" s="16"/>
      <c r="D158" s="16"/>
      <c r="E158" s="16"/>
      <c r="F158" s="16"/>
      <c r="G158" s="16"/>
      <c r="H158" s="16"/>
      <c r="K158" s="16"/>
    </row>
    <row r="159">
      <c r="A159" s="8">
        <v>45418.0</v>
      </c>
      <c r="B159" s="16"/>
      <c r="C159" s="16"/>
      <c r="D159" s="16"/>
      <c r="E159" s="16"/>
      <c r="F159" s="16"/>
      <c r="G159" s="16"/>
      <c r="H159" s="16"/>
      <c r="K159" s="16"/>
    </row>
    <row r="160">
      <c r="A160" s="8">
        <v>45419.0</v>
      </c>
      <c r="B160" s="16"/>
      <c r="C160" s="16"/>
      <c r="D160" s="16"/>
      <c r="E160" s="16"/>
      <c r="F160" s="16"/>
      <c r="G160" s="16"/>
      <c r="H160" s="16"/>
      <c r="K160" s="16"/>
    </row>
    <row r="161">
      <c r="B161" s="16"/>
      <c r="C161" s="16"/>
      <c r="D161" s="16"/>
      <c r="E161" s="16"/>
      <c r="F161" s="16"/>
      <c r="G161" s="16"/>
      <c r="H161" s="16"/>
      <c r="K161" s="16"/>
    </row>
    <row r="162">
      <c r="B162" s="16"/>
      <c r="C162" s="16"/>
      <c r="D162" s="16"/>
      <c r="E162" s="16"/>
      <c r="F162" s="16"/>
      <c r="G162" s="16"/>
      <c r="H162" s="16"/>
      <c r="K162" s="16"/>
    </row>
    <row r="163">
      <c r="B163" s="16"/>
      <c r="C163" s="16"/>
      <c r="D163" s="16"/>
      <c r="E163" s="16"/>
      <c r="F163" s="16"/>
      <c r="G163" s="16"/>
      <c r="H163" s="16"/>
      <c r="K163" s="16"/>
    </row>
    <row r="164">
      <c r="B164" s="16"/>
      <c r="C164" s="16"/>
      <c r="D164" s="16"/>
      <c r="E164" s="16"/>
      <c r="F164" s="16"/>
      <c r="G164" s="16"/>
      <c r="H164" s="16"/>
      <c r="K164" s="16"/>
    </row>
    <row r="165">
      <c r="B165" s="16"/>
      <c r="C165" s="16"/>
      <c r="D165" s="16"/>
      <c r="E165" s="16"/>
      <c r="F165" s="16"/>
      <c r="G165" s="16"/>
      <c r="H165" s="16"/>
      <c r="K165" s="16"/>
    </row>
    <row r="166">
      <c r="B166" s="16"/>
      <c r="C166" s="16"/>
      <c r="D166" s="16"/>
      <c r="E166" s="16"/>
      <c r="F166" s="16"/>
      <c r="G166" s="16"/>
      <c r="H166" s="16"/>
      <c r="K166" s="16"/>
    </row>
    <row r="167">
      <c r="B167" s="16"/>
      <c r="C167" s="16"/>
      <c r="D167" s="16"/>
      <c r="E167" s="16"/>
      <c r="F167" s="16"/>
      <c r="G167" s="16"/>
      <c r="H167" s="16"/>
      <c r="K167" s="16"/>
    </row>
    <row r="168">
      <c r="A168" s="84">
        <v>45427.0</v>
      </c>
      <c r="B168" s="16"/>
      <c r="C168" s="12">
        <v>29913.34</v>
      </c>
      <c r="D168" s="16"/>
      <c r="E168" s="16"/>
      <c r="F168" s="16"/>
      <c r="G168" s="16"/>
      <c r="H168" s="16"/>
      <c r="K168" s="16"/>
    </row>
    <row r="169">
      <c r="B169" s="16"/>
      <c r="C169" s="16"/>
      <c r="D169" s="16"/>
      <c r="E169" s="16"/>
      <c r="F169" s="16"/>
      <c r="G169" s="16"/>
      <c r="H169" s="16"/>
      <c r="K169" s="16"/>
    </row>
    <row r="170">
      <c r="B170" s="16"/>
      <c r="C170" s="16"/>
      <c r="D170" s="16"/>
      <c r="E170" s="16"/>
      <c r="F170" s="16"/>
      <c r="G170" s="16"/>
      <c r="H170" s="16"/>
      <c r="K170" s="16"/>
    </row>
    <row r="171">
      <c r="B171" s="16"/>
      <c r="C171" s="16"/>
      <c r="D171" s="16"/>
      <c r="E171" s="16"/>
      <c r="F171" s="16"/>
      <c r="G171" s="16"/>
      <c r="H171" s="16"/>
      <c r="K171" s="16"/>
    </row>
    <row r="172">
      <c r="B172" s="16"/>
      <c r="C172" s="16"/>
      <c r="D172" s="16"/>
      <c r="E172" s="16"/>
      <c r="F172" s="16"/>
      <c r="G172" s="16"/>
      <c r="H172" s="16"/>
      <c r="K172" s="16"/>
    </row>
    <row r="173">
      <c r="B173" s="16"/>
      <c r="C173" s="16"/>
      <c r="D173" s="16"/>
      <c r="E173" s="16"/>
      <c r="F173" s="16"/>
      <c r="G173" s="16"/>
      <c r="H173" s="16"/>
      <c r="K173" s="16"/>
    </row>
    <row r="174">
      <c r="B174" s="16"/>
      <c r="C174" s="16"/>
      <c r="D174" s="16"/>
      <c r="E174" s="16"/>
      <c r="F174" s="16"/>
      <c r="G174" s="16"/>
      <c r="H174" s="16"/>
      <c r="K174" s="16"/>
    </row>
    <row r="175">
      <c r="B175" s="16"/>
      <c r="C175" s="16"/>
      <c r="D175" s="16"/>
      <c r="E175" s="16"/>
      <c r="F175" s="16"/>
      <c r="G175" s="16"/>
      <c r="H175" s="16"/>
      <c r="K175" s="16"/>
    </row>
    <row r="176">
      <c r="B176" s="16"/>
      <c r="C176" s="16"/>
      <c r="D176" s="16"/>
      <c r="E176" s="16"/>
      <c r="F176" s="16"/>
      <c r="G176" s="16"/>
      <c r="H176" s="16"/>
      <c r="K176" s="16"/>
    </row>
    <row r="177">
      <c r="B177" s="16"/>
      <c r="C177" s="16"/>
      <c r="D177" s="16"/>
      <c r="E177" s="16"/>
      <c r="F177" s="16"/>
      <c r="G177" s="16"/>
      <c r="H177" s="16"/>
      <c r="K177" s="16"/>
    </row>
    <row r="178">
      <c r="B178" s="16"/>
      <c r="C178" s="16"/>
      <c r="D178" s="16"/>
      <c r="E178" s="16"/>
      <c r="F178" s="16"/>
      <c r="G178" s="16"/>
      <c r="H178" s="16"/>
      <c r="K178" s="16"/>
    </row>
    <row r="179">
      <c r="B179" s="16"/>
      <c r="C179" s="16"/>
      <c r="D179" s="16"/>
      <c r="E179" s="16"/>
      <c r="F179" s="16"/>
      <c r="G179" s="16"/>
      <c r="H179" s="16"/>
      <c r="K179" s="16"/>
    </row>
    <row r="180">
      <c r="B180" s="16"/>
      <c r="C180" s="16"/>
      <c r="D180" s="16"/>
      <c r="E180" s="16"/>
      <c r="F180" s="16"/>
      <c r="G180" s="16"/>
      <c r="H180" s="16"/>
      <c r="K180" s="16"/>
    </row>
    <row r="181">
      <c r="B181" s="16"/>
      <c r="C181" s="16"/>
      <c r="D181" s="16"/>
      <c r="E181" s="16"/>
      <c r="F181" s="16"/>
      <c r="G181" s="16"/>
      <c r="H181" s="16"/>
      <c r="K181" s="16"/>
    </row>
    <row r="182">
      <c r="B182" s="16"/>
      <c r="C182" s="16"/>
      <c r="D182" s="16"/>
      <c r="E182" s="16"/>
      <c r="F182" s="16"/>
      <c r="G182" s="16"/>
      <c r="H182" s="16"/>
      <c r="K182" s="16"/>
    </row>
    <row r="183">
      <c r="B183" s="16"/>
      <c r="C183" s="16"/>
      <c r="D183" s="16"/>
      <c r="E183" s="16"/>
      <c r="F183" s="16"/>
      <c r="G183" s="16"/>
      <c r="H183" s="16"/>
      <c r="K183" s="16"/>
    </row>
    <row r="184">
      <c r="B184" s="16"/>
      <c r="C184" s="16"/>
      <c r="D184" s="16"/>
      <c r="E184" s="16"/>
      <c r="F184" s="16"/>
      <c r="G184" s="16"/>
      <c r="H184" s="16"/>
      <c r="K184" s="16"/>
    </row>
    <row r="185">
      <c r="B185" s="16"/>
      <c r="C185" s="16"/>
      <c r="D185" s="16"/>
      <c r="E185" s="16"/>
      <c r="F185" s="16"/>
      <c r="G185" s="16"/>
      <c r="H185" s="16"/>
      <c r="K185" s="16"/>
    </row>
    <row r="186">
      <c r="B186" s="16"/>
      <c r="C186" s="16"/>
      <c r="D186" s="16"/>
      <c r="E186" s="16"/>
      <c r="F186" s="16"/>
      <c r="G186" s="16"/>
      <c r="H186" s="16"/>
      <c r="K186" s="16"/>
    </row>
    <row r="187">
      <c r="B187" s="16"/>
      <c r="C187" s="16"/>
      <c r="D187" s="16"/>
      <c r="E187" s="16"/>
      <c r="F187" s="16"/>
      <c r="G187" s="16"/>
      <c r="H187" s="16"/>
      <c r="K187" s="16"/>
    </row>
    <row r="188">
      <c r="B188" s="16"/>
      <c r="C188" s="16"/>
      <c r="D188" s="16"/>
      <c r="E188" s="16"/>
      <c r="F188" s="16"/>
      <c r="G188" s="16"/>
      <c r="H188" s="16"/>
      <c r="K188" s="16"/>
    </row>
    <row r="189">
      <c r="B189" s="16"/>
      <c r="C189" s="16"/>
      <c r="D189" s="16"/>
      <c r="E189" s="16"/>
      <c r="F189" s="16"/>
      <c r="G189" s="16"/>
      <c r="H189" s="16"/>
      <c r="K189" s="16"/>
    </row>
    <row r="190">
      <c r="B190" s="16"/>
      <c r="C190" s="16"/>
      <c r="D190" s="16"/>
      <c r="E190" s="16"/>
      <c r="F190" s="16"/>
      <c r="G190" s="16"/>
      <c r="H190" s="16"/>
      <c r="K190" s="16"/>
    </row>
    <row r="191">
      <c r="B191" s="16"/>
      <c r="C191" s="16"/>
      <c r="D191" s="16"/>
      <c r="E191" s="16"/>
      <c r="F191" s="16"/>
      <c r="G191" s="16"/>
      <c r="H191" s="16"/>
      <c r="K191" s="16"/>
    </row>
    <row r="192">
      <c r="B192" s="16"/>
      <c r="C192" s="16"/>
      <c r="D192" s="16"/>
      <c r="E192" s="16"/>
      <c r="F192" s="16"/>
      <c r="G192" s="16"/>
      <c r="H192" s="16"/>
      <c r="K192" s="16"/>
    </row>
    <row r="193">
      <c r="B193" s="16"/>
      <c r="C193" s="16"/>
      <c r="D193" s="16"/>
      <c r="E193" s="16"/>
      <c r="F193" s="16"/>
      <c r="G193" s="16"/>
      <c r="H193" s="16"/>
      <c r="K193" s="16"/>
    </row>
    <row r="194">
      <c r="B194" s="16"/>
      <c r="C194" s="16"/>
      <c r="D194" s="16"/>
      <c r="E194" s="16"/>
      <c r="F194" s="16"/>
      <c r="G194" s="16"/>
      <c r="H194" s="16"/>
      <c r="K194" s="16"/>
    </row>
    <row r="195">
      <c r="B195" s="16"/>
      <c r="C195" s="16"/>
      <c r="D195" s="16"/>
      <c r="E195" s="16"/>
      <c r="F195" s="16"/>
      <c r="G195" s="16"/>
      <c r="H195" s="16"/>
      <c r="K195" s="16"/>
    </row>
    <row r="196">
      <c r="B196" s="16"/>
      <c r="C196" s="16"/>
      <c r="D196" s="16"/>
      <c r="E196" s="16"/>
      <c r="F196" s="16"/>
      <c r="G196" s="16"/>
      <c r="H196" s="16"/>
      <c r="K196" s="16"/>
    </row>
    <row r="197">
      <c r="B197" s="16"/>
      <c r="C197" s="16"/>
      <c r="D197" s="16"/>
      <c r="E197" s="16"/>
      <c r="F197" s="16"/>
      <c r="G197" s="16"/>
      <c r="H197" s="16"/>
      <c r="K197" s="16"/>
    </row>
    <row r="198">
      <c r="B198" s="16"/>
      <c r="C198" s="16"/>
      <c r="D198" s="16"/>
      <c r="E198" s="16"/>
      <c r="F198" s="16"/>
      <c r="G198" s="16"/>
      <c r="H198" s="16"/>
      <c r="K198" s="16"/>
    </row>
    <row r="199">
      <c r="B199" s="16"/>
      <c r="C199" s="16"/>
      <c r="D199" s="16"/>
      <c r="E199" s="16"/>
      <c r="F199" s="16"/>
      <c r="G199" s="16"/>
      <c r="H199" s="16"/>
      <c r="K199" s="16"/>
    </row>
    <row r="200">
      <c r="B200" s="16"/>
      <c r="C200" s="16"/>
      <c r="D200" s="16"/>
      <c r="E200" s="16"/>
      <c r="F200" s="16"/>
      <c r="G200" s="16"/>
      <c r="H200" s="16"/>
      <c r="K200" s="16"/>
    </row>
    <row r="201">
      <c r="B201" s="16"/>
      <c r="C201" s="16"/>
      <c r="D201" s="16"/>
      <c r="E201" s="16"/>
      <c r="F201" s="16"/>
      <c r="G201" s="16"/>
      <c r="H201" s="16"/>
      <c r="K201" s="16"/>
    </row>
    <row r="202">
      <c r="B202" s="16"/>
      <c r="C202" s="16"/>
      <c r="D202" s="16"/>
      <c r="E202" s="16"/>
      <c r="F202" s="16"/>
      <c r="G202" s="16"/>
      <c r="H202" s="16"/>
      <c r="K202" s="16"/>
    </row>
    <row r="203">
      <c r="B203" s="16"/>
      <c r="C203" s="16"/>
      <c r="D203" s="16"/>
      <c r="E203" s="16"/>
      <c r="F203" s="16"/>
      <c r="G203" s="16"/>
      <c r="H203" s="16"/>
      <c r="K203" s="16"/>
    </row>
    <row r="204">
      <c r="B204" s="16"/>
      <c r="C204" s="16"/>
      <c r="D204" s="16"/>
      <c r="E204" s="16"/>
      <c r="F204" s="16"/>
      <c r="G204" s="16"/>
      <c r="H204" s="16"/>
      <c r="K204" s="16"/>
    </row>
    <row r="205">
      <c r="B205" s="16"/>
      <c r="C205" s="16"/>
      <c r="D205" s="16"/>
      <c r="E205" s="16"/>
      <c r="F205" s="16"/>
      <c r="G205" s="16"/>
      <c r="H205" s="16"/>
      <c r="K205" s="16"/>
    </row>
    <row r="206">
      <c r="B206" s="16"/>
      <c r="C206" s="16"/>
      <c r="D206" s="16"/>
      <c r="E206" s="16"/>
      <c r="F206" s="16"/>
      <c r="G206" s="16"/>
      <c r="H206" s="16"/>
      <c r="K206" s="16"/>
    </row>
    <row r="207">
      <c r="B207" s="16"/>
      <c r="C207" s="16"/>
      <c r="D207" s="16"/>
      <c r="E207" s="16"/>
      <c r="F207" s="16"/>
      <c r="G207" s="16"/>
      <c r="H207" s="16"/>
      <c r="K207" s="16"/>
    </row>
    <row r="208">
      <c r="B208" s="16"/>
      <c r="C208" s="16"/>
      <c r="D208" s="16"/>
      <c r="E208" s="16"/>
      <c r="F208" s="16"/>
      <c r="G208" s="16"/>
      <c r="H208" s="16"/>
      <c r="K208" s="16"/>
    </row>
    <row r="209">
      <c r="B209" s="16"/>
      <c r="C209" s="16"/>
      <c r="D209" s="16"/>
      <c r="E209" s="16"/>
      <c r="F209" s="16"/>
      <c r="G209" s="16"/>
      <c r="H209" s="16"/>
      <c r="K209" s="16"/>
    </row>
    <row r="210">
      <c r="B210" s="16"/>
      <c r="C210" s="16"/>
      <c r="D210" s="16"/>
      <c r="E210" s="16"/>
      <c r="F210" s="16"/>
      <c r="G210" s="16"/>
      <c r="H210" s="16"/>
      <c r="K210" s="16"/>
    </row>
    <row r="211">
      <c r="B211" s="16"/>
      <c r="C211" s="16"/>
      <c r="D211" s="16"/>
      <c r="E211" s="16"/>
      <c r="F211" s="16"/>
      <c r="G211" s="16"/>
      <c r="H211" s="16"/>
      <c r="K211" s="16"/>
    </row>
    <row r="212">
      <c r="B212" s="16"/>
      <c r="C212" s="16"/>
      <c r="D212" s="16"/>
      <c r="E212" s="16"/>
      <c r="F212" s="16"/>
      <c r="G212" s="16"/>
      <c r="H212" s="16"/>
      <c r="K212" s="16"/>
    </row>
    <row r="213">
      <c r="B213" s="16"/>
      <c r="C213" s="16"/>
      <c r="D213" s="16"/>
      <c r="E213" s="16"/>
      <c r="F213" s="16"/>
      <c r="G213" s="16"/>
      <c r="H213" s="16"/>
      <c r="K213" s="16"/>
    </row>
    <row r="214">
      <c r="B214" s="16"/>
      <c r="C214" s="16"/>
      <c r="D214" s="16"/>
      <c r="E214" s="16"/>
      <c r="F214" s="16"/>
      <c r="G214" s="16"/>
      <c r="H214" s="16"/>
      <c r="K214" s="16"/>
    </row>
    <row r="215">
      <c r="B215" s="16"/>
      <c r="C215" s="16"/>
      <c r="D215" s="16"/>
      <c r="E215" s="16"/>
      <c r="F215" s="16"/>
      <c r="G215" s="16"/>
      <c r="H215" s="16"/>
      <c r="K215" s="16"/>
    </row>
    <row r="216">
      <c r="B216" s="16"/>
      <c r="C216" s="16"/>
      <c r="D216" s="16"/>
      <c r="E216" s="16"/>
      <c r="F216" s="16"/>
      <c r="G216" s="16"/>
      <c r="H216" s="16"/>
      <c r="K216" s="16"/>
    </row>
    <row r="217">
      <c r="B217" s="16"/>
      <c r="C217" s="16"/>
      <c r="D217" s="16"/>
      <c r="E217" s="16"/>
      <c r="F217" s="16"/>
      <c r="G217" s="16"/>
      <c r="H217" s="16"/>
      <c r="K217" s="16"/>
    </row>
    <row r="218">
      <c r="B218" s="16"/>
      <c r="C218" s="16"/>
      <c r="D218" s="16"/>
      <c r="E218" s="16"/>
      <c r="F218" s="16"/>
      <c r="G218" s="16"/>
      <c r="H218" s="16"/>
      <c r="K218" s="16"/>
    </row>
    <row r="219">
      <c r="B219" s="16"/>
      <c r="C219" s="16"/>
      <c r="D219" s="16"/>
      <c r="E219" s="16"/>
      <c r="F219" s="16"/>
      <c r="G219" s="16"/>
      <c r="H219" s="16"/>
      <c r="K219" s="16"/>
    </row>
    <row r="220">
      <c r="B220" s="16"/>
      <c r="C220" s="16"/>
      <c r="D220" s="16"/>
      <c r="E220" s="16"/>
      <c r="F220" s="16"/>
      <c r="G220" s="16"/>
      <c r="H220" s="16"/>
      <c r="K220" s="16"/>
    </row>
    <row r="221">
      <c r="B221" s="16"/>
      <c r="C221" s="16"/>
      <c r="D221" s="16"/>
      <c r="E221" s="16"/>
      <c r="F221" s="16"/>
      <c r="G221" s="16"/>
      <c r="H221" s="16"/>
      <c r="K221" s="16"/>
    </row>
    <row r="222">
      <c r="B222" s="16"/>
      <c r="C222" s="16"/>
      <c r="D222" s="16"/>
      <c r="E222" s="16"/>
      <c r="F222" s="16"/>
      <c r="G222" s="16"/>
      <c r="H222" s="16"/>
      <c r="K222" s="16"/>
    </row>
    <row r="223">
      <c r="B223" s="16"/>
      <c r="C223" s="16"/>
      <c r="D223" s="16"/>
      <c r="E223" s="16"/>
      <c r="F223" s="16"/>
      <c r="G223" s="16"/>
      <c r="H223" s="16"/>
      <c r="K223" s="16"/>
    </row>
    <row r="224">
      <c r="B224" s="16"/>
      <c r="C224" s="16"/>
      <c r="D224" s="16"/>
      <c r="E224" s="16"/>
      <c r="F224" s="16"/>
      <c r="G224" s="16"/>
      <c r="H224" s="16"/>
      <c r="K224" s="16"/>
    </row>
    <row r="225">
      <c r="B225" s="16"/>
      <c r="C225" s="16"/>
      <c r="D225" s="16"/>
      <c r="E225" s="16"/>
      <c r="F225" s="16"/>
      <c r="G225" s="16"/>
      <c r="H225" s="16"/>
      <c r="K225" s="16"/>
    </row>
    <row r="226">
      <c r="B226" s="16"/>
      <c r="C226" s="16"/>
      <c r="D226" s="16"/>
      <c r="E226" s="16"/>
      <c r="F226" s="16"/>
      <c r="G226" s="16"/>
      <c r="H226" s="16"/>
      <c r="K226" s="16"/>
    </row>
    <row r="227">
      <c r="B227" s="16"/>
      <c r="C227" s="16"/>
      <c r="D227" s="16"/>
      <c r="E227" s="16"/>
      <c r="F227" s="16"/>
      <c r="G227" s="16"/>
      <c r="H227" s="16"/>
      <c r="K227" s="16"/>
    </row>
    <row r="228">
      <c r="B228" s="16"/>
      <c r="C228" s="16"/>
      <c r="D228" s="16"/>
      <c r="E228" s="16"/>
      <c r="F228" s="16"/>
      <c r="G228" s="16"/>
      <c r="H228" s="16"/>
      <c r="K228" s="16"/>
    </row>
    <row r="229">
      <c r="B229" s="16"/>
      <c r="C229" s="16"/>
      <c r="D229" s="16"/>
      <c r="E229" s="16"/>
      <c r="F229" s="16"/>
      <c r="G229" s="16"/>
      <c r="H229" s="16"/>
      <c r="K229" s="16"/>
    </row>
    <row r="230">
      <c r="B230" s="16"/>
      <c r="C230" s="16"/>
      <c r="D230" s="16"/>
      <c r="E230" s="16"/>
      <c r="F230" s="16"/>
      <c r="G230" s="16"/>
      <c r="H230" s="16"/>
      <c r="K230" s="16"/>
    </row>
    <row r="231">
      <c r="B231" s="16"/>
      <c r="C231" s="16"/>
      <c r="D231" s="16"/>
      <c r="E231" s="16"/>
      <c r="F231" s="16"/>
      <c r="G231" s="16"/>
      <c r="H231" s="16"/>
      <c r="K231" s="16"/>
    </row>
    <row r="232">
      <c r="B232" s="16"/>
      <c r="C232" s="16"/>
      <c r="D232" s="16"/>
      <c r="E232" s="16"/>
      <c r="F232" s="16"/>
      <c r="G232" s="16"/>
      <c r="H232" s="16"/>
      <c r="K232" s="16"/>
    </row>
    <row r="233">
      <c r="B233" s="16"/>
      <c r="C233" s="16"/>
      <c r="D233" s="16"/>
      <c r="E233" s="16"/>
      <c r="F233" s="16"/>
      <c r="G233" s="16"/>
      <c r="H233" s="16"/>
      <c r="K233" s="16"/>
    </row>
    <row r="234">
      <c r="B234" s="16"/>
      <c r="C234" s="16"/>
      <c r="D234" s="16"/>
      <c r="E234" s="16"/>
      <c r="F234" s="16"/>
      <c r="G234" s="16"/>
      <c r="H234" s="16"/>
      <c r="K234" s="16"/>
    </row>
    <row r="235">
      <c r="B235" s="16"/>
      <c r="C235" s="16"/>
      <c r="D235" s="16"/>
      <c r="E235" s="16"/>
      <c r="F235" s="16"/>
      <c r="G235" s="16"/>
      <c r="H235" s="16"/>
      <c r="K235" s="16"/>
    </row>
    <row r="236">
      <c r="B236" s="16"/>
      <c r="C236" s="16"/>
      <c r="D236" s="16"/>
      <c r="E236" s="16"/>
      <c r="F236" s="16"/>
      <c r="G236" s="16"/>
      <c r="H236" s="16"/>
      <c r="K236" s="16"/>
    </row>
    <row r="237">
      <c r="B237" s="16"/>
      <c r="C237" s="16"/>
      <c r="D237" s="16"/>
      <c r="E237" s="16"/>
      <c r="F237" s="16"/>
      <c r="G237" s="16"/>
      <c r="H237" s="16"/>
      <c r="K237" s="16"/>
    </row>
    <row r="238">
      <c r="B238" s="16"/>
      <c r="C238" s="16"/>
      <c r="D238" s="16"/>
      <c r="E238" s="16"/>
      <c r="F238" s="16"/>
      <c r="G238" s="16"/>
      <c r="H238" s="16"/>
      <c r="K238" s="16"/>
    </row>
    <row r="239">
      <c r="B239" s="16"/>
      <c r="C239" s="16"/>
      <c r="D239" s="16"/>
      <c r="E239" s="16"/>
      <c r="F239" s="16"/>
      <c r="G239" s="16"/>
      <c r="H239" s="16"/>
      <c r="K239" s="16"/>
    </row>
    <row r="240">
      <c r="B240" s="16"/>
      <c r="C240" s="16"/>
      <c r="D240" s="16"/>
      <c r="E240" s="16"/>
      <c r="F240" s="16"/>
      <c r="G240" s="16"/>
      <c r="H240" s="16"/>
      <c r="K240" s="16"/>
    </row>
    <row r="241">
      <c r="B241" s="16"/>
      <c r="C241" s="16"/>
      <c r="D241" s="16"/>
      <c r="E241" s="16"/>
      <c r="F241" s="16"/>
      <c r="G241" s="16"/>
      <c r="H241" s="16"/>
      <c r="K241" s="16"/>
    </row>
    <row r="242">
      <c r="B242" s="16"/>
      <c r="C242" s="16"/>
      <c r="D242" s="16"/>
      <c r="E242" s="16"/>
      <c r="F242" s="16"/>
      <c r="G242" s="16"/>
      <c r="H242" s="16"/>
      <c r="K242" s="16"/>
    </row>
    <row r="243">
      <c r="B243" s="16"/>
      <c r="C243" s="16"/>
      <c r="D243" s="16"/>
      <c r="E243" s="16"/>
      <c r="F243" s="16"/>
      <c r="G243" s="16"/>
      <c r="H243" s="16"/>
      <c r="K243" s="16"/>
    </row>
    <row r="244">
      <c r="B244" s="16"/>
      <c r="C244" s="16"/>
      <c r="D244" s="16"/>
      <c r="E244" s="16"/>
      <c r="F244" s="16"/>
      <c r="G244" s="16"/>
      <c r="H244" s="16"/>
      <c r="K244" s="16"/>
    </row>
    <row r="245">
      <c r="B245" s="16"/>
      <c r="C245" s="16"/>
      <c r="D245" s="16"/>
      <c r="E245" s="16"/>
      <c r="F245" s="16"/>
      <c r="G245" s="16"/>
      <c r="H245" s="16"/>
      <c r="K245" s="16"/>
    </row>
    <row r="246">
      <c r="B246" s="16"/>
      <c r="C246" s="16"/>
      <c r="D246" s="16"/>
      <c r="E246" s="16"/>
      <c r="F246" s="16"/>
      <c r="G246" s="16"/>
      <c r="H246" s="16"/>
      <c r="K246" s="16"/>
    </row>
    <row r="247">
      <c r="B247" s="16"/>
      <c r="C247" s="16"/>
      <c r="D247" s="16"/>
      <c r="E247" s="16"/>
      <c r="F247" s="16"/>
      <c r="G247" s="16"/>
      <c r="H247" s="16"/>
      <c r="K247" s="16"/>
    </row>
    <row r="248">
      <c r="B248" s="16"/>
      <c r="C248" s="16"/>
      <c r="D248" s="16"/>
      <c r="E248" s="16"/>
      <c r="F248" s="16"/>
      <c r="G248" s="16"/>
      <c r="H248" s="16"/>
      <c r="K248" s="16"/>
    </row>
    <row r="249">
      <c r="B249" s="16"/>
      <c r="C249" s="16"/>
      <c r="D249" s="16"/>
      <c r="E249" s="16"/>
      <c r="F249" s="16"/>
      <c r="G249" s="16"/>
      <c r="H249" s="16"/>
      <c r="K249" s="16"/>
    </row>
    <row r="250">
      <c r="B250" s="16"/>
      <c r="C250" s="16"/>
      <c r="D250" s="16"/>
      <c r="E250" s="16"/>
      <c r="F250" s="16"/>
      <c r="G250" s="16"/>
      <c r="H250" s="16"/>
      <c r="K250" s="16"/>
    </row>
    <row r="251">
      <c r="B251" s="16"/>
      <c r="C251" s="16"/>
      <c r="D251" s="16"/>
      <c r="E251" s="16"/>
      <c r="F251" s="16"/>
      <c r="G251" s="16"/>
      <c r="H251" s="16"/>
      <c r="K251" s="16"/>
    </row>
    <row r="252">
      <c r="B252" s="16"/>
      <c r="C252" s="16"/>
      <c r="D252" s="16"/>
      <c r="E252" s="16"/>
      <c r="F252" s="16"/>
      <c r="G252" s="16"/>
      <c r="H252" s="16"/>
      <c r="K252" s="16"/>
    </row>
    <row r="253">
      <c r="B253" s="16"/>
      <c r="C253" s="16"/>
      <c r="D253" s="16"/>
      <c r="E253" s="16"/>
      <c r="F253" s="16"/>
      <c r="G253" s="16"/>
      <c r="H253" s="16"/>
      <c r="K253" s="16"/>
    </row>
    <row r="254">
      <c r="B254" s="16"/>
      <c r="C254" s="16"/>
      <c r="D254" s="16"/>
      <c r="E254" s="16"/>
      <c r="F254" s="16"/>
      <c r="G254" s="16"/>
      <c r="H254" s="16"/>
      <c r="K254" s="16"/>
    </row>
    <row r="255">
      <c r="B255" s="16"/>
      <c r="C255" s="16"/>
      <c r="D255" s="16"/>
      <c r="E255" s="16"/>
      <c r="F255" s="16"/>
      <c r="G255" s="16"/>
      <c r="H255" s="16"/>
      <c r="K255" s="16"/>
    </row>
    <row r="256">
      <c r="B256" s="16"/>
      <c r="C256" s="16"/>
      <c r="D256" s="16"/>
      <c r="E256" s="16"/>
      <c r="F256" s="16"/>
      <c r="G256" s="16"/>
      <c r="H256" s="16"/>
      <c r="K256" s="16"/>
    </row>
    <row r="257">
      <c r="B257" s="16"/>
      <c r="C257" s="16"/>
      <c r="D257" s="16"/>
      <c r="E257" s="16"/>
      <c r="F257" s="16"/>
      <c r="G257" s="16"/>
      <c r="H257" s="16"/>
      <c r="K257" s="16"/>
    </row>
    <row r="258">
      <c r="B258" s="16"/>
      <c r="C258" s="16"/>
      <c r="D258" s="16"/>
      <c r="E258" s="16"/>
      <c r="F258" s="16"/>
      <c r="G258" s="16"/>
      <c r="H258" s="16"/>
      <c r="K258" s="16"/>
    </row>
    <row r="259">
      <c r="B259" s="16"/>
      <c r="C259" s="16"/>
      <c r="D259" s="16"/>
      <c r="E259" s="16"/>
      <c r="F259" s="16"/>
      <c r="G259" s="16"/>
      <c r="H259" s="16"/>
      <c r="K259" s="16"/>
    </row>
    <row r="260">
      <c r="B260" s="16"/>
      <c r="C260" s="16"/>
      <c r="D260" s="16"/>
      <c r="E260" s="16"/>
      <c r="F260" s="16"/>
      <c r="G260" s="16"/>
      <c r="H260" s="16"/>
      <c r="K260" s="16"/>
    </row>
    <row r="261">
      <c r="B261" s="16"/>
      <c r="C261" s="16"/>
      <c r="D261" s="16"/>
      <c r="E261" s="16"/>
      <c r="F261" s="16"/>
      <c r="G261" s="16"/>
      <c r="H261" s="16"/>
      <c r="K261" s="16"/>
    </row>
    <row r="262">
      <c r="B262" s="16"/>
      <c r="C262" s="16"/>
      <c r="D262" s="16"/>
      <c r="E262" s="16"/>
      <c r="F262" s="16"/>
      <c r="G262" s="16"/>
      <c r="H262" s="16"/>
      <c r="K262" s="16"/>
    </row>
    <row r="263">
      <c r="B263" s="16"/>
      <c r="C263" s="16"/>
      <c r="D263" s="16"/>
      <c r="E263" s="16"/>
      <c r="F263" s="16"/>
      <c r="G263" s="16"/>
      <c r="H263" s="16"/>
      <c r="K263" s="16"/>
    </row>
    <row r="264">
      <c r="B264" s="16"/>
      <c r="C264" s="16"/>
      <c r="D264" s="16"/>
      <c r="E264" s="16"/>
      <c r="F264" s="16"/>
      <c r="G264" s="16"/>
      <c r="H264" s="16"/>
      <c r="K264" s="16"/>
    </row>
    <row r="265">
      <c r="B265" s="16"/>
      <c r="C265" s="16"/>
      <c r="D265" s="16"/>
      <c r="E265" s="16"/>
      <c r="F265" s="16"/>
      <c r="G265" s="16"/>
      <c r="H265" s="16"/>
      <c r="K265" s="16"/>
    </row>
    <row r="266">
      <c r="B266" s="16"/>
      <c r="C266" s="16"/>
      <c r="D266" s="16"/>
      <c r="E266" s="16"/>
      <c r="F266" s="16"/>
      <c r="G266" s="16"/>
      <c r="H266" s="16"/>
      <c r="K266" s="16"/>
    </row>
    <row r="267">
      <c r="B267" s="16"/>
      <c r="C267" s="16"/>
      <c r="D267" s="16"/>
      <c r="E267" s="16"/>
      <c r="F267" s="16"/>
      <c r="G267" s="16"/>
      <c r="H267" s="16"/>
      <c r="K267" s="16"/>
    </row>
    <row r="268">
      <c r="B268" s="16"/>
      <c r="C268" s="16"/>
      <c r="D268" s="16"/>
      <c r="E268" s="16"/>
      <c r="F268" s="16"/>
      <c r="G268" s="16"/>
      <c r="H268" s="16"/>
      <c r="K268" s="16"/>
    </row>
    <row r="269">
      <c r="B269" s="16"/>
      <c r="C269" s="16"/>
      <c r="D269" s="16"/>
      <c r="E269" s="16"/>
      <c r="F269" s="16"/>
      <c r="G269" s="16"/>
      <c r="H269" s="16"/>
      <c r="K269" s="16"/>
    </row>
    <row r="270">
      <c r="B270" s="16"/>
      <c r="C270" s="16"/>
      <c r="D270" s="16"/>
      <c r="E270" s="16"/>
      <c r="F270" s="16"/>
      <c r="G270" s="16"/>
      <c r="H270" s="16"/>
      <c r="K270" s="16"/>
    </row>
    <row r="271">
      <c r="B271" s="16"/>
      <c r="C271" s="16"/>
      <c r="D271" s="16"/>
      <c r="E271" s="16"/>
      <c r="F271" s="16"/>
      <c r="G271" s="16"/>
      <c r="H271" s="16"/>
      <c r="K271" s="16"/>
    </row>
    <row r="272">
      <c r="B272" s="16"/>
      <c r="C272" s="16"/>
      <c r="D272" s="16"/>
      <c r="E272" s="16"/>
      <c r="F272" s="16"/>
      <c r="G272" s="16"/>
      <c r="H272" s="16"/>
      <c r="K272" s="16"/>
    </row>
    <row r="273">
      <c r="B273" s="16"/>
      <c r="C273" s="16"/>
      <c r="D273" s="16"/>
      <c r="E273" s="16"/>
      <c r="F273" s="16"/>
      <c r="G273" s="16"/>
      <c r="H273" s="16"/>
      <c r="K273" s="16"/>
    </row>
    <row r="274">
      <c r="B274" s="16"/>
      <c r="C274" s="16"/>
      <c r="D274" s="16"/>
      <c r="E274" s="16"/>
      <c r="F274" s="16"/>
      <c r="G274" s="16"/>
      <c r="H274" s="16"/>
      <c r="K274" s="16"/>
    </row>
    <row r="275">
      <c r="B275" s="16"/>
      <c r="C275" s="16"/>
      <c r="D275" s="16"/>
      <c r="E275" s="16"/>
      <c r="F275" s="16"/>
      <c r="G275" s="16"/>
      <c r="H275" s="16"/>
      <c r="K275" s="16"/>
    </row>
    <row r="276">
      <c r="B276" s="16"/>
      <c r="C276" s="16"/>
      <c r="D276" s="16"/>
      <c r="E276" s="16"/>
      <c r="F276" s="16"/>
      <c r="G276" s="16"/>
      <c r="H276" s="16"/>
      <c r="K276" s="16"/>
    </row>
    <row r="277">
      <c r="B277" s="16"/>
      <c r="C277" s="16"/>
      <c r="D277" s="16"/>
      <c r="E277" s="16"/>
      <c r="F277" s="16"/>
      <c r="G277" s="16"/>
      <c r="H277" s="16"/>
      <c r="K277" s="16"/>
    </row>
    <row r="278">
      <c r="B278" s="16"/>
      <c r="C278" s="16"/>
      <c r="D278" s="16"/>
      <c r="E278" s="16"/>
      <c r="F278" s="16"/>
      <c r="G278" s="16"/>
      <c r="H278" s="16"/>
      <c r="K278" s="16"/>
    </row>
    <row r="279">
      <c r="B279" s="16"/>
      <c r="C279" s="16"/>
      <c r="D279" s="16"/>
      <c r="E279" s="16"/>
      <c r="F279" s="16"/>
      <c r="G279" s="16"/>
      <c r="H279" s="16"/>
      <c r="K279" s="16"/>
    </row>
    <row r="280">
      <c r="B280" s="16"/>
      <c r="C280" s="16"/>
      <c r="D280" s="16"/>
      <c r="E280" s="16"/>
      <c r="F280" s="16"/>
      <c r="G280" s="16"/>
      <c r="H280" s="16"/>
      <c r="K280" s="16"/>
    </row>
    <row r="281">
      <c r="B281" s="16"/>
      <c r="C281" s="16"/>
      <c r="D281" s="16"/>
      <c r="E281" s="16"/>
      <c r="F281" s="16"/>
      <c r="G281" s="16"/>
      <c r="H281" s="16"/>
      <c r="K281" s="16"/>
    </row>
    <row r="282">
      <c r="B282" s="16"/>
      <c r="C282" s="16"/>
      <c r="D282" s="16"/>
      <c r="E282" s="16"/>
      <c r="F282" s="16"/>
      <c r="G282" s="16"/>
      <c r="H282" s="16"/>
      <c r="K282" s="16"/>
    </row>
    <row r="283">
      <c r="B283" s="16"/>
      <c r="C283" s="16"/>
      <c r="D283" s="16"/>
      <c r="E283" s="16"/>
      <c r="F283" s="16"/>
      <c r="G283" s="16"/>
      <c r="H283" s="16"/>
      <c r="K283" s="16"/>
    </row>
    <row r="284">
      <c r="B284" s="16"/>
      <c r="C284" s="16"/>
      <c r="D284" s="16"/>
      <c r="E284" s="16"/>
      <c r="F284" s="16"/>
      <c r="G284" s="16"/>
      <c r="H284" s="16"/>
      <c r="K284" s="16"/>
    </row>
    <row r="285">
      <c r="B285" s="16"/>
      <c r="C285" s="16"/>
      <c r="D285" s="16"/>
      <c r="E285" s="16"/>
      <c r="F285" s="16"/>
      <c r="G285" s="16"/>
      <c r="H285" s="16"/>
      <c r="K285" s="16"/>
    </row>
    <row r="286">
      <c r="B286" s="16"/>
      <c r="C286" s="16"/>
      <c r="D286" s="16"/>
      <c r="E286" s="16"/>
      <c r="F286" s="16"/>
      <c r="G286" s="16"/>
      <c r="H286" s="16"/>
      <c r="K286" s="16"/>
    </row>
    <row r="287">
      <c r="B287" s="16"/>
      <c r="C287" s="16"/>
      <c r="D287" s="16"/>
      <c r="E287" s="16"/>
      <c r="F287" s="16"/>
      <c r="G287" s="16"/>
      <c r="H287" s="16"/>
      <c r="K287" s="16"/>
    </row>
    <row r="288">
      <c r="B288" s="16"/>
      <c r="C288" s="16"/>
      <c r="D288" s="16"/>
      <c r="E288" s="16"/>
      <c r="F288" s="16"/>
      <c r="G288" s="16"/>
      <c r="H288" s="16"/>
      <c r="K288" s="16"/>
    </row>
    <row r="289">
      <c r="B289" s="16"/>
      <c r="C289" s="16"/>
      <c r="D289" s="16"/>
      <c r="E289" s="16"/>
      <c r="F289" s="16"/>
      <c r="G289" s="16"/>
      <c r="H289" s="16"/>
      <c r="K289" s="16"/>
    </row>
    <row r="290">
      <c r="B290" s="16"/>
      <c r="C290" s="16"/>
      <c r="D290" s="16"/>
      <c r="E290" s="16"/>
      <c r="F290" s="16"/>
      <c r="G290" s="16"/>
      <c r="H290" s="16"/>
      <c r="K290" s="16"/>
    </row>
    <row r="291">
      <c r="B291" s="16"/>
      <c r="C291" s="16"/>
      <c r="D291" s="16"/>
      <c r="E291" s="16"/>
      <c r="F291" s="16"/>
      <c r="G291" s="16"/>
      <c r="H291" s="16"/>
      <c r="K291" s="16"/>
    </row>
    <row r="292">
      <c r="B292" s="16"/>
      <c r="C292" s="16"/>
      <c r="D292" s="16"/>
      <c r="E292" s="16"/>
      <c r="F292" s="16"/>
      <c r="G292" s="16"/>
      <c r="H292" s="16"/>
      <c r="K292" s="16"/>
    </row>
    <row r="293">
      <c r="B293" s="16"/>
      <c r="C293" s="16"/>
      <c r="D293" s="16"/>
      <c r="E293" s="16"/>
      <c r="F293" s="16"/>
      <c r="G293" s="16"/>
      <c r="H293" s="16"/>
      <c r="K293" s="16"/>
    </row>
    <row r="294">
      <c r="B294" s="16"/>
      <c r="C294" s="16"/>
      <c r="D294" s="16"/>
      <c r="E294" s="16"/>
      <c r="F294" s="16"/>
      <c r="G294" s="16"/>
      <c r="H294" s="16"/>
      <c r="K294" s="16"/>
    </row>
    <row r="295">
      <c r="B295" s="16"/>
      <c r="C295" s="16"/>
      <c r="D295" s="16"/>
      <c r="E295" s="16"/>
      <c r="F295" s="16"/>
      <c r="G295" s="16"/>
      <c r="H295" s="16"/>
      <c r="K295" s="16"/>
    </row>
    <row r="296">
      <c r="B296" s="16"/>
      <c r="C296" s="16"/>
      <c r="D296" s="16"/>
      <c r="E296" s="16"/>
      <c r="F296" s="16"/>
      <c r="G296" s="16"/>
      <c r="H296" s="16"/>
      <c r="K296" s="16"/>
    </row>
    <row r="297">
      <c r="B297" s="16"/>
      <c r="C297" s="16"/>
      <c r="D297" s="16"/>
      <c r="E297" s="16"/>
      <c r="F297" s="16"/>
      <c r="G297" s="16"/>
      <c r="H297" s="16"/>
      <c r="K297" s="16"/>
    </row>
    <row r="298">
      <c r="B298" s="16"/>
      <c r="C298" s="16"/>
      <c r="D298" s="16"/>
      <c r="E298" s="16"/>
      <c r="F298" s="16"/>
      <c r="G298" s="16"/>
      <c r="H298" s="16"/>
      <c r="K298" s="16"/>
    </row>
    <row r="299">
      <c r="B299" s="16"/>
      <c r="C299" s="16"/>
      <c r="D299" s="16"/>
      <c r="E299" s="16"/>
      <c r="F299" s="16"/>
      <c r="G299" s="16"/>
      <c r="H299" s="16"/>
      <c r="K299" s="16"/>
    </row>
    <row r="300">
      <c r="B300" s="16"/>
      <c r="C300" s="16"/>
      <c r="D300" s="16"/>
      <c r="E300" s="16"/>
      <c r="F300" s="16"/>
      <c r="G300" s="16"/>
      <c r="H300" s="16"/>
      <c r="K300" s="16"/>
    </row>
    <row r="301">
      <c r="B301" s="16"/>
      <c r="C301" s="16"/>
      <c r="D301" s="16"/>
      <c r="E301" s="16"/>
      <c r="F301" s="16"/>
      <c r="G301" s="16"/>
      <c r="H301" s="16"/>
      <c r="K301" s="16"/>
    </row>
    <row r="302">
      <c r="B302" s="16"/>
      <c r="C302" s="16"/>
      <c r="D302" s="16"/>
      <c r="E302" s="16"/>
      <c r="F302" s="16"/>
      <c r="G302" s="16"/>
      <c r="H302" s="16"/>
      <c r="K302" s="16"/>
    </row>
    <row r="303">
      <c r="B303" s="16"/>
      <c r="C303" s="16"/>
      <c r="D303" s="16"/>
      <c r="E303" s="16"/>
      <c r="F303" s="16"/>
      <c r="G303" s="16"/>
      <c r="H303" s="16"/>
      <c r="K303" s="16"/>
    </row>
    <row r="304">
      <c r="B304" s="16"/>
      <c r="C304" s="16"/>
      <c r="D304" s="16"/>
      <c r="E304" s="16"/>
      <c r="F304" s="16"/>
      <c r="G304" s="16"/>
      <c r="H304" s="16"/>
      <c r="K304" s="16"/>
    </row>
    <row r="305">
      <c r="B305" s="16"/>
      <c r="C305" s="16"/>
      <c r="D305" s="16"/>
      <c r="E305" s="16"/>
      <c r="F305" s="16"/>
      <c r="G305" s="16"/>
      <c r="H305" s="16"/>
      <c r="K305" s="16"/>
    </row>
    <row r="306">
      <c r="B306" s="16"/>
      <c r="C306" s="16"/>
      <c r="D306" s="16"/>
      <c r="E306" s="16"/>
      <c r="F306" s="16"/>
      <c r="G306" s="16"/>
      <c r="H306" s="16"/>
      <c r="K306" s="16"/>
    </row>
    <row r="307">
      <c r="B307" s="16"/>
      <c r="C307" s="16"/>
      <c r="D307" s="16"/>
      <c r="E307" s="16"/>
      <c r="F307" s="16"/>
      <c r="G307" s="16"/>
      <c r="H307" s="16"/>
      <c r="K307" s="16"/>
    </row>
    <row r="308">
      <c r="B308" s="16"/>
      <c r="C308" s="16"/>
      <c r="D308" s="16"/>
      <c r="E308" s="16"/>
      <c r="F308" s="16"/>
      <c r="G308" s="16"/>
      <c r="H308" s="16"/>
      <c r="K308" s="16"/>
    </row>
    <row r="309">
      <c r="B309" s="16"/>
      <c r="C309" s="16"/>
      <c r="D309" s="16"/>
      <c r="E309" s="16"/>
      <c r="F309" s="16"/>
      <c r="G309" s="16"/>
      <c r="H309" s="16"/>
      <c r="K309" s="16"/>
    </row>
    <row r="310">
      <c r="B310" s="16"/>
      <c r="C310" s="16"/>
      <c r="D310" s="16"/>
      <c r="E310" s="16"/>
      <c r="F310" s="16"/>
      <c r="G310" s="16"/>
      <c r="H310" s="16"/>
      <c r="K310" s="16"/>
    </row>
    <row r="311">
      <c r="B311" s="16"/>
      <c r="C311" s="16"/>
      <c r="D311" s="16"/>
      <c r="E311" s="16"/>
      <c r="F311" s="16"/>
      <c r="G311" s="16"/>
      <c r="H311" s="16"/>
      <c r="K311" s="16"/>
    </row>
    <row r="312">
      <c r="B312" s="16"/>
      <c r="C312" s="16"/>
      <c r="D312" s="16"/>
      <c r="E312" s="16"/>
      <c r="F312" s="16"/>
      <c r="G312" s="16"/>
      <c r="H312" s="16"/>
      <c r="K312" s="16"/>
    </row>
    <row r="313">
      <c r="B313" s="16"/>
      <c r="C313" s="16"/>
      <c r="D313" s="16"/>
      <c r="E313" s="16"/>
      <c r="F313" s="16"/>
      <c r="G313" s="16"/>
      <c r="H313" s="16"/>
      <c r="K313" s="16"/>
    </row>
    <row r="314">
      <c r="B314" s="16"/>
      <c r="C314" s="16"/>
      <c r="D314" s="16"/>
      <c r="E314" s="16"/>
      <c r="F314" s="16"/>
      <c r="G314" s="16"/>
      <c r="H314" s="16"/>
      <c r="K314" s="16"/>
    </row>
    <row r="315">
      <c r="B315" s="16"/>
      <c r="C315" s="16"/>
      <c r="D315" s="16"/>
      <c r="E315" s="16"/>
      <c r="F315" s="16"/>
      <c r="G315" s="16"/>
      <c r="H315" s="16"/>
      <c r="K315" s="16"/>
    </row>
    <row r="316">
      <c r="B316" s="16"/>
      <c r="C316" s="16"/>
      <c r="D316" s="16"/>
      <c r="E316" s="16"/>
      <c r="F316" s="16"/>
      <c r="G316" s="16"/>
      <c r="H316" s="16"/>
      <c r="K316" s="16"/>
    </row>
    <row r="317">
      <c r="B317" s="16"/>
      <c r="C317" s="16"/>
      <c r="D317" s="16"/>
      <c r="E317" s="16"/>
      <c r="F317" s="16"/>
      <c r="G317" s="16"/>
      <c r="H317" s="16"/>
      <c r="K317" s="16"/>
    </row>
    <row r="318">
      <c r="B318" s="16"/>
      <c r="C318" s="16"/>
      <c r="D318" s="16"/>
      <c r="E318" s="16"/>
      <c r="F318" s="16"/>
      <c r="G318" s="16"/>
      <c r="H318" s="16"/>
      <c r="K318" s="16"/>
    </row>
    <row r="319">
      <c r="B319" s="16"/>
      <c r="C319" s="16"/>
      <c r="D319" s="16"/>
      <c r="E319" s="16"/>
      <c r="F319" s="16"/>
      <c r="G319" s="16"/>
      <c r="H319" s="16"/>
      <c r="K319" s="16"/>
    </row>
    <row r="320">
      <c r="B320" s="16"/>
      <c r="C320" s="16"/>
      <c r="D320" s="16"/>
      <c r="E320" s="16"/>
      <c r="F320" s="16"/>
      <c r="G320" s="16"/>
      <c r="H320" s="16"/>
      <c r="K320" s="16"/>
    </row>
    <row r="321">
      <c r="B321" s="16"/>
      <c r="C321" s="16"/>
      <c r="D321" s="16"/>
      <c r="E321" s="16"/>
      <c r="F321" s="16"/>
      <c r="G321" s="16"/>
      <c r="H321" s="16"/>
      <c r="K321" s="16"/>
    </row>
    <row r="322">
      <c r="B322" s="16"/>
      <c r="C322" s="16"/>
      <c r="D322" s="16"/>
      <c r="E322" s="16"/>
      <c r="F322" s="16"/>
      <c r="G322" s="16"/>
      <c r="H322" s="16"/>
      <c r="K322" s="16"/>
    </row>
    <row r="323">
      <c r="B323" s="16"/>
      <c r="C323" s="16"/>
      <c r="D323" s="16"/>
      <c r="E323" s="16"/>
      <c r="F323" s="16"/>
      <c r="G323" s="16"/>
      <c r="H323" s="16"/>
      <c r="K323" s="16"/>
    </row>
    <row r="324">
      <c r="B324" s="16"/>
      <c r="C324" s="16"/>
      <c r="D324" s="16"/>
      <c r="E324" s="16"/>
      <c r="F324" s="16"/>
      <c r="G324" s="16"/>
      <c r="H324" s="16"/>
      <c r="K324" s="16"/>
    </row>
    <row r="325">
      <c r="B325" s="16"/>
      <c r="C325" s="16"/>
      <c r="D325" s="16"/>
      <c r="E325" s="16"/>
      <c r="F325" s="16"/>
      <c r="G325" s="16"/>
      <c r="H325" s="16"/>
      <c r="K325" s="16"/>
    </row>
    <row r="326">
      <c r="B326" s="16"/>
      <c r="C326" s="16"/>
      <c r="D326" s="16"/>
      <c r="E326" s="16"/>
      <c r="F326" s="16"/>
      <c r="G326" s="16"/>
      <c r="H326" s="16"/>
      <c r="K326" s="16"/>
    </row>
    <row r="327">
      <c r="B327" s="16"/>
      <c r="C327" s="16"/>
      <c r="D327" s="16"/>
      <c r="E327" s="16"/>
      <c r="F327" s="16"/>
      <c r="G327" s="16"/>
      <c r="H327" s="16"/>
      <c r="K327" s="16"/>
    </row>
    <row r="328">
      <c r="B328" s="16"/>
      <c r="C328" s="16"/>
      <c r="D328" s="16"/>
      <c r="E328" s="16"/>
      <c r="F328" s="16"/>
      <c r="G328" s="16"/>
      <c r="H328" s="16"/>
      <c r="K328" s="16"/>
    </row>
    <row r="329">
      <c r="B329" s="16"/>
      <c r="C329" s="16"/>
      <c r="D329" s="16"/>
      <c r="E329" s="16"/>
      <c r="F329" s="16"/>
      <c r="G329" s="16"/>
      <c r="H329" s="16"/>
      <c r="K329" s="16"/>
    </row>
    <row r="330">
      <c r="B330" s="16"/>
      <c r="C330" s="16"/>
      <c r="D330" s="16"/>
      <c r="E330" s="16"/>
      <c r="F330" s="16"/>
      <c r="G330" s="16"/>
      <c r="H330" s="16"/>
      <c r="K330" s="16"/>
    </row>
    <row r="331">
      <c r="B331" s="16"/>
      <c r="C331" s="16"/>
      <c r="D331" s="16"/>
      <c r="E331" s="16"/>
      <c r="F331" s="16"/>
      <c r="G331" s="16"/>
      <c r="H331" s="16"/>
      <c r="K331" s="16"/>
    </row>
    <row r="332">
      <c r="B332" s="16"/>
      <c r="C332" s="16"/>
      <c r="D332" s="16"/>
      <c r="E332" s="16"/>
      <c r="F332" s="16"/>
      <c r="G332" s="16"/>
      <c r="H332" s="16"/>
      <c r="K332" s="16"/>
    </row>
    <row r="333">
      <c r="B333" s="16"/>
      <c r="C333" s="16"/>
      <c r="D333" s="16"/>
      <c r="E333" s="16"/>
      <c r="F333" s="16"/>
      <c r="G333" s="16"/>
      <c r="H333" s="16"/>
      <c r="K333" s="16"/>
    </row>
    <row r="334">
      <c r="B334" s="16"/>
      <c r="C334" s="16"/>
      <c r="D334" s="16"/>
      <c r="E334" s="16"/>
      <c r="F334" s="16"/>
      <c r="G334" s="16"/>
      <c r="H334" s="16"/>
      <c r="K334" s="16"/>
    </row>
    <row r="335">
      <c r="B335" s="16"/>
      <c r="C335" s="16"/>
      <c r="D335" s="16"/>
      <c r="E335" s="16"/>
      <c r="F335" s="16"/>
      <c r="G335" s="16"/>
      <c r="H335" s="16"/>
      <c r="K335" s="16"/>
    </row>
    <row r="336">
      <c r="B336" s="16"/>
      <c r="C336" s="16"/>
      <c r="D336" s="16"/>
      <c r="E336" s="16"/>
      <c r="F336" s="16"/>
      <c r="G336" s="16"/>
      <c r="H336" s="16"/>
      <c r="K336" s="16"/>
    </row>
    <row r="337">
      <c r="B337" s="16"/>
      <c r="C337" s="16"/>
      <c r="D337" s="16"/>
      <c r="E337" s="16"/>
      <c r="F337" s="16"/>
      <c r="G337" s="16"/>
      <c r="H337" s="16"/>
      <c r="K337" s="16"/>
    </row>
    <row r="338">
      <c r="B338" s="16"/>
      <c r="C338" s="16"/>
      <c r="D338" s="16"/>
      <c r="E338" s="16"/>
      <c r="F338" s="16"/>
      <c r="G338" s="16"/>
      <c r="H338" s="16"/>
      <c r="K338" s="16"/>
    </row>
    <row r="339">
      <c r="B339" s="16"/>
      <c r="C339" s="16"/>
      <c r="D339" s="16"/>
      <c r="E339" s="16"/>
      <c r="F339" s="16"/>
      <c r="G339" s="16"/>
      <c r="H339" s="16"/>
      <c r="K339" s="16"/>
    </row>
    <row r="340">
      <c r="B340" s="16"/>
      <c r="C340" s="16"/>
      <c r="D340" s="16"/>
      <c r="E340" s="16"/>
      <c r="F340" s="16"/>
      <c r="G340" s="16"/>
      <c r="H340" s="16"/>
      <c r="K340" s="16"/>
    </row>
    <row r="341">
      <c r="B341" s="16"/>
      <c r="C341" s="16"/>
      <c r="D341" s="16"/>
      <c r="E341" s="16"/>
      <c r="F341" s="16"/>
      <c r="G341" s="16"/>
      <c r="H341" s="16"/>
      <c r="K341" s="16"/>
    </row>
    <row r="342">
      <c r="B342" s="16"/>
      <c r="C342" s="16"/>
      <c r="D342" s="16"/>
      <c r="E342" s="16"/>
      <c r="F342" s="16"/>
      <c r="G342" s="16"/>
      <c r="H342" s="16"/>
      <c r="K342" s="16"/>
    </row>
    <row r="343">
      <c r="B343" s="16"/>
      <c r="C343" s="16"/>
      <c r="D343" s="16"/>
      <c r="E343" s="16"/>
      <c r="F343" s="16"/>
      <c r="G343" s="16"/>
      <c r="H343" s="16"/>
      <c r="K343" s="16"/>
    </row>
    <row r="344">
      <c r="B344" s="16"/>
      <c r="C344" s="16"/>
      <c r="D344" s="16"/>
      <c r="E344" s="16"/>
      <c r="F344" s="16"/>
      <c r="G344" s="16"/>
      <c r="H344" s="16"/>
      <c r="K344" s="16"/>
    </row>
    <row r="345">
      <c r="B345" s="16"/>
      <c r="C345" s="16"/>
      <c r="D345" s="16"/>
      <c r="E345" s="16"/>
      <c r="F345" s="16"/>
      <c r="G345" s="16"/>
      <c r="H345" s="16"/>
      <c r="K345" s="16"/>
    </row>
    <row r="346">
      <c r="B346" s="16"/>
      <c r="C346" s="16"/>
      <c r="D346" s="16"/>
      <c r="E346" s="16"/>
      <c r="F346" s="16"/>
      <c r="G346" s="16"/>
      <c r="H346" s="16"/>
      <c r="K346" s="16"/>
    </row>
    <row r="347">
      <c r="B347" s="16"/>
      <c r="C347" s="16"/>
      <c r="D347" s="16"/>
      <c r="E347" s="16"/>
      <c r="F347" s="16"/>
      <c r="G347" s="16"/>
      <c r="H347" s="16"/>
      <c r="K347" s="16"/>
    </row>
    <row r="348">
      <c r="B348" s="16"/>
      <c r="C348" s="16"/>
      <c r="D348" s="16"/>
      <c r="E348" s="16"/>
      <c r="F348" s="16"/>
      <c r="G348" s="16"/>
      <c r="H348" s="16"/>
      <c r="K348" s="16"/>
    </row>
    <row r="349">
      <c r="B349" s="16"/>
      <c r="C349" s="16"/>
      <c r="D349" s="16"/>
      <c r="E349" s="16"/>
      <c r="F349" s="16"/>
      <c r="G349" s="16"/>
      <c r="H349" s="16"/>
      <c r="K349" s="16"/>
    </row>
    <row r="350">
      <c r="B350" s="16"/>
      <c r="C350" s="16"/>
      <c r="D350" s="16"/>
      <c r="E350" s="16"/>
      <c r="F350" s="16"/>
      <c r="G350" s="16"/>
      <c r="H350" s="16"/>
      <c r="K350" s="16"/>
    </row>
    <row r="351">
      <c r="B351" s="16"/>
      <c r="C351" s="16"/>
      <c r="D351" s="16"/>
      <c r="E351" s="16"/>
      <c r="F351" s="16"/>
      <c r="G351" s="16"/>
      <c r="H351" s="16"/>
      <c r="K351" s="16"/>
    </row>
    <row r="352">
      <c r="B352" s="16"/>
      <c r="C352" s="16"/>
      <c r="D352" s="16"/>
      <c r="E352" s="16"/>
      <c r="F352" s="16"/>
      <c r="G352" s="16"/>
      <c r="H352" s="16"/>
      <c r="K352" s="16"/>
    </row>
    <row r="353">
      <c r="B353" s="16"/>
      <c r="C353" s="16"/>
      <c r="D353" s="16"/>
      <c r="E353" s="16"/>
      <c r="F353" s="16"/>
      <c r="G353" s="16"/>
      <c r="H353" s="16"/>
      <c r="K353" s="16"/>
    </row>
    <row r="354">
      <c r="B354" s="16"/>
      <c r="C354" s="16"/>
      <c r="D354" s="16"/>
      <c r="E354" s="16"/>
      <c r="F354" s="16"/>
      <c r="G354" s="16"/>
      <c r="H354" s="16"/>
      <c r="K354" s="16"/>
    </row>
    <row r="355">
      <c r="B355" s="16"/>
      <c r="C355" s="16"/>
      <c r="D355" s="16"/>
      <c r="E355" s="16"/>
      <c r="F355" s="16"/>
      <c r="G355" s="16"/>
      <c r="H355" s="16"/>
      <c r="K355" s="16"/>
    </row>
    <row r="356">
      <c r="B356" s="16"/>
      <c r="C356" s="16"/>
      <c r="D356" s="16"/>
      <c r="E356" s="16"/>
      <c r="F356" s="16"/>
      <c r="G356" s="16"/>
      <c r="H356" s="16"/>
      <c r="K356" s="16"/>
    </row>
    <row r="357">
      <c r="B357" s="16"/>
      <c r="C357" s="16"/>
      <c r="D357" s="16"/>
      <c r="E357" s="16"/>
      <c r="F357" s="16"/>
      <c r="G357" s="16"/>
      <c r="H357" s="16"/>
      <c r="K357" s="16"/>
    </row>
    <row r="358">
      <c r="B358" s="16"/>
      <c r="C358" s="16"/>
      <c r="D358" s="16"/>
      <c r="E358" s="16"/>
      <c r="F358" s="16"/>
      <c r="G358" s="16"/>
      <c r="H358" s="16"/>
      <c r="K358" s="16"/>
    </row>
    <row r="359">
      <c r="B359" s="16"/>
      <c r="C359" s="16"/>
      <c r="D359" s="16"/>
      <c r="E359" s="16"/>
      <c r="F359" s="16"/>
      <c r="G359" s="16"/>
      <c r="H359" s="16"/>
      <c r="K359" s="16"/>
    </row>
    <row r="360">
      <c r="B360" s="16"/>
      <c r="C360" s="16"/>
      <c r="D360" s="16"/>
      <c r="E360" s="16"/>
      <c r="F360" s="16"/>
      <c r="G360" s="16"/>
      <c r="H360" s="16"/>
      <c r="K360" s="16"/>
    </row>
    <row r="361">
      <c r="B361" s="16"/>
      <c r="C361" s="16"/>
      <c r="D361" s="16"/>
      <c r="E361" s="16"/>
      <c r="F361" s="16"/>
      <c r="G361" s="16"/>
      <c r="H361" s="16"/>
      <c r="K361" s="16"/>
    </row>
    <row r="362">
      <c r="B362" s="16"/>
      <c r="C362" s="16"/>
      <c r="D362" s="16"/>
      <c r="E362" s="16"/>
      <c r="F362" s="16"/>
      <c r="G362" s="16"/>
      <c r="H362" s="16"/>
      <c r="K362" s="16"/>
    </row>
    <row r="363">
      <c r="B363" s="16"/>
      <c r="C363" s="16"/>
      <c r="D363" s="16"/>
      <c r="E363" s="16"/>
      <c r="F363" s="16"/>
      <c r="G363" s="16"/>
      <c r="H363" s="16"/>
      <c r="K363" s="16"/>
    </row>
    <row r="364">
      <c r="B364" s="16"/>
      <c r="C364" s="16"/>
      <c r="D364" s="16"/>
      <c r="E364" s="16"/>
      <c r="F364" s="16"/>
      <c r="G364" s="16"/>
      <c r="H364" s="16"/>
      <c r="K364" s="16"/>
    </row>
    <row r="365">
      <c r="B365" s="16"/>
      <c r="C365" s="16"/>
      <c r="D365" s="16"/>
      <c r="E365" s="16"/>
      <c r="F365" s="16"/>
      <c r="G365" s="16"/>
      <c r="H365" s="16"/>
      <c r="K365" s="16"/>
    </row>
    <row r="366">
      <c r="B366" s="16"/>
      <c r="C366" s="16"/>
      <c r="D366" s="16"/>
      <c r="E366" s="16"/>
      <c r="F366" s="16"/>
      <c r="G366" s="16"/>
      <c r="H366" s="16"/>
      <c r="K366" s="16"/>
    </row>
    <row r="367">
      <c r="B367" s="16"/>
      <c r="C367" s="16"/>
      <c r="D367" s="16"/>
      <c r="E367" s="16"/>
      <c r="F367" s="16"/>
      <c r="G367" s="16"/>
      <c r="H367" s="16"/>
      <c r="K367" s="16"/>
    </row>
    <row r="368">
      <c r="B368" s="16"/>
      <c r="C368" s="16"/>
      <c r="D368" s="16"/>
      <c r="E368" s="16"/>
      <c r="F368" s="16"/>
      <c r="G368" s="16"/>
      <c r="H368" s="16"/>
      <c r="K368" s="16"/>
    </row>
    <row r="369">
      <c r="B369" s="16"/>
      <c r="C369" s="16"/>
      <c r="D369" s="16"/>
      <c r="E369" s="16"/>
      <c r="F369" s="16"/>
      <c r="G369" s="16"/>
      <c r="H369" s="16"/>
      <c r="K369" s="16"/>
    </row>
    <row r="370">
      <c r="B370" s="16"/>
      <c r="C370" s="16"/>
      <c r="D370" s="16"/>
      <c r="E370" s="16"/>
      <c r="F370" s="16"/>
      <c r="G370" s="16"/>
      <c r="H370" s="16"/>
      <c r="K370" s="16"/>
    </row>
    <row r="371">
      <c r="B371" s="16"/>
      <c r="C371" s="16"/>
      <c r="D371" s="16"/>
      <c r="E371" s="16"/>
      <c r="F371" s="16"/>
      <c r="G371" s="16"/>
      <c r="H371" s="16"/>
      <c r="K371" s="16"/>
    </row>
    <row r="372">
      <c r="B372" s="16"/>
      <c r="C372" s="16"/>
      <c r="D372" s="16"/>
      <c r="E372" s="16"/>
      <c r="F372" s="16"/>
      <c r="G372" s="16"/>
      <c r="H372" s="16"/>
      <c r="K372" s="16"/>
    </row>
    <row r="373">
      <c r="B373" s="16"/>
      <c r="C373" s="16"/>
      <c r="D373" s="16"/>
      <c r="E373" s="16"/>
      <c r="F373" s="16"/>
      <c r="G373" s="16"/>
      <c r="H373" s="16"/>
      <c r="K373" s="16"/>
    </row>
    <row r="374">
      <c r="B374" s="16"/>
      <c r="C374" s="16"/>
      <c r="D374" s="16"/>
      <c r="E374" s="16"/>
      <c r="F374" s="16"/>
      <c r="G374" s="16"/>
      <c r="H374" s="16"/>
      <c r="K374" s="16"/>
    </row>
    <row r="375">
      <c r="B375" s="16"/>
      <c r="C375" s="16"/>
      <c r="D375" s="16"/>
      <c r="E375" s="16"/>
      <c r="F375" s="16"/>
      <c r="G375" s="16"/>
      <c r="H375" s="16"/>
      <c r="K375" s="16"/>
    </row>
    <row r="376">
      <c r="B376" s="16"/>
      <c r="C376" s="16"/>
      <c r="D376" s="16"/>
      <c r="E376" s="16"/>
      <c r="F376" s="16"/>
      <c r="G376" s="16"/>
      <c r="H376" s="16"/>
      <c r="K376" s="16"/>
    </row>
    <row r="377">
      <c r="B377" s="16"/>
      <c r="C377" s="16"/>
      <c r="D377" s="16"/>
      <c r="E377" s="16"/>
      <c r="F377" s="16"/>
      <c r="G377" s="16"/>
      <c r="H377" s="16"/>
      <c r="K377" s="16"/>
    </row>
    <row r="378">
      <c r="B378" s="16"/>
      <c r="C378" s="16"/>
      <c r="D378" s="16"/>
      <c r="E378" s="16"/>
      <c r="F378" s="16"/>
      <c r="G378" s="16"/>
      <c r="H378" s="16"/>
      <c r="K378" s="16"/>
    </row>
    <row r="379">
      <c r="B379" s="16"/>
      <c r="C379" s="16"/>
      <c r="D379" s="16"/>
      <c r="E379" s="16"/>
      <c r="F379" s="16"/>
      <c r="G379" s="16"/>
      <c r="H379" s="16"/>
      <c r="K379" s="16"/>
    </row>
    <row r="380">
      <c r="B380" s="16"/>
      <c r="C380" s="16"/>
      <c r="D380" s="16"/>
      <c r="E380" s="16"/>
      <c r="F380" s="16"/>
      <c r="G380" s="16"/>
      <c r="H380" s="16"/>
      <c r="K380" s="16"/>
    </row>
    <row r="381">
      <c r="B381" s="16"/>
      <c r="C381" s="16"/>
      <c r="D381" s="16"/>
      <c r="E381" s="16"/>
      <c r="F381" s="16"/>
      <c r="G381" s="16"/>
      <c r="H381" s="16"/>
      <c r="K381" s="16"/>
    </row>
    <row r="382">
      <c r="B382" s="16"/>
      <c r="C382" s="16"/>
      <c r="D382" s="16"/>
      <c r="E382" s="16"/>
      <c r="F382" s="16"/>
      <c r="G382" s="16"/>
      <c r="H382" s="16"/>
      <c r="K382" s="16"/>
    </row>
    <row r="383">
      <c r="B383" s="16"/>
      <c r="C383" s="16"/>
      <c r="D383" s="16"/>
      <c r="E383" s="16"/>
      <c r="F383" s="16"/>
      <c r="G383" s="16"/>
      <c r="H383" s="16"/>
      <c r="K383" s="16"/>
    </row>
    <row r="384">
      <c r="B384" s="16"/>
      <c r="C384" s="16"/>
      <c r="D384" s="16"/>
      <c r="E384" s="16"/>
      <c r="F384" s="16"/>
      <c r="G384" s="16"/>
      <c r="H384" s="16"/>
      <c r="K384" s="16"/>
    </row>
    <row r="385">
      <c r="B385" s="16"/>
      <c r="C385" s="16"/>
      <c r="D385" s="16"/>
      <c r="E385" s="16"/>
      <c r="F385" s="16"/>
      <c r="G385" s="16"/>
      <c r="H385" s="16"/>
      <c r="K385" s="16"/>
    </row>
    <row r="386">
      <c r="B386" s="16"/>
      <c r="C386" s="16"/>
      <c r="D386" s="16"/>
      <c r="E386" s="16"/>
      <c r="F386" s="16"/>
      <c r="G386" s="16"/>
      <c r="H386" s="16"/>
      <c r="K386" s="16"/>
    </row>
    <row r="387">
      <c r="B387" s="16"/>
      <c r="C387" s="16"/>
      <c r="D387" s="16"/>
      <c r="E387" s="16"/>
      <c r="F387" s="16"/>
      <c r="G387" s="16"/>
      <c r="H387" s="16"/>
      <c r="K387" s="16"/>
    </row>
    <row r="388">
      <c r="B388" s="16"/>
      <c r="C388" s="16"/>
      <c r="D388" s="16"/>
      <c r="E388" s="16"/>
      <c r="F388" s="16"/>
      <c r="G388" s="16"/>
      <c r="H388" s="16"/>
      <c r="K388" s="16"/>
    </row>
    <row r="389">
      <c r="B389" s="16"/>
      <c r="C389" s="16"/>
      <c r="D389" s="16"/>
      <c r="E389" s="16"/>
      <c r="F389" s="16"/>
      <c r="G389" s="16"/>
      <c r="H389" s="16"/>
      <c r="K389" s="16"/>
    </row>
    <row r="390">
      <c r="B390" s="16"/>
      <c r="C390" s="16"/>
      <c r="D390" s="16"/>
      <c r="E390" s="16"/>
      <c r="F390" s="16"/>
      <c r="G390" s="16"/>
      <c r="H390" s="16"/>
      <c r="K390" s="16"/>
    </row>
    <row r="391">
      <c r="B391" s="16"/>
      <c r="C391" s="16"/>
      <c r="D391" s="16"/>
      <c r="E391" s="16"/>
      <c r="F391" s="16"/>
      <c r="G391" s="16"/>
      <c r="H391" s="16"/>
      <c r="K391" s="16"/>
    </row>
    <row r="392">
      <c r="B392" s="16"/>
      <c r="C392" s="16"/>
      <c r="D392" s="16"/>
      <c r="E392" s="16"/>
      <c r="F392" s="16"/>
      <c r="G392" s="16"/>
      <c r="H392" s="16"/>
      <c r="K392" s="16"/>
    </row>
    <row r="393">
      <c r="B393" s="16"/>
      <c r="C393" s="16"/>
      <c r="D393" s="16"/>
      <c r="E393" s="16"/>
      <c r="F393" s="16"/>
      <c r="G393" s="16"/>
      <c r="H393" s="16"/>
      <c r="K393" s="16"/>
    </row>
    <row r="394">
      <c r="B394" s="16"/>
      <c r="C394" s="16"/>
      <c r="D394" s="16"/>
      <c r="E394" s="16"/>
      <c r="F394" s="16"/>
      <c r="G394" s="16"/>
      <c r="H394" s="16"/>
      <c r="K394" s="16"/>
    </row>
    <row r="395">
      <c r="B395" s="16"/>
      <c r="C395" s="16"/>
      <c r="D395" s="16"/>
      <c r="E395" s="16"/>
      <c r="F395" s="16"/>
      <c r="G395" s="16"/>
      <c r="H395" s="16"/>
      <c r="K395" s="16"/>
    </row>
    <row r="396">
      <c r="B396" s="16"/>
      <c r="C396" s="16"/>
      <c r="D396" s="16"/>
      <c r="E396" s="16"/>
      <c r="F396" s="16"/>
      <c r="G396" s="16"/>
      <c r="H396" s="16"/>
      <c r="K396" s="16"/>
    </row>
    <row r="397">
      <c r="B397" s="16"/>
      <c r="C397" s="16"/>
      <c r="D397" s="16"/>
      <c r="E397" s="16"/>
      <c r="F397" s="16"/>
      <c r="G397" s="16"/>
      <c r="H397" s="16"/>
      <c r="K397" s="16"/>
    </row>
    <row r="398">
      <c r="B398" s="16"/>
      <c r="C398" s="16"/>
      <c r="D398" s="16"/>
      <c r="E398" s="16"/>
      <c r="F398" s="16"/>
      <c r="G398" s="16"/>
      <c r="H398" s="16"/>
      <c r="K398" s="16"/>
    </row>
    <row r="399">
      <c r="B399" s="16"/>
      <c r="C399" s="16"/>
      <c r="D399" s="16"/>
      <c r="E399" s="16"/>
      <c r="F399" s="16"/>
      <c r="G399" s="16"/>
      <c r="H399" s="16"/>
      <c r="K399" s="16"/>
    </row>
    <row r="400">
      <c r="B400" s="16"/>
      <c r="C400" s="16"/>
      <c r="D400" s="16"/>
      <c r="E400" s="16"/>
      <c r="F400" s="16"/>
      <c r="G400" s="16"/>
      <c r="H400" s="16"/>
      <c r="K400" s="16"/>
    </row>
    <row r="401">
      <c r="B401" s="16"/>
      <c r="C401" s="16"/>
      <c r="D401" s="16"/>
      <c r="E401" s="16"/>
      <c r="F401" s="16"/>
      <c r="G401" s="16"/>
      <c r="H401" s="16"/>
      <c r="K401" s="16"/>
    </row>
    <row r="402">
      <c r="B402" s="16"/>
      <c r="C402" s="16"/>
      <c r="D402" s="16"/>
      <c r="E402" s="16"/>
      <c r="F402" s="16"/>
      <c r="G402" s="16"/>
      <c r="H402" s="16"/>
      <c r="K402" s="16"/>
    </row>
    <row r="403">
      <c r="B403" s="16"/>
      <c r="C403" s="16"/>
      <c r="D403" s="16"/>
      <c r="E403" s="16"/>
      <c r="F403" s="16"/>
      <c r="G403" s="16"/>
      <c r="H403" s="16"/>
      <c r="K403" s="16"/>
    </row>
    <row r="404">
      <c r="B404" s="16"/>
      <c r="C404" s="16"/>
      <c r="D404" s="16"/>
      <c r="E404" s="16"/>
      <c r="F404" s="16"/>
      <c r="G404" s="16"/>
      <c r="H404" s="16"/>
      <c r="K404" s="16"/>
    </row>
    <row r="405">
      <c r="B405" s="16"/>
      <c r="C405" s="16"/>
      <c r="D405" s="16"/>
      <c r="E405" s="16"/>
      <c r="F405" s="16"/>
      <c r="G405" s="16"/>
      <c r="H405" s="16"/>
      <c r="K405" s="16"/>
    </row>
    <row r="406">
      <c r="B406" s="16"/>
      <c r="C406" s="16"/>
      <c r="D406" s="16"/>
      <c r="E406" s="16"/>
      <c r="F406" s="16"/>
      <c r="G406" s="16"/>
      <c r="H406" s="16"/>
      <c r="K406" s="16"/>
    </row>
    <row r="407">
      <c r="B407" s="16"/>
      <c r="C407" s="16"/>
      <c r="D407" s="16"/>
      <c r="E407" s="16"/>
      <c r="F407" s="16"/>
      <c r="G407" s="16"/>
      <c r="H407" s="16"/>
      <c r="K407" s="16"/>
    </row>
    <row r="408">
      <c r="B408" s="16"/>
      <c r="C408" s="16"/>
      <c r="D408" s="16"/>
      <c r="E408" s="16"/>
      <c r="F408" s="16"/>
      <c r="G408" s="16"/>
      <c r="H408" s="16"/>
      <c r="K408" s="16"/>
    </row>
    <row r="409">
      <c r="B409" s="16"/>
      <c r="C409" s="16"/>
      <c r="D409" s="16"/>
      <c r="E409" s="16"/>
      <c r="F409" s="16"/>
      <c r="G409" s="16"/>
      <c r="H409" s="16"/>
      <c r="K409" s="16"/>
    </row>
    <row r="410">
      <c r="B410" s="16"/>
      <c r="C410" s="16"/>
      <c r="D410" s="16"/>
      <c r="E410" s="16"/>
      <c r="F410" s="16"/>
      <c r="G410" s="16"/>
      <c r="H410" s="16"/>
      <c r="K410" s="16"/>
    </row>
    <row r="411">
      <c r="B411" s="16"/>
      <c r="C411" s="16"/>
      <c r="D411" s="16"/>
      <c r="E411" s="16"/>
      <c r="F411" s="16"/>
      <c r="G411" s="16"/>
      <c r="H411" s="16"/>
      <c r="K411" s="16"/>
    </row>
    <row r="412">
      <c r="B412" s="16"/>
      <c r="C412" s="16"/>
      <c r="D412" s="16"/>
      <c r="E412" s="16"/>
      <c r="F412" s="16"/>
      <c r="G412" s="16"/>
      <c r="H412" s="16"/>
      <c r="K412" s="16"/>
    </row>
    <row r="413">
      <c r="B413" s="16"/>
      <c r="C413" s="16"/>
      <c r="D413" s="16"/>
      <c r="E413" s="16"/>
      <c r="F413" s="16"/>
      <c r="G413" s="16"/>
      <c r="H413" s="16"/>
      <c r="K413" s="16"/>
    </row>
    <row r="414">
      <c r="B414" s="16"/>
      <c r="C414" s="16"/>
      <c r="D414" s="16"/>
      <c r="E414" s="16"/>
      <c r="F414" s="16"/>
      <c r="G414" s="16"/>
      <c r="H414" s="16"/>
      <c r="K414" s="16"/>
    </row>
    <row r="415">
      <c r="B415" s="16"/>
      <c r="C415" s="16"/>
      <c r="D415" s="16"/>
      <c r="E415" s="16"/>
      <c r="F415" s="16"/>
      <c r="G415" s="16"/>
      <c r="H415" s="16"/>
      <c r="K415" s="16"/>
    </row>
    <row r="416">
      <c r="B416" s="16"/>
      <c r="C416" s="16"/>
      <c r="D416" s="16"/>
      <c r="E416" s="16"/>
      <c r="F416" s="16"/>
      <c r="G416" s="16"/>
      <c r="H416" s="16"/>
      <c r="K416" s="16"/>
    </row>
    <row r="417">
      <c r="B417" s="16"/>
      <c r="C417" s="16"/>
      <c r="D417" s="16"/>
      <c r="E417" s="16"/>
      <c r="F417" s="16"/>
      <c r="G417" s="16"/>
      <c r="H417" s="16"/>
      <c r="K417" s="16"/>
    </row>
    <row r="418">
      <c r="B418" s="16"/>
      <c r="C418" s="16"/>
      <c r="D418" s="16"/>
      <c r="E418" s="16"/>
      <c r="F418" s="16"/>
      <c r="G418" s="16"/>
      <c r="H418" s="16"/>
      <c r="K418" s="16"/>
    </row>
    <row r="419">
      <c r="B419" s="16"/>
      <c r="C419" s="16"/>
      <c r="D419" s="16"/>
      <c r="E419" s="16"/>
      <c r="F419" s="16"/>
      <c r="G419" s="16"/>
      <c r="H419" s="16"/>
      <c r="K419" s="16"/>
    </row>
    <row r="420">
      <c r="B420" s="16"/>
      <c r="C420" s="16"/>
      <c r="D420" s="16"/>
      <c r="E420" s="16"/>
      <c r="F420" s="16"/>
      <c r="G420" s="16"/>
      <c r="H420" s="16"/>
      <c r="K420" s="16"/>
    </row>
    <row r="421">
      <c r="B421" s="16"/>
      <c r="C421" s="16"/>
      <c r="D421" s="16"/>
      <c r="E421" s="16"/>
      <c r="F421" s="16"/>
      <c r="G421" s="16"/>
      <c r="H421" s="16"/>
      <c r="K421" s="16"/>
    </row>
    <row r="422">
      <c r="B422" s="16"/>
      <c r="C422" s="16"/>
      <c r="D422" s="16"/>
      <c r="E422" s="16"/>
      <c r="F422" s="16"/>
      <c r="G422" s="16"/>
      <c r="H422" s="16"/>
      <c r="K422" s="16"/>
    </row>
    <row r="423">
      <c r="B423" s="16"/>
      <c r="C423" s="16"/>
      <c r="D423" s="16"/>
      <c r="E423" s="16"/>
      <c r="F423" s="16"/>
      <c r="G423" s="16"/>
      <c r="H423" s="16"/>
      <c r="K423" s="16"/>
    </row>
    <row r="424">
      <c r="B424" s="16"/>
      <c r="C424" s="16"/>
      <c r="D424" s="16"/>
      <c r="E424" s="16"/>
      <c r="F424" s="16"/>
      <c r="G424" s="16"/>
      <c r="H424" s="16"/>
      <c r="K424" s="16"/>
    </row>
    <row r="425">
      <c r="B425" s="16"/>
      <c r="C425" s="16"/>
      <c r="D425" s="16"/>
      <c r="E425" s="16"/>
      <c r="F425" s="16"/>
      <c r="G425" s="16"/>
      <c r="H425" s="16"/>
      <c r="K425" s="16"/>
    </row>
    <row r="426">
      <c r="B426" s="16"/>
      <c r="C426" s="16"/>
      <c r="D426" s="16"/>
      <c r="E426" s="16"/>
      <c r="F426" s="16"/>
      <c r="G426" s="16"/>
      <c r="H426" s="16"/>
      <c r="K426" s="16"/>
    </row>
    <row r="427">
      <c r="B427" s="16"/>
      <c r="C427" s="16"/>
      <c r="D427" s="16"/>
      <c r="E427" s="16"/>
      <c r="F427" s="16"/>
      <c r="G427" s="16"/>
      <c r="H427" s="16"/>
      <c r="K427" s="16"/>
    </row>
    <row r="428">
      <c r="B428" s="16"/>
      <c r="C428" s="16"/>
      <c r="D428" s="16"/>
      <c r="E428" s="16"/>
      <c r="F428" s="16"/>
      <c r="G428" s="16"/>
      <c r="H428" s="16"/>
      <c r="K428" s="16"/>
    </row>
    <row r="429">
      <c r="B429" s="16"/>
      <c r="C429" s="16"/>
      <c r="D429" s="16"/>
      <c r="E429" s="16"/>
      <c r="F429" s="16"/>
      <c r="G429" s="16"/>
      <c r="H429" s="16"/>
      <c r="K429" s="16"/>
    </row>
    <row r="430">
      <c r="B430" s="16"/>
      <c r="C430" s="16"/>
      <c r="D430" s="16"/>
      <c r="E430" s="16"/>
      <c r="F430" s="16"/>
      <c r="G430" s="16"/>
      <c r="H430" s="16"/>
      <c r="K430" s="16"/>
    </row>
    <row r="431">
      <c r="B431" s="16"/>
      <c r="C431" s="16"/>
      <c r="D431" s="16"/>
      <c r="E431" s="16"/>
      <c r="F431" s="16"/>
      <c r="G431" s="16"/>
      <c r="H431" s="16"/>
      <c r="K431" s="16"/>
    </row>
    <row r="432">
      <c r="B432" s="16"/>
      <c r="C432" s="16"/>
      <c r="D432" s="16"/>
      <c r="E432" s="16"/>
      <c r="F432" s="16"/>
      <c r="G432" s="16"/>
      <c r="H432" s="16"/>
      <c r="K432" s="16"/>
    </row>
    <row r="433">
      <c r="B433" s="16"/>
      <c r="C433" s="16"/>
      <c r="D433" s="16"/>
      <c r="E433" s="16"/>
      <c r="F433" s="16"/>
      <c r="G433" s="16"/>
      <c r="H433" s="16"/>
      <c r="K433" s="16"/>
    </row>
    <row r="434">
      <c r="B434" s="16"/>
      <c r="C434" s="16"/>
      <c r="D434" s="16"/>
      <c r="E434" s="16"/>
      <c r="F434" s="16"/>
      <c r="G434" s="16"/>
      <c r="H434" s="16"/>
      <c r="K434" s="16"/>
    </row>
    <row r="435">
      <c r="B435" s="16"/>
      <c r="C435" s="16"/>
      <c r="D435" s="16"/>
      <c r="E435" s="16"/>
      <c r="F435" s="16"/>
      <c r="G435" s="16"/>
      <c r="H435" s="16"/>
      <c r="K435" s="16"/>
    </row>
    <row r="436">
      <c r="B436" s="16"/>
      <c r="C436" s="16"/>
      <c r="D436" s="16"/>
      <c r="E436" s="16"/>
      <c r="F436" s="16"/>
      <c r="G436" s="16"/>
      <c r="H436" s="16"/>
      <c r="K436" s="16"/>
    </row>
    <row r="437">
      <c r="B437" s="16"/>
      <c r="C437" s="16"/>
      <c r="D437" s="16"/>
      <c r="E437" s="16"/>
      <c r="F437" s="16"/>
      <c r="G437" s="16"/>
      <c r="H437" s="16"/>
      <c r="K437" s="16"/>
    </row>
    <row r="438">
      <c r="B438" s="16"/>
      <c r="C438" s="16"/>
      <c r="D438" s="16"/>
      <c r="E438" s="16"/>
      <c r="F438" s="16"/>
      <c r="G438" s="16"/>
      <c r="H438" s="16"/>
      <c r="K438" s="16"/>
    </row>
    <row r="439">
      <c r="B439" s="16"/>
      <c r="C439" s="16"/>
      <c r="D439" s="16"/>
      <c r="E439" s="16"/>
      <c r="F439" s="16"/>
      <c r="G439" s="16"/>
      <c r="H439" s="16"/>
      <c r="K439" s="16"/>
    </row>
    <row r="440">
      <c r="B440" s="16"/>
      <c r="C440" s="16"/>
      <c r="D440" s="16"/>
      <c r="E440" s="16"/>
      <c r="F440" s="16"/>
      <c r="G440" s="16"/>
      <c r="H440" s="16"/>
      <c r="K440" s="16"/>
    </row>
    <row r="441">
      <c r="B441" s="16"/>
      <c r="C441" s="16"/>
      <c r="D441" s="16"/>
      <c r="E441" s="16"/>
      <c r="F441" s="16"/>
      <c r="G441" s="16"/>
      <c r="H441" s="16"/>
      <c r="K441" s="16"/>
    </row>
    <row r="442">
      <c r="B442" s="16"/>
      <c r="C442" s="16"/>
      <c r="D442" s="16"/>
      <c r="E442" s="16"/>
      <c r="F442" s="16"/>
      <c r="G442" s="16"/>
      <c r="H442" s="16"/>
      <c r="K442" s="16"/>
    </row>
    <row r="443">
      <c r="B443" s="16"/>
      <c r="C443" s="16"/>
      <c r="D443" s="16"/>
      <c r="E443" s="16"/>
      <c r="F443" s="16"/>
      <c r="G443" s="16"/>
      <c r="H443" s="16"/>
      <c r="K443" s="16"/>
    </row>
    <row r="444">
      <c r="B444" s="16"/>
      <c r="C444" s="16"/>
      <c r="D444" s="16"/>
      <c r="E444" s="16"/>
      <c r="F444" s="16"/>
      <c r="G444" s="16"/>
      <c r="H444" s="16"/>
      <c r="K444" s="16"/>
    </row>
    <row r="445">
      <c r="B445" s="16"/>
      <c r="C445" s="16"/>
      <c r="D445" s="16"/>
      <c r="E445" s="16"/>
      <c r="F445" s="16"/>
      <c r="G445" s="16"/>
      <c r="H445" s="16"/>
      <c r="K445" s="16"/>
    </row>
    <row r="446">
      <c r="B446" s="16"/>
      <c r="C446" s="16"/>
      <c r="D446" s="16"/>
      <c r="E446" s="16"/>
      <c r="F446" s="16"/>
      <c r="G446" s="16"/>
      <c r="H446" s="16"/>
      <c r="K446" s="16"/>
    </row>
    <row r="447">
      <c r="B447" s="16"/>
      <c r="C447" s="16"/>
      <c r="D447" s="16"/>
      <c r="E447" s="16"/>
      <c r="F447" s="16"/>
      <c r="G447" s="16"/>
      <c r="H447" s="16"/>
      <c r="K447" s="16"/>
    </row>
    <row r="448">
      <c r="B448" s="16"/>
      <c r="C448" s="16"/>
      <c r="D448" s="16"/>
      <c r="E448" s="16"/>
      <c r="F448" s="16"/>
      <c r="G448" s="16"/>
      <c r="H448" s="16"/>
      <c r="K448" s="16"/>
    </row>
    <row r="449">
      <c r="B449" s="16"/>
      <c r="C449" s="16"/>
      <c r="D449" s="16"/>
      <c r="E449" s="16"/>
      <c r="F449" s="16"/>
      <c r="G449" s="16"/>
      <c r="H449" s="16"/>
      <c r="K449" s="16"/>
    </row>
    <row r="450">
      <c r="B450" s="16"/>
      <c r="C450" s="16"/>
      <c r="D450" s="16"/>
      <c r="E450" s="16"/>
      <c r="F450" s="16"/>
      <c r="G450" s="16"/>
      <c r="H450" s="16"/>
      <c r="K450" s="16"/>
    </row>
    <row r="451">
      <c r="B451" s="16"/>
      <c r="C451" s="16"/>
      <c r="D451" s="16"/>
      <c r="E451" s="16"/>
      <c r="F451" s="16"/>
      <c r="G451" s="16"/>
      <c r="H451" s="16"/>
      <c r="K451" s="16"/>
    </row>
    <row r="452">
      <c r="B452" s="16"/>
      <c r="C452" s="16"/>
      <c r="D452" s="16"/>
      <c r="E452" s="16"/>
      <c r="F452" s="16"/>
      <c r="G452" s="16"/>
      <c r="H452" s="16"/>
      <c r="K452" s="16"/>
    </row>
    <row r="453">
      <c r="B453" s="16"/>
      <c r="C453" s="16"/>
      <c r="D453" s="16"/>
      <c r="E453" s="16"/>
      <c r="F453" s="16"/>
      <c r="G453" s="16"/>
      <c r="H453" s="16"/>
      <c r="K453" s="16"/>
    </row>
    <row r="454">
      <c r="B454" s="16"/>
      <c r="C454" s="16"/>
      <c r="D454" s="16"/>
      <c r="E454" s="16"/>
      <c r="F454" s="16"/>
      <c r="G454" s="16"/>
      <c r="H454" s="16"/>
      <c r="K454" s="16"/>
    </row>
    <row r="455">
      <c r="B455" s="16"/>
      <c r="C455" s="16"/>
      <c r="D455" s="16"/>
      <c r="E455" s="16"/>
      <c r="F455" s="16"/>
      <c r="G455" s="16"/>
      <c r="H455" s="16"/>
      <c r="K455" s="16"/>
    </row>
    <row r="456">
      <c r="B456" s="16"/>
      <c r="C456" s="16"/>
      <c r="D456" s="16"/>
      <c r="E456" s="16"/>
      <c r="F456" s="16"/>
      <c r="G456" s="16"/>
      <c r="H456" s="16"/>
      <c r="K456" s="16"/>
    </row>
    <row r="457">
      <c r="B457" s="16"/>
      <c r="C457" s="16"/>
      <c r="D457" s="16"/>
      <c r="E457" s="16"/>
      <c r="F457" s="16"/>
      <c r="G457" s="16"/>
      <c r="H457" s="16"/>
      <c r="K457" s="16"/>
    </row>
    <row r="458">
      <c r="B458" s="16"/>
      <c r="C458" s="16"/>
      <c r="D458" s="16"/>
      <c r="E458" s="16"/>
      <c r="F458" s="16"/>
      <c r="G458" s="16"/>
      <c r="H458" s="16"/>
      <c r="K458" s="16"/>
    </row>
    <row r="459">
      <c r="B459" s="16"/>
      <c r="C459" s="16"/>
      <c r="D459" s="16"/>
      <c r="E459" s="16"/>
      <c r="F459" s="16"/>
      <c r="G459" s="16"/>
      <c r="H459" s="16"/>
      <c r="K459" s="16"/>
    </row>
    <row r="460">
      <c r="B460" s="16"/>
      <c r="C460" s="16"/>
      <c r="D460" s="16"/>
      <c r="E460" s="16"/>
      <c r="F460" s="16"/>
      <c r="G460" s="16"/>
      <c r="H460" s="16"/>
      <c r="K460" s="16"/>
    </row>
    <row r="461">
      <c r="B461" s="16"/>
      <c r="C461" s="16"/>
      <c r="D461" s="16"/>
      <c r="E461" s="16"/>
      <c r="F461" s="16"/>
      <c r="G461" s="16"/>
      <c r="H461" s="16"/>
      <c r="K461" s="16"/>
    </row>
    <row r="462">
      <c r="B462" s="16"/>
      <c r="C462" s="16"/>
      <c r="D462" s="16"/>
      <c r="E462" s="16"/>
      <c r="F462" s="16"/>
      <c r="G462" s="16"/>
      <c r="H462" s="16"/>
      <c r="K462" s="16"/>
    </row>
    <row r="463">
      <c r="B463" s="16"/>
      <c r="C463" s="16"/>
      <c r="D463" s="16"/>
      <c r="E463" s="16"/>
      <c r="F463" s="16"/>
      <c r="G463" s="16"/>
      <c r="H463" s="16"/>
      <c r="K463" s="16"/>
    </row>
    <row r="464">
      <c r="B464" s="16"/>
      <c r="C464" s="16"/>
      <c r="D464" s="16"/>
      <c r="E464" s="16"/>
      <c r="F464" s="16"/>
      <c r="G464" s="16"/>
      <c r="H464" s="16"/>
      <c r="K464" s="16"/>
    </row>
    <row r="465">
      <c r="B465" s="16"/>
      <c r="C465" s="16"/>
      <c r="D465" s="16"/>
      <c r="E465" s="16"/>
      <c r="F465" s="16"/>
      <c r="G465" s="16"/>
      <c r="H465" s="16"/>
      <c r="K465" s="16"/>
    </row>
    <row r="466">
      <c r="B466" s="16"/>
      <c r="C466" s="16"/>
      <c r="D466" s="16"/>
      <c r="E466" s="16"/>
      <c r="F466" s="16"/>
      <c r="G466" s="16"/>
      <c r="H466" s="16"/>
      <c r="K466" s="16"/>
    </row>
    <row r="467">
      <c r="B467" s="16"/>
      <c r="C467" s="16"/>
      <c r="D467" s="16"/>
      <c r="E467" s="16"/>
      <c r="F467" s="16"/>
      <c r="G467" s="16"/>
      <c r="H467" s="16"/>
      <c r="K467" s="16"/>
    </row>
    <row r="468">
      <c r="B468" s="16"/>
      <c r="C468" s="16"/>
      <c r="D468" s="16"/>
      <c r="E468" s="16"/>
      <c r="F468" s="16"/>
      <c r="G468" s="16"/>
      <c r="H468" s="16"/>
      <c r="K468" s="16"/>
    </row>
    <row r="469">
      <c r="B469" s="16"/>
      <c r="C469" s="16"/>
      <c r="D469" s="16"/>
      <c r="E469" s="16"/>
      <c r="F469" s="16"/>
      <c r="G469" s="16"/>
      <c r="H469" s="16"/>
      <c r="K469" s="16"/>
    </row>
    <row r="470">
      <c r="B470" s="16"/>
      <c r="C470" s="16"/>
      <c r="D470" s="16"/>
      <c r="E470" s="16"/>
      <c r="F470" s="16"/>
      <c r="G470" s="16"/>
      <c r="H470" s="16"/>
      <c r="K470" s="16"/>
    </row>
    <row r="471">
      <c r="B471" s="16"/>
      <c r="C471" s="16"/>
      <c r="D471" s="16"/>
      <c r="E471" s="16"/>
      <c r="F471" s="16"/>
      <c r="G471" s="16"/>
      <c r="H471" s="16"/>
      <c r="K471" s="16"/>
    </row>
    <row r="472">
      <c r="B472" s="16"/>
      <c r="C472" s="16"/>
      <c r="D472" s="16"/>
      <c r="E472" s="16"/>
      <c r="F472" s="16"/>
      <c r="G472" s="16"/>
      <c r="H472" s="16"/>
      <c r="K472" s="16"/>
    </row>
    <row r="473">
      <c r="B473" s="16"/>
      <c r="C473" s="16"/>
      <c r="D473" s="16"/>
      <c r="E473" s="16"/>
      <c r="F473" s="16"/>
      <c r="G473" s="16"/>
      <c r="H473" s="16"/>
      <c r="K473" s="16"/>
    </row>
    <row r="474">
      <c r="B474" s="16"/>
      <c r="C474" s="16"/>
      <c r="D474" s="16"/>
      <c r="E474" s="16"/>
      <c r="F474" s="16"/>
      <c r="G474" s="16"/>
      <c r="H474" s="16"/>
      <c r="K474" s="16"/>
    </row>
    <row r="475">
      <c r="B475" s="16"/>
      <c r="C475" s="16"/>
      <c r="D475" s="16"/>
      <c r="E475" s="16"/>
      <c r="F475" s="16"/>
      <c r="G475" s="16"/>
      <c r="H475" s="16"/>
      <c r="K475" s="16"/>
    </row>
    <row r="476">
      <c r="B476" s="16"/>
      <c r="C476" s="16"/>
      <c r="D476" s="16"/>
      <c r="E476" s="16"/>
      <c r="F476" s="16"/>
      <c r="G476" s="16"/>
      <c r="H476" s="16"/>
      <c r="K476" s="16"/>
    </row>
    <row r="477">
      <c r="B477" s="16"/>
      <c r="C477" s="16"/>
      <c r="D477" s="16"/>
      <c r="E477" s="16"/>
      <c r="F477" s="16"/>
      <c r="G477" s="16"/>
      <c r="H477" s="16"/>
      <c r="K477" s="16"/>
    </row>
    <row r="478">
      <c r="B478" s="16"/>
      <c r="C478" s="16"/>
      <c r="D478" s="16"/>
      <c r="E478" s="16"/>
      <c r="F478" s="16"/>
      <c r="G478" s="16"/>
      <c r="H478" s="16"/>
      <c r="K478" s="16"/>
    </row>
    <row r="479">
      <c r="B479" s="16"/>
      <c r="C479" s="16"/>
      <c r="D479" s="16"/>
      <c r="E479" s="16"/>
      <c r="F479" s="16"/>
      <c r="G479" s="16"/>
      <c r="H479" s="16"/>
      <c r="K479" s="16"/>
    </row>
    <row r="480">
      <c r="B480" s="16"/>
      <c r="C480" s="16"/>
      <c r="D480" s="16"/>
      <c r="E480" s="16"/>
      <c r="F480" s="16"/>
      <c r="G480" s="16"/>
      <c r="H480" s="16"/>
      <c r="K480" s="16"/>
    </row>
    <row r="481">
      <c r="B481" s="16"/>
      <c r="C481" s="16"/>
      <c r="D481" s="16"/>
      <c r="E481" s="16"/>
      <c r="F481" s="16"/>
      <c r="G481" s="16"/>
      <c r="H481" s="16"/>
      <c r="K481" s="16"/>
    </row>
    <row r="482">
      <c r="B482" s="16"/>
      <c r="C482" s="16"/>
      <c r="D482" s="16"/>
      <c r="E482" s="16"/>
      <c r="F482" s="16"/>
      <c r="G482" s="16"/>
      <c r="H482" s="16"/>
      <c r="K482" s="16"/>
    </row>
    <row r="483">
      <c r="B483" s="16"/>
      <c r="C483" s="16"/>
      <c r="D483" s="16"/>
      <c r="E483" s="16"/>
      <c r="F483" s="16"/>
      <c r="G483" s="16"/>
      <c r="H483" s="16"/>
      <c r="K483" s="16"/>
    </row>
    <row r="484">
      <c r="B484" s="16"/>
      <c r="C484" s="16"/>
      <c r="D484" s="16"/>
      <c r="E484" s="16"/>
      <c r="F484" s="16"/>
      <c r="G484" s="16"/>
      <c r="H484" s="16"/>
      <c r="K484" s="16"/>
    </row>
    <row r="485">
      <c r="B485" s="16"/>
      <c r="C485" s="16"/>
      <c r="D485" s="16"/>
      <c r="E485" s="16"/>
      <c r="F485" s="16"/>
      <c r="G485" s="16"/>
      <c r="H485" s="16"/>
      <c r="K485" s="16"/>
    </row>
    <row r="486">
      <c r="B486" s="16"/>
      <c r="C486" s="16"/>
      <c r="D486" s="16"/>
      <c r="E486" s="16"/>
      <c r="F486" s="16"/>
      <c r="G486" s="16"/>
      <c r="H486" s="16"/>
      <c r="K486" s="16"/>
    </row>
    <row r="487">
      <c r="B487" s="16"/>
      <c r="C487" s="16"/>
      <c r="D487" s="16"/>
      <c r="E487" s="16"/>
      <c r="F487" s="16"/>
      <c r="G487" s="16"/>
      <c r="H487" s="16"/>
      <c r="K487" s="16"/>
    </row>
    <row r="488">
      <c r="B488" s="16"/>
      <c r="C488" s="16"/>
      <c r="D488" s="16"/>
      <c r="E488" s="16"/>
      <c r="F488" s="16"/>
      <c r="G488" s="16"/>
      <c r="H488" s="16"/>
      <c r="K488" s="16"/>
    </row>
    <row r="489">
      <c r="B489" s="16"/>
      <c r="C489" s="16"/>
      <c r="D489" s="16"/>
      <c r="E489" s="16"/>
      <c r="F489" s="16"/>
      <c r="G489" s="16"/>
      <c r="H489" s="16"/>
      <c r="K489" s="16"/>
    </row>
    <row r="490">
      <c r="B490" s="16"/>
      <c r="C490" s="16"/>
      <c r="D490" s="16"/>
      <c r="E490" s="16"/>
      <c r="F490" s="16"/>
      <c r="G490" s="16"/>
      <c r="H490" s="16"/>
      <c r="K490" s="16"/>
    </row>
    <row r="491">
      <c r="B491" s="16"/>
      <c r="C491" s="16"/>
      <c r="D491" s="16"/>
      <c r="E491" s="16"/>
      <c r="F491" s="16"/>
      <c r="G491" s="16"/>
      <c r="H491" s="16"/>
      <c r="K491" s="16"/>
    </row>
    <row r="492">
      <c r="B492" s="16"/>
      <c r="C492" s="16"/>
      <c r="D492" s="16"/>
      <c r="E492" s="16"/>
      <c r="F492" s="16"/>
      <c r="G492" s="16"/>
      <c r="H492" s="16"/>
      <c r="K492" s="16"/>
    </row>
    <row r="493">
      <c r="B493" s="16"/>
      <c r="C493" s="16"/>
      <c r="D493" s="16"/>
      <c r="E493" s="16"/>
      <c r="F493" s="16"/>
      <c r="G493" s="16"/>
      <c r="H493" s="16"/>
      <c r="K493" s="16"/>
    </row>
    <row r="494">
      <c r="B494" s="16"/>
      <c r="C494" s="16"/>
      <c r="D494" s="16"/>
      <c r="E494" s="16"/>
      <c r="F494" s="16"/>
      <c r="G494" s="16"/>
      <c r="H494" s="16"/>
      <c r="K494" s="16"/>
    </row>
    <row r="495">
      <c r="B495" s="16"/>
      <c r="C495" s="16"/>
      <c r="D495" s="16"/>
      <c r="E495" s="16"/>
      <c r="F495" s="16"/>
      <c r="G495" s="16"/>
      <c r="H495" s="16"/>
      <c r="K495" s="16"/>
    </row>
    <row r="496">
      <c r="B496" s="16"/>
      <c r="C496" s="16"/>
      <c r="D496" s="16"/>
      <c r="E496" s="16"/>
      <c r="F496" s="16"/>
      <c r="G496" s="16"/>
      <c r="H496" s="16"/>
      <c r="K496" s="16"/>
    </row>
    <row r="497">
      <c r="B497" s="16"/>
      <c r="C497" s="16"/>
      <c r="D497" s="16"/>
      <c r="E497" s="16"/>
      <c r="F497" s="16"/>
      <c r="G497" s="16"/>
      <c r="H497" s="16"/>
      <c r="K497" s="16"/>
    </row>
    <row r="498">
      <c r="B498" s="16"/>
      <c r="C498" s="16"/>
      <c r="D498" s="16"/>
      <c r="E498" s="16"/>
      <c r="F498" s="16"/>
      <c r="G498" s="16"/>
      <c r="H498" s="16"/>
      <c r="K498" s="16"/>
    </row>
    <row r="499">
      <c r="B499" s="16"/>
      <c r="C499" s="16"/>
      <c r="D499" s="16"/>
      <c r="E499" s="16"/>
      <c r="F499" s="16"/>
      <c r="G499" s="16"/>
      <c r="H499" s="16"/>
      <c r="K499" s="16"/>
    </row>
    <row r="500">
      <c r="B500" s="16"/>
      <c r="C500" s="16"/>
      <c r="D500" s="16"/>
      <c r="E500" s="16"/>
      <c r="F500" s="16"/>
      <c r="G500" s="16"/>
      <c r="H500" s="16"/>
      <c r="K500" s="16"/>
    </row>
    <row r="501">
      <c r="B501" s="16"/>
      <c r="C501" s="16"/>
      <c r="D501" s="16"/>
      <c r="E501" s="16"/>
      <c r="F501" s="16"/>
      <c r="G501" s="16"/>
      <c r="H501" s="16"/>
      <c r="K501" s="16"/>
    </row>
    <row r="502">
      <c r="B502" s="16"/>
      <c r="C502" s="16"/>
      <c r="D502" s="16"/>
      <c r="E502" s="16"/>
      <c r="F502" s="16"/>
      <c r="G502" s="16"/>
      <c r="H502" s="16"/>
      <c r="K502" s="16"/>
    </row>
    <row r="503">
      <c r="B503" s="16"/>
      <c r="C503" s="16"/>
      <c r="D503" s="16"/>
      <c r="E503" s="16"/>
      <c r="F503" s="16"/>
      <c r="G503" s="16"/>
      <c r="H503" s="16"/>
      <c r="K503" s="16"/>
    </row>
    <row r="504">
      <c r="B504" s="16"/>
      <c r="C504" s="16"/>
      <c r="D504" s="16"/>
      <c r="E504" s="16"/>
      <c r="F504" s="16"/>
      <c r="G504" s="16"/>
      <c r="H504" s="16"/>
      <c r="K504" s="16"/>
    </row>
    <row r="505">
      <c r="B505" s="16"/>
      <c r="C505" s="16"/>
      <c r="D505" s="16"/>
      <c r="E505" s="16"/>
      <c r="F505" s="16"/>
      <c r="G505" s="16"/>
      <c r="H505" s="16"/>
      <c r="K505" s="16"/>
    </row>
    <row r="506">
      <c r="B506" s="16"/>
      <c r="C506" s="16"/>
      <c r="D506" s="16"/>
      <c r="E506" s="16"/>
      <c r="F506" s="16"/>
      <c r="G506" s="16"/>
      <c r="H506" s="16"/>
      <c r="K506" s="16"/>
    </row>
    <row r="507">
      <c r="B507" s="16"/>
      <c r="C507" s="16"/>
      <c r="D507" s="16"/>
      <c r="E507" s="16"/>
      <c r="F507" s="16"/>
      <c r="G507" s="16"/>
      <c r="H507" s="16"/>
      <c r="K507" s="16"/>
    </row>
    <row r="508">
      <c r="B508" s="16"/>
      <c r="C508" s="16"/>
      <c r="D508" s="16"/>
      <c r="E508" s="16"/>
      <c r="F508" s="16"/>
      <c r="G508" s="16"/>
      <c r="H508" s="16"/>
      <c r="K508" s="16"/>
    </row>
    <row r="509">
      <c r="B509" s="16"/>
      <c r="C509" s="16"/>
      <c r="D509" s="16"/>
      <c r="E509" s="16"/>
      <c r="F509" s="16"/>
      <c r="G509" s="16"/>
      <c r="H509" s="16"/>
      <c r="K509" s="16"/>
    </row>
    <row r="510">
      <c r="B510" s="16"/>
      <c r="C510" s="16"/>
      <c r="D510" s="16"/>
      <c r="E510" s="16"/>
      <c r="F510" s="16"/>
      <c r="G510" s="16"/>
      <c r="H510" s="16"/>
      <c r="K510" s="16"/>
    </row>
    <row r="511">
      <c r="B511" s="16"/>
      <c r="C511" s="16"/>
      <c r="D511" s="16"/>
      <c r="E511" s="16"/>
      <c r="F511" s="16"/>
      <c r="G511" s="16"/>
      <c r="H511" s="16"/>
      <c r="K511" s="16"/>
    </row>
    <row r="512">
      <c r="B512" s="16"/>
      <c r="C512" s="16"/>
      <c r="D512" s="16"/>
      <c r="E512" s="16"/>
      <c r="F512" s="16"/>
      <c r="G512" s="16"/>
      <c r="H512" s="16"/>
      <c r="K512" s="16"/>
    </row>
    <row r="513">
      <c r="B513" s="16"/>
      <c r="C513" s="16"/>
      <c r="D513" s="16"/>
      <c r="E513" s="16"/>
      <c r="F513" s="16"/>
      <c r="G513" s="16"/>
      <c r="H513" s="16"/>
      <c r="K513" s="16"/>
    </row>
    <row r="514">
      <c r="B514" s="16"/>
      <c r="C514" s="16"/>
      <c r="D514" s="16"/>
      <c r="E514" s="16"/>
      <c r="F514" s="16"/>
      <c r="G514" s="16"/>
      <c r="H514" s="16"/>
      <c r="K514" s="16"/>
    </row>
    <row r="515">
      <c r="B515" s="16"/>
      <c r="C515" s="16"/>
      <c r="D515" s="16"/>
      <c r="E515" s="16"/>
      <c r="F515" s="16"/>
      <c r="G515" s="16"/>
      <c r="H515" s="16"/>
      <c r="K515" s="16"/>
    </row>
    <row r="516">
      <c r="B516" s="16"/>
      <c r="C516" s="16"/>
      <c r="D516" s="16"/>
      <c r="E516" s="16"/>
      <c r="F516" s="16"/>
      <c r="G516" s="16"/>
      <c r="H516" s="16"/>
      <c r="K516" s="16"/>
    </row>
    <row r="517">
      <c r="B517" s="16"/>
      <c r="C517" s="16"/>
      <c r="D517" s="16"/>
      <c r="E517" s="16"/>
      <c r="F517" s="16"/>
      <c r="G517" s="16"/>
      <c r="H517" s="16"/>
      <c r="K517" s="16"/>
    </row>
    <row r="518">
      <c r="B518" s="16"/>
      <c r="C518" s="16"/>
      <c r="D518" s="16"/>
      <c r="E518" s="16"/>
      <c r="F518" s="16"/>
      <c r="G518" s="16"/>
      <c r="H518" s="16"/>
      <c r="K518" s="16"/>
    </row>
    <row r="519">
      <c r="B519" s="16"/>
      <c r="C519" s="16"/>
      <c r="D519" s="16"/>
      <c r="E519" s="16"/>
      <c r="F519" s="16"/>
      <c r="G519" s="16"/>
      <c r="H519" s="16"/>
      <c r="K519" s="16"/>
    </row>
    <row r="520">
      <c r="B520" s="16"/>
      <c r="C520" s="16"/>
      <c r="D520" s="16"/>
      <c r="E520" s="16"/>
      <c r="F520" s="16"/>
      <c r="G520" s="16"/>
      <c r="H520" s="16"/>
      <c r="K520" s="16"/>
    </row>
    <row r="521">
      <c r="B521" s="16"/>
      <c r="C521" s="16"/>
      <c r="D521" s="16"/>
      <c r="E521" s="16"/>
      <c r="F521" s="16"/>
      <c r="G521" s="16"/>
      <c r="H521" s="16"/>
      <c r="K521" s="16"/>
    </row>
    <row r="522">
      <c r="B522" s="16"/>
      <c r="C522" s="16"/>
      <c r="D522" s="16"/>
      <c r="E522" s="16"/>
      <c r="F522" s="16"/>
      <c r="G522" s="16"/>
      <c r="H522" s="16"/>
      <c r="K522" s="16"/>
    </row>
    <row r="523">
      <c r="B523" s="16"/>
      <c r="C523" s="16"/>
      <c r="D523" s="16"/>
      <c r="E523" s="16"/>
      <c r="F523" s="16"/>
      <c r="G523" s="16"/>
      <c r="H523" s="16"/>
      <c r="K523" s="16"/>
    </row>
    <row r="524">
      <c r="B524" s="16"/>
      <c r="C524" s="16"/>
      <c r="D524" s="16"/>
      <c r="E524" s="16"/>
      <c r="F524" s="16"/>
      <c r="G524" s="16"/>
      <c r="H524" s="16"/>
      <c r="K524" s="16"/>
    </row>
    <row r="525">
      <c r="B525" s="16"/>
      <c r="C525" s="16"/>
      <c r="D525" s="16"/>
      <c r="E525" s="16"/>
      <c r="F525" s="16"/>
      <c r="G525" s="16"/>
      <c r="H525" s="16"/>
      <c r="K525" s="16"/>
    </row>
    <row r="526">
      <c r="B526" s="16"/>
      <c r="C526" s="16"/>
      <c r="D526" s="16"/>
      <c r="E526" s="16"/>
      <c r="F526" s="16"/>
      <c r="G526" s="16"/>
      <c r="H526" s="16"/>
      <c r="K526" s="16"/>
    </row>
    <row r="527">
      <c r="B527" s="16"/>
      <c r="C527" s="16"/>
      <c r="D527" s="16"/>
      <c r="E527" s="16"/>
      <c r="F527" s="16"/>
      <c r="G527" s="16"/>
      <c r="H527" s="16"/>
      <c r="K527" s="16"/>
    </row>
    <row r="528">
      <c r="B528" s="16"/>
      <c r="C528" s="16"/>
      <c r="D528" s="16"/>
      <c r="E528" s="16"/>
      <c r="F528" s="16"/>
      <c r="G528" s="16"/>
      <c r="H528" s="16"/>
      <c r="K528" s="16"/>
    </row>
    <row r="529">
      <c r="B529" s="16"/>
      <c r="C529" s="16"/>
      <c r="D529" s="16"/>
      <c r="E529" s="16"/>
      <c r="F529" s="16"/>
      <c r="G529" s="16"/>
      <c r="H529" s="16"/>
      <c r="K529" s="16"/>
    </row>
    <row r="530">
      <c r="B530" s="16"/>
      <c r="C530" s="16"/>
      <c r="D530" s="16"/>
      <c r="E530" s="16"/>
      <c r="F530" s="16"/>
      <c r="G530" s="16"/>
      <c r="H530" s="16"/>
      <c r="K530" s="16"/>
    </row>
    <row r="531">
      <c r="B531" s="16"/>
      <c r="C531" s="16"/>
      <c r="D531" s="16"/>
      <c r="E531" s="16"/>
      <c r="F531" s="16"/>
      <c r="G531" s="16"/>
      <c r="H531" s="16"/>
      <c r="K531" s="16"/>
    </row>
    <row r="532">
      <c r="B532" s="16"/>
      <c r="C532" s="16"/>
      <c r="D532" s="16"/>
      <c r="E532" s="16"/>
      <c r="F532" s="16"/>
      <c r="G532" s="16"/>
      <c r="H532" s="16"/>
      <c r="K532" s="16"/>
    </row>
    <row r="533">
      <c r="B533" s="16"/>
      <c r="C533" s="16"/>
      <c r="D533" s="16"/>
      <c r="E533" s="16"/>
      <c r="F533" s="16"/>
      <c r="G533" s="16"/>
      <c r="H533" s="16"/>
      <c r="K533" s="16"/>
    </row>
    <row r="534">
      <c r="B534" s="16"/>
      <c r="C534" s="16"/>
      <c r="D534" s="16"/>
      <c r="E534" s="16"/>
      <c r="F534" s="16"/>
      <c r="G534" s="16"/>
      <c r="H534" s="16"/>
      <c r="K534" s="16"/>
    </row>
    <row r="535">
      <c r="B535" s="16"/>
      <c r="C535" s="16"/>
      <c r="D535" s="16"/>
      <c r="E535" s="16"/>
      <c r="F535" s="16"/>
      <c r="G535" s="16"/>
      <c r="H535" s="16"/>
      <c r="K535" s="16"/>
    </row>
    <row r="536">
      <c r="B536" s="16"/>
      <c r="C536" s="16"/>
      <c r="D536" s="16"/>
      <c r="E536" s="16"/>
      <c r="F536" s="16"/>
      <c r="G536" s="16"/>
      <c r="H536" s="16"/>
      <c r="K536" s="16"/>
    </row>
    <row r="537">
      <c r="B537" s="16"/>
      <c r="C537" s="16"/>
      <c r="D537" s="16"/>
      <c r="E537" s="16"/>
      <c r="F537" s="16"/>
      <c r="G537" s="16"/>
      <c r="H537" s="16"/>
      <c r="K537" s="16"/>
    </row>
    <row r="538">
      <c r="B538" s="16"/>
      <c r="C538" s="16"/>
      <c r="D538" s="16"/>
      <c r="E538" s="16"/>
      <c r="F538" s="16"/>
      <c r="G538" s="16"/>
      <c r="H538" s="16"/>
      <c r="K538" s="16"/>
    </row>
    <row r="539">
      <c r="B539" s="16"/>
      <c r="C539" s="16"/>
      <c r="D539" s="16"/>
      <c r="E539" s="16"/>
      <c r="F539" s="16"/>
      <c r="G539" s="16"/>
      <c r="H539" s="16"/>
      <c r="K539" s="16"/>
    </row>
    <row r="540">
      <c r="B540" s="16"/>
      <c r="C540" s="16"/>
      <c r="D540" s="16"/>
      <c r="E540" s="16"/>
      <c r="F540" s="16"/>
      <c r="G540" s="16"/>
      <c r="H540" s="16"/>
      <c r="K540" s="16"/>
    </row>
    <row r="541">
      <c r="B541" s="16"/>
      <c r="C541" s="16"/>
      <c r="D541" s="16"/>
      <c r="E541" s="16"/>
      <c r="F541" s="16"/>
      <c r="G541" s="16"/>
      <c r="H541" s="16"/>
      <c r="K541" s="16"/>
    </row>
    <row r="542">
      <c r="B542" s="16"/>
      <c r="C542" s="16"/>
      <c r="D542" s="16"/>
      <c r="E542" s="16"/>
      <c r="F542" s="16"/>
      <c r="G542" s="16"/>
      <c r="H542" s="16"/>
      <c r="K542" s="16"/>
    </row>
    <row r="543">
      <c r="B543" s="16"/>
      <c r="C543" s="16"/>
      <c r="D543" s="16"/>
      <c r="E543" s="16"/>
      <c r="F543" s="16"/>
      <c r="G543" s="16"/>
      <c r="H543" s="16"/>
      <c r="K543" s="16"/>
    </row>
    <row r="544">
      <c r="B544" s="16"/>
      <c r="C544" s="16"/>
      <c r="D544" s="16"/>
      <c r="E544" s="16"/>
      <c r="F544" s="16"/>
      <c r="G544" s="16"/>
      <c r="H544" s="16"/>
      <c r="K544" s="16"/>
    </row>
    <row r="545">
      <c r="B545" s="16"/>
      <c r="C545" s="16"/>
      <c r="D545" s="16"/>
      <c r="E545" s="16"/>
      <c r="F545" s="16"/>
      <c r="G545" s="16"/>
      <c r="H545" s="16"/>
      <c r="K545" s="16"/>
    </row>
    <row r="546">
      <c r="B546" s="16"/>
      <c r="C546" s="16"/>
      <c r="D546" s="16"/>
      <c r="E546" s="16"/>
      <c r="F546" s="16"/>
      <c r="G546" s="16"/>
      <c r="H546" s="16"/>
      <c r="K546" s="16"/>
    </row>
    <row r="547">
      <c r="B547" s="16"/>
      <c r="C547" s="16"/>
      <c r="D547" s="16"/>
      <c r="E547" s="16"/>
      <c r="F547" s="16"/>
      <c r="G547" s="16"/>
      <c r="H547" s="16"/>
      <c r="K547" s="16"/>
    </row>
    <row r="548">
      <c r="B548" s="16"/>
      <c r="C548" s="16"/>
      <c r="D548" s="16"/>
      <c r="E548" s="16"/>
      <c r="F548" s="16"/>
      <c r="G548" s="16"/>
      <c r="H548" s="16"/>
      <c r="K548" s="16"/>
    </row>
    <row r="549">
      <c r="B549" s="16"/>
      <c r="C549" s="16"/>
      <c r="D549" s="16"/>
      <c r="E549" s="16"/>
      <c r="F549" s="16"/>
      <c r="G549" s="16"/>
      <c r="H549" s="16"/>
      <c r="K549" s="16"/>
    </row>
    <row r="550">
      <c r="B550" s="16"/>
      <c r="C550" s="16"/>
      <c r="D550" s="16"/>
      <c r="E550" s="16"/>
      <c r="F550" s="16"/>
      <c r="G550" s="16"/>
      <c r="H550" s="16"/>
      <c r="K550" s="16"/>
    </row>
    <row r="551">
      <c r="B551" s="16"/>
      <c r="C551" s="16"/>
      <c r="D551" s="16"/>
      <c r="E551" s="16"/>
      <c r="F551" s="16"/>
      <c r="G551" s="16"/>
      <c r="H551" s="16"/>
      <c r="K551" s="16"/>
    </row>
    <row r="552">
      <c r="B552" s="16"/>
      <c r="C552" s="16"/>
      <c r="D552" s="16"/>
      <c r="E552" s="16"/>
      <c r="F552" s="16"/>
      <c r="G552" s="16"/>
      <c r="H552" s="16"/>
      <c r="K552" s="16"/>
    </row>
    <row r="553">
      <c r="B553" s="16"/>
      <c r="C553" s="16"/>
      <c r="D553" s="16"/>
      <c r="E553" s="16"/>
      <c r="F553" s="16"/>
      <c r="G553" s="16"/>
      <c r="H553" s="16"/>
      <c r="K553" s="16"/>
    </row>
    <row r="554">
      <c r="B554" s="16"/>
      <c r="C554" s="16"/>
      <c r="D554" s="16"/>
      <c r="E554" s="16"/>
      <c r="F554" s="16"/>
      <c r="G554" s="16"/>
      <c r="H554" s="16"/>
      <c r="K554" s="16"/>
    </row>
    <row r="555">
      <c r="B555" s="16"/>
      <c r="C555" s="16"/>
      <c r="D555" s="16"/>
      <c r="E555" s="16"/>
      <c r="F555" s="16"/>
      <c r="G555" s="16"/>
      <c r="H555" s="16"/>
      <c r="K555" s="16"/>
    </row>
    <row r="556">
      <c r="B556" s="16"/>
      <c r="C556" s="16"/>
      <c r="D556" s="16"/>
      <c r="E556" s="16"/>
      <c r="F556" s="16"/>
      <c r="G556" s="16"/>
      <c r="H556" s="16"/>
      <c r="K556" s="16"/>
    </row>
    <row r="557">
      <c r="B557" s="16"/>
      <c r="C557" s="16"/>
      <c r="D557" s="16"/>
      <c r="E557" s="16"/>
      <c r="F557" s="16"/>
      <c r="G557" s="16"/>
      <c r="H557" s="16"/>
      <c r="K557" s="16"/>
    </row>
    <row r="558">
      <c r="B558" s="16"/>
      <c r="C558" s="16"/>
      <c r="D558" s="16"/>
      <c r="E558" s="16"/>
      <c r="F558" s="16"/>
      <c r="G558" s="16"/>
      <c r="H558" s="16"/>
      <c r="K558" s="16"/>
    </row>
    <row r="559">
      <c r="B559" s="16"/>
      <c r="C559" s="16"/>
      <c r="D559" s="16"/>
      <c r="E559" s="16"/>
      <c r="F559" s="16"/>
      <c r="G559" s="16"/>
      <c r="H559" s="16"/>
      <c r="K559" s="16"/>
    </row>
    <row r="560">
      <c r="B560" s="16"/>
      <c r="C560" s="16"/>
      <c r="D560" s="16"/>
      <c r="E560" s="16"/>
      <c r="F560" s="16"/>
      <c r="G560" s="16"/>
      <c r="H560" s="16"/>
      <c r="K560" s="16"/>
    </row>
    <row r="561">
      <c r="B561" s="16"/>
      <c r="C561" s="16"/>
      <c r="D561" s="16"/>
      <c r="E561" s="16"/>
      <c r="F561" s="16"/>
      <c r="G561" s="16"/>
      <c r="H561" s="16"/>
      <c r="K561" s="16"/>
    </row>
    <row r="562">
      <c r="B562" s="16"/>
      <c r="C562" s="16"/>
      <c r="D562" s="16"/>
      <c r="E562" s="16"/>
      <c r="F562" s="16"/>
      <c r="G562" s="16"/>
      <c r="H562" s="16"/>
      <c r="K562" s="16"/>
    </row>
    <row r="563">
      <c r="B563" s="16"/>
      <c r="C563" s="16"/>
      <c r="D563" s="16"/>
      <c r="E563" s="16"/>
      <c r="F563" s="16"/>
      <c r="G563" s="16"/>
      <c r="H563" s="16"/>
      <c r="K563" s="16"/>
    </row>
    <row r="564">
      <c r="B564" s="16"/>
      <c r="C564" s="16"/>
      <c r="D564" s="16"/>
      <c r="E564" s="16"/>
      <c r="F564" s="16"/>
      <c r="G564" s="16"/>
      <c r="H564" s="16"/>
      <c r="K564" s="16"/>
    </row>
    <row r="565">
      <c r="B565" s="16"/>
      <c r="C565" s="16"/>
      <c r="D565" s="16"/>
      <c r="E565" s="16"/>
      <c r="F565" s="16"/>
      <c r="G565" s="16"/>
      <c r="H565" s="16"/>
      <c r="K565" s="16"/>
    </row>
    <row r="566">
      <c r="B566" s="16"/>
      <c r="C566" s="16"/>
      <c r="D566" s="16"/>
      <c r="E566" s="16"/>
      <c r="F566" s="16"/>
      <c r="G566" s="16"/>
      <c r="H566" s="16"/>
      <c r="K566" s="16"/>
    </row>
    <row r="567">
      <c r="B567" s="16"/>
      <c r="C567" s="16"/>
      <c r="D567" s="16"/>
      <c r="E567" s="16"/>
      <c r="F567" s="16"/>
      <c r="G567" s="16"/>
      <c r="H567" s="16"/>
      <c r="K567" s="16"/>
    </row>
    <row r="568">
      <c r="B568" s="16"/>
      <c r="C568" s="16"/>
      <c r="D568" s="16"/>
      <c r="E568" s="16"/>
      <c r="F568" s="16"/>
      <c r="G568" s="16"/>
      <c r="H568" s="16"/>
      <c r="K568" s="16"/>
    </row>
    <row r="569">
      <c r="B569" s="16"/>
      <c r="C569" s="16"/>
      <c r="D569" s="16"/>
      <c r="E569" s="16"/>
      <c r="F569" s="16"/>
      <c r="G569" s="16"/>
      <c r="H569" s="16"/>
      <c r="K569" s="16"/>
    </row>
    <row r="570">
      <c r="B570" s="16"/>
      <c r="C570" s="16"/>
      <c r="D570" s="16"/>
      <c r="E570" s="16"/>
      <c r="F570" s="16"/>
      <c r="G570" s="16"/>
      <c r="H570" s="16"/>
      <c r="K570" s="16"/>
    </row>
    <row r="571">
      <c r="B571" s="16"/>
      <c r="C571" s="16"/>
      <c r="D571" s="16"/>
      <c r="E571" s="16"/>
      <c r="F571" s="16"/>
      <c r="G571" s="16"/>
      <c r="H571" s="16"/>
      <c r="K571" s="16"/>
    </row>
    <row r="572">
      <c r="B572" s="16"/>
      <c r="C572" s="16"/>
      <c r="D572" s="16"/>
      <c r="E572" s="16"/>
      <c r="F572" s="16"/>
      <c r="G572" s="16"/>
      <c r="H572" s="16"/>
      <c r="K572" s="16"/>
    </row>
    <row r="573">
      <c r="B573" s="16"/>
      <c r="C573" s="16"/>
      <c r="D573" s="16"/>
      <c r="E573" s="16"/>
      <c r="F573" s="16"/>
      <c r="G573" s="16"/>
      <c r="H573" s="16"/>
      <c r="K573" s="16"/>
    </row>
    <row r="574">
      <c r="B574" s="16"/>
      <c r="C574" s="16"/>
      <c r="D574" s="16"/>
      <c r="E574" s="16"/>
      <c r="F574" s="16"/>
      <c r="G574" s="16"/>
      <c r="H574" s="16"/>
      <c r="K574" s="16"/>
    </row>
    <row r="575">
      <c r="B575" s="16"/>
      <c r="C575" s="16"/>
      <c r="D575" s="16"/>
      <c r="E575" s="16"/>
      <c r="F575" s="16"/>
      <c r="G575" s="16"/>
      <c r="H575" s="16"/>
      <c r="K575" s="16"/>
    </row>
    <row r="576">
      <c r="B576" s="16"/>
      <c r="C576" s="16"/>
      <c r="D576" s="16"/>
      <c r="E576" s="16"/>
      <c r="F576" s="16"/>
      <c r="G576" s="16"/>
      <c r="H576" s="16"/>
      <c r="K576" s="16"/>
    </row>
    <row r="577">
      <c r="B577" s="16"/>
      <c r="C577" s="16"/>
      <c r="D577" s="16"/>
      <c r="E577" s="16"/>
      <c r="F577" s="16"/>
      <c r="G577" s="16"/>
      <c r="H577" s="16"/>
      <c r="K577" s="16"/>
    </row>
    <row r="578">
      <c r="B578" s="16"/>
      <c r="C578" s="16"/>
      <c r="D578" s="16"/>
      <c r="E578" s="16"/>
      <c r="F578" s="16"/>
      <c r="G578" s="16"/>
      <c r="H578" s="16"/>
      <c r="K578" s="16"/>
    </row>
    <row r="579">
      <c r="B579" s="16"/>
      <c r="C579" s="16"/>
      <c r="D579" s="16"/>
      <c r="E579" s="16"/>
      <c r="F579" s="16"/>
      <c r="G579" s="16"/>
      <c r="H579" s="16"/>
      <c r="K579" s="16"/>
    </row>
    <row r="580">
      <c r="B580" s="16"/>
      <c r="C580" s="16"/>
      <c r="D580" s="16"/>
      <c r="E580" s="16"/>
      <c r="F580" s="16"/>
      <c r="G580" s="16"/>
      <c r="H580" s="16"/>
      <c r="K580" s="16"/>
    </row>
    <row r="581">
      <c r="B581" s="16"/>
      <c r="C581" s="16"/>
      <c r="D581" s="16"/>
      <c r="E581" s="16"/>
      <c r="F581" s="16"/>
      <c r="G581" s="16"/>
      <c r="H581" s="16"/>
      <c r="K581" s="16"/>
    </row>
    <row r="582">
      <c r="B582" s="16"/>
      <c r="C582" s="16"/>
      <c r="D582" s="16"/>
      <c r="E582" s="16"/>
      <c r="F582" s="16"/>
      <c r="G582" s="16"/>
      <c r="H582" s="16"/>
      <c r="K582" s="16"/>
    </row>
    <row r="583">
      <c r="B583" s="16"/>
      <c r="C583" s="16"/>
      <c r="D583" s="16"/>
      <c r="E583" s="16"/>
      <c r="F583" s="16"/>
      <c r="G583" s="16"/>
      <c r="H583" s="16"/>
      <c r="K583" s="16"/>
    </row>
    <row r="584">
      <c r="B584" s="16"/>
      <c r="C584" s="16"/>
      <c r="D584" s="16"/>
      <c r="E584" s="16"/>
      <c r="F584" s="16"/>
      <c r="G584" s="16"/>
      <c r="H584" s="16"/>
      <c r="K584" s="16"/>
    </row>
    <row r="585">
      <c r="B585" s="16"/>
      <c r="C585" s="16"/>
      <c r="D585" s="16"/>
      <c r="E585" s="16"/>
      <c r="F585" s="16"/>
      <c r="G585" s="16"/>
      <c r="H585" s="16"/>
      <c r="K585" s="16"/>
    </row>
    <row r="586">
      <c r="B586" s="16"/>
      <c r="C586" s="16"/>
      <c r="D586" s="16"/>
      <c r="E586" s="16"/>
      <c r="F586" s="16"/>
      <c r="G586" s="16"/>
      <c r="H586" s="16"/>
      <c r="K586" s="16"/>
    </row>
    <row r="587">
      <c r="B587" s="16"/>
      <c r="C587" s="16"/>
      <c r="D587" s="16"/>
      <c r="E587" s="16"/>
      <c r="F587" s="16"/>
      <c r="G587" s="16"/>
      <c r="H587" s="16"/>
      <c r="K587" s="16"/>
    </row>
    <row r="588">
      <c r="B588" s="16"/>
      <c r="C588" s="16"/>
      <c r="D588" s="16"/>
      <c r="E588" s="16"/>
      <c r="F588" s="16"/>
      <c r="G588" s="16"/>
      <c r="H588" s="16"/>
      <c r="K588" s="16"/>
    </row>
    <row r="589">
      <c r="B589" s="16"/>
      <c r="C589" s="16"/>
      <c r="D589" s="16"/>
      <c r="E589" s="16"/>
      <c r="F589" s="16"/>
      <c r="G589" s="16"/>
      <c r="H589" s="16"/>
      <c r="K589" s="16"/>
    </row>
    <row r="590">
      <c r="B590" s="16"/>
      <c r="C590" s="16"/>
      <c r="D590" s="16"/>
      <c r="E590" s="16"/>
      <c r="F590" s="16"/>
      <c r="G590" s="16"/>
      <c r="H590" s="16"/>
      <c r="K590" s="16"/>
    </row>
    <row r="591">
      <c r="B591" s="16"/>
      <c r="C591" s="16"/>
      <c r="D591" s="16"/>
      <c r="E591" s="16"/>
      <c r="F591" s="16"/>
      <c r="G591" s="16"/>
      <c r="H591" s="16"/>
      <c r="K591" s="16"/>
    </row>
    <row r="592">
      <c r="B592" s="16"/>
      <c r="C592" s="16"/>
      <c r="D592" s="16"/>
      <c r="E592" s="16"/>
      <c r="F592" s="16"/>
      <c r="G592" s="16"/>
      <c r="H592" s="16"/>
      <c r="K592" s="16"/>
    </row>
    <row r="593">
      <c r="B593" s="16"/>
      <c r="C593" s="16"/>
      <c r="D593" s="16"/>
      <c r="E593" s="16"/>
      <c r="F593" s="16"/>
      <c r="G593" s="16"/>
      <c r="H593" s="16"/>
      <c r="K593" s="16"/>
    </row>
    <row r="594">
      <c r="B594" s="16"/>
      <c r="C594" s="16"/>
      <c r="D594" s="16"/>
      <c r="E594" s="16"/>
      <c r="F594" s="16"/>
      <c r="G594" s="16"/>
      <c r="H594" s="16"/>
      <c r="K594" s="16"/>
    </row>
    <row r="595">
      <c r="B595" s="16"/>
      <c r="C595" s="16"/>
      <c r="D595" s="16"/>
      <c r="E595" s="16"/>
      <c r="F595" s="16"/>
      <c r="G595" s="16"/>
      <c r="H595" s="16"/>
      <c r="K595" s="16"/>
    </row>
    <row r="596">
      <c r="B596" s="16"/>
      <c r="C596" s="16"/>
      <c r="D596" s="16"/>
      <c r="E596" s="16"/>
      <c r="F596" s="16"/>
      <c r="G596" s="16"/>
      <c r="H596" s="16"/>
      <c r="K596" s="16"/>
    </row>
    <row r="597">
      <c r="B597" s="16"/>
      <c r="C597" s="16"/>
      <c r="D597" s="16"/>
      <c r="E597" s="16"/>
      <c r="F597" s="16"/>
      <c r="G597" s="16"/>
      <c r="H597" s="16"/>
      <c r="K597" s="16"/>
    </row>
    <row r="598">
      <c r="B598" s="16"/>
      <c r="C598" s="16"/>
      <c r="D598" s="16"/>
      <c r="E598" s="16"/>
      <c r="F598" s="16"/>
      <c r="G598" s="16"/>
      <c r="H598" s="16"/>
      <c r="K598" s="16"/>
    </row>
    <row r="599">
      <c r="B599" s="16"/>
      <c r="C599" s="16"/>
      <c r="D599" s="16"/>
      <c r="E599" s="16"/>
      <c r="F599" s="16"/>
      <c r="G599" s="16"/>
      <c r="H599" s="16"/>
      <c r="K599" s="16"/>
    </row>
    <row r="600">
      <c r="B600" s="16"/>
      <c r="C600" s="16"/>
      <c r="D600" s="16"/>
      <c r="E600" s="16"/>
      <c r="F600" s="16"/>
      <c r="G600" s="16"/>
      <c r="H600" s="16"/>
      <c r="K600" s="16"/>
    </row>
    <row r="601">
      <c r="B601" s="16"/>
      <c r="C601" s="16"/>
      <c r="D601" s="16"/>
      <c r="E601" s="16"/>
      <c r="F601" s="16"/>
      <c r="G601" s="16"/>
      <c r="H601" s="16"/>
      <c r="K601" s="16"/>
    </row>
    <row r="602">
      <c r="B602" s="16"/>
      <c r="C602" s="16"/>
      <c r="D602" s="16"/>
      <c r="E602" s="16"/>
      <c r="F602" s="16"/>
      <c r="G602" s="16"/>
      <c r="H602" s="16"/>
      <c r="K602" s="16"/>
    </row>
    <row r="603">
      <c r="B603" s="16"/>
      <c r="C603" s="16"/>
      <c r="D603" s="16"/>
      <c r="E603" s="16"/>
      <c r="F603" s="16"/>
      <c r="G603" s="16"/>
      <c r="H603" s="16"/>
      <c r="K603" s="16"/>
    </row>
    <row r="604">
      <c r="B604" s="16"/>
      <c r="C604" s="16"/>
      <c r="D604" s="16"/>
      <c r="E604" s="16"/>
      <c r="F604" s="16"/>
      <c r="G604" s="16"/>
      <c r="H604" s="16"/>
      <c r="K604" s="16"/>
    </row>
    <row r="605">
      <c r="B605" s="16"/>
      <c r="C605" s="16"/>
      <c r="D605" s="16"/>
      <c r="E605" s="16"/>
      <c r="F605" s="16"/>
      <c r="G605" s="16"/>
      <c r="H605" s="16"/>
      <c r="K605" s="16"/>
    </row>
    <row r="606">
      <c r="B606" s="16"/>
      <c r="C606" s="16"/>
      <c r="D606" s="16"/>
      <c r="E606" s="16"/>
      <c r="F606" s="16"/>
      <c r="G606" s="16"/>
      <c r="H606" s="16"/>
      <c r="K606" s="16"/>
    </row>
    <row r="607">
      <c r="B607" s="16"/>
      <c r="C607" s="16"/>
      <c r="D607" s="16"/>
      <c r="E607" s="16"/>
      <c r="F607" s="16"/>
      <c r="G607" s="16"/>
      <c r="H607" s="16"/>
      <c r="K607" s="16"/>
    </row>
    <row r="608">
      <c r="B608" s="16"/>
      <c r="C608" s="16"/>
      <c r="D608" s="16"/>
      <c r="E608" s="16"/>
      <c r="F608" s="16"/>
      <c r="G608" s="16"/>
      <c r="H608" s="16"/>
      <c r="K608" s="16"/>
    </row>
    <row r="609">
      <c r="B609" s="16"/>
      <c r="C609" s="16"/>
      <c r="D609" s="16"/>
      <c r="E609" s="16"/>
      <c r="F609" s="16"/>
      <c r="G609" s="16"/>
      <c r="H609" s="16"/>
      <c r="K609" s="16"/>
    </row>
    <row r="610">
      <c r="B610" s="16"/>
      <c r="C610" s="16"/>
      <c r="D610" s="16"/>
      <c r="E610" s="16"/>
      <c r="F610" s="16"/>
      <c r="G610" s="16"/>
      <c r="H610" s="16"/>
      <c r="K610" s="16"/>
    </row>
    <row r="611">
      <c r="B611" s="16"/>
      <c r="C611" s="16"/>
      <c r="D611" s="16"/>
      <c r="E611" s="16"/>
      <c r="F611" s="16"/>
      <c r="G611" s="16"/>
      <c r="H611" s="16"/>
      <c r="K611" s="16"/>
    </row>
    <row r="612">
      <c r="B612" s="16"/>
      <c r="C612" s="16"/>
      <c r="D612" s="16"/>
      <c r="E612" s="16"/>
      <c r="F612" s="16"/>
      <c r="G612" s="16"/>
      <c r="H612" s="16"/>
      <c r="K612" s="16"/>
    </row>
    <row r="613">
      <c r="B613" s="16"/>
      <c r="C613" s="16"/>
      <c r="D613" s="16"/>
      <c r="E613" s="16"/>
      <c r="F613" s="16"/>
      <c r="G613" s="16"/>
      <c r="H613" s="16"/>
      <c r="K613" s="16"/>
    </row>
    <row r="614">
      <c r="B614" s="16"/>
      <c r="C614" s="16"/>
      <c r="D614" s="16"/>
      <c r="E614" s="16"/>
      <c r="F614" s="16"/>
      <c r="G614" s="16"/>
      <c r="H614" s="16"/>
      <c r="K614" s="16"/>
    </row>
    <row r="615">
      <c r="B615" s="16"/>
      <c r="C615" s="16"/>
      <c r="D615" s="16"/>
      <c r="E615" s="16"/>
      <c r="F615" s="16"/>
      <c r="G615" s="16"/>
      <c r="H615" s="16"/>
      <c r="K615" s="16"/>
    </row>
    <row r="616">
      <c r="B616" s="16"/>
      <c r="C616" s="16"/>
      <c r="D616" s="16"/>
      <c r="E616" s="16"/>
      <c r="F616" s="16"/>
      <c r="G616" s="16"/>
      <c r="H616" s="16"/>
      <c r="K616" s="16"/>
    </row>
    <row r="617">
      <c r="B617" s="16"/>
      <c r="C617" s="16"/>
      <c r="D617" s="16"/>
      <c r="E617" s="16"/>
      <c r="F617" s="16"/>
      <c r="G617" s="16"/>
      <c r="H617" s="16"/>
      <c r="K617" s="16"/>
    </row>
    <row r="618">
      <c r="B618" s="16"/>
      <c r="C618" s="16"/>
      <c r="D618" s="16"/>
      <c r="E618" s="16"/>
      <c r="F618" s="16"/>
      <c r="G618" s="16"/>
      <c r="H618" s="16"/>
      <c r="K618" s="16"/>
    </row>
    <row r="619">
      <c r="B619" s="16"/>
      <c r="C619" s="16"/>
      <c r="D619" s="16"/>
      <c r="E619" s="16"/>
      <c r="F619" s="16"/>
      <c r="G619" s="16"/>
      <c r="H619" s="16"/>
      <c r="K619" s="16"/>
    </row>
    <row r="620">
      <c r="B620" s="16"/>
      <c r="C620" s="16"/>
      <c r="D620" s="16"/>
      <c r="E620" s="16"/>
      <c r="F620" s="16"/>
      <c r="G620" s="16"/>
      <c r="H620" s="16"/>
      <c r="K620" s="16"/>
    </row>
    <row r="621">
      <c r="B621" s="16"/>
      <c r="C621" s="16"/>
      <c r="D621" s="16"/>
      <c r="E621" s="16"/>
      <c r="F621" s="16"/>
      <c r="G621" s="16"/>
      <c r="H621" s="16"/>
      <c r="K621" s="16"/>
    </row>
    <row r="622">
      <c r="B622" s="16"/>
      <c r="C622" s="16"/>
      <c r="D622" s="16"/>
      <c r="E622" s="16"/>
      <c r="F622" s="16"/>
      <c r="G622" s="16"/>
      <c r="H622" s="16"/>
      <c r="K622" s="16"/>
    </row>
    <row r="623">
      <c r="B623" s="16"/>
      <c r="C623" s="16"/>
      <c r="D623" s="16"/>
      <c r="E623" s="16"/>
      <c r="F623" s="16"/>
      <c r="G623" s="16"/>
      <c r="H623" s="16"/>
      <c r="K623" s="16"/>
    </row>
    <row r="624">
      <c r="B624" s="16"/>
      <c r="C624" s="16"/>
      <c r="D624" s="16"/>
      <c r="E624" s="16"/>
      <c r="F624" s="16"/>
      <c r="G624" s="16"/>
      <c r="H624" s="16"/>
      <c r="K624" s="16"/>
    </row>
    <row r="625">
      <c r="B625" s="16"/>
      <c r="C625" s="16"/>
      <c r="D625" s="16"/>
      <c r="E625" s="16"/>
      <c r="F625" s="16"/>
      <c r="G625" s="16"/>
      <c r="H625" s="16"/>
      <c r="K625" s="16"/>
    </row>
    <row r="626">
      <c r="B626" s="16"/>
      <c r="C626" s="16"/>
      <c r="D626" s="16"/>
      <c r="E626" s="16"/>
      <c r="F626" s="16"/>
      <c r="G626" s="16"/>
      <c r="H626" s="16"/>
      <c r="K626" s="16"/>
    </row>
    <row r="627">
      <c r="B627" s="16"/>
      <c r="C627" s="16"/>
      <c r="D627" s="16"/>
      <c r="E627" s="16"/>
      <c r="F627" s="16"/>
      <c r="G627" s="16"/>
      <c r="H627" s="16"/>
      <c r="K627" s="16"/>
    </row>
    <row r="628">
      <c r="B628" s="16"/>
      <c r="C628" s="16"/>
      <c r="D628" s="16"/>
      <c r="E628" s="16"/>
      <c r="F628" s="16"/>
      <c r="G628" s="16"/>
      <c r="H628" s="16"/>
      <c r="K628" s="16"/>
    </row>
    <row r="629">
      <c r="B629" s="16"/>
      <c r="C629" s="16"/>
      <c r="D629" s="16"/>
      <c r="E629" s="16"/>
      <c r="F629" s="16"/>
      <c r="G629" s="16"/>
      <c r="H629" s="16"/>
      <c r="K629" s="16"/>
    </row>
    <row r="630">
      <c r="B630" s="16"/>
      <c r="C630" s="16"/>
      <c r="D630" s="16"/>
      <c r="E630" s="16"/>
      <c r="F630" s="16"/>
      <c r="G630" s="16"/>
      <c r="H630" s="16"/>
      <c r="K630" s="16"/>
    </row>
    <row r="631">
      <c r="B631" s="16"/>
      <c r="C631" s="16"/>
      <c r="D631" s="16"/>
      <c r="E631" s="16"/>
      <c r="F631" s="16"/>
      <c r="G631" s="16"/>
      <c r="H631" s="16"/>
      <c r="K631" s="16"/>
    </row>
    <row r="632">
      <c r="B632" s="16"/>
      <c r="C632" s="16"/>
      <c r="D632" s="16"/>
      <c r="E632" s="16"/>
      <c r="F632" s="16"/>
      <c r="G632" s="16"/>
      <c r="H632" s="16"/>
      <c r="K632" s="16"/>
    </row>
    <row r="633">
      <c r="B633" s="16"/>
      <c r="C633" s="16"/>
      <c r="D633" s="16"/>
      <c r="E633" s="16"/>
      <c r="F633" s="16"/>
      <c r="G633" s="16"/>
      <c r="H633" s="16"/>
      <c r="K633" s="16"/>
    </row>
    <row r="634">
      <c r="B634" s="16"/>
      <c r="C634" s="16"/>
      <c r="D634" s="16"/>
      <c r="E634" s="16"/>
      <c r="F634" s="16"/>
      <c r="G634" s="16"/>
      <c r="H634" s="16"/>
      <c r="K634" s="16"/>
    </row>
    <row r="635">
      <c r="B635" s="16"/>
      <c r="C635" s="16"/>
      <c r="D635" s="16"/>
      <c r="E635" s="16"/>
      <c r="F635" s="16"/>
      <c r="G635" s="16"/>
      <c r="H635" s="16"/>
      <c r="K635" s="16"/>
    </row>
    <row r="636">
      <c r="B636" s="16"/>
      <c r="C636" s="16"/>
      <c r="D636" s="16"/>
      <c r="E636" s="16"/>
      <c r="F636" s="16"/>
      <c r="G636" s="16"/>
      <c r="H636" s="16"/>
      <c r="K636" s="16"/>
    </row>
    <row r="637">
      <c r="B637" s="16"/>
      <c r="C637" s="16"/>
      <c r="D637" s="16"/>
      <c r="E637" s="16"/>
      <c r="F637" s="16"/>
      <c r="G637" s="16"/>
      <c r="H637" s="16"/>
      <c r="K637" s="16"/>
    </row>
    <row r="638">
      <c r="B638" s="16"/>
      <c r="C638" s="16"/>
      <c r="D638" s="16"/>
      <c r="E638" s="16"/>
      <c r="F638" s="16"/>
      <c r="G638" s="16"/>
      <c r="H638" s="16"/>
      <c r="K638" s="16"/>
    </row>
    <row r="639">
      <c r="B639" s="16"/>
      <c r="C639" s="16"/>
      <c r="D639" s="16"/>
      <c r="E639" s="16"/>
      <c r="F639" s="16"/>
      <c r="G639" s="16"/>
      <c r="H639" s="16"/>
      <c r="K639" s="16"/>
    </row>
    <row r="640">
      <c r="B640" s="16"/>
      <c r="C640" s="16"/>
      <c r="D640" s="16"/>
      <c r="E640" s="16"/>
      <c r="F640" s="16"/>
      <c r="G640" s="16"/>
      <c r="H640" s="16"/>
      <c r="K640" s="16"/>
    </row>
    <row r="641">
      <c r="B641" s="16"/>
      <c r="C641" s="16"/>
      <c r="D641" s="16"/>
      <c r="E641" s="16"/>
      <c r="F641" s="16"/>
      <c r="G641" s="16"/>
      <c r="H641" s="16"/>
      <c r="K641" s="16"/>
    </row>
    <row r="642">
      <c r="B642" s="16"/>
      <c r="C642" s="16"/>
      <c r="D642" s="16"/>
      <c r="E642" s="16"/>
      <c r="F642" s="16"/>
      <c r="G642" s="16"/>
      <c r="H642" s="16"/>
      <c r="K642" s="16"/>
    </row>
    <row r="643">
      <c r="B643" s="16"/>
      <c r="C643" s="16"/>
      <c r="D643" s="16"/>
      <c r="E643" s="16"/>
      <c r="F643" s="16"/>
      <c r="G643" s="16"/>
      <c r="H643" s="16"/>
      <c r="K643" s="16"/>
    </row>
    <row r="644">
      <c r="B644" s="16"/>
      <c r="C644" s="16"/>
      <c r="D644" s="16"/>
      <c r="E644" s="16"/>
      <c r="F644" s="16"/>
      <c r="G644" s="16"/>
      <c r="H644" s="16"/>
      <c r="K644" s="16"/>
    </row>
    <row r="645">
      <c r="B645" s="16"/>
      <c r="C645" s="16"/>
      <c r="D645" s="16"/>
      <c r="E645" s="16"/>
      <c r="F645" s="16"/>
      <c r="G645" s="16"/>
      <c r="H645" s="16"/>
      <c r="K645" s="16"/>
    </row>
    <row r="646">
      <c r="B646" s="16"/>
      <c r="C646" s="16"/>
      <c r="D646" s="16"/>
      <c r="E646" s="16"/>
      <c r="F646" s="16"/>
      <c r="G646" s="16"/>
      <c r="H646" s="16"/>
      <c r="K646" s="16"/>
    </row>
    <row r="647">
      <c r="B647" s="16"/>
      <c r="C647" s="16"/>
      <c r="D647" s="16"/>
      <c r="E647" s="16"/>
      <c r="F647" s="16"/>
      <c r="G647" s="16"/>
      <c r="H647" s="16"/>
      <c r="K647" s="16"/>
    </row>
    <row r="648">
      <c r="B648" s="16"/>
      <c r="C648" s="16"/>
      <c r="D648" s="16"/>
      <c r="E648" s="16"/>
      <c r="F648" s="16"/>
      <c r="G648" s="16"/>
      <c r="H648" s="16"/>
      <c r="K648" s="16"/>
    </row>
    <row r="649">
      <c r="B649" s="16"/>
      <c r="C649" s="16"/>
      <c r="D649" s="16"/>
      <c r="E649" s="16"/>
      <c r="F649" s="16"/>
      <c r="G649" s="16"/>
      <c r="H649" s="16"/>
      <c r="K649" s="16"/>
    </row>
    <row r="650">
      <c r="B650" s="16"/>
      <c r="C650" s="16"/>
      <c r="D650" s="16"/>
      <c r="E650" s="16"/>
      <c r="F650" s="16"/>
      <c r="G650" s="16"/>
      <c r="H650" s="16"/>
      <c r="K650" s="16"/>
    </row>
    <row r="651">
      <c r="B651" s="16"/>
      <c r="C651" s="16"/>
      <c r="D651" s="16"/>
      <c r="E651" s="16"/>
      <c r="F651" s="16"/>
      <c r="G651" s="16"/>
      <c r="H651" s="16"/>
      <c r="K651" s="16"/>
    </row>
    <row r="652">
      <c r="B652" s="16"/>
      <c r="C652" s="16"/>
      <c r="D652" s="16"/>
      <c r="E652" s="16"/>
      <c r="F652" s="16"/>
      <c r="G652" s="16"/>
      <c r="H652" s="16"/>
      <c r="K652" s="16"/>
    </row>
    <row r="653">
      <c r="B653" s="16"/>
      <c r="C653" s="16"/>
      <c r="D653" s="16"/>
      <c r="E653" s="16"/>
      <c r="F653" s="16"/>
      <c r="G653" s="16"/>
      <c r="H653" s="16"/>
      <c r="K653" s="16"/>
    </row>
    <row r="654">
      <c r="B654" s="16"/>
      <c r="C654" s="16"/>
      <c r="D654" s="16"/>
      <c r="E654" s="16"/>
      <c r="F654" s="16"/>
      <c r="G654" s="16"/>
      <c r="H654" s="16"/>
      <c r="K654" s="16"/>
    </row>
    <row r="655">
      <c r="B655" s="16"/>
      <c r="C655" s="16"/>
      <c r="D655" s="16"/>
      <c r="E655" s="16"/>
      <c r="F655" s="16"/>
      <c r="G655" s="16"/>
      <c r="H655" s="16"/>
      <c r="K655" s="16"/>
    </row>
    <row r="656">
      <c r="B656" s="16"/>
      <c r="C656" s="16"/>
      <c r="D656" s="16"/>
      <c r="E656" s="16"/>
      <c r="F656" s="16"/>
      <c r="G656" s="16"/>
      <c r="H656" s="16"/>
      <c r="K656" s="16"/>
    </row>
    <row r="657">
      <c r="B657" s="16"/>
      <c r="C657" s="16"/>
      <c r="D657" s="16"/>
      <c r="E657" s="16"/>
      <c r="F657" s="16"/>
      <c r="G657" s="16"/>
      <c r="H657" s="16"/>
      <c r="K657" s="16"/>
    </row>
    <row r="658">
      <c r="B658" s="16"/>
      <c r="C658" s="16"/>
      <c r="D658" s="16"/>
      <c r="E658" s="16"/>
      <c r="F658" s="16"/>
      <c r="G658" s="16"/>
      <c r="H658" s="16"/>
      <c r="K658" s="16"/>
    </row>
    <row r="659">
      <c r="B659" s="16"/>
      <c r="C659" s="16"/>
      <c r="D659" s="16"/>
      <c r="E659" s="16"/>
      <c r="F659" s="16"/>
      <c r="G659" s="16"/>
      <c r="H659" s="16"/>
      <c r="K659" s="16"/>
    </row>
    <row r="660">
      <c r="B660" s="16"/>
      <c r="C660" s="16"/>
      <c r="D660" s="16"/>
      <c r="E660" s="16"/>
      <c r="F660" s="16"/>
      <c r="G660" s="16"/>
      <c r="H660" s="16"/>
      <c r="K660" s="16"/>
    </row>
    <row r="661">
      <c r="B661" s="16"/>
      <c r="C661" s="16"/>
      <c r="D661" s="16"/>
      <c r="E661" s="16"/>
      <c r="F661" s="16"/>
      <c r="G661" s="16"/>
      <c r="H661" s="16"/>
      <c r="K661" s="16"/>
    </row>
    <row r="662">
      <c r="B662" s="16"/>
      <c r="C662" s="16"/>
      <c r="D662" s="16"/>
      <c r="E662" s="16"/>
      <c r="F662" s="16"/>
      <c r="G662" s="16"/>
      <c r="H662" s="16"/>
      <c r="K662" s="16"/>
    </row>
    <row r="663">
      <c r="B663" s="16"/>
      <c r="C663" s="16"/>
      <c r="D663" s="16"/>
      <c r="E663" s="16"/>
      <c r="F663" s="16"/>
      <c r="G663" s="16"/>
      <c r="H663" s="16"/>
      <c r="K663" s="16"/>
    </row>
    <row r="664">
      <c r="B664" s="16"/>
      <c r="C664" s="16"/>
      <c r="D664" s="16"/>
      <c r="E664" s="16"/>
      <c r="F664" s="16"/>
      <c r="G664" s="16"/>
      <c r="H664" s="16"/>
      <c r="K664" s="16"/>
    </row>
    <row r="665">
      <c r="B665" s="16"/>
      <c r="C665" s="16"/>
      <c r="D665" s="16"/>
      <c r="E665" s="16"/>
      <c r="F665" s="16"/>
      <c r="G665" s="16"/>
      <c r="H665" s="16"/>
      <c r="K665" s="16"/>
    </row>
    <row r="666">
      <c r="B666" s="16"/>
      <c r="C666" s="16"/>
      <c r="D666" s="16"/>
      <c r="E666" s="16"/>
      <c r="F666" s="16"/>
      <c r="G666" s="16"/>
      <c r="H666" s="16"/>
      <c r="K666" s="16"/>
    </row>
    <row r="667">
      <c r="B667" s="16"/>
      <c r="C667" s="16"/>
      <c r="D667" s="16"/>
      <c r="E667" s="16"/>
      <c r="F667" s="16"/>
      <c r="G667" s="16"/>
      <c r="H667" s="16"/>
      <c r="K667" s="16"/>
    </row>
    <row r="668">
      <c r="B668" s="16"/>
      <c r="C668" s="16"/>
      <c r="D668" s="16"/>
      <c r="E668" s="16"/>
      <c r="F668" s="16"/>
      <c r="G668" s="16"/>
      <c r="H668" s="16"/>
      <c r="K668" s="16"/>
    </row>
    <row r="669">
      <c r="B669" s="16"/>
      <c r="C669" s="16"/>
      <c r="D669" s="16"/>
      <c r="E669" s="16"/>
      <c r="F669" s="16"/>
      <c r="G669" s="16"/>
      <c r="H669" s="16"/>
      <c r="K669" s="16"/>
    </row>
    <row r="670">
      <c r="B670" s="16"/>
      <c r="C670" s="16"/>
      <c r="D670" s="16"/>
      <c r="E670" s="16"/>
      <c r="F670" s="16"/>
      <c r="G670" s="16"/>
      <c r="H670" s="16"/>
      <c r="K670" s="16"/>
    </row>
    <row r="671">
      <c r="B671" s="16"/>
      <c r="C671" s="16"/>
      <c r="D671" s="16"/>
      <c r="E671" s="16"/>
      <c r="F671" s="16"/>
      <c r="G671" s="16"/>
      <c r="H671" s="16"/>
      <c r="K671" s="16"/>
    </row>
    <row r="672">
      <c r="B672" s="16"/>
      <c r="C672" s="16"/>
      <c r="D672" s="16"/>
      <c r="E672" s="16"/>
      <c r="F672" s="16"/>
      <c r="G672" s="16"/>
      <c r="H672" s="16"/>
      <c r="K672" s="16"/>
    </row>
    <row r="673">
      <c r="B673" s="16"/>
      <c r="C673" s="16"/>
      <c r="D673" s="16"/>
      <c r="E673" s="16"/>
      <c r="F673" s="16"/>
      <c r="G673" s="16"/>
      <c r="H673" s="16"/>
      <c r="K673" s="16"/>
    </row>
    <row r="674">
      <c r="B674" s="16"/>
      <c r="C674" s="16"/>
      <c r="D674" s="16"/>
      <c r="E674" s="16"/>
      <c r="F674" s="16"/>
      <c r="G674" s="16"/>
      <c r="H674" s="16"/>
      <c r="K674" s="16"/>
    </row>
    <row r="675">
      <c r="B675" s="16"/>
      <c r="C675" s="16"/>
      <c r="D675" s="16"/>
      <c r="E675" s="16"/>
      <c r="F675" s="16"/>
      <c r="G675" s="16"/>
      <c r="H675" s="16"/>
      <c r="K675" s="16"/>
    </row>
    <row r="676">
      <c r="B676" s="16"/>
      <c r="C676" s="16"/>
      <c r="D676" s="16"/>
      <c r="E676" s="16"/>
      <c r="F676" s="16"/>
      <c r="G676" s="16"/>
      <c r="H676" s="16"/>
      <c r="K676" s="16"/>
    </row>
    <row r="677">
      <c r="B677" s="16"/>
      <c r="C677" s="16"/>
      <c r="D677" s="16"/>
      <c r="E677" s="16"/>
      <c r="F677" s="16"/>
      <c r="G677" s="16"/>
      <c r="H677" s="16"/>
      <c r="K677" s="16"/>
    </row>
    <row r="678">
      <c r="B678" s="16"/>
      <c r="C678" s="16"/>
      <c r="D678" s="16"/>
      <c r="E678" s="16"/>
      <c r="F678" s="16"/>
      <c r="G678" s="16"/>
      <c r="H678" s="16"/>
      <c r="K678" s="16"/>
    </row>
    <row r="679">
      <c r="B679" s="16"/>
      <c r="C679" s="16"/>
      <c r="D679" s="16"/>
      <c r="E679" s="16"/>
      <c r="F679" s="16"/>
      <c r="G679" s="16"/>
      <c r="H679" s="16"/>
      <c r="K679" s="16"/>
    </row>
    <row r="680">
      <c r="B680" s="16"/>
      <c r="C680" s="16"/>
      <c r="D680" s="16"/>
      <c r="E680" s="16"/>
      <c r="F680" s="16"/>
      <c r="G680" s="16"/>
      <c r="H680" s="16"/>
      <c r="K680" s="16"/>
    </row>
    <row r="681">
      <c r="B681" s="16"/>
      <c r="C681" s="16"/>
      <c r="D681" s="16"/>
      <c r="E681" s="16"/>
      <c r="F681" s="16"/>
      <c r="G681" s="16"/>
      <c r="H681" s="16"/>
      <c r="K681" s="16"/>
    </row>
    <row r="682">
      <c r="B682" s="16"/>
      <c r="C682" s="16"/>
      <c r="D682" s="16"/>
      <c r="E682" s="16"/>
      <c r="F682" s="16"/>
      <c r="G682" s="16"/>
      <c r="H682" s="16"/>
      <c r="K682" s="16"/>
    </row>
    <row r="683">
      <c r="B683" s="16"/>
      <c r="C683" s="16"/>
      <c r="D683" s="16"/>
      <c r="E683" s="16"/>
      <c r="F683" s="16"/>
      <c r="G683" s="16"/>
      <c r="H683" s="16"/>
      <c r="K683" s="16"/>
    </row>
    <row r="684">
      <c r="B684" s="16"/>
      <c r="C684" s="16"/>
      <c r="D684" s="16"/>
      <c r="E684" s="16"/>
      <c r="F684" s="16"/>
      <c r="G684" s="16"/>
      <c r="H684" s="16"/>
      <c r="K684" s="16"/>
    </row>
    <row r="685">
      <c r="B685" s="16"/>
      <c r="C685" s="16"/>
      <c r="D685" s="16"/>
      <c r="E685" s="16"/>
      <c r="F685" s="16"/>
      <c r="G685" s="16"/>
      <c r="H685" s="16"/>
      <c r="K685" s="16"/>
    </row>
    <row r="686">
      <c r="B686" s="16"/>
      <c r="C686" s="16"/>
      <c r="D686" s="16"/>
      <c r="E686" s="16"/>
      <c r="F686" s="16"/>
      <c r="G686" s="16"/>
      <c r="H686" s="16"/>
      <c r="K686" s="16"/>
    </row>
    <row r="687">
      <c r="B687" s="16"/>
      <c r="C687" s="16"/>
      <c r="D687" s="16"/>
      <c r="E687" s="16"/>
      <c r="F687" s="16"/>
      <c r="G687" s="16"/>
      <c r="H687" s="16"/>
      <c r="K687" s="16"/>
    </row>
    <row r="688">
      <c r="B688" s="16"/>
      <c r="C688" s="16"/>
      <c r="D688" s="16"/>
      <c r="E688" s="16"/>
      <c r="F688" s="16"/>
      <c r="G688" s="16"/>
      <c r="H688" s="16"/>
      <c r="K688" s="16"/>
    </row>
    <row r="689">
      <c r="B689" s="16"/>
      <c r="C689" s="16"/>
      <c r="D689" s="16"/>
      <c r="E689" s="16"/>
      <c r="F689" s="16"/>
      <c r="G689" s="16"/>
      <c r="H689" s="16"/>
      <c r="K689" s="16"/>
    </row>
    <row r="690">
      <c r="B690" s="16"/>
      <c r="C690" s="16"/>
      <c r="D690" s="16"/>
      <c r="E690" s="16"/>
      <c r="F690" s="16"/>
      <c r="G690" s="16"/>
      <c r="H690" s="16"/>
      <c r="K690" s="16"/>
    </row>
    <row r="691">
      <c r="B691" s="16"/>
      <c r="C691" s="16"/>
      <c r="D691" s="16"/>
      <c r="E691" s="16"/>
      <c r="F691" s="16"/>
      <c r="G691" s="16"/>
      <c r="H691" s="16"/>
      <c r="K691" s="16"/>
    </row>
    <row r="692">
      <c r="B692" s="16"/>
      <c r="C692" s="16"/>
      <c r="D692" s="16"/>
      <c r="E692" s="16"/>
      <c r="F692" s="16"/>
      <c r="G692" s="16"/>
      <c r="H692" s="16"/>
      <c r="K692" s="16"/>
    </row>
    <row r="693">
      <c r="B693" s="16"/>
      <c r="C693" s="16"/>
      <c r="D693" s="16"/>
      <c r="E693" s="16"/>
      <c r="F693" s="16"/>
      <c r="G693" s="16"/>
      <c r="H693" s="16"/>
      <c r="K693" s="16"/>
    </row>
    <row r="694">
      <c r="B694" s="16"/>
      <c r="C694" s="16"/>
      <c r="D694" s="16"/>
      <c r="E694" s="16"/>
      <c r="F694" s="16"/>
      <c r="G694" s="16"/>
      <c r="H694" s="16"/>
      <c r="K694" s="16"/>
    </row>
    <row r="695">
      <c r="B695" s="16"/>
      <c r="C695" s="16"/>
      <c r="D695" s="16"/>
      <c r="E695" s="16"/>
      <c r="F695" s="16"/>
      <c r="G695" s="16"/>
      <c r="H695" s="16"/>
      <c r="K695" s="16"/>
    </row>
    <row r="696">
      <c r="B696" s="16"/>
      <c r="C696" s="16"/>
      <c r="D696" s="16"/>
      <c r="E696" s="16"/>
      <c r="F696" s="16"/>
      <c r="G696" s="16"/>
      <c r="H696" s="16"/>
      <c r="K696" s="16"/>
    </row>
    <row r="697">
      <c r="B697" s="16"/>
      <c r="C697" s="16"/>
      <c r="D697" s="16"/>
      <c r="E697" s="16"/>
      <c r="F697" s="16"/>
      <c r="G697" s="16"/>
      <c r="H697" s="16"/>
      <c r="K697" s="16"/>
    </row>
    <row r="698">
      <c r="B698" s="16"/>
      <c r="C698" s="16"/>
      <c r="D698" s="16"/>
      <c r="E698" s="16"/>
      <c r="F698" s="16"/>
      <c r="G698" s="16"/>
      <c r="H698" s="16"/>
      <c r="K698" s="16"/>
    </row>
    <row r="699">
      <c r="B699" s="16"/>
      <c r="C699" s="16"/>
      <c r="D699" s="16"/>
      <c r="E699" s="16"/>
      <c r="F699" s="16"/>
      <c r="G699" s="16"/>
      <c r="H699" s="16"/>
      <c r="K699" s="16"/>
    </row>
    <row r="700">
      <c r="B700" s="16"/>
      <c r="C700" s="16"/>
      <c r="D700" s="16"/>
      <c r="E700" s="16"/>
      <c r="F700" s="16"/>
      <c r="G700" s="16"/>
      <c r="H700" s="16"/>
      <c r="K700" s="16"/>
    </row>
    <row r="701">
      <c r="B701" s="16"/>
      <c r="C701" s="16"/>
      <c r="D701" s="16"/>
      <c r="E701" s="16"/>
      <c r="F701" s="16"/>
      <c r="G701" s="16"/>
      <c r="H701" s="16"/>
      <c r="K701" s="16"/>
    </row>
    <row r="702">
      <c r="B702" s="16"/>
      <c r="C702" s="16"/>
      <c r="D702" s="16"/>
      <c r="E702" s="16"/>
      <c r="F702" s="16"/>
      <c r="G702" s="16"/>
      <c r="H702" s="16"/>
      <c r="K702" s="16"/>
    </row>
    <row r="703">
      <c r="B703" s="16"/>
      <c r="C703" s="16"/>
      <c r="D703" s="16"/>
      <c r="E703" s="16"/>
      <c r="F703" s="16"/>
      <c r="G703" s="16"/>
      <c r="H703" s="16"/>
      <c r="K703" s="16"/>
    </row>
    <row r="704">
      <c r="B704" s="16"/>
      <c r="C704" s="16"/>
      <c r="D704" s="16"/>
      <c r="E704" s="16"/>
      <c r="F704" s="16"/>
      <c r="G704" s="16"/>
      <c r="H704" s="16"/>
      <c r="K704" s="16"/>
    </row>
    <row r="705">
      <c r="B705" s="16"/>
      <c r="C705" s="16"/>
      <c r="D705" s="16"/>
      <c r="E705" s="16"/>
      <c r="F705" s="16"/>
      <c r="G705" s="16"/>
      <c r="H705" s="16"/>
      <c r="K705" s="16"/>
    </row>
    <row r="706">
      <c r="B706" s="16"/>
      <c r="C706" s="16"/>
      <c r="D706" s="16"/>
      <c r="E706" s="16"/>
      <c r="F706" s="16"/>
      <c r="G706" s="16"/>
      <c r="H706" s="16"/>
      <c r="K706" s="16"/>
    </row>
    <row r="707">
      <c r="B707" s="16"/>
      <c r="C707" s="16"/>
      <c r="D707" s="16"/>
      <c r="E707" s="16"/>
      <c r="F707" s="16"/>
      <c r="G707" s="16"/>
      <c r="H707" s="16"/>
      <c r="K707" s="16"/>
    </row>
    <row r="708">
      <c r="B708" s="16"/>
      <c r="C708" s="16"/>
      <c r="D708" s="16"/>
      <c r="E708" s="16"/>
      <c r="F708" s="16"/>
      <c r="G708" s="16"/>
      <c r="H708" s="16"/>
      <c r="K708" s="16"/>
    </row>
    <row r="709">
      <c r="B709" s="16"/>
      <c r="C709" s="16"/>
      <c r="D709" s="16"/>
      <c r="E709" s="16"/>
      <c r="F709" s="16"/>
      <c r="G709" s="16"/>
      <c r="H709" s="16"/>
      <c r="K709" s="16"/>
    </row>
    <row r="710">
      <c r="B710" s="16"/>
      <c r="C710" s="16"/>
      <c r="D710" s="16"/>
      <c r="E710" s="16"/>
      <c r="F710" s="16"/>
      <c r="G710" s="16"/>
      <c r="H710" s="16"/>
      <c r="K710" s="16"/>
    </row>
    <row r="711">
      <c r="B711" s="16"/>
      <c r="C711" s="16"/>
      <c r="D711" s="16"/>
      <c r="E711" s="16"/>
      <c r="F711" s="16"/>
      <c r="G711" s="16"/>
      <c r="H711" s="16"/>
      <c r="K711" s="16"/>
    </row>
    <row r="712">
      <c r="B712" s="16"/>
      <c r="C712" s="16"/>
      <c r="D712" s="16"/>
      <c r="E712" s="16"/>
      <c r="F712" s="16"/>
      <c r="G712" s="16"/>
      <c r="H712" s="16"/>
      <c r="K712" s="16"/>
    </row>
    <row r="713">
      <c r="B713" s="16"/>
      <c r="C713" s="16"/>
      <c r="D713" s="16"/>
      <c r="E713" s="16"/>
      <c r="F713" s="16"/>
      <c r="G713" s="16"/>
      <c r="H713" s="16"/>
      <c r="K713" s="16"/>
    </row>
    <row r="714">
      <c r="B714" s="16"/>
      <c r="C714" s="16"/>
      <c r="D714" s="16"/>
      <c r="E714" s="16"/>
      <c r="F714" s="16"/>
      <c r="G714" s="16"/>
      <c r="H714" s="16"/>
      <c r="K714" s="16"/>
    </row>
    <row r="715">
      <c r="B715" s="16"/>
      <c r="C715" s="16"/>
      <c r="D715" s="16"/>
      <c r="E715" s="16"/>
      <c r="F715" s="16"/>
      <c r="G715" s="16"/>
      <c r="H715" s="16"/>
      <c r="K715" s="16"/>
    </row>
    <row r="716">
      <c r="B716" s="16"/>
      <c r="C716" s="16"/>
      <c r="D716" s="16"/>
      <c r="E716" s="16"/>
      <c r="F716" s="16"/>
      <c r="G716" s="16"/>
      <c r="H716" s="16"/>
      <c r="K716" s="16"/>
    </row>
    <row r="717">
      <c r="B717" s="16"/>
      <c r="C717" s="16"/>
      <c r="D717" s="16"/>
      <c r="E717" s="16"/>
      <c r="F717" s="16"/>
      <c r="G717" s="16"/>
      <c r="H717" s="16"/>
      <c r="K717" s="16"/>
    </row>
    <row r="718">
      <c r="B718" s="16"/>
      <c r="C718" s="16"/>
      <c r="D718" s="16"/>
      <c r="E718" s="16"/>
      <c r="F718" s="16"/>
      <c r="G718" s="16"/>
      <c r="H718" s="16"/>
      <c r="K718" s="16"/>
    </row>
    <row r="719">
      <c r="B719" s="16"/>
      <c r="C719" s="16"/>
      <c r="D719" s="16"/>
      <c r="E719" s="16"/>
      <c r="F719" s="16"/>
      <c r="G719" s="16"/>
      <c r="H719" s="16"/>
      <c r="K719" s="16"/>
    </row>
    <row r="720">
      <c r="B720" s="16"/>
      <c r="C720" s="16"/>
      <c r="D720" s="16"/>
      <c r="E720" s="16"/>
      <c r="F720" s="16"/>
      <c r="G720" s="16"/>
      <c r="H720" s="16"/>
      <c r="K720" s="16"/>
    </row>
    <row r="721">
      <c r="B721" s="16"/>
      <c r="C721" s="16"/>
      <c r="D721" s="16"/>
      <c r="E721" s="16"/>
      <c r="F721" s="16"/>
      <c r="G721" s="16"/>
      <c r="H721" s="16"/>
      <c r="K721" s="16"/>
    </row>
    <row r="722">
      <c r="B722" s="16"/>
      <c r="C722" s="16"/>
      <c r="D722" s="16"/>
      <c r="E722" s="16"/>
      <c r="F722" s="16"/>
      <c r="G722" s="16"/>
      <c r="H722" s="16"/>
      <c r="K722" s="16"/>
    </row>
    <row r="723">
      <c r="B723" s="16"/>
      <c r="C723" s="16"/>
      <c r="D723" s="16"/>
      <c r="E723" s="16"/>
      <c r="F723" s="16"/>
      <c r="G723" s="16"/>
      <c r="H723" s="16"/>
      <c r="K723" s="16"/>
    </row>
    <row r="724">
      <c r="B724" s="16"/>
      <c r="C724" s="16"/>
      <c r="D724" s="16"/>
      <c r="E724" s="16"/>
      <c r="F724" s="16"/>
      <c r="G724" s="16"/>
      <c r="H724" s="16"/>
      <c r="K724" s="16"/>
    </row>
    <row r="725">
      <c r="B725" s="16"/>
      <c r="C725" s="16"/>
      <c r="D725" s="16"/>
      <c r="E725" s="16"/>
      <c r="F725" s="16"/>
      <c r="G725" s="16"/>
      <c r="H725" s="16"/>
      <c r="K725" s="16"/>
    </row>
    <row r="726">
      <c r="B726" s="16"/>
      <c r="C726" s="16"/>
      <c r="D726" s="16"/>
      <c r="E726" s="16"/>
      <c r="F726" s="16"/>
      <c r="G726" s="16"/>
      <c r="H726" s="16"/>
      <c r="K726" s="16"/>
    </row>
    <row r="727">
      <c r="B727" s="16"/>
      <c r="C727" s="16"/>
      <c r="D727" s="16"/>
      <c r="E727" s="16"/>
      <c r="F727" s="16"/>
      <c r="G727" s="16"/>
      <c r="H727" s="16"/>
      <c r="K727" s="16"/>
    </row>
    <row r="728">
      <c r="B728" s="16"/>
      <c r="C728" s="16"/>
      <c r="D728" s="16"/>
      <c r="E728" s="16"/>
      <c r="F728" s="16"/>
      <c r="G728" s="16"/>
      <c r="H728" s="16"/>
      <c r="K728" s="16"/>
    </row>
    <row r="729">
      <c r="B729" s="16"/>
      <c r="C729" s="16"/>
      <c r="D729" s="16"/>
      <c r="E729" s="16"/>
      <c r="F729" s="16"/>
      <c r="G729" s="16"/>
      <c r="H729" s="16"/>
      <c r="K729" s="16"/>
    </row>
    <row r="730">
      <c r="B730" s="16"/>
      <c r="C730" s="16"/>
      <c r="D730" s="16"/>
      <c r="E730" s="16"/>
      <c r="F730" s="16"/>
      <c r="G730" s="16"/>
      <c r="H730" s="16"/>
      <c r="K730" s="16"/>
    </row>
    <row r="731">
      <c r="B731" s="16"/>
      <c r="C731" s="16"/>
      <c r="D731" s="16"/>
      <c r="E731" s="16"/>
      <c r="F731" s="16"/>
      <c r="G731" s="16"/>
      <c r="H731" s="16"/>
      <c r="K731" s="16"/>
    </row>
    <row r="732">
      <c r="B732" s="16"/>
      <c r="C732" s="16"/>
      <c r="D732" s="16"/>
      <c r="E732" s="16"/>
      <c r="F732" s="16"/>
      <c r="G732" s="16"/>
      <c r="H732" s="16"/>
      <c r="K732" s="16"/>
    </row>
    <row r="733">
      <c r="B733" s="16"/>
      <c r="C733" s="16"/>
      <c r="D733" s="16"/>
      <c r="E733" s="16"/>
      <c r="F733" s="16"/>
      <c r="G733" s="16"/>
      <c r="H733" s="16"/>
      <c r="K733" s="16"/>
    </row>
    <row r="734">
      <c r="B734" s="16"/>
      <c r="C734" s="16"/>
      <c r="D734" s="16"/>
      <c r="E734" s="16"/>
      <c r="F734" s="16"/>
      <c r="G734" s="16"/>
      <c r="H734" s="16"/>
      <c r="K734" s="16"/>
    </row>
    <row r="735">
      <c r="B735" s="16"/>
      <c r="C735" s="16"/>
      <c r="D735" s="16"/>
      <c r="E735" s="16"/>
      <c r="F735" s="16"/>
      <c r="G735" s="16"/>
      <c r="H735" s="16"/>
      <c r="K735" s="16"/>
    </row>
    <row r="736">
      <c r="B736" s="16"/>
      <c r="C736" s="16"/>
      <c r="D736" s="16"/>
      <c r="E736" s="16"/>
      <c r="F736" s="16"/>
      <c r="G736" s="16"/>
      <c r="H736" s="16"/>
      <c r="K736" s="16"/>
    </row>
    <row r="737">
      <c r="B737" s="16"/>
      <c r="C737" s="16"/>
      <c r="D737" s="16"/>
      <c r="E737" s="16"/>
      <c r="F737" s="16"/>
      <c r="G737" s="16"/>
      <c r="H737" s="16"/>
      <c r="K737" s="16"/>
    </row>
    <row r="738">
      <c r="B738" s="16"/>
      <c r="C738" s="16"/>
      <c r="D738" s="16"/>
      <c r="E738" s="16"/>
      <c r="F738" s="16"/>
      <c r="G738" s="16"/>
      <c r="H738" s="16"/>
      <c r="K738" s="16"/>
    </row>
    <row r="739">
      <c r="B739" s="16"/>
      <c r="C739" s="16"/>
      <c r="D739" s="16"/>
      <c r="E739" s="16"/>
      <c r="F739" s="16"/>
      <c r="G739" s="16"/>
      <c r="H739" s="16"/>
      <c r="K739" s="16"/>
    </row>
    <row r="740">
      <c r="B740" s="16"/>
      <c r="C740" s="16"/>
      <c r="D740" s="16"/>
      <c r="E740" s="16"/>
      <c r="F740" s="16"/>
      <c r="G740" s="16"/>
      <c r="H740" s="16"/>
      <c r="K740" s="16"/>
    </row>
    <row r="741">
      <c r="B741" s="16"/>
      <c r="C741" s="16"/>
      <c r="D741" s="16"/>
      <c r="E741" s="16"/>
      <c r="F741" s="16"/>
      <c r="G741" s="16"/>
      <c r="H741" s="16"/>
      <c r="K741" s="16"/>
    </row>
    <row r="742">
      <c r="B742" s="16"/>
      <c r="C742" s="16"/>
      <c r="D742" s="16"/>
      <c r="E742" s="16"/>
      <c r="F742" s="16"/>
      <c r="G742" s="16"/>
      <c r="H742" s="16"/>
      <c r="K742" s="16"/>
    </row>
    <row r="743">
      <c r="B743" s="16"/>
      <c r="C743" s="16"/>
      <c r="D743" s="16"/>
      <c r="E743" s="16"/>
      <c r="F743" s="16"/>
      <c r="G743" s="16"/>
      <c r="H743" s="16"/>
      <c r="K743" s="16"/>
    </row>
    <row r="744">
      <c r="B744" s="16"/>
      <c r="C744" s="16"/>
      <c r="D744" s="16"/>
      <c r="E744" s="16"/>
      <c r="F744" s="16"/>
      <c r="G744" s="16"/>
      <c r="H744" s="16"/>
      <c r="K744" s="16"/>
    </row>
    <row r="745">
      <c r="B745" s="16"/>
      <c r="C745" s="16"/>
      <c r="D745" s="16"/>
      <c r="E745" s="16"/>
      <c r="F745" s="16"/>
      <c r="G745" s="16"/>
      <c r="H745" s="16"/>
      <c r="K745" s="16"/>
    </row>
    <row r="746">
      <c r="B746" s="16"/>
      <c r="C746" s="16"/>
      <c r="D746" s="16"/>
      <c r="E746" s="16"/>
      <c r="F746" s="16"/>
      <c r="G746" s="16"/>
      <c r="H746" s="16"/>
      <c r="K746" s="16"/>
    </row>
    <row r="747">
      <c r="B747" s="16"/>
      <c r="C747" s="16"/>
      <c r="D747" s="16"/>
      <c r="E747" s="16"/>
      <c r="F747" s="16"/>
      <c r="G747" s="16"/>
      <c r="H747" s="16"/>
      <c r="K747" s="16"/>
    </row>
    <row r="748">
      <c r="B748" s="16"/>
      <c r="C748" s="16"/>
      <c r="D748" s="16"/>
      <c r="E748" s="16"/>
      <c r="F748" s="16"/>
      <c r="G748" s="16"/>
      <c r="H748" s="16"/>
      <c r="K748" s="16"/>
    </row>
    <row r="749">
      <c r="B749" s="16"/>
      <c r="C749" s="16"/>
      <c r="D749" s="16"/>
      <c r="E749" s="16"/>
      <c r="F749" s="16"/>
      <c r="G749" s="16"/>
      <c r="H749" s="16"/>
      <c r="K749" s="16"/>
    </row>
    <row r="750">
      <c r="B750" s="16"/>
      <c r="C750" s="16"/>
      <c r="D750" s="16"/>
      <c r="E750" s="16"/>
      <c r="F750" s="16"/>
      <c r="G750" s="16"/>
      <c r="H750" s="16"/>
      <c r="K750" s="16"/>
    </row>
    <row r="751">
      <c r="B751" s="16"/>
      <c r="C751" s="16"/>
      <c r="D751" s="16"/>
      <c r="E751" s="16"/>
      <c r="F751" s="16"/>
      <c r="G751" s="16"/>
      <c r="H751" s="16"/>
      <c r="K751" s="16"/>
    </row>
    <row r="752">
      <c r="B752" s="16"/>
      <c r="C752" s="16"/>
      <c r="D752" s="16"/>
      <c r="E752" s="16"/>
      <c r="F752" s="16"/>
      <c r="G752" s="16"/>
      <c r="H752" s="16"/>
      <c r="K752" s="16"/>
    </row>
    <row r="753">
      <c r="B753" s="16"/>
      <c r="C753" s="16"/>
      <c r="D753" s="16"/>
      <c r="E753" s="16"/>
      <c r="F753" s="16"/>
      <c r="G753" s="16"/>
      <c r="H753" s="16"/>
      <c r="K753" s="16"/>
    </row>
    <row r="754">
      <c r="B754" s="16"/>
      <c r="C754" s="16"/>
      <c r="D754" s="16"/>
      <c r="E754" s="16"/>
      <c r="F754" s="16"/>
      <c r="G754" s="16"/>
      <c r="H754" s="16"/>
      <c r="K754" s="16"/>
    </row>
    <row r="755">
      <c r="B755" s="16"/>
      <c r="C755" s="16"/>
      <c r="D755" s="16"/>
      <c r="E755" s="16"/>
      <c r="F755" s="16"/>
      <c r="G755" s="16"/>
      <c r="H755" s="16"/>
      <c r="K755" s="16"/>
    </row>
    <row r="756">
      <c r="B756" s="16"/>
      <c r="C756" s="16"/>
      <c r="D756" s="16"/>
      <c r="E756" s="16"/>
      <c r="F756" s="16"/>
      <c r="G756" s="16"/>
      <c r="H756" s="16"/>
      <c r="K756" s="16"/>
    </row>
    <row r="757">
      <c r="B757" s="16"/>
      <c r="C757" s="16"/>
      <c r="D757" s="16"/>
      <c r="E757" s="16"/>
      <c r="F757" s="16"/>
      <c r="G757" s="16"/>
      <c r="H757" s="16"/>
      <c r="K757" s="16"/>
    </row>
    <row r="758">
      <c r="B758" s="16"/>
      <c r="C758" s="16"/>
      <c r="D758" s="16"/>
      <c r="E758" s="16"/>
      <c r="F758" s="16"/>
      <c r="G758" s="16"/>
      <c r="H758" s="16"/>
      <c r="K758" s="16"/>
    </row>
    <row r="759">
      <c r="B759" s="16"/>
      <c r="C759" s="16"/>
      <c r="D759" s="16"/>
      <c r="E759" s="16"/>
      <c r="F759" s="16"/>
      <c r="G759" s="16"/>
      <c r="H759" s="16"/>
      <c r="K759" s="16"/>
    </row>
    <row r="760">
      <c r="B760" s="16"/>
      <c r="C760" s="16"/>
      <c r="D760" s="16"/>
      <c r="E760" s="16"/>
      <c r="F760" s="16"/>
      <c r="G760" s="16"/>
      <c r="H760" s="16"/>
      <c r="K760" s="16"/>
    </row>
    <row r="761">
      <c r="B761" s="16"/>
      <c r="C761" s="16"/>
      <c r="D761" s="16"/>
      <c r="E761" s="16"/>
      <c r="F761" s="16"/>
      <c r="G761" s="16"/>
      <c r="H761" s="16"/>
      <c r="K761" s="16"/>
    </row>
    <row r="762">
      <c r="B762" s="16"/>
      <c r="C762" s="16"/>
      <c r="D762" s="16"/>
      <c r="E762" s="16"/>
      <c r="F762" s="16"/>
      <c r="G762" s="16"/>
      <c r="H762" s="16"/>
      <c r="K762" s="16"/>
    </row>
    <row r="763">
      <c r="B763" s="16"/>
      <c r="C763" s="16"/>
      <c r="D763" s="16"/>
      <c r="E763" s="16"/>
      <c r="F763" s="16"/>
      <c r="G763" s="16"/>
      <c r="H763" s="16"/>
      <c r="K763" s="16"/>
    </row>
    <row r="764">
      <c r="B764" s="16"/>
      <c r="C764" s="16"/>
      <c r="D764" s="16"/>
      <c r="E764" s="16"/>
      <c r="F764" s="16"/>
      <c r="G764" s="16"/>
      <c r="H764" s="16"/>
      <c r="K764" s="16"/>
    </row>
    <row r="765">
      <c r="B765" s="16"/>
      <c r="C765" s="16"/>
      <c r="D765" s="16"/>
      <c r="E765" s="16"/>
      <c r="F765" s="16"/>
      <c r="G765" s="16"/>
      <c r="H765" s="16"/>
      <c r="K765" s="16"/>
    </row>
    <row r="766">
      <c r="B766" s="16"/>
      <c r="C766" s="16"/>
      <c r="D766" s="16"/>
      <c r="E766" s="16"/>
      <c r="F766" s="16"/>
      <c r="G766" s="16"/>
      <c r="H766" s="16"/>
      <c r="K766" s="16"/>
    </row>
    <row r="767">
      <c r="B767" s="16"/>
      <c r="C767" s="16"/>
      <c r="D767" s="16"/>
      <c r="E767" s="16"/>
      <c r="F767" s="16"/>
      <c r="G767" s="16"/>
      <c r="H767" s="16"/>
      <c r="K767" s="16"/>
    </row>
    <row r="768">
      <c r="B768" s="16"/>
      <c r="C768" s="16"/>
      <c r="D768" s="16"/>
      <c r="E768" s="16"/>
      <c r="F768" s="16"/>
      <c r="G768" s="16"/>
      <c r="H768" s="16"/>
      <c r="K768" s="16"/>
    </row>
    <row r="769">
      <c r="B769" s="16"/>
      <c r="C769" s="16"/>
      <c r="D769" s="16"/>
      <c r="E769" s="16"/>
      <c r="F769" s="16"/>
      <c r="G769" s="16"/>
      <c r="H769" s="16"/>
      <c r="K769" s="16"/>
    </row>
    <row r="770">
      <c r="B770" s="16"/>
      <c r="C770" s="16"/>
      <c r="D770" s="16"/>
      <c r="E770" s="16"/>
      <c r="F770" s="16"/>
      <c r="G770" s="16"/>
      <c r="H770" s="16"/>
      <c r="K770" s="16"/>
    </row>
    <row r="771">
      <c r="B771" s="16"/>
      <c r="C771" s="16"/>
      <c r="D771" s="16"/>
      <c r="E771" s="16"/>
      <c r="F771" s="16"/>
      <c r="G771" s="16"/>
      <c r="H771" s="16"/>
      <c r="K771" s="16"/>
    </row>
    <row r="772">
      <c r="B772" s="16"/>
      <c r="C772" s="16"/>
      <c r="D772" s="16"/>
      <c r="E772" s="16"/>
      <c r="F772" s="16"/>
      <c r="G772" s="16"/>
      <c r="H772" s="16"/>
      <c r="K772" s="16"/>
    </row>
    <row r="773">
      <c r="B773" s="16"/>
      <c r="C773" s="16"/>
      <c r="D773" s="16"/>
      <c r="E773" s="16"/>
      <c r="F773" s="16"/>
      <c r="G773" s="16"/>
      <c r="H773" s="16"/>
      <c r="K773" s="16"/>
    </row>
    <row r="774">
      <c r="B774" s="16"/>
      <c r="C774" s="16"/>
      <c r="D774" s="16"/>
      <c r="E774" s="16"/>
      <c r="F774" s="16"/>
      <c r="G774" s="16"/>
      <c r="H774" s="16"/>
      <c r="K774" s="16"/>
    </row>
    <row r="775">
      <c r="B775" s="16"/>
      <c r="C775" s="16"/>
      <c r="D775" s="16"/>
      <c r="E775" s="16"/>
      <c r="F775" s="16"/>
      <c r="G775" s="16"/>
      <c r="H775" s="16"/>
      <c r="K775" s="16"/>
    </row>
    <row r="776">
      <c r="B776" s="16"/>
      <c r="C776" s="16"/>
      <c r="D776" s="16"/>
      <c r="E776" s="16"/>
      <c r="F776" s="16"/>
      <c r="G776" s="16"/>
      <c r="H776" s="16"/>
      <c r="K776" s="16"/>
    </row>
    <row r="777">
      <c r="B777" s="16"/>
      <c r="C777" s="16"/>
      <c r="D777" s="16"/>
      <c r="E777" s="16"/>
      <c r="F777" s="16"/>
      <c r="G777" s="16"/>
      <c r="H777" s="16"/>
      <c r="K777" s="16"/>
    </row>
    <row r="778">
      <c r="B778" s="16"/>
      <c r="C778" s="16"/>
      <c r="D778" s="16"/>
      <c r="E778" s="16"/>
      <c r="F778" s="16"/>
      <c r="G778" s="16"/>
      <c r="H778" s="16"/>
      <c r="K778" s="16"/>
    </row>
    <row r="779">
      <c r="B779" s="16"/>
      <c r="C779" s="16"/>
      <c r="D779" s="16"/>
      <c r="E779" s="16"/>
      <c r="F779" s="16"/>
      <c r="G779" s="16"/>
      <c r="H779" s="16"/>
      <c r="K779" s="16"/>
    </row>
    <row r="780">
      <c r="B780" s="16"/>
      <c r="C780" s="16"/>
      <c r="D780" s="16"/>
      <c r="E780" s="16"/>
      <c r="F780" s="16"/>
      <c r="G780" s="16"/>
      <c r="H780" s="16"/>
      <c r="K780" s="16"/>
    </row>
    <row r="781">
      <c r="B781" s="16"/>
      <c r="C781" s="16"/>
      <c r="D781" s="16"/>
      <c r="E781" s="16"/>
      <c r="F781" s="16"/>
      <c r="G781" s="16"/>
      <c r="H781" s="16"/>
      <c r="K781" s="16"/>
    </row>
    <row r="782">
      <c r="B782" s="16"/>
      <c r="C782" s="16"/>
      <c r="D782" s="16"/>
      <c r="E782" s="16"/>
      <c r="F782" s="16"/>
      <c r="G782" s="16"/>
      <c r="H782" s="16"/>
      <c r="K782" s="16"/>
    </row>
    <row r="783">
      <c r="B783" s="16"/>
      <c r="C783" s="16"/>
      <c r="D783" s="16"/>
      <c r="E783" s="16"/>
      <c r="F783" s="16"/>
      <c r="G783" s="16"/>
      <c r="H783" s="16"/>
      <c r="K783" s="16"/>
    </row>
    <row r="784">
      <c r="B784" s="16"/>
      <c r="C784" s="16"/>
      <c r="D784" s="16"/>
      <c r="E784" s="16"/>
      <c r="F784" s="16"/>
      <c r="G784" s="16"/>
      <c r="H784" s="16"/>
      <c r="K784" s="16"/>
    </row>
    <row r="785">
      <c r="B785" s="16"/>
      <c r="C785" s="16"/>
      <c r="D785" s="16"/>
      <c r="E785" s="16"/>
      <c r="F785" s="16"/>
      <c r="G785" s="16"/>
      <c r="H785" s="16"/>
      <c r="K785" s="16"/>
    </row>
    <row r="786">
      <c r="B786" s="16"/>
      <c r="C786" s="16"/>
      <c r="D786" s="16"/>
      <c r="E786" s="16"/>
      <c r="F786" s="16"/>
      <c r="G786" s="16"/>
      <c r="H786" s="16"/>
      <c r="K786" s="16"/>
    </row>
    <row r="787">
      <c r="B787" s="16"/>
      <c r="C787" s="16"/>
      <c r="D787" s="16"/>
      <c r="E787" s="16"/>
      <c r="F787" s="16"/>
      <c r="G787" s="16"/>
      <c r="H787" s="16"/>
      <c r="K787" s="16"/>
    </row>
    <row r="788">
      <c r="B788" s="16"/>
      <c r="C788" s="16"/>
      <c r="D788" s="16"/>
      <c r="E788" s="16"/>
      <c r="F788" s="16"/>
      <c r="G788" s="16"/>
      <c r="H788" s="16"/>
      <c r="K788" s="16"/>
    </row>
    <row r="789">
      <c r="B789" s="16"/>
      <c r="C789" s="16"/>
      <c r="D789" s="16"/>
      <c r="E789" s="16"/>
      <c r="F789" s="16"/>
      <c r="G789" s="16"/>
      <c r="H789" s="16"/>
      <c r="K789" s="16"/>
    </row>
    <row r="790">
      <c r="B790" s="16"/>
      <c r="C790" s="16"/>
      <c r="D790" s="16"/>
      <c r="E790" s="16"/>
      <c r="F790" s="16"/>
      <c r="G790" s="16"/>
      <c r="H790" s="16"/>
      <c r="K790" s="16"/>
    </row>
    <row r="791">
      <c r="B791" s="16"/>
      <c r="C791" s="16"/>
      <c r="D791" s="16"/>
      <c r="E791" s="16"/>
      <c r="F791" s="16"/>
      <c r="G791" s="16"/>
      <c r="H791" s="16"/>
      <c r="K791" s="16"/>
    </row>
    <row r="792">
      <c r="B792" s="16"/>
      <c r="C792" s="16"/>
      <c r="D792" s="16"/>
      <c r="E792" s="16"/>
      <c r="F792" s="16"/>
      <c r="G792" s="16"/>
      <c r="H792" s="16"/>
      <c r="K792" s="16"/>
    </row>
    <row r="793">
      <c r="B793" s="16"/>
      <c r="C793" s="16"/>
      <c r="D793" s="16"/>
      <c r="E793" s="16"/>
      <c r="F793" s="16"/>
      <c r="G793" s="16"/>
      <c r="H793" s="16"/>
      <c r="K793" s="16"/>
    </row>
    <row r="794">
      <c r="B794" s="16"/>
      <c r="C794" s="16"/>
      <c r="D794" s="16"/>
      <c r="E794" s="16"/>
      <c r="F794" s="16"/>
      <c r="G794" s="16"/>
      <c r="H794" s="16"/>
      <c r="K794" s="16"/>
    </row>
    <row r="795">
      <c r="B795" s="16"/>
      <c r="C795" s="16"/>
      <c r="D795" s="16"/>
      <c r="E795" s="16"/>
      <c r="F795" s="16"/>
      <c r="G795" s="16"/>
      <c r="H795" s="16"/>
      <c r="K795" s="16"/>
    </row>
    <row r="796">
      <c r="B796" s="16"/>
      <c r="C796" s="16"/>
      <c r="D796" s="16"/>
      <c r="E796" s="16"/>
      <c r="F796" s="16"/>
      <c r="G796" s="16"/>
      <c r="H796" s="16"/>
      <c r="K796" s="16"/>
    </row>
    <row r="797">
      <c r="B797" s="16"/>
      <c r="C797" s="16"/>
      <c r="D797" s="16"/>
      <c r="E797" s="16"/>
      <c r="F797" s="16"/>
      <c r="G797" s="16"/>
      <c r="H797" s="16"/>
      <c r="K797" s="16"/>
    </row>
    <row r="798">
      <c r="B798" s="16"/>
      <c r="C798" s="16"/>
      <c r="D798" s="16"/>
      <c r="E798" s="16"/>
      <c r="F798" s="16"/>
      <c r="G798" s="16"/>
      <c r="H798" s="16"/>
      <c r="K798" s="16"/>
    </row>
    <row r="799">
      <c r="B799" s="16"/>
      <c r="C799" s="16"/>
      <c r="D799" s="16"/>
      <c r="E799" s="16"/>
      <c r="F799" s="16"/>
      <c r="G799" s="16"/>
      <c r="H799" s="16"/>
      <c r="K799" s="16"/>
    </row>
    <row r="800">
      <c r="B800" s="16"/>
      <c r="C800" s="16"/>
      <c r="D800" s="16"/>
      <c r="E800" s="16"/>
      <c r="F800" s="16"/>
      <c r="G800" s="16"/>
      <c r="H800" s="16"/>
      <c r="K800" s="16"/>
    </row>
    <row r="801">
      <c r="B801" s="16"/>
      <c r="C801" s="16"/>
      <c r="D801" s="16"/>
      <c r="E801" s="16"/>
      <c r="F801" s="16"/>
      <c r="G801" s="16"/>
      <c r="H801" s="16"/>
      <c r="K801" s="16"/>
    </row>
    <row r="802">
      <c r="B802" s="16"/>
      <c r="C802" s="16"/>
      <c r="D802" s="16"/>
      <c r="E802" s="16"/>
      <c r="F802" s="16"/>
      <c r="G802" s="16"/>
      <c r="H802" s="16"/>
      <c r="K802" s="16"/>
    </row>
    <row r="803">
      <c r="B803" s="16"/>
      <c r="C803" s="16"/>
      <c r="D803" s="16"/>
      <c r="E803" s="16"/>
      <c r="F803" s="16"/>
      <c r="G803" s="16"/>
      <c r="H803" s="16"/>
      <c r="K803" s="16"/>
    </row>
    <row r="804">
      <c r="B804" s="16"/>
      <c r="C804" s="16"/>
      <c r="D804" s="16"/>
      <c r="E804" s="16"/>
      <c r="F804" s="16"/>
      <c r="G804" s="16"/>
      <c r="H804" s="16"/>
      <c r="K804" s="16"/>
    </row>
    <row r="805">
      <c r="B805" s="16"/>
      <c r="C805" s="16"/>
      <c r="D805" s="16"/>
      <c r="E805" s="16"/>
      <c r="F805" s="16"/>
      <c r="G805" s="16"/>
      <c r="H805" s="16"/>
      <c r="K805" s="16"/>
    </row>
    <row r="806">
      <c r="B806" s="16"/>
      <c r="C806" s="16"/>
      <c r="D806" s="16"/>
      <c r="E806" s="16"/>
      <c r="F806" s="16"/>
      <c r="G806" s="16"/>
      <c r="H806" s="16"/>
      <c r="K806" s="16"/>
    </row>
    <row r="807">
      <c r="B807" s="16"/>
      <c r="C807" s="16"/>
      <c r="D807" s="16"/>
      <c r="E807" s="16"/>
      <c r="F807" s="16"/>
      <c r="G807" s="16"/>
      <c r="H807" s="16"/>
      <c r="K807" s="16"/>
    </row>
    <row r="808">
      <c r="B808" s="16"/>
      <c r="C808" s="16"/>
      <c r="D808" s="16"/>
      <c r="E808" s="16"/>
      <c r="F808" s="16"/>
      <c r="G808" s="16"/>
      <c r="H808" s="16"/>
      <c r="K808" s="16"/>
    </row>
    <row r="809">
      <c r="B809" s="16"/>
      <c r="C809" s="16"/>
      <c r="D809" s="16"/>
      <c r="E809" s="16"/>
      <c r="F809" s="16"/>
      <c r="G809" s="16"/>
      <c r="H809" s="16"/>
      <c r="K809" s="16"/>
    </row>
    <row r="810">
      <c r="B810" s="16"/>
      <c r="C810" s="16"/>
      <c r="D810" s="16"/>
      <c r="E810" s="16"/>
      <c r="F810" s="16"/>
      <c r="G810" s="16"/>
      <c r="H810" s="16"/>
      <c r="K810" s="16"/>
    </row>
    <row r="811">
      <c r="B811" s="16"/>
      <c r="C811" s="16"/>
      <c r="D811" s="16"/>
      <c r="E811" s="16"/>
      <c r="F811" s="16"/>
      <c r="G811" s="16"/>
      <c r="H811" s="16"/>
      <c r="K811" s="16"/>
    </row>
    <row r="812">
      <c r="B812" s="16"/>
      <c r="C812" s="16"/>
      <c r="D812" s="16"/>
      <c r="E812" s="16"/>
      <c r="F812" s="16"/>
      <c r="G812" s="16"/>
      <c r="H812" s="16"/>
      <c r="K812" s="16"/>
    </row>
    <row r="813">
      <c r="B813" s="16"/>
      <c r="C813" s="16"/>
      <c r="D813" s="16"/>
      <c r="E813" s="16"/>
      <c r="F813" s="16"/>
      <c r="G813" s="16"/>
      <c r="H813" s="16"/>
      <c r="K813" s="16"/>
    </row>
    <row r="814">
      <c r="B814" s="16"/>
      <c r="C814" s="16"/>
      <c r="D814" s="16"/>
      <c r="E814" s="16"/>
      <c r="F814" s="16"/>
      <c r="G814" s="16"/>
      <c r="H814" s="16"/>
      <c r="K814" s="16"/>
    </row>
    <row r="815">
      <c r="B815" s="16"/>
      <c r="C815" s="16"/>
      <c r="D815" s="16"/>
      <c r="E815" s="16"/>
      <c r="F815" s="16"/>
      <c r="G815" s="16"/>
      <c r="H815" s="16"/>
      <c r="K815" s="16"/>
    </row>
    <row r="816">
      <c r="B816" s="16"/>
      <c r="C816" s="16"/>
      <c r="D816" s="16"/>
      <c r="E816" s="16"/>
      <c r="F816" s="16"/>
      <c r="G816" s="16"/>
      <c r="H816" s="16"/>
      <c r="K816" s="16"/>
    </row>
    <row r="817">
      <c r="B817" s="16"/>
      <c r="C817" s="16"/>
      <c r="D817" s="16"/>
      <c r="E817" s="16"/>
      <c r="F817" s="16"/>
      <c r="G817" s="16"/>
      <c r="H817" s="16"/>
      <c r="K817" s="16"/>
    </row>
    <row r="818">
      <c r="B818" s="16"/>
      <c r="C818" s="16"/>
      <c r="D818" s="16"/>
      <c r="E818" s="16"/>
      <c r="F818" s="16"/>
      <c r="G818" s="16"/>
      <c r="H818" s="16"/>
      <c r="K818" s="16"/>
    </row>
    <row r="819">
      <c r="B819" s="16"/>
      <c r="C819" s="16"/>
      <c r="D819" s="16"/>
      <c r="E819" s="16"/>
      <c r="F819" s="16"/>
      <c r="G819" s="16"/>
      <c r="H819" s="16"/>
      <c r="K819" s="16"/>
    </row>
    <row r="820">
      <c r="B820" s="16"/>
      <c r="C820" s="16"/>
      <c r="D820" s="16"/>
      <c r="E820" s="16"/>
      <c r="F820" s="16"/>
      <c r="G820" s="16"/>
      <c r="H820" s="16"/>
      <c r="K820" s="16"/>
    </row>
    <row r="821">
      <c r="B821" s="16"/>
      <c r="C821" s="16"/>
      <c r="D821" s="16"/>
      <c r="E821" s="16"/>
      <c r="F821" s="16"/>
      <c r="G821" s="16"/>
      <c r="H821" s="16"/>
      <c r="K821" s="16"/>
    </row>
    <row r="822">
      <c r="B822" s="16"/>
      <c r="C822" s="16"/>
      <c r="D822" s="16"/>
      <c r="E822" s="16"/>
      <c r="F822" s="16"/>
      <c r="G822" s="16"/>
      <c r="H822" s="16"/>
      <c r="K822" s="16"/>
    </row>
    <row r="823">
      <c r="B823" s="16"/>
      <c r="C823" s="16"/>
      <c r="D823" s="16"/>
      <c r="E823" s="16"/>
      <c r="F823" s="16"/>
      <c r="G823" s="16"/>
      <c r="H823" s="16"/>
      <c r="K823" s="16"/>
    </row>
    <row r="824">
      <c r="B824" s="16"/>
      <c r="C824" s="16"/>
      <c r="D824" s="16"/>
      <c r="E824" s="16"/>
      <c r="F824" s="16"/>
      <c r="G824" s="16"/>
      <c r="H824" s="16"/>
      <c r="K824" s="16"/>
    </row>
    <row r="825">
      <c r="B825" s="16"/>
      <c r="C825" s="16"/>
      <c r="D825" s="16"/>
      <c r="E825" s="16"/>
      <c r="F825" s="16"/>
      <c r="G825" s="16"/>
      <c r="H825" s="16"/>
      <c r="K825" s="16"/>
    </row>
    <row r="826">
      <c r="B826" s="16"/>
      <c r="C826" s="16"/>
      <c r="D826" s="16"/>
      <c r="E826" s="16"/>
      <c r="F826" s="16"/>
      <c r="G826" s="16"/>
      <c r="H826" s="16"/>
      <c r="K826" s="16"/>
    </row>
    <row r="827">
      <c r="B827" s="16"/>
      <c r="C827" s="16"/>
      <c r="D827" s="16"/>
      <c r="E827" s="16"/>
      <c r="F827" s="16"/>
      <c r="G827" s="16"/>
      <c r="H827" s="16"/>
      <c r="K827" s="16"/>
    </row>
    <row r="828">
      <c r="B828" s="16"/>
      <c r="C828" s="16"/>
      <c r="D828" s="16"/>
      <c r="E828" s="16"/>
      <c r="F828" s="16"/>
      <c r="G828" s="16"/>
      <c r="H828" s="16"/>
      <c r="K828" s="16"/>
    </row>
    <row r="829">
      <c r="B829" s="16"/>
      <c r="C829" s="16"/>
      <c r="D829" s="16"/>
      <c r="E829" s="16"/>
      <c r="F829" s="16"/>
      <c r="G829" s="16"/>
      <c r="H829" s="16"/>
      <c r="K829" s="16"/>
    </row>
    <row r="830">
      <c r="B830" s="16"/>
      <c r="C830" s="16"/>
      <c r="D830" s="16"/>
      <c r="E830" s="16"/>
      <c r="F830" s="16"/>
      <c r="G830" s="16"/>
      <c r="H830" s="16"/>
      <c r="K830" s="16"/>
    </row>
    <row r="831">
      <c r="B831" s="16"/>
      <c r="C831" s="16"/>
      <c r="D831" s="16"/>
      <c r="E831" s="16"/>
      <c r="F831" s="16"/>
      <c r="G831" s="16"/>
      <c r="H831" s="16"/>
      <c r="K831" s="16"/>
    </row>
    <row r="832">
      <c r="B832" s="16"/>
      <c r="C832" s="16"/>
      <c r="D832" s="16"/>
      <c r="E832" s="16"/>
      <c r="F832" s="16"/>
      <c r="G832" s="16"/>
      <c r="H832" s="16"/>
      <c r="K832" s="16"/>
    </row>
    <row r="833">
      <c r="B833" s="16"/>
      <c r="C833" s="16"/>
      <c r="D833" s="16"/>
      <c r="E833" s="16"/>
      <c r="F833" s="16"/>
      <c r="G833" s="16"/>
      <c r="H833" s="16"/>
      <c r="K833" s="16"/>
    </row>
    <row r="834">
      <c r="B834" s="16"/>
      <c r="C834" s="16"/>
      <c r="D834" s="16"/>
      <c r="E834" s="16"/>
      <c r="F834" s="16"/>
      <c r="G834" s="16"/>
      <c r="H834" s="16"/>
      <c r="K834" s="16"/>
    </row>
    <row r="835">
      <c r="B835" s="16"/>
      <c r="C835" s="16"/>
      <c r="D835" s="16"/>
      <c r="E835" s="16"/>
      <c r="F835" s="16"/>
      <c r="G835" s="16"/>
      <c r="H835" s="16"/>
      <c r="K835" s="16"/>
    </row>
    <row r="836">
      <c r="B836" s="16"/>
      <c r="C836" s="16"/>
      <c r="D836" s="16"/>
      <c r="E836" s="16"/>
      <c r="F836" s="16"/>
      <c r="G836" s="16"/>
      <c r="H836" s="16"/>
      <c r="K836" s="16"/>
    </row>
    <row r="837">
      <c r="B837" s="16"/>
      <c r="C837" s="16"/>
      <c r="D837" s="16"/>
      <c r="E837" s="16"/>
      <c r="F837" s="16"/>
      <c r="G837" s="16"/>
      <c r="H837" s="16"/>
      <c r="K837" s="16"/>
    </row>
    <row r="838">
      <c r="B838" s="16"/>
      <c r="C838" s="16"/>
      <c r="D838" s="16"/>
      <c r="E838" s="16"/>
      <c r="F838" s="16"/>
      <c r="G838" s="16"/>
      <c r="H838" s="16"/>
      <c r="K838" s="16"/>
    </row>
    <row r="839">
      <c r="B839" s="16"/>
      <c r="C839" s="16"/>
      <c r="D839" s="16"/>
      <c r="E839" s="16"/>
      <c r="F839" s="16"/>
      <c r="G839" s="16"/>
      <c r="H839" s="16"/>
      <c r="K839" s="16"/>
    </row>
    <row r="840">
      <c r="B840" s="16"/>
      <c r="C840" s="16"/>
      <c r="D840" s="16"/>
      <c r="E840" s="16"/>
      <c r="F840" s="16"/>
      <c r="G840" s="16"/>
      <c r="H840" s="16"/>
      <c r="K840" s="16"/>
    </row>
    <row r="841">
      <c r="B841" s="16"/>
      <c r="C841" s="16"/>
      <c r="D841" s="16"/>
      <c r="E841" s="16"/>
      <c r="F841" s="16"/>
      <c r="G841" s="16"/>
      <c r="H841" s="16"/>
      <c r="K841" s="16"/>
    </row>
    <row r="842">
      <c r="B842" s="16"/>
      <c r="C842" s="16"/>
      <c r="D842" s="16"/>
      <c r="E842" s="16"/>
      <c r="F842" s="16"/>
      <c r="G842" s="16"/>
      <c r="H842" s="16"/>
      <c r="K842" s="16"/>
    </row>
    <row r="843">
      <c r="B843" s="16"/>
      <c r="C843" s="16"/>
      <c r="D843" s="16"/>
      <c r="E843" s="16"/>
      <c r="F843" s="16"/>
      <c r="G843" s="16"/>
      <c r="H843" s="16"/>
      <c r="K843" s="16"/>
    </row>
    <row r="844">
      <c r="B844" s="16"/>
      <c r="C844" s="16"/>
      <c r="D844" s="16"/>
      <c r="E844" s="16"/>
      <c r="F844" s="16"/>
      <c r="G844" s="16"/>
      <c r="H844" s="16"/>
      <c r="K844" s="16"/>
    </row>
    <row r="845">
      <c r="B845" s="16"/>
      <c r="C845" s="16"/>
      <c r="D845" s="16"/>
      <c r="E845" s="16"/>
      <c r="F845" s="16"/>
      <c r="G845" s="16"/>
      <c r="H845" s="16"/>
      <c r="K845" s="16"/>
    </row>
    <row r="846">
      <c r="B846" s="16"/>
      <c r="C846" s="16"/>
      <c r="D846" s="16"/>
      <c r="E846" s="16"/>
      <c r="F846" s="16"/>
      <c r="G846" s="16"/>
      <c r="H846" s="16"/>
      <c r="K846" s="16"/>
    </row>
    <row r="847">
      <c r="B847" s="16"/>
      <c r="C847" s="16"/>
      <c r="D847" s="16"/>
      <c r="E847" s="16"/>
      <c r="F847" s="16"/>
      <c r="G847" s="16"/>
      <c r="H847" s="16"/>
      <c r="K847" s="16"/>
    </row>
    <row r="848">
      <c r="B848" s="16"/>
      <c r="C848" s="16"/>
      <c r="D848" s="16"/>
      <c r="E848" s="16"/>
      <c r="F848" s="16"/>
      <c r="G848" s="16"/>
      <c r="H848" s="16"/>
      <c r="K848" s="16"/>
    </row>
    <row r="849">
      <c r="B849" s="16"/>
      <c r="C849" s="16"/>
      <c r="D849" s="16"/>
      <c r="E849" s="16"/>
      <c r="F849" s="16"/>
      <c r="G849" s="16"/>
      <c r="H849" s="16"/>
      <c r="K849" s="16"/>
    </row>
    <row r="850">
      <c r="B850" s="16"/>
      <c r="C850" s="16"/>
      <c r="D850" s="16"/>
      <c r="E850" s="16"/>
      <c r="F850" s="16"/>
      <c r="G850" s="16"/>
      <c r="H850" s="16"/>
      <c r="K850" s="16"/>
    </row>
    <row r="851">
      <c r="B851" s="16"/>
      <c r="C851" s="16"/>
      <c r="D851" s="16"/>
      <c r="E851" s="16"/>
      <c r="F851" s="16"/>
      <c r="G851" s="16"/>
      <c r="H851" s="16"/>
      <c r="K851" s="16"/>
    </row>
    <row r="852">
      <c r="B852" s="16"/>
      <c r="C852" s="16"/>
      <c r="D852" s="16"/>
      <c r="E852" s="16"/>
      <c r="F852" s="16"/>
      <c r="G852" s="16"/>
      <c r="H852" s="16"/>
      <c r="K852" s="16"/>
    </row>
    <row r="853">
      <c r="B853" s="16"/>
      <c r="C853" s="16"/>
      <c r="D853" s="16"/>
      <c r="E853" s="16"/>
      <c r="F853" s="16"/>
      <c r="G853" s="16"/>
      <c r="H853" s="16"/>
      <c r="K853" s="16"/>
    </row>
    <row r="854">
      <c r="B854" s="16"/>
      <c r="C854" s="16"/>
      <c r="D854" s="16"/>
      <c r="E854" s="16"/>
      <c r="F854" s="16"/>
      <c r="G854" s="16"/>
      <c r="H854" s="16"/>
      <c r="K854" s="16"/>
    </row>
    <row r="855">
      <c r="B855" s="16"/>
      <c r="C855" s="16"/>
      <c r="D855" s="16"/>
      <c r="E855" s="16"/>
      <c r="F855" s="16"/>
      <c r="G855" s="16"/>
      <c r="H855" s="16"/>
      <c r="K855" s="16"/>
    </row>
    <row r="856">
      <c r="B856" s="16"/>
      <c r="C856" s="16"/>
      <c r="D856" s="16"/>
      <c r="E856" s="16"/>
      <c r="F856" s="16"/>
      <c r="G856" s="16"/>
      <c r="H856" s="16"/>
      <c r="K856" s="16"/>
    </row>
    <row r="857">
      <c r="B857" s="16"/>
      <c r="C857" s="16"/>
      <c r="D857" s="16"/>
      <c r="E857" s="16"/>
      <c r="F857" s="16"/>
      <c r="G857" s="16"/>
      <c r="H857" s="16"/>
      <c r="K857" s="16"/>
    </row>
    <row r="858">
      <c r="B858" s="16"/>
      <c r="C858" s="16"/>
      <c r="D858" s="16"/>
      <c r="E858" s="16"/>
      <c r="F858" s="16"/>
      <c r="G858" s="16"/>
      <c r="H858" s="16"/>
      <c r="K858" s="16"/>
    </row>
    <row r="859">
      <c r="B859" s="16"/>
      <c r="C859" s="16"/>
      <c r="D859" s="16"/>
      <c r="E859" s="16"/>
      <c r="F859" s="16"/>
      <c r="G859" s="16"/>
      <c r="H859" s="16"/>
      <c r="K859" s="16"/>
    </row>
    <row r="860">
      <c r="B860" s="16"/>
      <c r="C860" s="16"/>
      <c r="D860" s="16"/>
      <c r="E860" s="16"/>
      <c r="F860" s="16"/>
      <c r="G860" s="16"/>
      <c r="H860" s="16"/>
      <c r="K860" s="16"/>
    </row>
    <row r="861">
      <c r="B861" s="16"/>
      <c r="C861" s="16"/>
      <c r="D861" s="16"/>
      <c r="E861" s="16"/>
      <c r="F861" s="16"/>
      <c r="G861" s="16"/>
      <c r="H861" s="16"/>
      <c r="K861" s="16"/>
    </row>
    <row r="862">
      <c r="B862" s="16"/>
      <c r="C862" s="16"/>
      <c r="D862" s="16"/>
      <c r="E862" s="16"/>
      <c r="F862" s="16"/>
      <c r="G862" s="16"/>
      <c r="H862" s="16"/>
      <c r="K862" s="16"/>
    </row>
    <row r="863">
      <c r="B863" s="16"/>
      <c r="C863" s="16"/>
      <c r="D863" s="16"/>
      <c r="E863" s="16"/>
      <c r="F863" s="16"/>
      <c r="G863" s="16"/>
      <c r="H863" s="16"/>
      <c r="K863" s="16"/>
    </row>
    <row r="864">
      <c r="B864" s="16"/>
      <c r="C864" s="16"/>
      <c r="D864" s="16"/>
      <c r="E864" s="16"/>
      <c r="F864" s="16"/>
      <c r="G864" s="16"/>
      <c r="H864" s="16"/>
      <c r="K864" s="16"/>
    </row>
    <row r="865">
      <c r="B865" s="16"/>
      <c r="C865" s="16"/>
      <c r="D865" s="16"/>
      <c r="E865" s="16"/>
      <c r="F865" s="16"/>
      <c r="G865" s="16"/>
      <c r="H865" s="16"/>
      <c r="K865" s="16"/>
    </row>
    <row r="866">
      <c r="B866" s="16"/>
      <c r="C866" s="16"/>
      <c r="D866" s="16"/>
      <c r="E866" s="16"/>
      <c r="F866" s="16"/>
      <c r="G866" s="16"/>
      <c r="H866" s="16"/>
      <c r="K866" s="16"/>
    </row>
    <row r="867">
      <c r="B867" s="16"/>
      <c r="C867" s="16"/>
      <c r="D867" s="16"/>
      <c r="E867" s="16"/>
      <c r="F867" s="16"/>
      <c r="G867" s="16"/>
      <c r="H867" s="16"/>
      <c r="K867" s="16"/>
    </row>
    <row r="868">
      <c r="B868" s="16"/>
      <c r="C868" s="16"/>
      <c r="D868" s="16"/>
      <c r="E868" s="16"/>
      <c r="F868" s="16"/>
      <c r="G868" s="16"/>
      <c r="H868" s="16"/>
      <c r="K868" s="16"/>
    </row>
    <row r="869">
      <c r="B869" s="16"/>
      <c r="C869" s="16"/>
      <c r="D869" s="16"/>
      <c r="E869" s="16"/>
      <c r="F869" s="16"/>
      <c r="G869" s="16"/>
      <c r="H869" s="16"/>
      <c r="K869" s="16"/>
    </row>
    <row r="870">
      <c r="B870" s="16"/>
      <c r="C870" s="16"/>
      <c r="D870" s="16"/>
      <c r="E870" s="16"/>
      <c r="F870" s="16"/>
      <c r="G870" s="16"/>
      <c r="H870" s="16"/>
      <c r="K870" s="16"/>
    </row>
    <row r="871">
      <c r="B871" s="16"/>
      <c r="C871" s="16"/>
      <c r="D871" s="16"/>
      <c r="E871" s="16"/>
      <c r="F871" s="16"/>
      <c r="G871" s="16"/>
      <c r="H871" s="16"/>
      <c r="K871" s="16"/>
    </row>
    <row r="872">
      <c r="B872" s="16"/>
      <c r="C872" s="16"/>
      <c r="D872" s="16"/>
      <c r="E872" s="16"/>
      <c r="F872" s="16"/>
      <c r="G872" s="16"/>
      <c r="H872" s="16"/>
      <c r="K872" s="16"/>
    </row>
    <row r="873">
      <c r="B873" s="16"/>
      <c r="C873" s="16"/>
      <c r="D873" s="16"/>
      <c r="E873" s="16"/>
      <c r="F873" s="16"/>
      <c r="G873" s="16"/>
      <c r="H873" s="16"/>
      <c r="K873" s="16"/>
    </row>
    <row r="874">
      <c r="B874" s="16"/>
      <c r="C874" s="16"/>
      <c r="D874" s="16"/>
      <c r="E874" s="16"/>
      <c r="F874" s="16"/>
      <c r="G874" s="16"/>
      <c r="H874" s="16"/>
      <c r="K874" s="16"/>
    </row>
    <row r="875">
      <c r="B875" s="16"/>
      <c r="C875" s="16"/>
      <c r="D875" s="16"/>
      <c r="E875" s="16"/>
      <c r="F875" s="16"/>
      <c r="G875" s="16"/>
      <c r="H875" s="16"/>
      <c r="K875" s="16"/>
    </row>
    <row r="876">
      <c r="B876" s="16"/>
      <c r="C876" s="16"/>
      <c r="D876" s="16"/>
      <c r="E876" s="16"/>
      <c r="F876" s="16"/>
      <c r="G876" s="16"/>
      <c r="H876" s="16"/>
      <c r="K876" s="16"/>
    </row>
    <row r="877">
      <c r="B877" s="16"/>
      <c r="C877" s="16"/>
      <c r="D877" s="16"/>
      <c r="E877" s="16"/>
      <c r="F877" s="16"/>
      <c r="G877" s="16"/>
      <c r="H877" s="16"/>
      <c r="K877" s="16"/>
    </row>
    <row r="878">
      <c r="B878" s="16"/>
      <c r="C878" s="16"/>
      <c r="D878" s="16"/>
      <c r="E878" s="16"/>
      <c r="F878" s="16"/>
      <c r="G878" s="16"/>
      <c r="H878" s="16"/>
      <c r="K878" s="16"/>
    </row>
    <row r="879">
      <c r="B879" s="16"/>
      <c r="C879" s="16"/>
      <c r="D879" s="16"/>
      <c r="E879" s="16"/>
      <c r="F879" s="16"/>
      <c r="G879" s="16"/>
      <c r="H879" s="16"/>
      <c r="K879" s="16"/>
    </row>
    <row r="880">
      <c r="B880" s="16"/>
      <c r="C880" s="16"/>
      <c r="D880" s="16"/>
      <c r="E880" s="16"/>
      <c r="F880" s="16"/>
      <c r="G880" s="16"/>
      <c r="H880" s="16"/>
      <c r="K880" s="16"/>
    </row>
    <row r="881">
      <c r="B881" s="16"/>
      <c r="C881" s="16"/>
      <c r="D881" s="16"/>
      <c r="E881" s="16"/>
      <c r="F881" s="16"/>
      <c r="G881" s="16"/>
      <c r="H881" s="16"/>
      <c r="K881" s="16"/>
    </row>
    <row r="882">
      <c r="B882" s="16"/>
      <c r="C882" s="16"/>
      <c r="D882" s="16"/>
      <c r="E882" s="16"/>
      <c r="F882" s="16"/>
      <c r="G882" s="16"/>
      <c r="H882" s="16"/>
      <c r="K882" s="16"/>
    </row>
    <row r="883">
      <c r="B883" s="16"/>
      <c r="C883" s="16"/>
      <c r="D883" s="16"/>
      <c r="E883" s="16"/>
      <c r="F883" s="16"/>
      <c r="G883" s="16"/>
      <c r="H883" s="16"/>
      <c r="K883" s="16"/>
    </row>
    <row r="884">
      <c r="B884" s="16"/>
      <c r="C884" s="16"/>
      <c r="D884" s="16"/>
      <c r="E884" s="16"/>
      <c r="F884" s="16"/>
      <c r="G884" s="16"/>
      <c r="H884" s="16"/>
      <c r="K884" s="16"/>
    </row>
    <row r="885">
      <c r="B885" s="16"/>
      <c r="C885" s="16"/>
      <c r="D885" s="16"/>
      <c r="E885" s="16"/>
      <c r="F885" s="16"/>
      <c r="G885" s="16"/>
      <c r="H885" s="16"/>
      <c r="K885" s="16"/>
    </row>
    <row r="886">
      <c r="B886" s="16"/>
      <c r="C886" s="16"/>
      <c r="D886" s="16"/>
      <c r="E886" s="16"/>
      <c r="F886" s="16"/>
      <c r="G886" s="16"/>
      <c r="H886" s="16"/>
      <c r="K886" s="16"/>
    </row>
    <row r="887">
      <c r="B887" s="16"/>
      <c r="C887" s="16"/>
      <c r="D887" s="16"/>
      <c r="E887" s="16"/>
      <c r="F887" s="16"/>
      <c r="G887" s="16"/>
      <c r="H887" s="16"/>
      <c r="K887" s="16"/>
    </row>
    <row r="888">
      <c r="B888" s="16"/>
      <c r="C888" s="16"/>
      <c r="D888" s="16"/>
      <c r="E888" s="16"/>
      <c r="F888" s="16"/>
      <c r="G888" s="16"/>
      <c r="H888" s="16"/>
      <c r="K888" s="16"/>
    </row>
    <row r="889">
      <c r="B889" s="16"/>
      <c r="C889" s="16"/>
      <c r="D889" s="16"/>
      <c r="E889" s="16"/>
      <c r="F889" s="16"/>
      <c r="G889" s="16"/>
      <c r="H889" s="16"/>
      <c r="K889" s="16"/>
    </row>
    <row r="890">
      <c r="B890" s="16"/>
      <c r="C890" s="16"/>
      <c r="D890" s="16"/>
      <c r="E890" s="16"/>
      <c r="F890" s="16"/>
      <c r="G890" s="16"/>
      <c r="H890" s="16"/>
      <c r="K890" s="16"/>
    </row>
    <row r="891">
      <c r="B891" s="16"/>
      <c r="C891" s="16"/>
      <c r="D891" s="16"/>
      <c r="E891" s="16"/>
      <c r="F891" s="16"/>
      <c r="G891" s="16"/>
      <c r="H891" s="16"/>
      <c r="K891" s="16"/>
    </row>
    <row r="892">
      <c r="B892" s="16"/>
      <c r="C892" s="16"/>
      <c r="D892" s="16"/>
      <c r="E892" s="16"/>
      <c r="F892" s="16"/>
      <c r="G892" s="16"/>
      <c r="H892" s="16"/>
      <c r="K892" s="16"/>
    </row>
    <row r="893">
      <c r="B893" s="16"/>
      <c r="C893" s="16"/>
      <c r="D893" s="16"/>
      <c r="E893" s="16"/>
      <c r="F893" s="16"/>
      <c r="G893" s="16"/>
      <c r="H893" s="16"/>
      <c r="K893" s="16"/>
    </row>
    <row r="894">
      <c r="B894" s="16"/>
      <c r="C894" s="16"/>
      <c r="D894" s="16"/>
      <c r="E894" s="16"/>
      <c r="F894" s="16"/>
      <c r="G894" s="16"/>
      <c r="H894" s="16"/>
      <c r="K894" s="16"/>
    </row>
    <row r="895">
      <c r="B895" s="16"/>
      <c r="C895" s="16"/>
      <c r="D895" s="16"/>
      <c r="E895" s="16"/>
      <c r="F895" s="16"/>
      <c r="G895" s="16"/>
      <c r="H895" s="16"/>
      <c r="K895" s="16"/>
    </row>
    <row r="896">
      <c r="B896" s="16"/>
      <c r="C896" s="16"/>
      <c r="D896" s="16"/>
      <c r="E896" s="16"/>
      <c r="F896" s="16"/>
      <c r="G896" s="16"/>
      <c r="H896" s="16"/>
      <c r="K896" s="16"/>
    </row>
    <row r="897">
      <c r="B897" s="16"/>
      <c r="C897" s="16"/>
      <c r="D897" s="16"/>
      <c r="E897" s="16"/>
      <c r="F897" s="16"/>
      <c r="G897" s="16"/>
      <c r="H897" s="16"/>
      <c r="K897" s="16"/>
    </row>
    <row r="898">
      <c r="B898" s="16"/>
      <c r="C898" s="16"/>
      <c r="D898" s="16"/>
      <c r="E898" s="16"/>
      <c r="F898" s="16"/>
      <c r="G898" s="16"/>
      <c r="H898" s="16"/>
      <c r="K898" s="16"/>
    </row>
    <row r="899">
      <c r="B899" s="16"/>
      <c r="C899" s="16"/>
      <c r="D899" s="16"/>
      <c r="E899" s="16"/>
      <c r="F899" s="16"/>
      <c r="G899" s="16"/>
      <c r="H899" s="16"/>
      <c r="K899" s="16"/>
    </row>
    <row r="900">
      <c r="B900" s="16"/>
      <c r="C900" s="16"/>
      <c r="D900" s="16"/>
      <c r="E900" s="16"/>
      <c r="F900" s="16"/>
      <c r="G900" s="16"/>
      <c r="H900" s="16"/>
      <c r="K900" s="16"/>
    </row>
    <row r="901">
      <c r="B901" s="16"/>
      <c r="C901" s="16"/>
      <c r="D901" s="16"/>
      <c r="E901" s="16"/>
      <c r="F901" s="16"/>
      <c r="G901" s="16"/>
      <c r="H901" s="16"/>
      <c r="K901" s="16"/>
    </row>
    <row r="902">
      <c r="B902" s="16"/>
      <c r="C902" s="16"/>
      <c r="D902" s="16"/>
      <c r="E902" s="16"/>
      <c r="F902" s="16"/>
      <c r="G902" s="16"/>
      <c r="H902" s="16"/>
      <c r="K902" s="16"/>
    </row>
    <row r="903">
      <c r="B903" s="16"/>
      <c r="C903" s="16"/>
      <c r="D903" s="16"/>
      <c r="E903" s="16"/>
      <c r="F903" s="16"/>
      <c r="G903" s="16"/>
      <c r="H903" s="16"/>
      <c r="K903" s="16"/>
    </row>
    <row r="904">
      <c r="B904" s="16"/>
      <c r="C904" s="16"/>
      <c r="D904" s="16"/>
      <c r="E904" s="16"/>
      <c r="F904" s="16"/>
      <c r="G904" s="16"/>
      <c r="H904" s="16"/>
      <c r="K904" s="16"/>
    </row>
    <row r="905">
      <c r="B905" s="16"/>
      <c r="C905" s="16"/>
      <c r="D905" s="16"/>
      <c r="E905" s="16"/>
      <c r="F905" s="16"/>
      <c r="G905" s="16"/>
      <c r="H905" s="16"/>
      <c r="K905" s="16"/>
    </row>
    <row r="906">
      <c r="B906" s="16"/>
      <c r="C906" s="16"/>
      <c r="D906" s="16"/>
      <c r="E906" s="16"/>
      <c r="F906" s="16"/>
      <c r="G906" s="16"/>
      <c r="H906" s="16"/>
      <c r="K906" s="16"/>
    </row>
    <row r="907">
      <c r="B907" s="16"/>
      <c r="C907" s="16"/>
      <c r="D907" s="16"/>
      <c r="E907" s="16"/>
      <c r="F907" s="16"/>
      <c r="G907" s="16"/>
      <c r="H907" s="16"/>
      <c r="K907" s="16"/>
    </row>
    <row r="908">
      <c r="B908" s="16"/>
      <c r="C908" s="16"/>
      <c r="D908" s="16"/>
      <c r="E908" s="16"/>
      <c r="F908" s="16"/>
      <c r="G908" s="16"/>
      <c r="H908" s="16"/>
      <c r="K908" s="16"/>
    </row>
    <row r="909">
      <c r="B909" s="16"/>
      <c r="C909" s="16"/>
      <c r="D909" s="16"/>
      <c r="E909" s="16"/>
      <c r="F909" s="16"/>
      <c r="G909" s="16"/>
      <c r="H909" s="16"/>
      <c r="K909" s="16"/>
    </row>
    <row r="910">
      <c r="B910" s="16"/>
      <c r="C910" s="16"/>
      <c r="D910" s="16"/>
      <c r="E910" s="16"/>
      <c r="F910" s="16"/>
      <c r="G910" s="16"/>
      <c r="H910" s="16"/>
      <c r="K910" s="16"/>
    </row>
    <row r="911">
      <c r="B911" s="16"/>
      <c r="C911" s="16"/>
      <c r="D911" s="16"/>
      <c r="E911" s="16"/>
      <c r="F911" s="16"/>
      <c r="G911" s="16"/>
      <c r="H911" s="16"/>
      <c r="K911" s="16"/>
    </row>
    <row r="912">
      <c r="B912" s="16"/>
      <c r="C912" s="16"/>
      <c r="D912" s="16"/>
      <c r="E912" s="16"/>
      <c r="F912" s="16"/>
      <c r="G912" s="16"/>
      <c r="H912" s="16"/>
      <c r="K912" s="16"/>
    </row>
    <row r="913">
      <c r="B913" s="16"/>
      <c r="C913" s="16"/>
      <c r="D913" s="16"/>
      <c r="E913" s="16"/>
      <c r="F913" s="16"/>
      <c r="G913" s="16"/>
      <c r="H913" s="16"/>
      <c r="K913" s="16"/>
    </row>
    <row r="914">
      <c r="B914" s="16"/>
      <c r="C914" s="16"/>
      <c r="D914" s="16"/>
      <c r="E914" s="16"/>
      <c r="F914" s="16"/>
      <c r="G914" s="16"/>
      <c r="H914" s="16"/>
      <c r="K914" s="16"/>
    </row>
    <row r="915">
      <c r="B915" s="16"/>
      <c r="C915" s="16"/>
      <c r="D915" s="16"/>
      <c r="E915" s="16"/>
      <c r="F915" s="16"/>
      <c r="G915" s="16"/>
      <c r="H915" s="16"/>
      <c r="K915" s="16"/>
    </row>
    <row r="916">
      <c r="B916" s="16"/>
      <c r="C916" s="16"/>
      <c r="D916" s="16"/>
      <c r="E916" s="16"/>
      <c r="F916" s="16"/>
      <c r="G916" s="16"/>
      <c r="H916" s="16"/>
      <c r="K916" s="16"/>
    </row>
    <row r="917">
      <c r="B917" s="16"/>
      <c r="C917" s="16"/>
      <c r="D917" s="16"/>
      <c r="E917" s="16"/>
      <c r="F917" s="16"/>
      <c r="G917" s="16"/>
      <c r="H917" s="16"/>
      <c r="K917" s="16"/>
    </row>
    <row r="918">
      <c r="B918" s="16"/>
      <c r="C918" s="16"/>
      <c r="D918" s="16"/>
      <c r="E918" s="16"/>
      <c r="F918" s="16"/>
      <c r="G918" s="16"/>
      <c r="H918" s="16"/>
      <c r="K918" s="16"/>
    </row>
    <row r="919">
      <c r="B919" s="16"/>
      <c r="C919" s="16"/>
      <c r="D919" s="16"/>
      <c r="E919" s="16"/>
      <c r="F919" s="16"/>
      <c r="G919" s="16"/>
      <c r="H919" s="16"/>
      <c r="K919" s="16"/>
    </row>
    <row r="920">
      <c r="B920" s="16"/>
      <c r="C920" s="16"/>
      <c r="D920" s="16"/>
      <c r="E920" s="16"/>
      <c r="F920" s="16"/>
      <c r="G920" s="16"/>
      <c r="H920" s="16"/>
      <c r="K920" s="16"/>
    </row>
    <row r="921">
      <c r="B921" s="16"/>
      <c r="C921" s="16"/>
      <c r="D921" s="16"/>
      <c r="E921" s="16"/>
      <c r="F921" s="16"/>
      <c r="G921" s="16"/>
      <c r="H921" s="16"/>
      <c r="K921" s="16"/>
    </row>
    <row r="922">
      <c r="B922" s="16"/>
      <c r="C922" s="16"/>
      <c r="D922" s="16"/>
      <c r="E922" s="16"/>
      <c r="F922" s="16"/>
      <c r="G922" s="16"/>
      <c r="H922" s="16"/>
      <c r="K922" s="16"/>
    </row>
    <row r="923">
      <c r="B923" s="16"/>
      <c r="C923" s="16"/>
      <c r="D923" s="16"/>
      <c r="E923" s="16"/>
      <c r="F923" s="16"/>
      <c r="G923" s="16"/>
      <c r="H923" s="16"/>
      <c r="K923" s="16"/>
    </row>
    <row r="924">
      <c r="B924" s="16"/>
      <c r="C924" s="16"/>
      <c r="D924" s="16"/>
      <c r="E924" s="16"/>
      <c r="F924" s="16"/>
      <c r="G924" s="16"/>
      <c r="H924" s="16"/>
      <c r="K924" s="16"/>
    </row>
    <row r="925">
      <c r="B925" s="16"/>
      <c r="C925" s="16"/>
      <c r="D925" s="16"/>
      <c r="E925" s="16"/>
      <c r="F925" s="16"/>
      <c r="G925" s="16"/>
      <c r="H925" s="16"/>
      <c r="K925" s="16"/>
    </row>
    <row r="926">
      <c r="B926" s="16"/>
      <c r="C926" s="16"/>
      <c r="D926" s="16"/>
      <c r="E926" s="16"/>
      <c r="F926" s="16"/>
      <c r="G926" s="16"/>
      <c r="H926" s="16"/>
      <c r="K926" s="16"/>
    </row>
    <row r="927">
      <c r="B927" s="16"/>
      <c r="C927" s="16"/>
      <c r="D927" s="16"/>
      <c r="E927" s="16"/>
      <c r="F927" s="16"/>
      <c r="G927" s="16"/>
      <c r="H927" s="16"/>
      <c r="K927" s="16"/>
    </row>
    <row r="928">
      <c r="B928" s="16"/>
      <c r="C928" s="16"/>
      <c r="D928" s="16"/>
      <c r="E928" s="16"/>
      <c r="F928" s="16"/>
      <c r="G928" s="16"/>
      <c r="H928" s="16"/>
      <c r="K928" s="16"/>
    </row>
    <row r="929">
      <c r="B929" s="16"/>
      <c r="C929" s="16"/>
      <c r="D929" s="16"/>
      <c r="E929" s="16"/>
      <c r="F929" s="16"/>
      <c r="G929" s="16"/>
      <c r="H929" s="16"/>
      <c r="K929" s="16"/>
    </row>
    <row r="930">
      <c r="B930" s="16"/>
      <c r="C930" s="16"/>
      <c r="D930" s="16"/>
      <c r="E930" s="16"/>
      <c r="F930" s="16"/>
      <c r="G930" s="16"/>
      <c r="H930" s="16"/>
      <c r="K930" s="16"/>
    </row>
    <row r="931">
      <c r="B931" s="16"/>
      <c r="C931" s="16"/>
      <c r="D931" s="16"/>
      <c r="E931" s="16"/>
      <c r="F931" s="16"/>
      <c r="G931" s="16"/>
      <c r="H931" s="16"/>
      <c r="K931" s="16"/>
    </row>
    <row r="932">
      <c r="B932" s="16"/>
      <c r="C932" s="16"/>
      <c r="D932" s="16"/>
      <c r="E932" s="16"/>
      <c r="F932" s="16"/>
      <c r="G932" s="16"/>
      <c r="H932" s="16"/>
      <c r="K932" s="16"/>
    </row>
    <row r="933">
      <c r="B933" s="16"/>
      <c r="C933" s="16"/>
      <c r="D933" s="16"/>
      <c r="E933" s="16"/>
      <c r="F933" s="16"/>
      <c r="G933" s="16"/>
      <c r="H933" s="16"/>
      <c r="K933" s="16"/>
    </row>
    <row r="934">
      <c r="B934" s="16"/>
      <c r="C934" s="16"/>
      <c r="D934" s="16"/>
      <c r="E934" s="16"/>
      <c r="F934" s="16"/>
      <c r="G934" s="16"/>
      <c r="H934" s="16"/>
      <c r="K934" s="16"/>
    </row>
    <row r="935">
      <c r="B935" s="16"/>
      <c r="C935" s="16"/>
      <c r="D935" s="16"/>
      <c r="E935" s="16"/>
      <c r="F935" s="16"/>
      <c r="G935" s="16"/>
      <c r="H935" s="16"/>
      <c r="K935" s="16"/>
    </row>
    <row r="936">
      <c r="B936" s="16"/>
      <c r="C936" s="16"/>
      <c r="D936" s="16"/>
      <c r="E936" s="16"/>
      <c r="F936" s="16"/>
      <c r="G936" s="16"/>
      <c r="H936" s="16"/>
      <c r="K936" s="16"/>
    </row>
    <row r="937">
      <c r="B937" s="16"/>
      <c r="C937" s="16"/>
      <c r="D937" s="16"/>
      <c r="E937" s="16"/>
      <c r="F937" s="16"/>
      <c r="G937" s="16"/>
      <c r="H937" s="16"/>
      <c r="K937" s="16"/>
    </row>
    <row r="938">
      <c r="B938" s="16"/>
      <c r="C938" s="16"/>
      <c r="D938" s="16"/>
      <c r="E938" s="16"/>
      <c r="F938" s="16"/>
      <c r="G938" s="16"/>
      <c r="H938" s="16"/>
      <c r="K938" s="16"/>
    </row>
    <row r="939">
      <c r="B939" s="16"/>
      <c r="C939" s="16"/>
      <c r="D939" s="16"/>
      <c r="E939" s="16"/>
      <c r="F939" s="16"/>
      <c r="G939" s="16"/>
      <c r="H939" s="16"/>
      <c r="K939" s="16"/>
    </row>
    <row r="940">
      <c r="B940" s="16"/>
      <c r="C940" s="16"/>
      <c r="D940" s="16"/>
      <c r="E940" s="16"/>
      <c r="F940" s="16"/>
      <c r="G940" s="16"/>
      <c r="H940" s="16"/>
      <c r="K940" s="16"/>
    </row>
    <row r="941">
      <c r="B941" s="16"/>
      <c r="C941" s="16"/>
      <c r="D941" s="16"/>
      <c r="E941" s="16"/>
      <c r="F941" s="16"/>
      <c r="G941" s="16"/>
      <c r="H941" s="16"/>
      <c r="K941" s="16"/>
    </row>
    <row r="942">
      <c r="B942" s="16"/>
      <c r="C942" s="16"/>
      <c r="D942" s="16"/>
      <c r="E942" s="16"/>
      <c r="F942" s="16"/>
      <c r="G942" s="16"/>
      <c r="H942" s="16"/>
      <c r="K942" s="16"/>
    </row>
    <row r="943">
      <c r="B943" s="16"/>
      <c r="C943" s="16"/>
      <c r="D943" s="16"/>
      <c r="E943" s="16"/>
      <c r="F943" s="16"/>
      <c r="G943" s="16"/>
      <c r="H943" s="16"/>
      <c r="K943" s="16"/>
    </row>
    <row r="944">
      <c r="B944" s="16"/>
      <c r="C944" s="16"/>
      <c r="D944" s="16"/>
      <c r="E944" s="16"/>
      <c r="F944" s="16"/>
      <c r="G944" s="16"/>
      <c r="H944" s="16"/>
      <c r="K944" s="16"/>
    </row>
    <row r="945">
      <c r="B945" s="16"/>
      <c r="C945" s="16"/>
      <c r="D945" s="16"/>
      <c r="E945" s="16"/>
      <c r="F945" s="16"/>
      <c r="G945" s="16"/>
      <c r="H945" s="16"/>
      <c r="K945" s="16"/>
    </row>
    <row r="946">
      <c r="B946" s="16"/>
      <c r="C946" s="16"/>
      <c r="D946" s="16"/>
      <c r="E946" s="16"/>
      <c r="F946" s="16"/>
      <c r="G946" s="16"/>
      <c r="H946" s="16"/>
      <c r="K946" s="16"/>
    </row>
    <row r="947">
      <c r="B947" s="16"/>
      <c r="C947" s="16"/>
      <c r="D947" s="16"/>
      <c r="E947" s="16"/>
      <c r="F947" s="16"/>
      <c r="G947" s="16"/>
      <c r="H947" s="16"/>
      <c r="K947" s="16"/>
    </row>
    <row r="948">
      <c r="B948" s="16"/>
      <c r="C948" s="16"/>
      <c r="D948" s="16"/>
      <c r="E948" s="16"/>
      <c r="F948" s="16"/>
      <c r="G948" s="16"/>
      <c r="H948" s="16"/>
      <c r="K948" s="16"/>
    </row>
    <row r="949">
      <c r="B949" s="16"/>
      <c r="C949" s="16"/>
      <c r="D949" s="16"/>
      <c r="E949" s="16"/>
      <c r="F949" s="16"/>
      <c r="G949" s="16"/>
      <c r="H949" s="16"/>
      <c r="K949" s="16"/>
    </row>
    <row r="950">
      <c r="B950" s="16"/>
      <c r="C950" s="16"/>
      <c r="D950" s="16"/>
      <c r="E950" s="16"/>
      <c r="F950" s="16"/>
      <c r="G950" s="16"/>
      <c r="H950" s="16"/>
      <c r="K950" s="16"/>
    </row>
    <row r="951">
      <c r="B951" s="16"/>
      <c r="C951" s="16"/>
      <c r="D951" s="16"/>
      <c r="E951" s="16"/>
      <c r="F951" s="16"/>
      <c r="G951" s="16"/>
      <c r="H951" s="16"/>
      <c r="K951" s="16"/>
    </row>
    <row r="952">
      <c r="B952" s="16"/>
      <c r="C952" s="16"/>
      <c r="D952" s="16"/>
      <c r="E952" s="16"/>
      <c r="F952" s="16"/>
      <c r="G952" s="16"/>
      <c r="H952" s="16"/>
      <c r="K952" s="16"/>
    </row>
    <row r="953">
      <c r="B953" s="16"/>
      <c r="C953" s="16"/>
      <c r="D953" s="16"/>
      <c r="E953" s="16"/>
      <c r="F953" s="16"/>
      <c r="G953" s="16"/>
      <c r="H953" s="16"/>
      <c r="K953" s="16"/>
    </row>
    <row r="954">
      <c r="B954" s="16"/>
      <c r="C954" s="16"/>
      <c r="D954" s="16"/>
      <c r="E954" s="16"/>
      <c r="F954" s="16"/>
      <c r="G954" s="16"/>
      <c r="H954" s="16"/>
      <c r="K954" s="16"/>
    </row>
    <row r="955">
      <c r="B955" s="16"/>
      <c r="C955" s="16"/>
      <c r="D955" s="16"/>
      <c r="E955" s="16"/>
      <c r="F955" s="16"/>
      <c r="G955" s="16"/>
      <c r="H955" s="16"/>
      <c r="K955" s="16"/>
    </row>
    <row r="956">
      <c r="B956" s="16"/>
      <c r="C956" s="16"/>
      <c r="D956" s="16"/>
      <c r="E956" s="16"/>
      <c r="F956" s="16"/>
      <c r="G956" s="16"/>
      <c r="H956" s="16"/>
      <c r="K956" s="16"/>
    </row>
    <row r="957">
      <c r="B957" s="16"/>
      <c r="C957" s="16"/>
      <c r="D957" s="16"/>
      <c r="E957" s="16"/>
      <c r="F957" s="16"/>
      <c r="G957" s="16"/>
      <c r="H957" s="16"/>
      <c r="K957" s="16"/>
    </row>
    <row r="958">
      <c r="B958" s="16"/>
      <c r="C958" s="16"/>
      <c r="D958" s="16"/>
      <c r="E958" s="16"/>
      <c r="F958" s="16"/>
      <c r="G958" s="16"/>
      <c r="H958" s="16"/>
      <c r="K958" s="16"/>
    </row>
    <row r="959">
      <c r="B959" s="16"/>
      <c r="C959" s="16"/>
      <c r="D959" s="16"/>
      <c r="E959" s="16"/>
      <c r="F959" s="16"/>
      <c r="G959" s="16"/>
      <c r="H959" s="16"/>
      <c r="K959" s="16"/>
    </row>
    <row r="960">
      <c r="B960" s="16"/>
      <c r="C960" s="16"/>
      <c r="D960" s="16"/>
      <c r="E960" s="16"/>
      <c r="F960" s="16"/>
      <c r="G960" s="16"/>
      <c r="H960" s="16"/>
      <c r="K960" s="16"/>
    </row>
    <row r="961">
      <c r="B961" s="16"/>
      <c r="C961" s="16"/>
      <c r="D961" s="16"/>
      <c r="E961" s="16"/>
      <c r="F961" s="16"/>
      <c r="G961" s="16"/>
      <c r="H961" s="16"/>
      <c r="K961" s="16"/>
    </row>
    <row r="962">
      <c r="B962" s="16"/>
      <c r="C962" s="16"/>
      <c r="D962" s="16"/>
      <c r="E962" s="16"/>
      <c r="F962" s="16"/>
      <c r="G962" s="16"/>
      <c r="H962" s="16"/>
      <c r="K962" s="16"/>
    </row>
    <row r="963">
      <c r="B963" s="16"/>
      <c r="C963" s="16"/>
      <c r="D963" s="16"/>
      <c r="E963" s="16"/>
      <c r="F963" s="16"/>
      <c r="G963" s="16"/>
      <c r="H963" s="16"/>
      <c r="K963" s="16"/>
    </row>
    <row r="964">
      <c r="B964" s="16"/>
      <c r="C964" s="16"/>
      <c r="D964" s="16"/>
      <c r="E964" s="16"/>
      <c r="F964" s="16"/>
      <c r="G964" s="16"/>
      <c r="H964" s="16"/>
      <c r="K964" s="16"/>
    </row>
    <row r="965">
      <c r="B965" s="16"/>
      <c r="C965" s="16"/>
      <c r="D965" s="16"/>
      <c r="E965" s="16"/>
      <c r="F965" s="16"/>
      <c r="G965" s="16"/>
      <c r="H965" s="16"/>
      <c r="K965" s="16"/>
    </row>
    <row r="966">
      <c r="B966" s="16"/>
      <c r="C966" s="16"/>
      <c r="D966" s="16"/>
      <c r="E966" s="16"/>
      <c r="F966" s="16"/>
      <c r="G966" s="16"/>
      <c r="H966" s="16"/>
      <c r="K966" s="16"/>
    </row>
    <row r="967">
      <c r="B967" s="16"/>
      <c r="C967" s="16"/>
      <c r="D967" s="16"/>
      <c r="E967" s="16"/>
      <c r="F967" s="16"/>
      <c r="G967" s="16"/>
      <c r="H967" s="16"/>
      <c r="K967" s="16"/>
    </row>
    <row r="968">
      <c r="B968" s="16"/>
      <c r="C968" s="16"/>
      <c r="D968" s="16"/>
      <c r="E968" s="16"/>
      <c r="F968" s="16"/>
      <c r="G968" s="16"/>
      <c r="H968" s="16"/>
      <c r="K968" s="16"/>
    </row>
    <row r="969">
      <c r="B969" s="16"/>
      <c r="C969" s="16"/>
      <c r="D969" s="16"/>
      <c r="E969" s="16"/>
      <c r="F969" s="16"/>
      <c r="G969" s="16"/>
      <c r="H969" s="16"/>
      <c r="K969" s="16"/>
    </row>
    <row r="970">
      <c r="B970" s="16"/>
      <c r="C970" s="16"/>
      <c r="D970" s="16"/>
      <c r="E970" s="16"/>
      <c r="F970" s="16"/>
      <c r="G970" s="16"/>
      <c r="H970" s="16"/>
      <c r="K970" s="16"/>
    </row>
    <row r="971">
      <c r="B971" s="16"/>
      <c r="C971" s="16"/>
      <c r="D971" s="16"/>
      <c r="E971" s="16"/>
      <c r="F971" s="16"/>
      <c r="G971" s="16"/>
      <c r="H971" s="16"/>
      <c r="K971" s="16"/>
    </row>
    <row r="972">
      <c r="B972" s="16"/>
      <c r="C972" s="16"/>
      <c r="D972" s="16"/>
      <c r="E972" s="16"/>
      <c r="F972" s="16"/>
      <c r="G972" s="16"/>
      <c r="H972" s="16"/>
      <c r="K972" s="16"/>
    </row>
    <row r="973">
      <c r="B973" s="16"/>
      <c r="C973" s="16"/>
      <c r="D973" s="16"/>
      <c r="E973" s="16"/>
      <c r="F973" s="16"/>
      <c r="G973" s="16"/>
      <c r="H973" s="16"/>
      <c r="K973" s="16"/>
    </row>
    <row r="974">
      <c r="B974" s="16"/>
      <c r="C974" s="16"/>
      <c r="D974" s="16"/>
      <c r="E974" s="16"/>
      <c r="F974" s="16"/>
      <c r="G974" s="16"/>
      <c r="H974" s="16"/>
      <c r="K974" s="16"/>
    </row>
    <row r="975">
      <c r="B975" s="16"/>
      <c r="C975" s="16"/>
      <c r="D975" s="16"/>
      <c r="E975" s="16"/>
      <c r="F975" s="16"/>
      <c r="G975" s="16"/>
      <c r="H975" s="16"/>
      <c r="K975" s="16"/>
    </row>
  </sheetData>
  <conditionalFormatting sqref="Q1:Q975">
    <cfRule type="cellIs" dxfId="0" priority="1" operator="greaterThanOrEqual">
      <formula>1</formula>
    </cfRule>
  </conditionalFormatting>
  <conditionalFormatting sqref="Q1:Q975">
    <cfRule type="cellIs" dxfId="1" priority="2" operator="lessThanOrEqual">
      <formula>0.7499</formula>
    </cfRule>
  </conditionalFormatting>
  <conditionalFormatting sqref="Q1:Q975">
    <cfRule type="cellIs" dxfId="2" priority="3" operator="between">
      <formula>0.75</formula>
      <formula>9999</formula>
    </cfRule>
  </conditionalFormatting>
  <conditionalFormatting sqref="A1:P975">
    <cfRule type="expression" dxfId="3" priority="4">
      <formula>$H1=""</formula>
    </cfRule>
  </conditionalFormatting>
  <conditionalFormatting sqref="A1:O975">
    <cfRule type="expression" dxfId="0" priority="5">
      <formula>$H1&gt;=$O1</formula>
    </cfRule>
  </conditionalFormatting>
  <conditionalFormatting sqref="A1:P975">
    <cfRule type="expression" dxfId="1" priority="6">
      <formula>$H1&lt;$O1</formula>
    </cfRule>
  </conditionalFormatting>
  <conditionalFormatting sqref="T1:T975">
    <cfRule type="cellIs" dxfId="0" priority="7" operator="greaterThanOrEqual">
      <formula>0</formula>
    </cfRule>
  </conditionalFormatting>
  <conditionalFormatting sqref="T1:T975">
    <cfRule type="cellIs" dxfId="1" priority="8" operator="lessThan">
      <formula>0</formula>
    </cfRule>
  </conditionalFormatting>
  <conditionalFormatting sqref="U1:U975">
    <cfRule type="cellIs" dxfId="0" priority="9" operator="greaterThanOrEqual">
      <formula>0</formula>
    </cfRule>
  </conditionalFormatting>
  <conditionalFormatting sqref="U1:U975">
    <cfRule type="cellIs" dxfId="1" priority="10" operator="lessThan">
      <formula>0</formula>
    </cfRule>
  </conditionalFormatting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38"/>
    <col customWidth="1" min="2" max="2" width="16.13"/>
  </cols>
  <sheetData>
    <row r="1">
      <c r="A1" s="6" t="s">
        <v>72</v>
      </c>
      <c r="B1" s="6" t="s">
        <v>1</v>
      </c>
      <c r="C1" s="16" t="s">
        <v>2</v>
      </c>
      <c r="D1" s="16" t="s">
        <v>4</v>
      </c>
      <c r="E1" s="16" t="s">
        <v>5</v>
      </c>
      <c r="F1" s="16" t="s">
        <v>185</v>
      </c>
      <c r="G1" s="16" t="s">
        <v>7</v>
      </c>
      <c r="H1" s="16"/>
    </row>
    <row r="2">
      <c r="A2" s="6" t="s">
        <v>186</v>
      </c>
      <c r="B2" s="16">
        <v>370039.31</v>
      </c>
      <c r="C2" s="16">
        <v>307979.7</v>
      </c>
      <c r="D2" s="16">
        <v>7590.719999999999</v>
      </c>
      <c r="E2" s="16">
        <v>5500.0</v>
      </c>
      <c r="F2" s="16">
        <v>0.0</v>
      </c>
      <c r="G2" s="16">
        <v>691109.7300000001</v>
      </c>
      <c r="H2" s="15">
        <f t="shared" ref="H2:H13" si="1">G2/$A$17</f>
        <v>0.01427338196</v>
      </c>
    </row>
    <row r="3">
      <c r="A3" s="6" t="s">
        <v>187</v>
      </c>
      <c r="B3" s="16">
        <v>889632.3899999999</v>
      </c>
      <c r="C3" s="16">
        <v>304237.61</v>
      </c>
      <c r="D3" s="16">
        <v>11314.32</v>
      </c>
      <c r="E3" s="16">
        <v>0.0</v>
      </c>
      <c r="F3" s="16">
        <v>0.0</v>
      </c>
      <c r="G3" s="16">
        <v>1205184.3199999998</v>
      </c>
      <c r="H3" s="15">
        <f t="shared" si="1"/>
        <v>0.02489048466</v>
      </c>
    </row>
    <row r="4">
      <c r="A4" s="6" t="s">
        <v>188</v>
      </c>
      <c r="B4" s="16">
        <v>565148.56</v>
      </c>
      <c r="C4" s="16">
        <v>23451.23</v>
      </c>
      <c r="D4" s="16">
        <v>12056.25</v>
      </c>
      <c r="E4" s="16">
        <v>0.0</v>
      </c>
      <c r="F4" s="16">
        <v>0.0</v>
      </c>
      <c r="G4" s="16">
        <v>600656.0399999999</v>
      </c>
      <c r="H4" s="15">
        <f t="shared" si="1"/>
        <v>0.01240525594</v>
      </c>
    </row>
    <row r="5">
      <c r="A5" s="6" t="s">
        <v>189</v>
      </c>
      <c r="B5" s="6">
        <v>0.0</v>
      </c>
      <c r="C5" s="16">
        <v>0.0</v>
      </c>
      <c r="D5" s="16">
        <v>0.0</v>
      </c>
      <c r="E5" s="16">
        <v>0.0</v>
      </c>
      <c r="F5" s="16">
        <v>0.0</v>
      </c>
      <c r="G5" s="16">
        <v>0.0</v>
      </c>
      <c r="H5" s="15">
        <f t="shared" si="1"/>
        <v>0</v>
      </c>
    </row>
    <row r="6">
      <c r="A6" s="6" t="s">
        <v>190</v>
      </c>
      <c r="B6" s="16">
        <v>28168.0</v>
      </c>
      <c r="C6" s="16">
        <v>17543.53</v>
      </c>
      <c r="D6" s="16">
        <v>0.0</v>
      </c>
      <c r="E6" s="16">
        <v>0.0</v>
      </c>
      <c r="F6" s="16">
        <v>0.0</v>
      </c>
      <c r="G6" s="16">
        <v>45711.53</v>
      </c>
      <c r="H6" s="15">
        <f t="shared" si="1"/>
        <v>0.0009440731326</v>
      </c>
    </row>
    <row r="7">
      <c r="A7" s="6" t="s">
        <v>191</v>
      </c>
      <c r="B7" s="16">
        <v>536564.8200000001</v>
      </c>
      <c r="C7" s="16">
        <v>31721.160000000003</v>
      </c>
      <c r="D7" s="16">
        <v>14656.669999999998</v>
      </c>
      <c r="E7" s="16">
        <v>1983.62</v>
      </c>
      <c r="F7" s="16">
        <v>0.0</v>
      </c>
      <c r="G7" s="16">
        <v>584926.2699999999</v>
      </c>
      <c r="H7" s="15">
        <f t="shared" si="1"/>
        <v>0.01208039145</v>
      </c>
    </row>
    <row r="8">
      <c r="A8" s="6" t="s">
        <v>192</v>
      </c>
      <c r="B8" s="16">
        <v>516953.72000000003</v>
      </c>
      <c r="C8" s="16">
        <v>56507.38</v>
      </c>
      <c r="D8" s="16">
        <v>27721.24</v>
      </c>
      <c r="E8" s="16">
        <v>3978.9</v>
      </c>
      <c r="F8" s="16">
        <v>0.0</v>
      </c>
      <c r="G8" s="16">
        <v>605161.24</v>
      </c>
      <c r="H8" s="15">
        <f t="shared" si="1"/>
        <v>0.01249830114</v>
      </c>
    </row>
    <row r="9">
      <c r="A9" s="6" t="s">
        <v>193</v>
      </c>
      <c r="B9" s="16">
        <v>426907.5200000001</v>
      </c>
      <c r="C9" s="16">
        <v>183376.56</v>
      </c>
      <c r="D9" s="16">
        <v>22013.08</v>
      </c>
      <c r="E9" s="16">
        <v>37748.64</v>
      </c>
      <c r="F9" s="16">
        <v>0.0</v>
      </c>
      <c r="G9" s="16">
        <v>670045.7999999999</v>
      </c>
      <c r="H9" s="15">
        <f t="shared" si="1"/>
        <v>0.01383835189</v>
      </c>
    </row>
    <row r="10">
      <c r="A10" s="6" t="s">
        <v>194</v>
      </c>
      <c r="B10" s="16">
        <v>746946.5599999999</v>
      </c>
      <c r="C10" s="16">
        <v>138801.42</v>
      </c>
      <c r="D10" s="16">
        <v>45957.759999999995</v>
      </c>
      <c r="E10" s="16">
        <v>6210.63</v>
      </c>
      <c r="F10" s="16">
        <v>0.0</v>
      </c>
      <c r="G10" s="16">
        <v>937916.37</v>
      </c>
      <c r="H10" s="15">
        <f t="shared" si="1"/>
        <v>0.01937064118</v>
      </c>
    </row>
    <row r="11">
      <c r="A11" s="6" t="s">
        <v>195</v>
      </c>
      <c r="B11" s="16">
        <v>875814.5699999998</v>
      </c>
      <c r="C11" s="16">
        <v>80772.73999999999</v>
      </c>
      <c r="D11" s="16">
        <v>14444.26</v>
      </c>
      <c r="E11" s="16">
        <v>0.0</v>
      </c>
      <c r="F11" s="16">
        <v>0.0</v>
      </c>
      <c r="G11" s="16">
        <v>971031.5700000002</v>
      </c>
      <c r="H11" s="15">
        <f t="shared" si="1"/>
        <v>0.02005456427</v>
      </c>
    </row>
    <row r="12">
      <c r="A12" s="6" t="s">
        <v>196</v>
      </c>
      <c r="B12" s="16">
        <v>605454.53</v>
      </c>
      <c r="C12" s="16">
        <v>23131.110000000004</v>
      </c>
      <c r="D12" s="16">
        <v>9838.94</v>
      </c>
      <c r="E12" s="16">
        <v>0.0</v>
      </c>
      <c r="F12" s="16">
        <v>0.0</v>
      </c>
      <c r="G12" s="16">
        <v>638424.5800000001</v>
      </c>
      <c r="H12" s="15">
        <f t="shared" si="1"/>
        <v>0.01318528374</v>
      </c>
    </row>
    <row r="13">
      <c r="A13" s="6" t="s">
        <v>197</v>
      </c>
      <c r="B13" s="16">
        <v>606400.5499999999</v>
      </c>
      <c r="C13" s="16">
        <v>177547.43000000002</v>
      </c>
      <c r="D13" s="16">
        <v>49059.02</v>
      </c>
      <c r="E13" s="16">
        <v>0.0</v>
      </c>
      <c r="F13" s="16">
        <v>0.0</v>
      </c>
      <c r="G13" s="16">
        <v>833007.0</v>
      </c>
      <c r="H13" s="15">
        <f t="shared" si="1"/>
        <v>0.01720396425</v>
      </c>
    </row>
    <row r="14">
      <c r="A14" s="6" t="s">
        <v>198</v>
      </c>
      <c r="B14" s="6">
        <v>6168030.5299999975</v>
      </c>
      <c r="C14" s="16">
        <v>1345069.8699999999</v>
      </c>
      <c r="D14" s="16">
        <v>214652.26000000004</v>
      </c>
      <c r="E14" s="16">
        <v>55421.79</v>
      </c>
      <c r="F14" s="16">
        <v>0.0</v>
      </c>
      <c r="G14" s="16">
        <v>7783174.450000001</v>
      </c>
      <c r="H14" s="16"/>
    </row>
    <row r="15">
      <c r="B15" s="15">
        <f t="shared" ref="B15:G15" si="2">B13/$A$17</f>
        <v>0.01252389642</v>
      </c>
      <c r="C15" s="15">
        <f t="shared" si="2"/>
        <v>0.003666859508</v>
      </c>
      <c r="D15" s="15">
        <f t="shared" si="2"/>
        <v>0.001013208324</v>
      </c>
      <c r="E15" s="15">
        <f t="shared" si="2"/>
        <v>0</v>
      </c>
      <c r="F15" s="15">
        <f t="shared" si="2"/>
        <v>0</v>
      </c>
      <c r="G15" s="15">
        <f t="shared" si="2"/>
        <v>0.01720396425</v>
      </c>
      <c r="H15" s="16"/>
    </row>
    <row r="16">
      <c r="A16" s="5" t="s">
        <v>199</v>
      </c>
      <c r="C16" s="16"/>
      <c r="D16" s="16"/>
      <c r="E16" s="16"/>
      <c r="F16" s="16"/>
      <c r="G16" s="16"/>
      <c r="H16" s="16"/>
    </row>
    <row r="17">
      <c r="A17" s="12">
        <v>4.841947983E7</v>
      </c>
      <c r="C17" s="16"/>
      <c r="D17" s="16"/>
      <c r="E17" s="16"/>
      <c r="F17" s="16"/>
      <c r="G17" s="16"/>
      <c r="H17" s="16"/>
    </row>
    <row r="18">
      <c r="C18" s="16"/>
      <c r="D18" s="16"/>
      <c r="E18" s="16"/>
      <c r="F18" s="16"/>
      <c r="G18" s="16"/>
      <c r="H18" s="16"/>
    </row>
    <row r="19">
      <c r="C19" s="16"/>
      <c r="D19" s="16"/>
      <c r="E19" s="16"/>
      <c r="F19" s="16"/>
      <c r="G19" s="16"/>
      <c r="H19" s="16"/>
    </row>
    <row r="20">
      <c r="C20" s="16"/>
      <c r="D20" s="16"/>
      <c r="E20" s="16"/>
      <c r="F20" s="16"/>
      <c r="G20" s="16"/>
      <c r="H20" s="16"/>
    </row>
    <row r="21">
      <c r="C21" s="16"/>
      <c r="D21" s="16"/>
      <c r="E21" s="16"/>
      <c r="F21" s="16"/>
      <c r="G21" s="16"/>
      <c r="H21" s="16"/>
    </row>
    <row r="22">
      <c r="C22" s="16"/>
      <c r="D22" s="16"/>
      <c r="E22" s="16"/>
      <c r="F22" s="16"/>
      <c r="G22" s="16"/>
      <c r="H22" s="16"/>
    </row>
    <row r="23">
      <c r="C23" s="16"/>
      <c r="D23" s="16"/>
      <c r="E23" s="16"/>
      <c r="F23" s="16"/>
      <c r="G23" s="16"/>
      <c r="H23" s="16"/>
    </row>
    <row r="24">
      <c r="C24" s="16"/>
      <c r="D24" s="16"/>
      <c r="E24" s="16"/>
      <c r="F24" s="16"/>
      <c r="G24" s="16"/>
      <c r="H24" s="16"/>
    </row>
    <row r="25">
      <c r="C25" s="16"/>
      <c r="D25" s="16"/>
      <c r="E25" s="16"/>
      <c r="F25" s="16"/>
      <c r="G25" s="16"/>
      <c r="H25" s="16"/>
    </row>
    <row r="26">
      <c r="C26" s="16"/>
      <c r="D26" s="16"/>
      <c r="E26" s="16"/>
      <c r="F26" s="16"/>
      <c r="G26" s="16"/>
      <c r="H26" s="16"/>
    </row>
    <row r="27">
      <c r="C27" s="16"/>
      <c r="D27" s="16"/>
      <c r="E27" s="16"/>
      <c r="F27" s="16"/>
      <c r="G27" s="16"/>
      <c r="H27" s="16"/>
    </row>
    <row r="28">
      <c r="C28" s="16"/>
      <c r="D28" s="16"/>
      <c r="E28" s="16"/>
      <c r="F28" s="16"/>
      <c r="G28" s="16"/>
      <c r="H28" s="16"/>
    </row>
    <row r="29">
      <c r="C29" s="16"/>
      <c r="D29" s="16"/>
      <c r="E29" s="16"/>
      <c r="F29" s="16"/>
      <c r="G29" s="16"/>
      <c r="H29" s="16"/>
    </row>
    <row r="30">
      <c r="C30" s="16"/>
      <c r="D30" s="16"/>
      <c r="E30" s="16"/>
      <c r="F30" s="16"/>
      <c r="G30" s="16"/>
      <c r="H30" s="16"/>
    </row>
    <row r="31">
      <c r="C31" s="16"/>
      <c r="D31" s="16"/>
      <c r="E31" s="16"/>
      <c r="F31" s="16"/>
      <c r="G31" s="16"/>
      <c r="H31" s="16"/>
    </row>
    <row r="32">
      <c r="C32" s="16"/>
      <c r="D32" s="16"/>
      <c r="E32" s="16"/>
      <c r="F32" s="16"/>
      <c r="G32" s="16"/>
      <c r="H32" s="16"/>
    </row>
    <row r="33">
      <c r="C33" s="16"/>
      <c r="D33" s="16"/>
      <c r="E33" s="16"/>
      <c r="F33" s="16"/>
      <c r="G33" s="16"/>
      <c r="H33" s="16"/>
    </row>
    <row r="34">
      <c r="C34" s="16"/>
      <c r="D34" s="16"/>
      <c r="E34" s="16"/>
      <c r="F34" s="16"/>
      <c r="G34" s="16"/>
      <c r="H34" s="16"/>
    </row>
    <row r="35">
      <c r="C35" s="16"/>
      <c r="D35" s="16"/>
      <c r="E35" s="16"/>
      <c r="F35" s="16"/>
      <c r="G35" s="16"/>
      <c r="H35" s="16"/>
    </row>
    <row r="36">
      <c r="C36" s="16"/>
      <c r="D36" s="16"/>
      <c r="E36" s="16"/>
      <c r="F36" s="16"/>
      <c r="G36" s="16"/>
      <c r="H36" s="16"/>
    </row>
    <row r="37">
      <c r="C37" s="16"/>
      <c r="D37" s="16"/>
      <c r="E37" s="16"/>
      <c r="F37" s="16"/>
      <c r="G37" s="16"/>
      <c r="H37" s="16"/>
    </row>
    <row r="38">
      <c r="C38" s="16"/>
      <c r="D38" s="16"/>
      <c r="E38" s="16"/>
      <c r="F38" s="16"/>
      <c r="G38" s="16"/>
      <c r="H38" s="16"/>
    </row>
    <row r="39">
      <c r="C39" s="16"/>
      <c r="D39" s="16"/>
      <c r="E39" s="16"/>
      <c r="F39" s="16"/>
      <c r="G39" s="16"/>
      <c r="H39" s="16"/>
    </row>
    <row r="40">
      <c r="C40" s="16"/>
      <c r="D40" s="16"/>
      <c r="E40" s="16"/>
      <c r="F40" s="16"/>
      <c r="G40" s="16"/>
      <c r="H40" s="16"/>
    </row>
    <row r="41">
      <c r="C41" s="16"/>
      <c r="D41" s="16"/>
      <c r="E41" s="16"/>
      <c r="F41" s="16"/>
      <c r="G41" s="16"/>
      <c r="H41" s="16"/>
    </row>
    <row r="42">
      <c r="C42" s="16"/>
      <c r="D42" s="16"/>
      <c r="E42" s="16"/>
      <c r="F42" s="16"/>
      <c r="G42" s="16"/>
      <c r="H42" s="16"/>
    </row>
    <row r="43">
      <c r="C43" s="16"/>
      <c r="D43" s="16"/>
      <c r="E43" s="16"/>
      <c r="F43" s="16"/>
      <c r="G43" s="16"/>
      <c r="H43" s="16"/>
    </row>
    <row r="44">
      <c r="C44" s="16"/>
      <c r="D44" s="16"/>
      <c r="E44" s="16"/>
      <c r="F44" s="16"/>
      <c r="G44" s="16"/>
      <c r="H44" s="16"/>
    </row>
    <row r="45">
      <c r="C45" s="16"/>
      <c r="D45" s="16"/>
      <c r="E45" s="16"/>
      <c r="F45" s="16"/>
      <c r="G45" s="16"/>
      <c r="H45" s="16"/>
    </row>
    <row r="46">
      <c r="C46" s="16"/>
      <c r="D46" s="16"/>
      <c r="E46" s="16"/>
      <c r="F46" s="16"/>
      <c r="G46" s="16"/>
      <c r="H46" s="16"/>
    </row>
    <row r="47">
      <c r="C47" s="16"/>
      <c r="D47" s="16"/>
      <c r="E47" s="16"/>
      <c r="F47" s="16"/>
      <c r="G47" s="16"/>
      <c r="H47" s="16"/>
    </row>
    <row r="48">
      <c r="C48" s="16"/>
      <c r="D48" s="16"/>
      <c r="E48" s="16"/>
      <c r="F48" s="16"/>
      <c r="G48" s="16"/>
      <c r="H48" s="16"/>
    </row>
    <row r="49">
      <c r="C49" s="16"/>
      <c r="D49" s="16"/>
      <c r="E49" s="16"/>
      <c r="F49" s="16"/>
      <c r="G49" s="16"/>
      <c r="H49" s="16"/>
    </row>
    <row r="50">
      <c r="C50" s="16"/>
      <c r="D50" s="16"/>
      <c r="E50" s="16"/>
      <c r="F50" s="16"/>
      <c r="G50" s="16"/>
      <c r="H50" s="16"/>
    </row>
    <row r="51">
      <c r="C51" s="16"/>
      <c r="D51" s="16"/>
      <c r="E51" s="16"/>
      <c r="F51" s="16"/>
      <c r="G51" s="16"/>
      <c r="H51" s="16"/>
    </row>
    <row r="52">
      <c r="C52" s="16"/>
      <c r="D52" s="16"/>
      <c r="E52" s="16"/>
      <c r="F52" s="16"/>
      <c r="G52" s="16"/>
      <c r="H52" s="16"/>
    </row>
    <row r="53">
      <c r="C53" s="16"/>
      <c r="D53" s="16"/>
      <c r="E53" s="16"/>
      <c r="F53" s="16"/>
      <c r="G53" s="16"/>
      <c r="H53" s="16"/>
    </row>
    <row r="54">
      <c r="C54" s="16"/>
      <c r="D54" s="16"/>
      <c r="E54" s="16"/>
      <c r="F54" s="16"/>
      <c r="G54" s="16"/>
      <c r="H54" s="16"/>
    </row>
    <row r="55">
      <c r="C55" s="16"/>
      <c r="D55" s="16"/>
      <c r="E55" s="16"/>
      <c r="F55" s="16"/>
      <c r="G55" s="16"/>
      <c r="H55" s="16"/>
    </row>
    <row r="56">
      <c r="C56" s="16"/>
      <c r="D56" s="16"/>
      <c r="E56" s="16"/>
      <c r="F56" s="16"/>
      <c r="G56" s="16"/>
      <c r="H56" s="16"/>
    </row>
    <row r="57">
      <c r="C57" s="16"/>
      <c r="D57" s="16"/>
      <c r="E57" s="16"/>
      <c r="F57" s="16"/>
      <c r="G57" s="16"/>
      <c r="H57" s="16"/>
    </row>
    <row r="58">
      <c r="C58" s="16"/>
      <c r="D58" s="16"/>
      <c r="E58" s="16"/>
      <c r="F58" s="16"/>
      <c r="G58" s="16"/>
      <c r="H58" s="16"/>
    </row>
    <row r="59">
      <c r="C59" s="16"/>
      <c r="D59" s="16"/>
      <c r="E59" s="16"/>
      <c r="F59" s="16"/>
      <c r="G59" s="16"/>
      <c r="H59" s="16"/>
    </row>
    <row r="60">
      <c r="C60" s="16"/>
      <c r="D60" s="16"/>
      <c r="E60" s="16"/>
      <c r="F60" s="16"/>
      <c r="G60" s="16"/>
      <c r="H60" s="16"/>
    </row>
    <row r="61">
      <c r="C61" s="16"/>
      <c r="D61" s="16"/>
      <c r="E61" s="16"/>
      <c r="F61" s="16"/>
      <c r="G61" s="16"/>
      <c r="H61" s="16"/>
    </row>
    <row r="62">
      <c r="C62" s="16"/>
      <c r="D62" s="16"/>
      <c r="E62" s="16"/>
      <c r="F62" s="16"/>
      <c r="G62" s="16"/>
      <c r="H62" s="16"/>
    </row>
    <row r="63">
      <c r="C63" s="16"/>
      <c r="D63" s="16"/>
      <c r="E63" s="16"/>
      <c r="F63" s="16"/>
      <c r="G63" s="16"/>
      <c r="H63" s="16"/>
    </row>
    <row r="64">
      <c r="C64" s="16"/>
      <c r="D64" s="16"/>
      <c r="E64" s="16"/>
      <c r="F64" s="16"/>
      <c r="G64" s="16"/>
      <c r="H64" s="16"/>
    </row>
    <row r="65">
      <c r="C65" s="16"/>
      <c r="D65" s="16"/>
      <c r="E65" s="16"/>
      <c r="F65" s="16"/>
      <c r="G65" s="16"/>
      <c r="H65" s="16"/>
    </row>
    <row r="66">
      <c r="C66" s="16"/>
      <c r="D66" s="16"/>
      <c r="E66" s="16"/>
      <c r="F66" s="16"/>
      <c r="G66" s="16"/>
      <c r="H66" s="16"/>
    </row>
    <row r="67">
      <c r="C67" s="16"/>
      <c r="D67" s="16"/>
      <c r="E67" s="16"/>
      <c r="F67" s="16"/>
      <c r="G67" s="16"/>
      <c r="H67" s="16"/>
    </row>
    <row r="68">
      <c r="C68" s="16"/>
      <c r="D68" s="16"/>
      <c r="E68" s="16"/>
      <c r="F68" s="16"/>
      <c r="G68" s="16"/>
      <c r="H68" s="16"/>
    </row>
    <row r="69">
      <c r="C69" s="16"/>
      <c r="D69" s="16"/>
      <c r="E69" s="16"/>
      <c r="F69" s="16"/>
      <c r="G69" s="16"/>
      <c r="H69" s="16"/>
    </row>
    <row r="70">
      <c r="C70" s="16"/>
      <c r="D70" s="16"/>
      <c r="E70" s="16"/>
      <c r="F70" s="16"/>
      <c r="G70" s="16"/>
      <c r="H70" s="16"/>
    </row>
    <row r="71">
      <c r="C71" s="16"/>
      <c r="D71" s="16"/>
      <c r="E71" s="16"/>
      <c r="F71" s="16"/>
      <c r="G71" s="16"/>
      <c r="H71" s="16"/>
    </row>
    <row r="72">
      <c r="C72" s="16"/>
      <c r="D72" s="16"/>
      <c r="E72" s="16"/>
      <c r="F72" s="16"/>
      <c r="G72" s="16"/>
      <c r="H72" s="16"/>
    </row>
    <row r="73">
      <c r="C73" s="16"/>
      <c r="D73" s="16"/>
      <c r="E73" s="16"/>
      <c r="F73" s="16"/>
      <c r="G73" s="16"/>
      <c r="H73" s="16"/>
    </row>
    <row r="74">
      <c r="C74" s="16"/>
      <c r="D74" s="16"/>
      <c r="E74" s="16"/>
      <c r="F74" s="16"/>
      <c r="G74" s="16"/>
      <c r="H74" s="16"/>
    </row>
    <row r="75">
      <c r="C75" s="16"/>
      <c r="D75" s="16"/>
      <c r="E75" s="16"/>
      <c r="F75" s="16"/>
      <c r="G75" s="16"/>
      <c r="H75" s="16"/>
    </row>
    <row r="76">
      <c r="C76" s="16"/>
      <c r="D76" s="16"/>
      <c r="E76" s="16"/>
      <c r="F76" s="16"/>
      <c r="G76" s="16"/>
      <c r="H76" s="16"/>
    </row>
    <row r="77">
      <c r="C77" s="16"/>
      <c r="D77" s="16"/>
      <c r="E77" s="16"/>
      <c r="F77" s="16"/>
      <c r="G77" s="16"/>
      <c r="H77" s="16"/>
    </row>
    <row r="78">
      <c r="C78" s="16"/>
      <c r="D78" s="16"/>
      <c r="E78" s="16"/>
      <c r="F78" s="16"/>
      <c r="G78" s="16"/>
      <c r="H78" s="16"/>
    </row>
    <row r="79">
      <c r="C79" s="16"/>
      <c r="D79" s="16"/>
      <c r="E79" s="16"/>
      <c r="F79" s="16"/>
      <c r="G79" s="16"/>
      <c r="H79" s="16"/>
    </row>
    <row r="80">
      <c r="C80" s="16"/>
      <c r="D80" s="16"/>
      <c r="E80" s="16"/>
      <c r="F80" s="16"/>
      <c r="G80" s="16"/>
      <c r="H80" s="16"/>
    </row>
    <row r="81">
      <c r="C81" s="16"/>
      <c r="D81" s="16"/>
      <c r="E81" s="16"/>
      <c r="F81" s="16"/>
      <c r="G81" s="16"/>
      <c r="H81" s="16"/>
    </row>
    <row r="82">
      <c r="C82" s="16"/>
      <c r="D82" s="16"/>
      <c r="E82" s="16"/>
      <c r="F82" s="16"/>
      <c r="G82" s="16"/>
      <c r="H82" s="16"/>
    </row>
    <row r="83">
      <c r="C83" s="16"/>
      <c r="D83" s="16"/>
      <c r="E83" s="16"/>
      <c r="F83" s="16"/>
      <c r="G83" s="16"/>
      <c r="H83" s="16"/>
    </row>
    <row r="84">
      <c r="C84" s="16"/>
      <c r="D84" s="16"/>
      <c r="E84" s="16"/>
      <c r="F84" s="16"/>
      <c r="G84" s="16"/>
      <c r="H84" s="16"/>
    </row>
    <row r="85">
      <c r="C85" s="16"/>
      <c r="D85" s="16"/>
      <c r="E85" s="16"/>
      <c r="F85" s="16"/>
      <c r="G85" s="16"/>
      <c r="H85" s="16"/>
    </row>
    <row r="86">
      <c r="C86" s="16"/>
      <c r="D86" s="16"/>
      <c r="E86" s="16"/>
      <c r="F86" s="16"/>
      <c r="G86" s="16"/>
      <c r="H86" s="16"/>
    </row>
    <row r="87">
      <c r="C87" s="16"/>
      <c r="D87" s="16"/>
      <c r="E87" s="16"/>
      <c r="F87" s="16"/>
      <c r="G87" s="16"/>
      <c r="H87" s="16"/>
    </row>
    <row r="88">
      <c r="C88" s="16"/>
      <c r="D88" s="16"/>
      <c r="E88" s="16"/>
      <c r="F88" s="16"/>
      <c r="G88" s="16"/>
      <c r="H88" s="16"/>
    </row>
    <row r="89">
      <c r="C89" s="16"/>
      <c r="D89" s="16"/>
      <c r="E89" s="16"/>
      <c r="F89" s="16"/>
      <c r="G89" s="16"/>
      <c r="H89" s="16"/>
    </row>
    <row r="90">
      <c r="C90" s="16"/>
      <c r="D90" s="16"/>
      <c r="E90" s="16"/>
      <c r="F90" s="16"/>
      <c r="G90" s="16"/>
      <c r="H90" s="16"/>
    </row>
    <row r="91">
      <c r="C91" s="16"/>
      <c r="D91" s="16"/>
      <c r="E91" s="16"/>
      <c r="F91" s="16"/>
      <c r="G91" s="16"/>
      <c r="H91" s="16"/>
    </row>
    <row r="92">
      <c r="C92" s="16"/>
      <c r="D92" s="16"/>
      <c r="E92" s="16"/>
      <c r="F92" s="16"/>
      <c r="G92" s="16"/>
      <c r="H92" s="16"/>
    </row>
    <row r="93">
      <c r="C93" s="16"/>
      <c r="D93" s="16"/>
      <c r="E93" s="16"/>
      <c r="F93" s="16"/>
      <c r="G93" s="16"/>
      <c r="H93" s="16"/>
    </row>
    <row r="94">
      <c r="C94" s="16"/>
      <c r="D94" s="16"/>
      <c r="E94" s="16"/>
      <c r="F94" s="16"/>
      <c r="G94" s="16"/>
      <c r="H94" s="16"/>
    </row>
    <row r="95">
      <c r="C95" s="16"/>
      <c r="D95" s="16"/>
      <c r="E95" s="16"/>
      <c r="F95" s="16"/>
      <c r="G95" s="16"/>
      <c r="H95" s="16"/>
    </row>
    <row r="96">
      <c r="C96" s="16"/>
      <c r="D96" s="16"/>
      <c r="E96" s="16"/>
      <c r="F96" s="16"/>
      <c r="G96" s="16"/>
      <c r="H96" s="16"/>
    </row>
    <row r="97">
      <c r="C97" s="16"/>
      <c r="D97" s="16"/>
      <c r="E97" s="16"/>
      <c r="F97" s="16"/>
      <c r="G97" s="16"/>
      <c r="H97" s="16"/>
    </row>
    <row r="98">
      <c r="C98" s="16"/>
      <c r="D98" s="16"/>
      <c r="E98" s="16"/>
      <c r="F98" s="16"/>
      <c r="G98" s="16"/>
      <c r="H98" s="16"/>
    </row>
    <row r="99">
      <c r="C99" s="16"/>
      <c r="D99" s="16"/>
      <c r="E99" s="16"/>
      <c r="F99" s="16"/>
      <c r="G99" s="16"/>
      <c r="H99" s="16"/>
    </row>
    <row r="100">
      <c r="C100" s="16"/>
      <c r="D100" s="16"/>
      <c r="E100" s="16"/>
      <c r="F100" s="16"/>
      <c r="G100" s="16"/>
      <c r="H100" s="16"/>
    </row>
    <row r="101">
      <c r="C101" s="16"/>
      <c r="D101" s="16"/>
      <c r="E101" s="16"/>
      <c r="F101" s="16"/>
      <c r="G101" s="16"/>
      <c r="H101" s="16"/>
    </row>
    <row r="102">
      <c r="C102" s="16"/>
      <c r="D102" s="16"/>
      <c r="E102" s="16"/>
      <c r="F102" s="16"/>
      <c r="G102" s="16"/>
      <c r="H102" s="16"/>
    </row>
    <row r="103">
      <c r="C103" s="16"/>
      <c r="D103" s="16"/>
      <c r="E103" s="16"/>
      <c r="F103" s="16"/>
      <c r="G103" s="16"/>
      <c r="H103" s="16"/>
    </row>
    <row r="104">
      <c r="C104" s="16"/>
      <c r="D104" s="16"/>
      <c r="E104" s="16"/>
      <c r="F104" s="16"/>
      <c r="G104" s="16"/>
      <c r="H104" s="16"/>
    </row>
    <row r="105">
      <c r="C105" s="16"/>
      <c r="D105" s="16"/>
      <c r="E105" s="16"/>
      <c r="F105" s="16"/>
      <c r="G105" s="16"/>
      <c r="H105" s="16"/>
    </row>
    <row r="106">
      <c r="C106" s="16"/>
      <c r="D106" s="16"/>
      <c r="E106" s="16"/>
      <c r="F106" s="16"/>
      <c r="G106" s="16"/>
      <c r="H106" s="16"/>
    </row>
    <row r="107">
      <c r="C107" s="16"/>
      <c r="D107" s="16"/>
      <c r="E107" s="16"/>
      <c r="F107" s="16"/>
      <c r="G107" s="16"/>
      <c r="H107" s="16"/>
    </row>
    <row r="108">
      <c r="C108" s="16"/>
      <c r="D108" s="16"/>
      <c r="E108" s="16"/>
      <c r="F108" s="16"/>
      <c r="G108" s="16"/>
      <c r="H108" s="16"/>
    </row>
    <row r="109">
      <c r="C109" s="16"/>
      <c r="D109" s="16"/>
      <c r="E109" s="16"/>
      <c r="F109" s="16"/>
      <c r="G109" s="16"/>
      <c r="H109" s="16"/>
    </row>
    <row r="110">
      <c r="C110" s="16"/>
      <c r="D110" s="16"/>
      <c r="E110" s="16"/>
      <c r="F110" s="16"/>
      <c r="G110" s="16"/>
      <c r="H110" s="16"/>
    </row>
    <row r="111">
      <c r="C111" s="16"/>
      <c r="D111" s="16"/>
      <c r="E111" s="16"/>
      <c r="F111" s="16"/>
      <c r="G111" s="16"/>
      <c r="H111" s="16"/>
    </row>
    <row r="112">
      <c r="C112" s="16"/>
      <c r="D112" s="16"/>
      <c r="E112" s="16"/>
      <c r="F112" s="16"/>
      <c r="G112" s="16"/>
      <c r="H112" s="16"/>
    </row>
    <row r="113">
      <c r="C113" s="16"/>
      <c r="D113" s="16"/>
      <c r="E113" s="16"/>
      <c r="F113" s="16"/>
      <c r="G113" s="16"/>
      <c r="H113" s="16"/>
    </row>
    <row r="114">
      <c r="C114" s="16"/>
      <c r="D114" s="16"/>
      <c r="E114" s="16"/>
      <c r="F114" s="16"/>
      <c r="G114" s="16"/>
      <c r="H114" s="16"/>
    </row>
    <row r="115">
      <c r="C115" s="16"/>
      <c r="D115" s="16"/>
      <c r="E115" s="16"/>
      <c r="F115" s="16"/>
      <c r="G115" s="16"/>
      <c r="H115" s="16"/>
    </row>
    <row r="116">
      <c r="C116" s="16"/>
      <c r="D116" s="16"/>
      <c r="E116" s="16"/>
      <c r="F116" s="16"/>
      <c r="G116" s="16"/>
      <c r="H116" s="16"/>
    </row>
    <row r="117">
      <c r="C117" s="16"/>
      <c r="D117" s="16"/>
      <c r="E117" s="16"/>
      <c r="F117" s="16"/>
      <c r="G117" s="16"/>
      <c r="H117" s="16"/>
    </row>
    <row r="118">
      <c r="C118" s="16"/>
      <c r="D118" s="16"/>
      <c r="E118" s="16"/>
      <c r="F118" s="16"/>
      <c r="G118" s="16"/>
      <c r="H118" s="16"/>
    </row>
    <row r="119">
      <c r="C119" s="16"/>
      <c r="D119" s="16"/>
      <c r="E119" s="16"/>
      <c r="F119" s="16"/>
      <c r="G119" s="16"/>
      <c r="H119" s="16"/>
    </row>
    <row r="120">
      <c r="C120" s="16"/>
      <c r="D120" s="16"/>
      <c r="E120" s="16"/>
      <c r="F120" s="16"/>
      <c r="G120" s="16"/>
      <c r="H120" s="16"/>
    </row>
    <row r="121">
      <c r="C121" s="16"/>
      <c r="D121" s="16"/>
      <c r="E121" s="16"/>
      <c r="F121" s="16"/>
      <c r="G121" s="16"/>
      <c r="H121" s="16"/>
    </row>
    <row r="122">
      <c r="C122" s="16"/>
      <c r="D122" s="16"/>
      <c r="E122" s="16"/>
      <c r="F122" s="16"/>
      <c r="G122" s="16"/>
      <c r="H122" s="16"/>
    </row>
    <row r="123">
      <c r="C123" s="16"/>
      <c r="D123" s="16"/>
      <c r="E123" s="16"/>
      <c r="F123" s="16"/>
      <c r="G123" s="16"/>
      <c r="H123" s="16"/>
    </row>
    <row r="124">
      <c r="C124" s="16"/>
      <c r="D124" s="16"/>
      <c r="E124" s="16"/>
      <c r="F124" s="16"/>
      <c r="G124" s="16"/>
      <c r="H124" s="16"/>
    </row>
    <row r="125">
      <c r="C125" s="16"/>
      <c r="D125" s="16"/>
      <c r="E125" s="16"/>
      <c r="F125" s="16"/>
      <c r="G125" s="16"/>
      <c r="H125" s="16"/>
    </row>
    <row r="126">
      <c r="C126" s="16"/>
      <c r="D126" s="16"/>
      <c r="E126" s="16"/>
      <c r="F126" s="16"/>
      <c r="G126" s="16"/>
      <c r="H126" s="16"/>
    </row>
    <row r="127">
      <c r="C127" s="16"/>
      <c r="D127" s="16"/>
      <c r="E127" s="16"/>
      <c r="F127" s="16"/>
      <c r="G127" s="16"/>
      <c r="H127" s="16"/>
    </row>
    <row r="128">
      <c r="C128" s="16"/>
      <c r="D128" s="16"/>
      <c r="E128" s="16"/>
      <c r="F128" s="16"/>
      <c r="G128" s="16"/>
      <c r="H128" s="16"/>
    </row>
    <row r="129">
      <c r="C129" s="16"/>
      <c r="D129" s="16"/>
      <c r="E129" s="16"/>
      <c r="F129" s="16"/>
      <c r="G129" s="16"/>
      <c r="H129" s="16"/>
    </row>
    <row r="130">
      <c r="C130" s="16"/>
      <c r="D130" s="16"/>
      <c r="E130" s="16"/>
      <c r="F130" s="16"/>
      <c r="G130" s="16"/>
      <c r="H130" s="16"/>
    </row>
    <row r="131">
      <c r="C131" s="16"/>
      <c r="D131" s="16"/>
      <c r="E131" s="16"/>
      <c r="F131" s="16"/>
      <c r="G131" s="16"/>
      <c r="H131" s="16"/>
    </row>
    <row r="132">
      <c r="C132" s="16"/>
      <c r="D132" s="16"/>
      <c r="E132" s="16"/>
      <c r="F132" s="16"/>
      <c r="G132" s="16"/>
      <c r="H132" s="16"/>
    </row>
    <row r="133">
      <c r="C133" s="16"/>
      <c r="D133" s="16"/>
      <c r="E133" s="16"/>
      <c r="F133" s="16"/>
      <c r="G133" s="16"/>
      <c r="H133" s="16"/>
    </row>
    <row r="134">
      <c r="C134" s="16"/>
      <c r="D134" s="16"/>
      <c r="E134" s="16"/>
      <c r="F134" s="16"/>
      <c r="G134" s="16"/>
      <c r="H134" s="16"/>
    </row>
    <row r="135">
      <c r="C135" s="16"/>
      <c r="D135" s="16"/>
      <c r="E135" s="16"/>
      <c r="F135" s="16"/>
      <c r="G135" s="16"/>
      <c r="H135" s="16"/>
    </row>
    <row r="136">
      <c r="C136" s="16"/>
      <c r="D136" s="16"/>
      <c r="E136" s="16"/>
      <c r="F136" s="16"/>
      <c r="G136" s="16"/>
      <c r="H136" s="16"/>
    </row>
    <row r="137">
      <c r="C137" s="16"/>
      <c r="D137" s="16"/>
      <c r="E137" s="16"/>
      <c r="F137" s="16"/>
      <c r="G137" s="16"/>
      <c r="H137" s="16"/>
    </row>
    <row r="138">
      <c r="C138" s="16"/>
      <c r="D138" s="16"/>
      <c r="E138" s="16"/>
      <c r="F138" s="16"/>
      <c r="G138" s="16"/>
      <c r="H138" s="16"/>
    </row>
    <row r="139">
      <c r="C139" s="16"/>
      <c r="D139" s="16"/>
      <c r="E139" s="16"/>
      <c r="F139" s="16"/>
      <c r="G139" s="16"/>
      <c r="H139" s="16"/>
    </row>
    <row r="140">
      <c r="C140" s="16"/>
      <c r="D140" s="16"/>
      <c r="E140" s="16"/>
      <c r="F140" s="16"/>
      <c r="G140" s="16"/>
      <c r="H140" s="16"/>
    </row>
    <row r="141">
      <c r="C141" s="16"/>
      <c r="D141" s="16"/>
      <c r="E141" s="16"/>
      <c r="F141" s="16"/>
      <c r="G141" s="16"/>
      <c r="H141" s="16"/>
    </row>
    <row r="142">
      <c r="C142" s="16"/>
      <c r="D142" s="16"/>
      <c r="E142" s="16"/>
      <c r="F142" s="16"/>
      <c r="G142" s="16"/>
      <c r="H142" s="16"/>
    </row>
    <row r="143">
      <c r="C143" s="16"/>
      <c r="D143" s="16"/>
      <c r="E143" s="16"/>
      <c r="F143" s="16"/>
      <c r="G143" s="16"/>
      <c r="H143" s="16"/>
    </row>
    <row r="144">
      <c r="C144" s="16"/>
      <c r="D144" s="16"/>
      <c r="E144" s="16"/>
      <c r="F144" s="16"/>
      <c r="G144" s="16"/>
      <c r="H144" s="16"/>
    </row>
    <row r="145">
      <c r="C145" s="16"/>
      <c r="D145" s="16"/>
      <c r="E145" s="16"/>
      <c r="F145" s="16"/>
      <c r="G145" s="16"/>
      <c r="H145" s="16"/>
    </row>
    <row r="146">
      <c r="C146" s="16"/>
      <c r="D146" s="16"/>
      <c r="E146" s="16"/>
      <c r="F146" s="16"/>
      <c r="G146" s="16"/>
      <c r="H146" s="16"/>
    </row>
    <row r="147">
      <c r="C147" s="16"/>
      <c r="D147" s="16"/>
      <c r="E147" s="16"/>
      <c r="F147" s="16"/>
      <c r="G147" s="16"/>
      <c r="H147" s="16"/>
    </row>
    <row r="148">
      <c r="C148" s="16"/>
      <c r="D148" s="16"/>
      <c r="E148" s="16"/>
      <c r="F148" s="16"/>
      <c r="G148" s="16"/>
      <c r="H148" s="16"/>
    </row>
    <row r="149">
      <c r="C149" s="16"/>
      <c r="D149" s="16"/>
      <c r="E149" s="16"/>
      <c r="F149" s="16"/>
      <c r="G149" s="16"/>
      <c r="H149" s="16"/>
    </row>
    <row r="150">
      <c r="C150" s="16"/>
      <c r="D150" s="16"/>
      <c r="E150" s="16"/>
      <c r="F150" s="16"/>
      <c r="G150" s="16"/>
      <c r="H150" s="16"/>
    </row>
    <row r="151">
      <c r="C151" s="16"/>
      <c r="D151" s="16"/>
      <c r="E151" s="16"/>
      <c r="F151" s="16"/>
      <c r="G151" s="16"/>
      <c r="H151" s="16"/>
    </row>
    <row r="152">
      <c r="C152" s="16"/>
      <c r="D152" s="16"/>
      <c r="E152" s="16"/>
      <c r="F152" s="16"/>
      <c r="G152" s="16"/>
      <c r="H152" s="16"/>
    </row>
    <row r="153">
      <c r="C153" s="16"/>
      <c r="D153" s="16"/>
      <c r="E153" s="16"/>
      <c r="F153" s="16"/>
      <c r="G153" s="16"/>
      <c r="H153" s="16"/>
    </row>
    <row r="154">
      <c r="C154" s="16"/>
      <c r="D154" s="16"/>
      <c r="E154" s="16"/>
      <c r="F154" s="16"/>
      <c r="G154" s="16"/>
      <c r="H154" s="16"/>
    </row>
    <row r="155">
      <c r="C155" s="16"/>
      <c r="D155" s="16"/>
      <c r="E155" s="16"/>
      <c r="F155" s="16"/>
      <c r="G155" s="16"/>
      <c r="H155" s="16"/>
    </row>
    <row r="156">
      <c r="C156" s="16"/>
      <c r="D156" s="16"/>
      <c r="E156" s="16"/>
      <c r="F156" s="16"/>
      <c r="G156" s="16"/>
      <c r="H156" s="16"/>
    </row>
    <row r="157">
      <c r="C157" s="16"/>
      <c r="D157" s="16"/>
      <c r="E157" s="16"/>
      <c r="F157" s="16"/>
      <c r="G157" s="16"/>
      <c r="H157" s="16"/>
    </row>
    <row r="158">
      <c r="C158" s="16"/>
      <c r="D158" s="16"/>
      <c r="E158" s="16"/>
      <c r="F158" s="16"/>
      <c r="G158" s="16"/>
      <c r="H158" s="16"/>
    </row>
    <row r="159">
      <c r="C159" s="16"/>
      <c r="D159" s="16"/>
      <c r="E159" s="16"/>
      <c r="F159" s="16"/>
      <c r="G159" s="16"/>
      <c r="H159" s="16"/>
    </row>
    <row r="160">
      <c r="C160" s="16"/>
      <c r="D160" s="16"/>
      <c r="E160" s="16"/>
      <c r="F160" s="16"/>
      <c r="G160" s="16"/>
      <c r="H160" s="16"/>
    </row>
    <row r="161">
      <c r="C161" s="16"/>
      <c r="D161" s="16"/>
      <c r="E161" s="16"/>
      <c r="F161" s="16"/>
      <c r="G161" s="16"/>
      <c r="H161" s="16"/>
    </row>
    <row r="162">
      <c r="C162" s="16"/>
      <c r="D162" s="16"/>
      <c r="E162" s="16"/>
      <c r="F162" s="16"/>
      <c r="G162" s="16"/>
      <c r="H162" s="16"/>
    </row>
    <row r="163">
      <c r="C163" s="16"/>
      <c r="D163" s="16"/>
      <c r="E163" s="16"/>
      <c r="F163" s="16"/>
      <c r="G163" s="16"/>
      <c r="H163" s="16"/>
    </row>
    <row r="164">
      <c r="C164" s="16"/>
      <c r="D164" s="16"/>
      <c r="E164" s="16"/>
      <c r="F164" s="16"/>
      <c r="G164" s="16"/>
      <c r="H164" s="16"/>
    </row>
    <row r="165">
      <c r="C165" s="16"/>
      <c r="D165" s="16"/>
      <c r="E165" s="16"/>
      <c r="F165" s="16"/>
      <c r="G165" s="16"/>
      <c r="H165" s="16"/>
    </row>
    <row r="166">
      <c r="C166" s="16"/>
      <c r="D166" s="16"/>
      <c r="E166" s="16"/>
      <c r="F166" s="16"/>
      <c r="G166" s="16"/>
      <c r="H166" s="16"/>
    </row>
    <row r="167">
      <c r="C167" s="16"/>
      <c r="D167" s="16"/>
      <c r="E167" s="16"/>
      <c r="F167" s="16"/>
      <c r="G167" s="16"/>
      <c r="H167" s="16"/>
    </row>
    <row r="168">
      <c r="C168" s="16"/>
      <c r="D168" s="16"/>
      <c r="E168" s="16"/>
      <c r="F168" s="16"/>
      <c r="G168" s="16"/>
      <c r="H168" s="16"/>
    </row>
    <row r="169">
      <c r="C169" s="16"/>
      <c r="D169" s="16"/>
      <c r="E169" s="16"/>
      <c r="F169" s="16"/>
      <c r="G169" s="16"/>
      <c r="H169" s="16"/>
    </row>
    <row r="170">
      <c r="C170" s="16"/>
      <c r="D170" s="16"/>
      <c r="E170" s="16"/>
      <c r="F170" s="16"/>
      <c r="G170" s="16"/>
      <c r="H170" s="16"/>
    </row>
    <row r="171">
      <c r="C171" s="16"/>
      <c r="D171" s="16"/>
      <c r="E171" s="16"/>
      <c r="F171" s="16"/>
      <c r="G171" s="16"/>
      <c r="H171" s="16"/>
    </row>
    <row r="172">
      <c r="C172" s="16"/>
      <c r="D172" s="16"/>
      <c r="E172" s="16"/>
      <c r="F172" s="16"/>
      <c r="G172" s="16"/>
      <c r="H172" s="16"/>
    </row>
    <row r="173">
      <c r="C173" s="16"/>
      <c r="D173" s="16"/>
      <c r="E173" s="16"/>
      <c r="F173" s="16"/>
      <c r="G173" s="16"/>
      <c r="H173" s="16"/>
    </row>
    <row r="174">
      <c r="C174" s="16"/>
      <c r="D174" s="16"/>
      <c r="E174" s="16"/>
      <c r="F174" s="16"/>
      <c r="G174" s="16"/>
      <c r="H174" s="16"/>
    </row>
    <row r="175">
      <c r="C175" s="16"/>
      <c r="D175" s="16"/>
      <c r="E175" s="16"/>
      <c r="F175" s="16"/>
      <c r="G175" s="16"/>
      <c r="H175" s="16"/>
    </row>
    <row r="176">
      <c r="C176" s="16"/>
      <c r="D176" s="16"/>
      <c r="E176" s="16"/>
      <c r="F176" s="16"/>
      <c r="G176" s="16"/>
      <c r="H176" s="16"/>
    </row>
    <row r="177">
      <c r="C177" s="16"/>
      <c r="D177" s="16"/>
      <c r="E177" s="16"/>
      <c r="F177" s="16"/>
      <c r="G177" s="16"/>
      <c r="H177" s="16"/>
    </row>
    <row r="178">
      <c r="C178" s="16"/>
      <c r="D178" s="16"/>
      <c r="E178" s="16"/>
      <c r="F178" s="16"/>
      <c r="G178" s="16"/>
      <c r="H178" s="16"/>
    </row>
    <row r="179">
      <c r="C179" s="16"/>
      <c r="D179" s="16"/>
      <c r="E179" s="16"/>
      <c r="F179" s="16"/>
      <c r="G179" s="16"/>
      <c r="H179" s="16"/>
    </row>
    <row r="180">
      <c r="C180" s="16"/>
      <c r="D180" s="16"/>
      <c r="E180" s="16"/>
      <c r="F180" s="16"/>
      <c r="G180" s="16"/>
      <c r="H180" s="16"/>
    </row>
    <row r="181">
      <c r="C181" s="16"/>
      <c r="D181" s="16"/>
      <c r="E181" s="16"/>
      <c r="F181" s="16"/>
      <c r="G181" s="16"/>
      <c r="H181" s="16"/>
    </row>
    <row r="182">
      <c r="C182" s="16"/>
      <c r="D182" s="16"/>
      <c r="E182" s="16"/>
      <c r="F182" s="16"/>
      <c r="G182" s="16"/>
      <c r="H182" s="16"/>
    </row>
    <row r="183">
      <c r="C183" s="16"/>
      <c r="D183" s="16"/>
      <c r="E183" s="16"/>
      <c r="F183" s="16"/>
      <c r="G183" s="16"/>
      <c r="H183" s="16"/>
    </row>
    <row r="184">
      <c r="C184" s="16"/>
      <c r="D184" s="16"/>
      <c r="E184" s="16"/>
      <c r="F184" s="16"/>
      <c r="G184" s="16"/>
      <c r="H184" s="16"/>
    </row>
    <row r="185">
      <c r="C185" s="16"/>
      <c r="D185" s="16"/>
      <c r="E185" s="16"/>
      <c r="F185" s="16"/>
      <c r="G185" s="16"/>
      <c r="H185" s="16"/>
    </row>
    <row r="186">
      <c r="C186" s="16"/>
      <c r="D186" s="16"/>
      <c r="E186" s="16"/>
      <c r="F186" s="16"/>
      <c r="G186" s="16"/>
      <c r="H186" s="16"/>
    </row>
    <row r="187">
      <c r="C187" s="16"/>
      <c r="D187" s="16"/>
      <c r="E187" s="16"/>
      <c r="F187" s="16"/>
      <c r="G187" s="16"/>
      <c r="H187" s="16"/>
    </row>
    <row r="188">
      <c r="C188" s="16"/>
      <c r="D188" s="16"/>
      <c r="E188" s="16"/>
      <c r="F188" s="16"/>
      <c r="G188" s="16"/>
      <c r="H188" s="16"/>
    </row>
    <row r="189">
      <c r="C189" s="16"/>
      <c r="D189" s="16"/>
      <c r="E189" s="16"/>
      <c r="F189" s="16"/>
      <c r="G189" s="16"/>
      <c r="H189" s="16"/>
    </row>
    <row r="190">
      <c r="C190" s="16"/>
      <c r="D190" s="16"/>
      <c r="E190" s="16"/>
      <c r="F190" s="16"/>
      <c r="G190" s="16"/>
      <c r="H190" s="16"/>
    </row>
    <row r="191">
      <c r="C191" s="16"/>
      <c r="D191" s="16"/>
      <c r="E191" s="16"/>
      <c r="F191" s="16"/>
      <c r="G191" s="16"/>
      <c r="H191" s="16"/>
    </row>
    <row r="192">
      <c r="C192" s="16"/>
      <c r="D192" s="16"/>
      <c r="E192" s="16"/>
      <c r="F192" s="16"/>
      <c r="G192" s="16"/>
      <c r="H192" s="16"/>
    </row>
    <row r="193">
      <c r="C193" s="16"/>
      <c r="D193" s="16"/>
      <c r="E193" s="16"/>
      <c r="F193" s="16"/>
      <c r="G193" s="16"/>
      <c r="H193" s="16"/>
    </row>
    <row r="194">
      <c r="C194" s="16"/>
      <c r="D194" s="16"/>
      <c r="E194" s="16"/>
      <c r="F194" s="16"/>
      <c r="G194" s="16"/>
      <c r="H194" s="16"/>
    </row>
    <row r="195">
      <c r="C195" s="16"/>
      <c r="D195" s="16"/>
      <c r="E195" s="16"/>
      <c r="F195" s="16"/>
      <c r="G195" s="16"/>
      <c r="H195" s="16"/>
    </row>
    <row r="196">
      <c r="C196" s="16"/>
      <c r="D196" s="16"/>
      <c r="E196" s="16"/>
      <c r="F196" s="16"/>
      <c r="G196" s="16"/>
      <c r="H196" s="16"/>
    </row>
    <row r="197">
      <c r="C197" s="16"/>
      <c r="D197" s="16"/>
      <c r="E197" s="16"/>
      <c r="F197" s="16"/>
      <c r="G197" s="16"/>
      <c r="H197" s="16"/>
    </row>
    <row r="198">
      <c r="C198" s="16"/>
      <c r="D198" s="16"/>
      <c r="E198" s="16"/>
      <c r="F198" s="16"/>
      <c r="G198" s="16"/>
      <c r="H198" s="16"/>
    </row>
    <row r="199">
      <c r="C199" s="16"/>
      <c r="D199" s="16"/>
      <c r="E199" s="16"/>
      <c r="F199" s="16"/>
      <c r="G199" s="16"/>
      <c r="H199" s="16"/>
    </row>
    <row r="200">
      <c r="C200" s="16"/>
      <c r="D200" s="16"/>
      <c r="E200" s="16"/>
      <c r="F200" s="16"/>
      <c r="G200" s="16"/>
      <c r="H200" s="16"/>
    </row>
    <row r="201">
      <c r="C201" s="16"/>
      <c r="D201" s="16"/>
      <c r="E201" s="16"/>
      <c r="F201" s="16"/>
      <c r="G201" s="16"/>
      <c r="H201" s="16"/>
    </row>
    <row r="202">
      <c r="C202" s="16"/>
      <c r="D202" s="16"/>
      <c r="E202" s="16"/>
      <c r="F202" s="16"/>
      <c r="G202" s="16"/>
      <c r="H202" s="16"/>
    </row>
    <row r="203">
      <c r="C203" s="16"/>
      <c r="D203" s="16"/>
      <c r="E203" s="16"/>
      <c r="F203" s="16"/>
      <c r="G203" s="16"/>
      <c r="H203" s="16"/>
    </row>
    <row r="204">
      <c r="C204" s="16"/>
      <c r="D204" s="16"/>
      <c r="E204" s="16"/>
      <c r="F204" s="16"/>
      <c r="G204" s="16"/>
      <c r="H204" s="16"/>
    </row>
    <row r="205">
      <c r="C205" s="16"/>
      <c r="D205" s="16"/>
      <c r="E205" s="16"/>
      <c r="F205" s="16"/>
      <c r="G205" s="16"/>
      <c r="H205" s="16"/>
    </row>
    <row r="206">
      <c r="C206" s="16"/>
      <c r="D206" s="16"/>
      <c r="E206" s="16"/>
      <c r="F206" s="16"/>
      <c r="G206" s="16"/>
      <c r="H206" s="16"/>
    </row>
    <row r="207">
      <c r="C207" s="16"/>
      <c r="D207" s="16"/>
      <c r="E207" s="16"/>
      <c r="F207" s="16"/>
      <c r="G207" s="16"/>
      <c r="H207" s="16"/>
    </row>
    <row r="208">
      <c r="C208" s="16"/>
      <c r="D208" s="16"/>
      <c r="E208" s="16"/>
      <c r="F208" s="16"/>
      <c r="G208" s="16"/>
      <c r="H208" s="16"/>
    </row>
    <row r="209">
      <c r="C209" s="16"/>
      <c r="D209" s="16"/>
      <c r="E209" s="16"/>
      <c r="F209" s="16"/>
      <c r="G209" s="16"/>
      <c r="H209" s="16"/>
    </row>
    <row r="210">
      <c r="C210" s="16"/>
      <c r="D210" s="16"/>
      <c r="E210" s="16"/>
      <c r="F210" s="16"/>
      <c r="G210" s="16"/>
      <c r="H210" s="16"/>
    </row>
    <row r="211">
      <c r="C211" s="16"/>
      <c r="D211" s="16"/>
      <c r="E211" s="16"/>
      <c r="F211" s="16"/>
      <c r="G211" s="16"/>
      <c r="H211" s="16"/>
    </row>
    <row r="212">
      <c r="C212" s="16"/>
      <c r="D212" s="16"/>
      <c r="E212" s="16"/>
      <c r="F212" s="16"/>
      <c r="G212" s="16"/>
      <c r="H212" s="16"/>
    </row>
    <row r="213">
      <c r="C213" s="16"/>
      <c r="D213" s="16"/>
      <c r="E213" s="16"/>
      <c r="F213" s="16"/>
      <c r="G213" s="16"/>
      <c r="H213" s="16"/>
    </row>
    <row r="214">
      <c r="C214" s="16"/>
      <c r="D214" s="16"/>
      <c r="E214" s="16"/>
      <c r="F214" s="16"/>
      <c r="G214" s="16"/>
      <c r="H214" s="16"/>
    </row>
    <row r="215">
      <c r="C215" s="16"/>
      <c r="D215" s="16"/>
      <c r="E215" s="16"/>
      <c r="F215" s="16"/>
      <c r="G215" s="16"/>
      <c r="H215" s="16"/>
    </row>
    <row r="216">
      <c r="C216" s="16"/>
      <c r="D216" s="16"/>
      <c r="E216" s="16"/>
      <c r="F216" s="16"/>
      <c r="G216" s="16"/>
      <c r="H216" s="16"/>
    </row>
    <row r="217">
      <c r="C217" s="16"/>
      <c r="D217" s="16"/>
      <c r="E217" s="16"/>
      <c r="F217" s="16"/>
      <c r="G217" s="16"/>
      <c r="H217" s="16"/>
    </row>
    <row r="218">
      <c r="C218" s="16"/>
      <c r="D218" s="16"/>
      <c r="E218" s="16"/>
      <c r="F218" s="16"/>
      <c r="G218" s="16"/>
      <c r="H218" s="16"/>
    </row>
    <row r="219">
      <c r="C219" s="16"/>
      <c r="D219" s="16"/>
      <c r="E219" s="16"/>
      <c r="F219" s="16"/>
      <c r="G219" s="16"/>
      <c r="H219" s="16"/>
    </row>
    <row r="220">
      <c r="C220" s="16"/>
      <c r="D220" s="16"/>
      <c r="E220" s="16"/>
      <c r="F220" s="16"/>
      <c r="G220" s="16"/>
      <c r="H220" s="16"/>
    </row>
    <row r="221">
      <c r="C221" s="16"/>
      <c r="D221" s="16"/>
      <c r="E221" s="16"/>
      <c r="F221" s="16"/>
      <c r="G221" s="16"/>
      <c r="H221" s="16"/>
    </row>
    <row r="222">
      <c r="C222" s="16"/>
      <c r="D222" s="16"/>
      <c r="E222" s="16"/>
      <c r="F222" s="16"/>
      <c r="G222" s="16"/>
      <c r="H222" s="16"/>
    </row>
    <row r="223">
      <c r="C223" s="16"/>
      <c r="D223" s="16"/>
      <c r="E223" s="16"/>
      <c r="F223" s="16"/>
      <c r="G223" s="16"/>
      <c r="H223" s="16"/>
    </row>
    <row r="224">
      <c r="C224" s="16"/>
      <c r="D224" s="16"/>
      <c r="E224" s="16"/>
      <c r="F224" s="16"/>
      <c r="G224" s="16"/>
      <c r="H224" s="16"/>
    </row>
    <row r="225">
      <c r="C225" s="16"/>
      <c r="D225" s="16"/>
      <c r="E225" s="16"/>
      <c r="F225" s="16"/>
      <c r="G225" s="16"/>
      <c r="H225" s="16"/>
    </row>
    <row r="226">
      <c r="C226" s="16"/>
      <c r="D226" s="16"/>
      <c r="E226" s="16"/>
      <c r="F226" s="16"/>
      <c r="G226" s="16"/>
      <c r="H226" s="16"/>
    </row>
    <row r="227">
      <c r="C227" s="16"/>
      <c r="D227" s="16"/>
      <c r="E227" s="16"/>
      <c r="F227" s="16"/>
      <c r="G227" s="16"/>
      <c r="H227" s="16"/>
    </row>
    <row r="228">
      <c r="C228" s="16"/>
      <c r="D228" s="16"/>
      <c r="E228" s="16"/>
      <c r="F228" s="16"/>
      <c r="G228" s="16"/>
      <c r="H228" s="16"/>
    </row>
    <row r="229">
      <c r="C229" s="16"/>
      <c r="D229" s="16"/>
      <c r="E229" s="16"/>
      <c r="F229" s="16"/>
      <c r="G229" s="16"/>
      <c r="H229" s="16"/>
    </row>
    <row r="230">
      <c r="C230" s="16"/>
      <c r="D230" s="16"/>
      <c r="E230" s="16"/>
      <c r="F230" s="16"/>
      <c r="G230" s="16"/>
      <c r="H230" s="16"/>
    </row>
    <row r="231">
      <c r="C231" s="16"/>
      <c r="D231" s="16"/>
      <c r="E231" s="16"/>
      <c r="F231" s="16"/>
      <c r="G231" s="16"/>
      <c r="H231" s="16"/>
    </row>
    <row r="232">
      <c r="C232" s="16"/>
      <c r="D232" s="16"/>
      <c r="E232" s="16"/>
      <c r="F232" s="16"/>
      <c r="G232" s="16"/>
      <c r="H232" s="16"/>
    </row>
    <row r="233">
      <c r="C233" s="16"/>
      <c r="D233" s="16"/>
      <c r="E233" s="16"/>
      <c r="F233" s="16"/>
      <c r="G233" s="16"/>
      <c r="H233" s="16"/>
    </row>
    <row r="234">
      <c r="C234" s="16"/>
      <c r="D234" s="16"/>
      <c r="E234" s="16"/>
      <c r="F234" s="16"/>
      <c r="G234" s="16"/>
      <c r="H234" s="16"/>
    </row>
    <row r="235">
      <c r="C235" s="16"/>
      <c r="D235" s="16"/>
      <c r="E235" s="16"/>
      <c r="F235" s="16"/>
      <c r="G235" s="16"/>
      <c r="H235" s="16"/>
    </row>
    <row r="236">
      <c r="C236" s="16"/>
      <c r="D236" s="16"/>
      <c r="E236" s="16"/>
      <c r="F236" s="16"/>
      <c r="G236" s="16"/>
      <c r="H236" s="16"/>
    </row>
    <row r="237">
      <c r="C237" s="16"/>
      <c r="D237" s="16"/>
      <c r="E237" s="16"/>
      <c r="F237" s="16"/>
      <c r="G237" s="16"/>
      <c r="H237" s="16"/>
    </row>
    <row r="238">
      <c r="C238" s="16"/>
      <c r="D238" s="16"/>
      <c r="E238" s="16"/>
      <c r="F238" s="16"/>
      <c r="G238" s="16"/>
      <c r="H238" s="16"/>
    </row>
    <row r="239">
      <c r="C239" s="16"/>
      <c r="D239" s="16"/>
      <c r="E239" s="16"/>
      <c r="F239" s="16"/>
      <c r="G239" s="16"/>
      <c r="H239" s="16"/>
    </row>
    <row r="240">
      <c r="C240" s="16"/>
      <c r="D240" s="16"/>
      <c r="E240" s="16"/>
      <c r="F240" s="16"/>
      <c r="G240" s="16"/>
      <c r="H240" s="16"/>
    </row>
    <row r="241">
      <c r="C241" s="16"/>
      <c r="D241" s="16"/>
      <c r="E241" s="16"/>
      <c r="F241" s="16"/>
      <c r="G241" s="16"/>
      <c r="H241" s="16"/>
    </row>
    <row r="242">
      <c r="C242" s="16"/>
      <c r="D242" s="16"/>
      <c r="E242" s="16"/>
      <c r="F242" s="16"/>
      <c r="G242" s="16"/>
      <c r="H242" s="16"/>
    </row>
    <row r="243">
      <c r="C243" s="16"/>
      <c r="D243" s="16"/>
      <c r="E243" s="16"/>
      <c r="F243" s="16"/>
      <c r="G243" s="16"/>
      <c r="H243" s="16"/>
    </row>
    <row r="244">
      <c r="C244" s="16"/>
      <c r="D244" s="16"/>
      <c r="E244" s="16"/>
      <c r="F244" s="16"/>
      <c r="G244" s="16"/>
      <c r="H244" s="16"/>
    </row>
    <row r="245">
      <c r="C245" s="16"/>
      <c r="D245" s="16"/>
      <c r="E245" s="16"/>
      <c r="F245" s="16"/>
      <c r="G245" s="16"/>
      <c r="H245" s="16"/>
    </row>
    <row r="246">
      <c r="C246" s="16"/>
      <c r="D246" s="16"/>
      <c r="E246" s="16"/>
      <c r="F246" s="16"/>
      <c r="G246" s="16"/>
      <c r="H246" s="16"/>
    </row>
    <row r="247">
      <c r="C247" s="16"/>
      <c r="D247" s="16"/>
      <c r="E247" s="16"/>
      <c r="F247" s="16"/>
      <c r="G247" s="16"/>
      <c r="H247" s="16"/>
    </row>
    <row r="248">
      <c r="C248" s="16"/>
      <c r="D248" s="16"/>
      <c r="E248" s="16"/>
      <c r="F248" s="16"/>
      <c r="G248" s="16"/>
      <c r="H248" s="16"/>
    </row>
    <row r="249">
      <c r="C249" s="16"/>
      <c r="D249" s="16"/>
      <c r="E249" s="16"/>
      <c r="F249" s="16"/>
      <c r="G249" s="16"/>
      <c r="H249" s="16"/>
    </row>
    <row r="250">
      <c r="C250" s="16"/>
      <c r="D250" s="16"/>
      <c r="E250" s="16"/>
      <c r="F250" s="16"/>
      <c r="G250" s="16"/>
      <c r="H250" s="16"/>
    </row>
    <row r="251">
      <c r="C251" s="16"/>
      <c r="D251" s="16"/>
      <c r="E251" s="16"/>
      <c r="F251" s="16"/>
      <c r="G251" s="16"/>
      <c r="H251" s="16"/>
    </row>
    <row r="252">
      <c r="C252" s="16"/>
      <c r="D252" s="16"/>
      <c r="E252" s="16"/>
      <c r="F252" s="16"/>
      <c r="G252" s="16"/>
      <c r="H252" s="16"/>
    </row>
    <row r="253">
      <c r="C253" s="16"/>
      <c r="D253" s="16"/>
      <c r="E253" s="16"/>
      <c r="F253" s="16"/>
      <c r="G253" s="16"/>
      <c r="H253" s="16"/>
    </row>
    <row r="254">
      <c r="C254" s="16"/>
      <c r="D254" s="16"/>
      <c r="E254" s="16"/>
      <c r="F254" s="16"/>
      <c r="G254" s="16"/>
      <c r="H254" s="16"/>
    </row>
    <row r="255">
      <c r="C255" s="16"/>
      <c r="D255" s="16"/>
      <c r="E255" s="16"/>
      <c r="F255" s="16"/>
      <c r="G255" s="16"/>
      <c r="H255" s="16"/>
    </row>
    <row r="256">
      <c r="C256" s="16"/>
      <c r="D256" s="16"/>
      <c r="E256" s="16"/>
      <c r="F256" s="16"/>
      <c r="G256" s="16"/>
      <c r="H256" s="16"/>
    </row>
    <row r="257">
      <c r="C257" s="16"/>
      <c r="D257" s="16"/>
      <c r="E257" s="16"/>
      <c r="F257" s="16"/>
      <c r="G257" s="16"/>
      <c r="H257" s="16"/>
    </row>
    <row r="258">
      <c r="C258" s="16"/>
      <c r="D258" s="16"/>
      <c r="E258" s="16"/>
      <c r="F258" s="16"/>
      <c r="G258" s="16"/>
      <c r="H258" s="16"/>
    </row>
    <row r="259">
      <c r="C259" s="16"/>
      <c r="D259" s="16"/>
      <c r="E259" s="16"/>
      <c r="F259" s="16"/>
      <c r="G259" s="16"/>
      <c r="H259" s="16"/>
    </row>
    <row r="260">
      <c r="C260" s="16"/>
      <c r="D260" s="16"/>
      <c r="E260" s="16"/>
      <c r="F260" s="16"/>
      <c r="G260" s="16"/>
      <c r="H260" s="16"/>
    </row>
    <row r="261">
      <c r="C261" s="16"/>
      <c r="D261" s="16"/>
      <c r="E261" s="16"/>
      <c r="F261" s="16"/>
      <c r="G261" s="16"/>
      <c r="H261" s="16"/>
    </row>
    <row r="262">
      <c r="C262" s="16"/>
      <c r="D262" s="16"/>
      <c r="E262" s="16"/>
      <c r="F262" s="16"/>
      <c r="G262" s="16"/>
      <c r="H262" s="16"/>
    </row>
    <row r="263">
      <c r="C263" s="16"/>
      <c r="D263" s="16"/>
      <c r="E263" s="16"/>
      <c r="F263" s="16"/>
      <c r="G263" s="16"/>
      <c r="H263" s="16"/>
    </row>
    <row r="264">
      <c r="C264" s="16"/>
      <c r="D264" s="16"/>
      <c r="E264" s="16"/>
      <c r="F264" s="16"/>
      <c r="G264" s="16"/>
      <c r="H264" s="16"/>
    </row>
    <row r="265">
      <c r="C265" s="16"/>
      <c r="D265" s="16"/>
      <c r="E265" s="16"/>
      <c r="F265" s="16"/>
      <c r="G265" s="16"/>
      <c r="H265" s="16"/>
    </row>
    <row r="266">
      <c r="C266" s="16"/>
      <c r="D266" s="16"/>
      <c r="E266" s="16"/>
      <c r="F266" s="16"/>
      <c r="G266" s="16"/>
      <c r="H266" s="16"/>
    </row>
    <row r="267">
      <c r="C267" s="16"/>
      <c r="D267" s="16"/>
      <c r="E267" s="16"/>
      <c r="F267" s="16"/>
      <c r="G267" s="16"/>
      <c r="H267" s="16"/>
    </row>
    <row r="268">
      <c r="C268" s="16"/>
      <c r="D268" s="16"/>
      <c r="E268" s="16"/>
      <c r="F268" s="16"/>
      <c r="G268" s="16"/>
      <c r="H268" s="16"/>
    </row>
    <row r="269">
      <c r="C269" s="16"/>
      <c r="D269" s="16"/>
      <c r="E269" s="16"/>
      <c r="F269" s="16"/>
      <c r="G269" s="16"/>
      <c r="H269" s="16"/>
    </row>
    <row r="270">
      <c r="C270" s="16"/>
      <c r="D270" s="16"/>
      <c r="E270" s="16"/>
      <c r="F270" s="16"/>
      <c r="G270" s="16"/>
      <c r="H270" s="16"/>
    </row>
    <row r="271">
      <c r="C271" s="16"/>
      <c r="D271" s="16"/>
      <c r="E271" s="16"/>
      <c r="F271" s="16"/>
      <c r="G271" s="16"/>
      <c r="H271" s="16"/>
    </row>
    <row r="272">
      <c r="C272" s="16"/>
      <c r="D272" s="16"/>
      <c r="E272" s="16"/>
      <c r="F272" s="16"/>
      <c r="G272" s="16"/>
      <c r="H272" s="16"/>
    </row>
    <row r="273">
      <c r="C273" s="16"/>
      <c r="D273" s="16"/>
      <c r="E273" s="16"/>
      <c r="F273" s="16"/>
      <c r="G273" s="16"/>
      <c r="H273" s="16"/>
    </row>
    <row r="274">
      <c r="C274" s="16"/>
      <c r="D274" s="16"/>
      <c r="E274" s="16"/>
      <c r="F274" s="16"/>
      <c r="G274" s="16"/>
      <c r="H274" s="16"/>
    </row>
    <row r="275">
      <c r="C275" s="16"/>
      <c r="D275" s="16"/>
      <c r="E275" s="16"/>
      <c r="F275" s="16"/>
      <c r="G275" s="16"/>
      <c r="H275" s="16"/>
    </row>
    <row r="276">
      <c r="C276" s="16"/>
      <c r="D276" s="16"/>
      <c r="E276" s="16"/>
      <c r="F276" s="16"/>
      <c r="G276" s="16"/>
      <c r="H276" s="16"/>
    </row>
    <row r="277">
      <c r="C277" s="16"/>
      <c r="D277" s="16"/>
      <c r="E277" s="16"/>
      <c r="F277" s="16"/>
      <c r="G277" s="16"/>
      <c r="H277" s="16"/>
    </row>
    <row r="278">
      <c r="C278" s="16"/>
      <c r="D278" s="16"/>
      <c r="E278" s="16"/>
      <c r="F278" s="16"/>
      <c r="G278" s="16"/>
      <c r="H278" s="16"/>
    </row>
    <row r="279">
      <c r="C279" s="16"/>
      <c r="D279" s="16"/>
      <c r="E279" s="16"/>
      <c r="F279" s="16"/>
      <c r="G279" s="16"/>
      <c r="H279" s="16"/>
    </row>
    <row r="280">
      <c r="C280" s="16"/>
      <c r="D280" s="16"/>
      <c r="E280" s="16"/>
      <c r="F280" s="16"/>
      <c r="G280" s="16"/>
      <c r="H280" s="16"/>
    </row>
    <row r="281">
      <c r="C281" s="16"/>
      <c r="D281" s="16"/>
      <c r="E281" s="16"/>
      <c r="F281" s="16"/>
      <c r="G281" s="16"/>
      <c r="H281" s="16"/>
    </row>
    <row r="282">
      <c r="C282" s="16"/>
      <c r="D282" s="16"/>
      <c r="E282" s="16"/>
      <c r="F282" s="16"/>
      <c r="G282" s="16"/>
      <c r="H282" s="16"/>
    </row>
    <row r="283">
      <c r="C283" s="16"/>
      <c r="D283" s="16"/>
      <c r="E283" s="16"/>
      <c r="F283" s="16"/>
      <c r="G283" s="16"/>
      <c r="H283" s="16"/>
    </row>
    <row r="284">
      <c r="C284" s="16"/>
      <c r="D284" s="16"/>
      <c r="E284" s="16"/>
      <c r="F284" s="16"/>
      <c r="G284" s="16"/>
      <c r="H284" s="16"/>
    </row>
    <row r="285">
      <c r="C285" s="16"/>
      <c r="D285" s="16"/>
      <c r="E285" s="16"/>
      <c r="F285" s="16"/>
      <c r="G285" s="16"/>
      <c r="H285" s="16"/>
    </row>
    <row r="286">
      <c r="C286" s="16"/>
      <c r="D286" s="16"/>
      <c r="E286" s="16"/>
      <c r="F286" s="16"/>
      <c r="G286" s="16"/>
      <c r="H286" s="16"/>
    </row>
    <row r="287">
      <c r="C287" s="16"/>
      <c r="D287" s="16"/>
      <c r="E287" s="16"/>
      <c r="F287" s="16"/>
      <c r="G287" s="16"/>
      <c r="H287" s="16"/>
    </row>
    <row r="288">
      <c r="C288" s="16"/>
      <c r="D288" s="16"/>
      <c r="E288" s="16"/>
      <c r="F288" s="16"/>
      <c r="G288" s="16"/>
      <c r="H288" s="16"/>
    </row>
    <row r="289">
      <c r="C289" s="16"/>
      <c r="D289" s="16"/>
      <c r="E289" s="16"/>
      <c r="F289" s="16"/>
      <c r="G289" s="16"/>
      <c r="H289" s="16"/>
    </row>
    <row r="290">
      <c r="C290" s="16"/>
      <c r="D290" s="16"/>
      <c r="E290" s="16"/>
      <c r="F290" s="16"/>
      <c r="G290" s="16"/>
      <c r="H290" s="16"/>
    </row>
    <row r="291">
      <c r="C291" s="16"/>
      <c r="D291" s="16"/>
      <c r="E291" s="16"/>
      <c r="F291" s="16"/>
      <c r="G291" s="16"/>
      <c r="H291" s="16"/>
    </row>
    <row r="292">
      <c r="C292" s="16"/>
      <c r="D292" s="16"/>
      <c r="E292" s="16"/>
      <c r="F292" s="16"/>
      <c r="G292" s="16"/>
      <c r="H292" s="16"/>
    </row>
    <row r="293">
      <c r="C293" s="16"/>
      <c r="D293" s="16"/>
      <c r="E293" s="16"/>
      <c r="F293" s="16"/>
      <c r="G293" s="16"/>
      <c r="H293" s="16"/>
    </row>
    <row r="294">
      <c r="C294" s="16"/>
      <c r="D294" s="16"/>
      <c r="E294" s="16"/>
      <c r="F294" s="16"/>
      <c r="G294" s="16"/>
      <c r="H294" s="16"/>
    </row>
    <row r="295">
      <c r="C295" s="16"/>
      <c r="D295" s="16"/>
      <c r="E295" s="16"/>
      <c r="F295" s="16"/>
      <c r="G295" s="16"/>
      <c r="H295" s="16"/>
    </row>
    <row r="296">
      <c r="C296" s="16"/>
      <c r="D296" s="16"/>
      <c r="E296" s="16"/>
      <c r="F296" s="16"/>
      <c r="G296" s="16"/>
      <c r="H296" s="16"/>
    </row>
    <row r="297">
      <c r="C297" s="16"/>
      <c r="D297" s="16"/>
      <c r="E297" s="16"/>
      <c r="F297" s="16"/>
      <c r="G297" s="16"/>
      <c r="H297" s="16"/>
    </row>
    <row r="298">
      <c r="C298" s="16"/>
      <c r="D298" s="16"/>
      <c r="E298" s="16"/>
      <c r="F298" s="16"/>
      <c r="G298" s="16"/>
      <c r="H298" s="16"/>
    </row>
    <row r="299">
      <c r="C299" s="16"/>
      <c r="D299" s="16"/>
      <c r="E299" s="16"/>
      <c r="F299" s="16"/>
      <c r="G299" s="16"/>
      <c r="H299" s="16"/>
    </row>
    <row r="300">
      <c r="C300" s="16"/>
      <c r="D300" s="16"/>
      <c r="E300" s="16"/>
      <c r="F300" s="16"/>
      <c r="G300" s="16"/>
      <c r="H300" s="16"/>
    </row>
    <row r="301">
      <c r="C301" s="16"/>
      <c r="D301" s="16"/>
      <c r="E301" s="16"/>
      <c r="F301" s="16"/>
      <c r="G301" s="16"/>
      <c r="H301" s="16"/>
    </row>
    <row r="302">
      <c r="C302" s="16"/>
      <c r="D302" s="16"/>
      <c r="E302" s="16"/>
      <c r="F302" s="16"/>
      <c r="G302" s="16"/>
      <c r="H302" s="16"/>
    </row>
    <row r="303">
      <c r="C303" s="16"/>
      <c r="D303" s="16"/>
      <c r="E303" s="16"/>
      <c r="F303" s="16"/>
      <c r="G303" s="16"/>
      <c r="H303" s="16"/>
    </row>
    <row r="304">
      <c r="C304" s="16"/>
      <c r="D304" s="16"/>
      <c r="E304" s="16"/>
      <c r="F304" s="16"/>
      <c r="G304" s="16"/>
      <c r="H304" s="16"/>
    </row>
    <row r="305">
      <c r="C305" s="16"/>
      <c r="D305" s="16"/>
      <c r="E305" s="16"/>
      <c r="F305" s="16"/>
      <c r="G305" s="16"/>
      <c r="H305" s="16"/>
    </row>
    <row r="306">
      <c r="C306" s="16"/>
      <c r="D306" s="16"/>
      <c r="E306" s="16"/>
      <c r="F306" s="16"/>
      <c r="G306" s="16"/>
      <c r="H306" s="16"/>
    </row>
    <row r="307">
      <c r="C307" s="16"/>
      <c r="D307" s="16"/>
      <c r="E307" s="16"/>
      <c r="F307" s="16"/>
      <c r="G307" s="16"/>
      <c r="H307" s="16"/>
    </row>
    <row r="308">
      <c r="C308" s="16"/>
      <c r="D308" s="16"/>
      <c r="E308" s="16"/>
      <c r="F308" s="16"/>
      <c r="G308" s="16"/>
      <c r="H308" s="16"/>
    </row>
    <row r="309">
      <c r="C309" s="16"/>
      <c r="D309" s="16"/>
      <c r="E309" s="16"/>
      <c r="F309" s="16"/>
      <c r="G309" s="16"/>
      <c r="H309" s="16"/>
    </row>
    <row r="310">
      <c r="C310" s="16"/>
      <c r="D310" s="16"/>
      <c r="E310" s="16"/>
      <c r="F310" s="16"/>
      <c r="G310" s="16"/>
      <c r="H310" s="16"/>
    </row>
    <row r="311">
      <c r="C311" s="16"/>
      <c r="D311" s="16"/>
      <c r="E311" s="16"/>
      <c r="F311" s="16"/>
      <c r="G311" s="16"/>
      <c r="H311" s="16"/>
    </row>
    <row r="312">
      <c r="C312" s="16"/>
      <c r="D312" s="16"/>
      <c r="E312" s="16"/>
      <c r="F312" s="16"/>
      <c r="G312" s="16"/>
      <c r="H312" s="16"/>
    </row>
    <row r="313">
      <c r="C313" s="16"/>
      <c r="D313" s="16"/>
      <c r="E313" s="16"/>
      <c r="F313" s="16"/>
      <c r="G313" s="16"/>
      <c r="H313" s="16"/>
    </row>
    <row r="314">
      <c r="C314" s="16"/>
      <c r="D314" s="16"/>
      <c r="E314" s="16"/>
      <c r="F314" s="16"/>
      <c r="G314" s="16"/>
      <c r="H314" s="16"/>
    </row>
    <row r="315">
      <c r="C315" s="16"/>
      <c r="D315" s="16"/>
      <c r="E315" s="16"/>
      <c r="F315" s="16"/>
      <c r="G315" s="16"/>
      <c r="H315" s="16"/>
    </row>
    <row r="316">
      <c r="C316" s="16"/>
      <c r="D316" s="16"/>
      <c r="E316" s="16"/>
      <c r="F316" s="16"/>
      <c r="G316" s="16"/>
      <c r="H316" s="16"/>
    </row>
    <row r="317">
      <c r="C317" s="16"/>
      <c r="D317" s="16"/>
      <c r="E317" s="16"/>
      <c r="F317" s="16"/>
      <c r="G317" s="16"/>
      <c r="H317" s="16"/>
    </row>
    <row r="318">
      <c r="C318" s="16"/>
      <c r="D318" s="16"/>
      <c r="E318" s="16"/>
      <c r="F318" s="16"/>
      <c r="G318" s="16"/>
      <c r="H318" s="16"/>
    </row>
    <row r="319">
      <c r="C319" s="16"/>
      <c r="D319" s="16"/>
      <c r="E319" s="16"/>
      <c r="F319" s="16"/>
      <c r="G319" s="16"/>
      <c r="H319" s="16"/>
    </row>
    <row r="320">
      <c r="C320" s="16"/>
      <c r="D320" s="16"/>
      <c r="E320" s="16"/>
      <c r="F320" s="16"/>
      <c r="G320" s="16"/>
      <c r="H320" s="16"/>
    </row>
    <row r="321">
      <c r="C321" s="16"/>
      <c r="D321" s="16"/>
      <c r="E321" s="16"/>
      <c r="F321" s="16"/>
      <c r="G321" s="16"/>
      <c r="H321" s="16"/>
    </row>
    <row r="322">
      <c r="C322" s="16"/>
      <c r="D322" s="16"/>
      <c r="E322" s="16"/>
      <c r="F322" s="16"/>
      <c r="G322" s="16"/>
      <c r="H322" s="16"/>
    </row>
    <row r="323">
      <c r="C323" s="16"/>
      <c r="D323" s="16"/>
      <c r="E323" s="16"/>
      <c r="F323" s="16"/>
      <c r="G323" s="16"/>
      <c r="H323" s="16"/>
    </row>
    <row r="324">
      <c r="C324" s="16"/>
      <c r="D324" s="16"/>
      <c r="E324" s="16"/>
      <c r="F324" s="16"/>
      <c r="G324" s="16"/>
      <c r="H324" s="16"/>
    </row>
    <row r="325">
      <c r="C325" s="16"/>
      <c r="D325" s="16"/>
      <c r="E325" s="16"/>
      <c r="F325" s="16"/>
      <c r="G325" s="16"/>
      <c r="H325" s="16"/>
    </row>
    <row r="326">
      <c r="C326" s="16"/>
      <c r="D326" s="16"/>
      <c r="E326" s="16"/>
      <c r="F326" s="16"/>
      <c r="G326" s="16"/>
      <c r="H326" s="16"/>
    </row>
    <row r="327">
      <c r="C327" s="16"/>
      <c r="D327" s="16"/>
      <c r="E327" s="16"/>
      <c r="F327" s="16"/>
      <c r="G327" s="16"/>
      <c r="H327" s="16"/>
    </row>
    <row r="328">
      <c r="C328" s="16"/>
      <c r="D328" s="16"/>
      <c r="E328" s="16"/>
      <c r="F328" s="16"/>
      <c r="G328" s="16"/>
      <c r="H328" s="16"/>
    </row>
    <row r="329">
      <c r="C329" s="16"/>
      <c r="D329" s="16"/>
      <c r="E329" s="16"/>
      <c r="F329" s="16"/>
      <c r="G329" s="16"/>
      <c r="H329" s="16"/>
    </row>
    <row r="330">
      <c r="C330" s="16"/>
      <c r="D330" s="16"/>
      <c r="E330" s="16"/>
      <c r="F330" s="16"/>
      <c r="G330" s="16"/>
      <c r="H330" s="16"/>
    </row>
    <row r="331">
      <c r="C331" s="16"/>
      <c r="D331" s="16"/>
      <c r="E331" s="16"/>
      <c r="F331" s="16"/>
      <c r="G331" s="16"/>
      <c r="H331" s="16"/>
    </row>
    <row r="332">
      <c r="C332" s="16"/>
      <c r="D332" s="16"/>
      <c r="E332" s="16"/>
      <c r="F332" s="16"/>
      <c r="G332" s="16"/>
      <c r="H332" s="16"/>
    </row>
    <row r="333">
      <c r="C333" s="16"/>
      <c r="D333" s="16"/>
      <c r="E333" s="16"/>
      <c r="F333" s="16"/>
      <c r="G333" s="16"/>
      <c r="H333" s="16"/>
    </row>
    <row r="334">
      <c r="C334" s="16"/>
      <c r="D334" s="16"/>
      <c r="E334" s="16"/>
      <c r="F334" s="16"/>
      <c r="G334" s="16"/>
      <c r="H334" s="16"/>
    </row>
    <row r="335">
      <c r="C335" s="16"/>
      <c r="D335" s="16"/>
      <c r="E335" s="16"/>
      <c r="F335" s="16"/>
      <c r="G335" s="16"/>
      <c r="H335" s="16"/>
    </row>
    <row r="336">
      <c r="C336" s="16"/>
      <c r="D336" s="16"/>
      <c r="E336" s="16"/>
      <c r="F336" s="16"/>
      <c r="G336" s="16"/>
      <c r="H336" s="16"/>
    </row>
    <row r="337">
      <c r="C337" s="16"/>
      <c r="D337" s="16"/>
      <c r="E337" s="16"/>
      <c r="F337" s="16"/>
      <c r="G337" s="16"/>
      <c r="H337" s="16"/>
    </row>
    <row r="338">
      <c r="C338" s="16"/>
      <c r="D338" s="16"/>
      <c r="E338" s="16"/>
      <c r="F338" s="16"/>
      <c r="G338" s="16"/>
      <c r="H338" s="16"/>
    </row>
    <row r="339">
      <c r="C339" s="16"/>
      <c r="D339" s="16"/>
      <c r="E339" s="16"/>
      <c r="F339" s="16"/>
      <c r="G339" s="16"/>
      <c r="H339" s="16"/>
    </row>
    <row r="340">
      <c r="C340" s="16"/>
      <c r="D340" s="16"/>
      <c r="E340" s="16"/>
      <c r="F340" s="16"/>
      <c r="G340" s="16"/>
      <c r="H340" s="16"/>
    </row>
    <row r="341">
      <c r="C341" s="16"/>
      <c r="D341" s="16"/>
      <c r="E341" s="16"/>
      <c r="F341" s="16"/>
      <c r="G341" s="16"/>
      <c r="H341" s="16"/>
    </row>
    <row r="342">
      <c r="C342" s="16"/>
      <c r="D342" s="16"/>
      <c r="E342" s="16"/>
      <c r="F342" s="16"/>
      <c r="G342" s="16"/>
      <c r="H342" s="16"/>
    </row>
    <row r="343">
      <c r="C343" s="16"/>
      <c r="D343" s="16"/>
      <c r="E343" s="16"/>
      <c r="F343" s="16"/>
      <c r="G343" s="16"/>
      <c r="H343" s="16"/>
    </row>
    <row r="344">
      <c r="C344" s="16"/>
      <c r="D344" s="16"/>
      <c r="E344" s="16"/>
      <c r="F344" s="16"/>
      <c r="G344" s="16"/>
      <c r="H344" s="16"/>
    </row>
    <row r="345">
      <c r="C345" s="16"/>
      <c r="D345" s="16"/>
      <c r="E345" s="16"/>
      <c r="F345" s="16"/>
      <c r="G345" s="16"/>
      <c r="H345" s="16"/>
    </row>
    <row r="346">
      <c r="C346" s="16"/>
      <c r="D346" s="16"/>
      <c r="E346" s="16"/>
      <c r="F346" s="16"/>
      <c r="G346" s="16"/>
      <c r="H346" s="16"/>
    </row>
    <row r="347">
      <c r="C347" s="16"/>
      <c r="D347" s="16"/>
      <c r="E347" s="16"/>
      <c r="F347" s="16"/>
      <c r="G347" s="16"/>
      <c r="H347" s="16"/>
    </row>
    <row r="348">
      <c r="C348" s="16"/>
      <c r="D348" s="16"/>
      <c r="E348" s="16"/>
      <c r="F348" s="16"/>
      <c r="G348" s="16"/>
      <c r="H348" s="16"/>
    </row>
    <row r="349">
      <c r="C349" s="16"/>
      <c r="D349" s="16"/>
      <c r="E349" s="16"/>
      <c r="F349" s="16"/>
      <c r="G349" s="16"/>
      <c r="H349" s="16"/>
    </row>
    <row r="350">
      <c r="C350" s="16"/>
      <c r="D350" s="16"/>
      <c r="E350" s="16"/>
      <c r="F350" s="16"/>
      <c r="G350" s="16"/>
      <c r="H350" s="16"/>
    </row>
    <row r="351">
      <c r="C351" s="16"/>
      <c r="D351" s="16"/>
      <c r="E351" s="16"/>
      <c r="F351" s="16"/>
      <c r="G351" s="16"/>
      <c r="H351" s="16"/>
    </row>
    <row r="352">
      <c r="C352" s="16"/>
      <c r="D352" s="16"/>
      <c r="E352" s="16"/>
      <c r="F352" s="16"/>
      <c r="G352" s="16"/>
      <c r="H352" s="16"/>
    </row>
    <row r="353">
      <c r="C353" s="16"/>
      <c r="D353" s="16"/>
      <c r="E353" s="16"/>
      <c r="F353" s="16"/>
      <c r="G353" s="16"/>
      <c r="H353" s="16"/>
    </row>
    <row r="354">
      <c r="C354" s="16"/>
      <c r="D354" s="16"/>
      <c r="E354" s="16"/>
      <c r="F354" s="16"/>
      <c r="G354" s="16"/>
      <c r="H354" s="16"/>
    </row>
    <row r="355">
      <c r="C355" s="16"/>
      <c r="D355" s="16"/>
      <c r="E355" s="16"/>
      <c r="F355" s="16"/>
      <c r="G355" s="16"/>
      <c r="H355" s="16"/>
    </row>
    <row r="356">
      <c r="C356" s="16"/>
      <c r="D356" s="16"/>
      <c r="E356" s="16"/>
      <c r="F356" s="16"/>
      <c r="G356" s="16"/>
      <c r="H356" s="16"/>
    </row>
    <row r="357">
      <c r="C357" s="16"/>
      <c r="D357" s="16"/>
      <c r="E357" s="16"/>
      <c r="F357" s="16"/>
      <c r="G357" s="16"/>
      <c r="H357" s="16"/>
    </row>
    <row r="358">
      <c r="C358" s="16"/>
      <c r="D358" s="16"/>
      <c r="E358" s="16"/>
      <c r="F358" s="16"/>
      <c r="G358" s="16"/>
      <c r="H358" s="16"/>
    </row>
    <row r="359">
      <c r="C359" s="16"/>
      <c r="D359" s="16"/>
      <c r="E359" s="16"/>
      <c r="F359" s="16"/>
      <c r="G359" s="16"/>
      <c r="H359" s="16"/>
    </row>
    <row r="360">
      <c r="C360" s="16"/>
      <c r="D360" s="16"/>
      <c r="E360" s="16"/>
      <c r="F360" s="16"/>
      <c r="G360" s="16"/>
      <c r="H360" s="16"/>
    </row>
    <row r="361">
      <c r="C361" s="16"/>
      <c r="D361" s="16"/>
      <c r="E361" s="16"/>
      <c r="F361" s="16"/>
      <c r="G361" s="16"/>
      <c r="H361" s="16"/>
    </row>
    <row r="362">
      <c r="C362" s="16"/>
      <c r="D362" s="16"/>
      <c r="E362" s="16"/>
      <c r="F362" s="16"/>
      <c r="G362" s="16"/>
      <c r="H362" s="16"/>
    </row>
    <row r="363">
      <c r="C363" s="16"/>
      <c r="D363" s="16"/>
      <c r="E363" s="16"/>
      <c r="F363" s="16"/>
      <c r="G363" s="16"/>
      <c r="H363" s="16"/>
    </row>
    <row r="364">
      <c r="C364" s="16"/>
      <c r="D364" s="16"/>
      <c r="E364" s="16"/>
      <c r="F364" s="16"/>
      <c r="G364" s="16"/>
      <c r="H364" s="16"/>
    </row>
    <row r="365">
      <c r="C365" s="16"/>
      <c r="D365" s="16"/>
      <c r="E365" s="16"/>
      <c r="F365" s="16"/>
      <c r="G365" s="16"/>
      <c r="H365" s="16"/>
    </row>
    <row r="366">
      <c r="C366" s="16"/>
      <c r="D366" s="16"/>
      <c r="E366" s="16"/>
      <c r="F366" s="16"/>
      <c r="G366" s="16"/>
      <c r="H366" s="16"/>
    </row>
    <row r="367">
      <c r="C367" s="16"/>
      <c r="D367" s="16"/>
      <c r="E367" s="16"/>
      <c r="F367" s="16"/>
      <c r="G367" s="16"/>
      <c r="H367" s="16"/>
    </row>
    <row r="368">
      <c r="C368" s="16"/>
      <c r="D368" s="16"/>
      <c r="E368" s="16"/>
      <c r="F368" s="16"/>
      <c r="G368" s="16"/>
      <c r="H368" s="16"/>
    </row>
    <row r="369">
      <c r="C369" s="16"/>
      <c r="D369" s="16"/>
      <c r="E369" s="16"/>
      <c r="F369" s="16"/>
      <c r="G369" s="16"/>
      <c r="H369" s="16"/>
    </row>
    <row r="370">
      <c r="C370" s="16"/>
      <c r="D370" s="16"/>
      <c r="E370" s="16"/>
      <c r="F370" s="16"/>
      <c r="G370" s="16"/>
      <c r="H370" s="16"/>
    </row>
    <row r="371">
      <c r="C371" s="16"/>
      <c r="D371" s="16"/>
      <c r="E371" s="16"/>
      <c r="F371" s="16"/>
      <c r="G371" s="16"/>
      <c r="H371" s="16"/>
    </row>
    <row r="372">
      <c r="C372" s="16"/>
      <c r="D372" s="16"/>
      <c r="E372" s="16"/>
      <c r="F372" s="16"/>
      <c r="G372" s="16"/>
      <c r="H372" s="16"/>
    </row>
    <row r="373">
      <c r="C373" s="16"/>
      <c r="D373" s="16"/>
      <c r="E373" s="16"/>
      <c r="F373" s="16"/>
      <c r="G373" s="16"/>
      <c r="H373" s="16"/>
    </row>
    <row r="374">
      <c r="C374" s="16"/>
      <c r="D374" s="16"/>
      <c r="E374" s="16"/>
      <c r="F374" s="16"/>
      <c r="G374" s="16"/>
      <c r="H374" s="16"/>
    </row>
    <row r="375">
      <c r="C375" s="16"/>
      <c r="D375" s="16"/>
      <c r="E375" s="16"/>
      <c r="F375" s="16"/>
      <c r="G375" s="16"/>
      <c r="H375" s="16"/>
    </row>
    <row r="376">
      <c r="C376" s="16"/>
      <c r="D376" s="16"/>
      <c r="E376" s="16"/>
      <c r="F376" s="16"/>
      <c r="G376" s="16"/>
      <c r="H376" s="16"/>
    </row>
    <row r="377">
      <c r="C377" s="16"/>
      <c r="D377" s="16"/>
      <c r="E377" s="16"/>
      <c r="F377" s="16"/>
      <c r="G377" s="16"/>
      <c r="H377" s="16"/>
    </row>
    <row r="378">
      <c r="C378" s="16"/>
      <c r="D378" s="16"/>
      <c r="E378" s="16"/>
      <c r="F378" s="16"/>
      <c r="G378" s="16"/>
      <c r="H378" s="16"/>
    </row>
    <row r="379">
      <c r="C379" s="16"/>
      <c r="D379" s="16"/>
      <c r="E379" s="16"/>
      <c r="F379" s="16"/>
      <c r="G379" s="16"/>
      <c r="H379" s="16"/>
    </row>
    <row r="380">
      <c r="C380" s="16"/>
      <c r="D380" s="16"/>
      <c r="E380" s="16"/>
      <c r="F380" s="16"/>
      <c r="G380" s="16"/>
      <c r="H380" s="16"/>
    </row>
    <row r="381">
      <c r="C381" s="16"/>
      <c r="D381" s="16"/>
      <c r="E381" s="16"/>
      <c r="F381" s="16"/>
      <c r="G381" s="16"/>
      <c r="H381" s="16"/>
    </row>
    <row r="382">
      <c r="C382" s="16"/>
      <c r="D382" s="16"/>
      <c r="E382" s="16"/>
      <c r="F382" s="16"/>
      <c r="G382" s="16"/>
      <c r="H382" s="16"/>
    </row>
    <row r="383">
      <c r="C383" s="16"/>
      <c r="D383" s="16"/>
      <c r="E383" s="16"/>
      <c r="F383" s="16"/>
      <c r="G383" s="16"/>
      <c r="H383" s="16"/>
    </row>
    <row r="384">
      <c r="C384" s="16"/>
      <c r="D384" s="16"/>
      <c r="E384" s="16"/>
      <c r="F384" s="16"/>
      <c r="G384" s="16"/>
      <c r="H384" s="16"/>
    </row>
    <row r="385">
      <c r="C385" s="16"/>
      <c r="D385" s="16"/>
      <c r="E385" s="16"/>
      <c r="F385" s="16"/>
      <c r="G385" s="16"/>
      <c r="H385" s="16"/>
    </row>
    <row r="386">
      <c r="C386" s="16"/>
      <c r="D386" s="16"/>
      <c r="E386" s="16"/>
      <c r="F386" s="16"/>
      <c r="G386" s="16"/>
      <c r="H386" s="16"/>
    </row>
    <row r="387">
      <c r="C387" s="16"/>
      <c r="D387" s="16"/>
      <c r="E387" s="16"/>
      <c r="F387" s="16"/>
      <c r="G387" s="16"/>
      <c r="H387" s="16"/>
    </row>
    <row r="388">
      <c r="C388" s="16"/>
      <c r="D388" s="16"/>
      <c r="E388" s="16"/>
      <c r="F388" s="16"/>
      <c r="G388" s="16"/>
      <c r="H388" s="16"/>
    </row>
    <row r="389">
      <c r="C389" s="16"/>
      <c r="D389" s="16"/>
      <c r="E389" s="16"/>
      <c r="F389" s="16"/>
      <c r="G389" s="16"/>
      <c r="H389" s="16"/>
    </row>
    <row r="390">
      <c r="C390" s="16"/>
      <c r="D390" s="16"/>
      <c r="E390" s="16"/>
      <c r="F390" s="16"/>
      <c r="G390" s="16"/>
      <c r="H390" s="16"/>
    </row>
    <row r="391">
      <c r="C391" s="16"/>
      <c r="D391" s="16"/>
      <c r="E391" s="16"/>
      <c r="F391" s="16"/>
      <c r="G391" s="16"/>
      <c r="H391" s="16"/>
    </row>
    <row r="392">
      <c r="C392" s="16"/>
      <c r="D392" s="16"/>
      <c r="E392" s="16"/>
      <c r="F392" s="16"/>
      <c r="G392" s="16"/>
      <c r="H392" s="16"/>
    </row>
    <row r="393">
      <c r="C393" s="16"/>
      <c r="D393" s="16"/>
      <c r="E393" s="16"/>
      <c r="F393" s="16"/>
      <c r="G393" s="16"/>
      <c r="H393" s="16"/>
    </row>
    <row r="394">
      <c r="C394" s="16"/>
      <c r="D394" s="16"/>
      <c r="E394" s="16"/>
      <c r="F394" s="16"/>
      <c r="G394" s="16"/>
      <c r="H394" s="16"/>
    </row>
    <row r="395">
      <c r="C395" s="16"/>
      <c r="D395" s="16"/>
      <c r="E395" s="16"/>
      <c r="F395" s="16"/>
      <c r="G395" s="16"/>
      <c r="H395" s="16"/>
    </row>
    <row r="396">
      <c r="C396" s="16"/>
      <c r="D396" s="16"/>
      <c r="E396" s="16"/>
      <c r="F396" s="16"/>
      <c r="G396" s="16"/>
      <c r="H396" s="16"/>
    </row>
    <row r="397">
      <c r="C397" s="16"/>
      <c r="D397" s="16"/>
      <c r="E397" s="16"/>
      <c r="F397" s="16"/>
      <c r="G397" s="16"/>
      <c r="H397" s="16"/>
    </row>
    <row r="398">
      <c r="C398" s="16"/>
      <c r="D398" s="16"/>
      <c r="E398" s="16"/>
      <c r="F398" s="16"/>
      <c r="G398" s="16"/>
      <c r="H398" s="16"/>
    </row>
    <row r="399">
      <c r="C399" s="16"/>
      <c r="D399" s="16"/>
      <c r="E399" s="16"/>
      <c r="F399" s="16"/>
      <c r="G399" s="16"/>
      <c r="H399" s="16"/>
    </row>
    <row r="400">
      <c r="C400" s="16"/>
      <c r="D400" s="16"/>
      <c r="E400" s="16"/>
      <c r="F400" s="16"/>
      <c r="G400" s="16"/>
      <c r="H400" s="16"/>
    </row>
    <row r="401">
      <c r="C401" s="16"/>
      <c r="D401" s="16"/>
      <c r="E401" s="16"/>
      <c r="F401" s="16"/>
      <c r="G401" s="16"/>
      <c r="H401" s="16"/>
    </row>
    <row r="402">
      <c r="C402" s="16"/>
      <c r="D402" s="16"/>
      <c r="E402" s="16"/>
      <c r="F402" s="16"/>
      <c r="G402" s="16"/>
      <c r="H402" s="16"/>
    </row>
    <row r="403">
      <c r="C403" s="16"/>
      <c r="D403" s="16"/>
      <c r="E403" s="16"/>
      <c r="F403" s="16"/>
      <c r="G403" s="16"/>
      <c r="H403" s="16"/>
    </row>
    <row r="404">
      <c r="C404" s="16"/>
      <c r="D404" s="16"/>
      <c r="E404" s="16"/>
      <c r="F404" s="16"/>
      <c r="G404" s="16"/>
      <c r="H404" s="16"/>
    </row>
    <row r="405">
      <c r="C405" s="16"/>
      <c r="D405" s="16"/>
      <c r="E405" s="16"/>
      <c r="F405" s="16"/>
      <c r="G405" s="16"/>
      <c r="H405" s="16"/>
    </row>
    <row r="406">
      <c r="C406" s="16"/>
      <c r="D406" s="16"/>
      <c r="E406" s="16"/>
      <c r="F406" s="16"/>
      <c r="G406" s="16"/>
      <c r="H406" s="16"/>
    </row>
    <row r="407">
      <c r="C407" s="16"/>
      <c r="D407" s="16"/>
      <c r="E407" s="16"/>
      <c r="F407" s="16"/>
      <c r="G407" s="16"/>
      <c r="H407" s="16"/>
    </row>
    <row r="408">
      <c r="C408" s="16"/>
      <c r="D408" s="16"/>
      <c r="E408" s="16"/>
      <c r="F408" s="16"/>
      <c r="G408" s="16"/>
      <c r="H408" s="16"/>
    </row>
    <row r="409">
      <c r="C409" s="16"/>
      <c r="D409" s="16"/>
      <c r="E409" s="16"/>
      <c r="F409" s="16"/>
      <c r="G409" s="16"/>
      <c r="H409" s="16"/>
    </row>
    <row r="410">
      <c r="C410" s="16"/>
      <c r="D410" s="16"/>
      <c r="E410" s="16"/>
      <c r="F410" s="16"/>
      <c r="G410" s="16"/>
      <c r="H410" s="16"/>
    </row>
    <row r="411">
      <c r="C411" s="16"/>
      <c r="D411" s="16"/>
      <c r="E411" s="16"/>
      <c r="F411" s="16"/>
      <c r="G411" s="16"/>
      <c r="H411" s="16"/>
    </row>
    <row r="412">
      <c r="C412" s="16"/>
      <c r="D412" s="16"/>
      <c r="E412" s="16"/>
      <c r="F412" s="16"/>
      <c r="G412" s="16"/>
      <c r="H412" s="16"/>
    </row>
    <row r="413">
      <c r="C413" s="16"/>
      <c r="D413" s="16"/>
      <c r="E413" s="16"/>
      <c r="F413" s="16"/>
      <c r="G413" s="16"/>
      <c r="H413" s="16"/>
    </row>
    <row r="414">
      <c r="C414" s="16"/>
      <c r="D414" s="16"/>
      <c r="E414" s="16"/>
      <c r="F414" s="16"/>
      <c r="G414" s="16"/>
      <c r="H414" s="16"/>
    </row>
    <row r="415">
      <c r="C415" s="16"/>
      <c r="D415" s="16"/>
      <c r="E415" s="16"/>
      <c r="F415" s="16"/>
      <c r="G415" s="16"/>
      <c r="H415" s="16"/>
    </row>
    <row r="416">
      <c r="C416" s="16"/>
      <c r="D416" s="16"/>
      <c r="E416" s="16"/>
      <c r="F416" s="16"/>
      <c r="G416" s="16"/>
      <c r="H416" s="16"/>
    </row>
    <row r="417">
      <c r="C417" s="16"/>
      <c r="D417" s="16"/>
      <c r="E417" s="16"/>
      <c r="F417" s="16"/>
      <c r="G417" s="16"/>
      <c r="H417" s="16"/>
    </row>
    <row r="418">
      <c r="C418" s="16"/>
      <c r="D418" s="16"/>
      <c r="E418" s="16"/>
      <c r="F418" s="16"/>
      <c r="G418" s="16"/>
      <c r="H418" s="16"/>
    </row>
    <row r="419">
      <c r="C419" s="16"/>
      <c r="D419" s="16"/>
      <c r="E419" s="16"/>
      <c r="F419" s="16"/>
      <c r="G419" s="16"/>
      <c r="H419" s="16"/>
    </row>
    <row r="420">
      <c r="C420" s="16"/>
      <c r="D420" s="16"/>
      <c r="E420" s="16"/>
      <c r="F420" s="16"/>
      <c r="G420" s="16"/>
      <c r="H420" s="16"/>
    </row>
    <row r="421">
      <c r="C421" s="16"/>
      <c r="D421" s="16"/>
      <c r="E421" s="16"/>
      <c r="F421" s="16"/>
      <c r="G421" s="16"/>
      <c r="H421" s="16"/>
    </row>
    <row r="422">
      <c r="C422" s="16"/>
      <c r="D422" s="16"/>
      <c r="E422" s="16"/>
      <c r="F422" s="16"/>
      <c r="G422" s="16"/>
      <c r="H422" s="16"/>
    </row>
    <row r="423">
      <c r="C423" s="16"/>
      <c r="D423" s="16"/>
      <c r="E423" s="16"/>
      <c r="F423" s="16"/>
      <c r="G423" s="16"/>
      <c r="H423" s="16"/>
    </row>
    <row r="424">
      <c r="C424" s="16"/>
      <c r="D424" s="16"/>
      <c r="E424" s="16"/>
      <c r="F424" s="16"/>
      <c r="G424" s="16"/>
      <c r="H424" s="16"/>
    </row>
    <row r="425">
      <c r="C425" s="16"/>
      <c r="D425" s="16"/>
      <c r="E425" s="16"/>
      <c r="F425" s="16"/>
      <c r="G425" s="16"/>
      <c r="H425" s="16"/>
    </row>
    <row r="426">
      <c r="C426" s="16"/>
      <c r="D426" s="16"/>
      <c r="E426" s="16"/>
      <c r="F426" s="16"/>
      <c r="G426" s="16"/>
      <c r="H426" s="16"/>
    </row>
    <row r="427">
      <c r="C427" s="16"/>
      <c r="D427" s="16"/>
      <c r="E427" s="16"/>
      <c r="F427" s="16"/>
      <c r="G427" s="16"/>
      <c r="H427" s="16"/>
    </row>
    <row r="428">
      <c r="C428" s="16"/>
      <c r="D428" s="16"/>
      <c r="E428" s="16"/>
      <c r="F428" s="16"/>
      <c r="G428" s="16"/>
      <c r="H428" s="16"/>
    </row>
    <row r="429">
      <c r="C429" s="16"/>
      <c r="D429" s="16"/>
      <c r="E429" s="16"/>
      <c r="F429" s="16"/>
      <c r="G429" s="16"/>
      <c r="H429" s="16"/>
    </row>
    <row r="430">
      <c r="C430" s="16"/>
      <c r="D430" s="16"/>
      <c r="E430" s="16"/>
      <c r="F430" s="16"/>
      <c r="G430" s="16"/>
      <c r="H430" s="16"/>
    </row>
    <row r="431">
      <c r="C431" s="16"/>
      <c r="D431" s="16"/>
      <c r="E431" s="16"/>
      <c r="F431" s="16"/>
      <c r="G431" s="16"/>
      <c r="H431" s="16"/>
    </row>
    <row r="432">
      <c r="C432" s="16"/>
      <c r="D432" s="16"/>
      <c r="E432" s="16"/>
      <c r="F432" s="16"/>
      <c r="G432" s="16"/>
      <c r="H432" s="16"/>
    </row>
    <row r="433">
      <c r="C433" s="16"/>
      <c r="D433" s="16"/>
      <c r="E433" s="16"/>
      <c r="F433" s="16"/>
      <c r="G433" s="16"/>
      <c r="H433" s="16"/>
    </row>
    <row r="434">
      <c r="C434" s="16"/>
      <c r="D434" s="16"/>
      <c r="E434" s="16"/>
      <c r="F434" s="16"/>
      <c r="G434" s="16"/>
      <c r="H434" s="16"/>
    </row>
    <row r="435">
      <c r="C435" s="16"/>
      <c r="D435" s="16"/>
      <c r="E435" s="16"/>
      <c r="F435" s="16"/>
      <c r="G435" s="16"/>
      <c r="H435" s="16"/>
    </row>
    <row r="436">
      <c r="C436" s="16"/>
      <c r="D436" s="16"/>
      <c r="E436" s="16"/>
      <c r="F436" s="16"/>
      <c r="G436" s="16"/>
      <c r="H436" s="16"/>
    </row>
    <row r="437">
      <c r="C437" s="16"/>
      <c r="D437" s="16"/>
      <c r="E437" s="16"/>
      <c r="F437" s="16"/>
      <c r="G437" s="16"/>
      <c r="H437" s="16"/>
    </row>
    <row r="438">
      <c r="C438" s="16"/>
      <c r="D438" s="16"/>
      <c r="E438" s="16"/>
      <c r="F438" s="16"/>
      <c r="G438" s="16"/>
      <c r="H438" s="16"/>
    </row>
    <row r="439">
      <c r="C439" s="16"/>
      <c r="D439" s="16"/>
      <c r="E439" s="16"/>
      <c r="F439" s="16"/>
      <c r="G439" s="16"/>
      <c r="H439" s="16"/>
    </row>
    <row r="440">
      <c r="C440" s="16"/>
      <c r="D440" s="16"/>
      <c r="E440" s="16"/>
      <c r="F440" s="16"/>
      <c r="G440" s="16"/>
      <c r="H440" s="16"/>
    </row>
    <row r="441">
      <c r="C441" s="16"/>
      <c r="D441" s="16"/>
      <c r="E441" s="16"/>
      <c r="F441" s="16"/>
      <c r="G441" s="16"/>
      <c r="H441" s="16"/>
    </row>
    <row r="442">
      <c r="C442" s="16"/>
      <c r="D442" s="16"/>
      <c r="E442" s="16"/>
      <c r="F442" s="16"/>
      <c r="G442" s="16"/>
      <c r="H442" s="16"/>
    </row>
    <row r="443">
      <c r="C443" s="16"/>
      <c r="D443" s="16"/>
      <c r="E443" s="16"/>
      <c r="F443" s="16"/>
      <c r="G443" s="16"/>
      <c r="H443" s="16"/>
    </row>
    <row r="444">
      <c r="C444" s="16"/>
      <c r="D444" s="16"/>
      <c r="E444" s="16"/>
      <c r="F444" s="16"/>
      <c r="G444" s="16"/>
      <c r="H444" s="16"/>
    </row>
    <row r="445">
      <c r="C445" s="16"/>
      <c r="D445" s="16"/>
      <c r="E445" s="16"/>
      <c r="F445" s="16"/>
      <c r="G445" s="16"/>
      <c r="H445" s="16"/>
    </row>
    <row r="446">
      <c r="C446" s="16"/>
      <c r="D446" s="16"/>
      <c r="E446" s="16"/>
      <c r="F446" s="16"/>
      <c r="G446" s="16"/>
      <c r="H446" s="16"/>
    </row>
    <row r="447">
      <c r="C447" s="16"/>
      <c r="D447" s="16"/>
      <c r="E447" s="16"/>
      <c r="F447" s="16"/>
      <c r="G447" s="16"/>
      <c r="H447" s="16"/>
    </row>
    <row r="448">
      <c r="C448" s="16"/>
      <c r="D448" s="16"/>
      <c r="E448" s="16"/>
      <c r="F448" s="16"/>
      <c r="G448" s="16"/>
      <c r="H448" s="16"/>
    </row>
    <row r="449">
      <c r="C449" s="16"/>
      <c r="D449" s="16"/>
      <c r="E449" s="16"/>
      <c r="F449" s="16"/>
      <c r="G449" s="16"/>
      <c r="H449" s="16"/>
    </row>
    <row r="450">
      <c r="C450" s="16"/>
      <c r="D450" s="16"/>
      <c r="E450" s="16"/>
      <c r="F450" s="16"/>
      <c r="G450" s="16"/>
      <c r="H450" s="16"/>
    </row>
    <row r="451">
      <c r="C451" s="16"/>
      <c r="D451" s="16"/>
      <c r="E451" s="16"/>
      <c r="F451" s="16"/>
      <c r="G451" s="16"/>
      <c r="H451" s="16"/>
    </row>
    <row r="452">
      <c r="C452" s="16"/>
      <c r="D452" s="16"/>
      <c r="E452" s="16"/>
      <c r="F452" s="16"/>
      <c r="G452" s="16"/>
      <c r="H452" s="16"/>
    </row>
    <row r="453">
      <c r="C453" s="16"/>
      <c r="D453" s="16"/>
      <c r="E453" s="16"/>
      <c r="F453" s="16"/>
      <c r="G453" s="16"/>
      <c r="H453" s="16"/>
    </row>
    <row r="454">
      <c r="C454" s="16"/>
      <c r="D454" s="16"/>
      <c r="E454" s="16"/>
      <c r="F454" s="16"/>
      <c r="G454" s="16"/>
      <c r="H454" s="16"/>
    </row>
    <row r="455">
      <c r="C455" s="16"/>
      <c r="D455" s="16"/>
      <c r="E455" s="16"/>
      <c r="F455" s="16"/>
      <c r="G455" s="16"/>
      <c r="H455" s="16"/>
    </row>
    <row r="456">
      <c r="C456" s="16"/>
      <c r="D456" s="16"/>
      <c r="E456" s="16"/>
      <c r="F456" s="16"/>
      <c r="G456" s="16"/>
      <c r="H456" s="16"/>
    </row>
    <row r="457">
      <c r="C457" s="16"/>
      <c r="D457" s="16"/>
      <c r="E457" s="16"/>
      <c r="F457" s="16"/>
      <c r="G457" s="16"/>
      <c r="H457" s="16"/>
    </row>
    <row r="458">
      <c r="C458" s="16"/>
      <c r="D458" s="16"/>
      <c r="E458" s="16"/>
      <c r="F458" s="16"/>
      <c r="G458" s="16"/>
      <c r="H458" s="16"/>
    </row>
    <row r="459">
      <c r="C459" s="16"/>
      <c r="D459" s="16"/>
      <c r="E459" s="16"/>
      <c r="F459" s="16"/>
      <c r="G459" s="16"/>
      <c r="H459" s="16"/>
    </row>
    <row r="460">
      <c r="C460" s="16"/>
      <c r="D460" s="16"/>
      <c r="E460" s="16"/>
      <c r="F460" s="16"/>
      <c r="G460" s="16"/>
      <c r="H460" s="16"/>
    </row>
    <row r="461">
      <c r="C461" s="16"/>
      <c r="D461" s="16"/>
      <c r="E461" s="16"/>
      <c r="F461" s="16"/>
      <c r="G461" s="16"/>
      <c r="H461" s="16"/>
    </row>
    <row r="462">
      <c r="C462" s="16"/>
      <c r="D462" s="16"/>
      <c r="E462" s="16"/>
      <c r="F462" s="16"/>
      <c r="G462" s="16"/>
      <c r="H462" s="16"/>
    </row>
    <row r="463">
      <c r="C463" s="16"/>
      <c r="D463" s="16"/>
      <c r="E463" s="16"/>
      <c r="F463" s="16"/>
      <c r="G463" s="16"/>
      <c r="H463" s="16"/>
    </row>
    <row r="464">
      <c r="C464" s="16"/>
      <c r="D464" s="16"/>
      <c r="E464" s="16"/>
      <c r="F464" s="16"/>
      <c r="G464" s="16"/>
      <c r="H464" s="16"/>
    </row>
    <row r="465">
      <c r="C465" s="16"/>
      <c r="D465" s="16"/>
      <c r="E465" s="16"/>
      <c r="F465" s="16"/>
      <c r="G465" s="16"/>
      <c r="H465" s="16"/>
    </row>
    <row r="466">
      <c r="C466" s="16"/>
      <c r="D466" s="16"/>
      <c r="E466" s="16"/>
      <c r="F466" s="16"/>
      <c r="G466" s="16"/>
      <c r="H466" s="16"/>
    </row>
    <row r="467">
      <c r="C467" s="16"/>
      <c r="D467" s="16"/>
      <c r="E467" s="16"/>
      <c r="F467" s="16"/>
      <c r="G467" s="16"/>
      <c r="H467" s="16"/>
    </row>
    <row r="468">
      <c r="C468" s="16"/>
      <c r="D468" s="16"/>
      <c r="E468" s="16"/>
      <c r="F468" s="16"/>
      <c r="G468" s="16"/>
      <c r="H468" s="16"/>
    </row>
    <row r="469">
      <c r="C469" s="16"/>
      <c r="D469" s="16"/>
      <c r="E469" s="16"/>
      <c r="F469" s="16"/>
      <c r="G469" s="16"/>
      <c r="H469" s="16"/>
    </row>
    <row r="470">
      <c r="C470" s="16"/>
      <c r="D470" s="16"/>
      <c r="E470" s="16"/>
      <c r="F470" s="16"/>
      <c r="G470" s="16"/>
      <c r="H470" s="16"/>
    </row>
    <row r="471">
      <c r="C471" s="16"/>
      <c r="D471" s="16"/>
      <c r="E471" s="16"/>
      <c r="F471" s="16"/>
      <c r="G471" s="16"/>
      <c r="H471" s="16"/>
    </row>
    <row r="472">
      <c r="C472" s="16"/>
      <c r="D472" s="16"/>
      <c r="E472" s="16"/>
      <c r="F472" s="16"/>
      <c r="G472" s="16"/>
      <c r="H472" s="16"/>
    </row>
    <row r="473">
      <c r="C473" s="16"/>
      <c r="D473" s="16"/>
      <c r="E473" s="16"/>
      <c r="F473" s="16"/>
      <c r="G473" s="16"/>
      <c r="H473" s="16"/>
    </row>
    <row r="474">
      <c r="C474" s="16"/>
      <c r="D474" s="16"/>
      <c r="E474" s="16"/>
      <c r="F474" s="16"/>
      <c r="G474" s="16"/>
      <c r="H474" s="16"/>
    </row>
    <row r="475">
      <c r="C475" s="16"/>
      <c r="D475" s="16"/>
      <c r="E475" s="16"/>
      <c r="F475" s="16"/>
      <c r="G475" s="16"/>
      <c r="H475" s="16"/>
    </row>
    <row r="476">
      <c r="C476" s="16"/>
      <c r="D476" s="16"/>
      <c r="E476" s="16"/>
      <c r="F476" s="16"/>
      <c r="G476" s="16"/>
      <c r="H476" s="16"/>
    </row>
    <row r="477">
      <c r="C477" s="16"/>
      <c r="D477" s="16"/>
      <c r="E477" s="16"/>
      <c r="F477" s="16"/>
      <c r="G477" s="16"/>
      <c r="H477" s="16"/>
    </row>
    <row r="478">
      <c r="C478" s="16"/>
      <c r="D478" s="16"/>
      <c r="E478" s="16"/>
      <c r="F478" s="16"/>
      <c r="G478" s="16"/>
      <c r="H478" s="16"/>
    </row>
    <row r="479">
      <c r="C479" s="16"/>
      <c r="D479" s="16"/>
      <c r="E479" s="16"/>
      <c r="F479" s="16"/>
      <c r="G479" s="16"/>
      <c r="H479" s="16"/>
    </row>
    <row r="480">
      <c r="C480" s="16"/>
      <c r="D480" s="16"/>
      <c r="E480" s="16"/>
      <c r="F480" s="16"/>
      <c r="G480" s="16"/>
      <c r="H480" s="16"/>
    </row>
    <row r="481">
      <c r="C481" s="16"/>
      <c r="D481" s="16"/>
      <c r="E481" s="16"/>
      <c r="F481" s="16"/>
      <c r="G481" s="16"/>
      <c r="H481" s="16"/>
    </row>
    <row r="482">
      <c r="C482" s="16"/>
      <c r="D482" s="16"/>
      <c r="E482" s="16"/>
      <c r="F482" s="16"/>
      <c r="G482" s="16"/>
      <c r="H482" s="16"/>
    </row>
    <row r="483">
      <c r="C483" s="16"/>
      <c r="D483" s="16"/>
      <c r="E483" s="16"/>
      <c r="F483" s="16"/>
      <c r="G483" s="16"/>
      <c r="H483" s="16"/>
    </row>
    <row r="484">
      <c r="C484" s="16"/>
      <c r="D484" s="16"/>
      <c r="E484" s="16"/>
      <c r="F484" s="16"/>
      <c r="G484" s="16"/>
      <c r="H484" s="16"/>
    </row>
    <row r="485">
      <c r="C485" s="16"/>
      <c r="D485" s="16"/>
      <c r="E485" s="16"/>
      <c r="F485" s="16"/>
      <c r="G485" s="16"/>
      <c r="H485" s="16"/>
    </row>
    <row r="486">
      <c r="C486" s="16"/>
      <c r="D486" s="16"/>
      <c r="E486" s="16"/>
      <c r="F486" s="16"/>
      <c r="G486" s="16"/>
      <c r="H486" s="16"/>
    </row>
    <row r="487">
      <c r="C487" s="16"/>
      <c r="D487" s="16"/>
      <c r="E487" s="16"/>
      <c r="F487" s="16"/>
      <c r="G487" s="16"/>
      <c r="H487" s="16"/>
    </row>
    <row r="488">
      <c r="C488" s="16"/>
      <c r="D488" s="16"/>
      <c r="E488" s="16"/>
      <c r="F488" s="16"/>
      <c r="G488" s="16"/>
      <c r="H488" s="16"/>
    </row>
    <row r="489">
      <c r="C489" s="16"/>
      <c r="D489" s="16"/>
      <c r="E489" s="16"/>
      <c r="F489" s="16"/>
      <c r="G489" s="16"/>
      <c r="H489" s="16"/>
    </row>
    <row r="490">
      <c r="C490" s="16"/>
      <c r="D490" s="16"/>
      <c r="E490" s="16"/>
      <c r="F490" s="16"/>
      <c r="G490" s="16"/>
      <c r="H490" s="16"/>
    </row>
    <row r="491">
      <c r="C491" s="16"/>
      <c r="D491" s="16"/>
      <c r="E491" s="16"/>
      <c r="F491" s="16"/>
      <c r="G491" s="16"/>
      <c r="H491" s="16"/>
    </row>
    <row r="492">
      <c r="C492" s="16"/>
      <c r="D492" s="16"/>
      <c r="E492" s="16"/>
      <c r="F492" s="16"/>
      <c r="G492" s="16"/>
      <c r="H492" s="16"/>
    </row>
    <row r="493">
      <c r="C493" s="16"/>
      <c r="D493" s="16"/>
      <c r="E493" s="16"/>
      <c r="F493" s="16"/>
      <c r="G493" s="16"/>
      <c r="H493" s="16"/>
    </row>
    <row r="494">
      <c r="C494" s="16"/>
      <c r="D494" s="16"/>
      <c r="E494" s="16"/>
      <c r="F494" s="16"/>
      <c r="G494" s="16"/>
      <c r="H494" s="16"/>
    </row>
    <row r="495">
      <c r="C495" s="16"/>
      <c r="D495" s="16"/>
      <c r="E495" s="16"/>
      <c r="F495" s="16"/>
      <c r="G495" s="16"/>
      <c r="H495" s="16"/>
    </row>
    <row r="496">
      <c r="C496" s="16"/>
      <c r="D496" s="16"/>
      <c r="E496" s="16"/>
      <c r="F496" s="16"/>
      <c r="G496" s="16"/>
      <c r="H496" s="16"/>
    </row>
    <row r="497">
      <c r="C497" s="16"/>
      <c r="D497" s="16"/>
      <c r="E497" s="16"/>
      <c r="F497" s="16"/>
      <c r="G497" s="16"/>
      <c r="H497" s="16"/>
    </row>
    <row r="498">
      <c r="C498" s="16"/>
      <c r="D498" s="16"/>
      <c r="E498" s="16"/>
      <c r="F498" s="16"/>
      <c r="G498" s="16"/>
      <c r="H498" s="16"/>
    </row>
    <row r="499">
      <c r="C499" s="16"/>
      <c r="D499" s="16"/>
      <c r="E499" s="16"/>
      <c r="F499" s="16"/>
      <c r="G499" s="16"/>
      <c r="H499" s="16"/>
    </row>
    <row r="500">
      <c r="C500" s="16"/>
      <c r="D500" s="16"/>
      <c r="E500" s="16"/>
      <c r="F500" s="16"/>
      <c r="G500" s="16"/>
      <c r="H500" s="16"/>
    </row>
    <row r="501">
      <c r="C501" s="16"/>
      <c r="D501" s="16"/>
      <c r="E501" s="16"/>
      <c r="F501" s="16"/>
      <c r="G501" s="16"/>
      <c r="H501" s="16"/>
    </row>
    <row r="502">
      <c r="C502" s="16"/>
      <c r="D502" s="16"/>
      <c r="E502" s="16"/>
      <c r="F502" s="16"/>
      <c r="G502" s="16"/>
      <c r="H502" s="16"/>
    </row>
    <row r="503">
      <c r="C503" s="16"/>
      <c r="D503" s="16"/>
      <c r="E503" s="16"/>
      <c r="F503" s="16"/>
      <c r="G503" s="16"/>
      <c r="H503" s="16"/>
    </row>
    <row r="504">
      <c r="C504" s="16"/>
      <c r="D504" s="16"/>
      <c r="E504" s="16"/>
      <c r="F504" s="16"/>
      <c r="G504" s="16"/>
      <c r="H504" s="16"/>
    </row>
    <row r="505">
      <c r="C505" s="16"/>
      <c r="D505" s="16"/>
      <c r="E505" s="16"/>
      <c r="F505" s="16"/>
      <c r="G505" s="16"/>
      <c r="H505" s="16"/>
    </row>
    <row r="506">
      <c r="C506" s="16"/>
      <c r="D506" s="16"/>
      <c r="E506" s="16"/>
      <c r="F506" s="16"/>
      <c r="G506" s="16"/>
      <c r="H506" s="16"/>
    </row>
    <row r="507">
      <c r="C507" s="16"/>
      <c r="D507" s="16"/>
      <c r="E507" s="16"/>
      <c r="F507" s="16"/>
      <c r="G507" s="16"/>
      <c r="H507" s="16"/>
    </row>
    <row r="508">
      <c r="C508" s="16"/>
      <c r="D508" s="16"/>
      <c r="E508" s="16"/>
      <c r="F508" s="16"/>
      <c r="G508" s="16"/>
      <c r="H508" s="16"/>
    </row>
    <row r="509">
      <c r="C509" s="16"/>
      <c r="D509" s="16"/>
      <c r="E509" s="16"/>
      <c r="F509" s="16"/>
      <c r="G509" s="16"/>
      <c r="H509" s="16"/>
    </row>
    <row r="510">
      <c r="C510" s="16"/>
      <c r="D510" s="16"/>
      <c r="E510" s="16"/>
      <c r="F510" s="16"/>
      <c r="G510" s="16"/>
      <c r="H510" s="16"/>
    </row>
    <row r="511">
      <c r="C511" s="16"/>
      <c r="D511" s="16"/>
      <c r="E511" s="16"/>
      <c r="F511" s="16"/>
      <c r="G511" s="16"/>
      <c r="H511" s="16"/>
    </row>
    <row r="512">
      <c r="C512" s="16"/>
      <c r="D512" s="16"/>
      <c r="E512" s="16"/>
      <c r="F512" s="16"/>
      <c r="G512" s="16"/>
      <c r="H512" s="16"/>
    </row>
    <row r="513">
      <c r="C513" s="16"/>
      <c r="D513" s="16"/>
      <c r="E513" s="16"/>
      <c r="F513" s="16"/>
      <c r="G513" s="16"/>
      <c r="H513" s="16"/>
    </row>
    <row r="514">
      <c r="C514" s="16"/>
      <c r="D514" s="16"/>
      <c r="E514" s="16"/>
      <c r="F514" s="16"/>
      <c r="G514" s="16"/>
      <c r="H514" s="16"/>
    </row>
    <row r="515">
      <c r="C515" s="16"/>
      <c r="D515" s="16"/>
      <c r="E515" s="16"/>
      <c r="F515" s="16"/>
      <c r="G515" s="16"/>
      <c r="H515" s="16"/>
    </row>
    <row r="516">
      <c r="C516" s="16"/>
      <c r="D516" s="16"/>
      <c r="E516" s="16"/>
      <c r="F516" s="16"/>
      <c r="G516" s="16"/>
      <c r="H516" s="16"/>
    </row>
    <row r="517">
      <c r="C517" s="16"/>
      <c r="D517" s="16"/>
      <c r="E517" s="16"/>
      <c r="F517" s="16"/>
      <c r="G517" s="16"/>
      <c r="H517" s="16"/>
    </row>
    <row r="518">
      <c r="C518" s="16"/>
      <c r="D518" s="16"/>
      <c r="E518" s="16"/>
      <c r="F518" s="16"/>
      <c r="G518" s="16"/>
      <c r="H518" s="16"/>
    </row>
    <row r="519">
      <c r="C519" s="16"/>
      <c r="D519" s="16"/>
      <c r="E519" s="16"/>
      <c r="F519" s="16"/>
      <c r="G519" s="16"/>
      <c r="H519" s="16"/>
    </row>
    <row r="520">
      <c r="C520" s="16"/>
      <c r="D520" s="16"/>
      <c r="E520" s="16"/>
      <c r="F520" s="16"/>
      <c r="G520" s="16"/>
      <c r="H520" s="16"/>
    </row>
    <row r="521">
      <c r="C521" s="16"/>
      <c r="D521" s="16"/>
      <c r="E521" s="16"/>
      <c r="F521" s="16"/>
      <c r="G521" s="16"/>
      <c r="H521" s="16"/>
    </row>
    <row r="522">
      <c r="C522" s="16"/>
      <c r="D522" s="16"/>
      <c r="E522" s="16"/>
      <c r="F522" s="16"/>
      <c r="G522" s="16"/>
      <c r="H522" s="16"/>
    </row>
    <row r="523">
      <c r="C523" s="16"/>
      <c r="D523" s="16"/>
      <c r="E523" s="16"/>
      <c r="F523" s="16"/>
      <c r="G523" s="16"/>
      <c r="H523" s="16"/>
    </row>
    <row r="524">
      <c r="C524" s="16"/>
      <c r="D524" s="16"/>
      <c r="E524" s="16"/>
      <c r="F524" s="16"/>
      <c r="G524" s="16"/>
      <c r="H524" s="16"/>
    </row>
    <row r="525">
      <c r="C525" s="16"/>
      <c r="D525" s="16"/>
      <c r="E525" s="16"/>
      <c r="F525" s="16"/>
      <c r="G525" s="16"/>
      <c r="H525" s="16"/>
    </row>
    <row r="526">
      <c r="C526" s="16"/>
      <c r="D526" s="16"/>
      <c r="E526" s="16"/>
      <c r="F526" s="16"/>
      <c r="G526" s="16"/>
      <c r="H526" s="16"/>
    </row>
    <row r="527">
      <c r="C527" s="16"/>
      <c r="D527" s="16"/>
      <c r="E527" s="16"/>
      <c r="F527" s="16"/>
      <c r="G527" s="16"/>
      <c r="H527" s="16"/>
    </row>
    <row r="528">
      <c r="C528" s="16"/>
      <c r="D528" s="16"/>
      <c r="E528" s="16"/>
      <c r="F528" s="16"/>
      <c r="G528" s="16"/>
      <c r="H528" s="16"/>
    </row>
    <row r="529">
      <c r="C529" s="16"/>
      <c r="D529" s="16"/>
      <c r="E529" s="16"/>
      <c r="F529" s="16"/>
      <c r="G529" s="16"/>
      <c r="H529" s="16"/>
    </row>
    <row r="530">
      <c r="C530" s="16"/>
      <c r="D530" s="16"/>
      <c r="E530" s="16"/>
      <c r="F530" s="16"/>
      <c r="G530" s="16"/>
      <c r="H530" s="16"/>
    </row>
    <row r="531">
      <c r="C531" s="16"/>
      <c r="D531" s="16"/>
      <c r="E531" s="16"/>
      <c r="F531" s="16"/>
      <c r="G531" s="16"/>
      <c r="H531" s="16"/>
    </row>
    <row r="532">
      <c r="C532" s="16"/>
      <c r="D532" s="16"/>
      <c r="E532" s="16"/>
      <c r="F532" s="16"/>
      <c r="G532" s="16"/>
      <c r="H532" s="16"/>
    </row>
    <row r="533">
      <c r="C533" s="16"/>
      <c r="D533" s="16"/>
      <c r="E533" s="16"/>
      <c r="F533" s="16"/>
      <c r="G533" s="16"/>
      <c r="H533" s="16"/>
    </row>
    <row r="534">
      <c r="C534" s="16"/>
      <c r="D534" s="16"/>
      <c r="E534" s="16"/>
      <c r="F534" s="16"/>
      <c r="G534" s="16"/>
      <c r="H534" s="16"/>
    </row>
    <row r="535">
      <c r="C535" s="16"/>
      <c r="D535" s="16"/>
      <c r="E535" s="16"/>
      <c r="F535" s="16"/>
      <c r="G535" s="16"/>
      <c r="H535" s="16"/>
    </row>
    <row r="536">
      <c r="C536" s="16"/>
      <c r="D536" s="16"/>
      <c r="E536" s="16"/>
      <c r="F536" s="16"/>
      <c r="G536" s="16"/>
      <c r="H536" s="16"/>
    </row>
    <row r="537">
      <c r="C537" s="16"/>
      <c r="D537" s="16"/>
      <c r="E537" s="16"/>
      <c r="F537" s="16"/>
      <c r="G537" s="16"/>
      <c r="H537" s="16"/>
    </row>
    <row r="538">
      <c r="C538" s="16"/>
      <c r="D538" s="16"/>
      <c r="E538" s="16"/>
      <c r="F538" s="16"/>
      <c r="G538" s="16"/>
      <c r="H538" s="16"/>
    </row>
    <row r="539">
      <c r="C539" s="16"/>
      <c r="D539" s="16"/>
      <c r="E539" s="16"/>
      <c r="F539" s="16"/>
      <c r="G539" s="16"/>
      <c r="H539" s="16"/>
    </row>
    <row r="540">
      <c r="C540" s="16"/>
      <c r="D540" s="16"/>
      <c r="E540" s="16"/>
      <c r="F540" s="16"/>
      <c r="G540" s="16"/>
      <c r="H540" s="16"/>
    </row>
    <row r="541">
      <c r="C541" s="16"/>
      <c r="D541" s="16"/>
      <c r="E541" s="16"/>
      <c r="F541" s="16"/>
      <c r="G541" s="16"/>
      <c r="H541" s="16"/>
    </row>
    <row r="542">
      <c r="C542" s="16"/>
      <c r="D542" s="16"/>
      <c r="E542" s="16"/>
      <c r="F542" s="16"/>
      <c r="G542" s="16"/>
      <c r="H542" s="16"/>
    </row>
    <row r="543">
      <c r="C543" s="16"/>
      <c r="D543" s="16"/>
      <c r="E543" s="16"/>
      <c r="F543" s="16"/>
      <c r="G543" s="16"/>
      <c r="H543" s="16"/>
    </row>
    <row r="544">
      <c r="C544" s="16"/>
      <c r="D544" s="16"/>
      <c r="E544" s="16"/>
      <c r="F544" s="16"/>
      <c r="G544" s="16"/>
      <c r="H544" s="16"/>
    </row>
    <row r="545">
      <c r="C545" s="16"/>
      <c r="D545" s="16"/>
      <c r="E545" s="16"/>
      <c r="F545" s="16"/>
      <c r="G545" s="16"/>
      <c r="H545" s="16"/>
    </row>
    <row r="546">
      <c r="C546" s="16"/>
      <c r="D546" s="16"/>
      <c r="E546" s="16"/>
      <c r="F546" s="16"/>
      <c r="G546" s="16"/>
      <c r="H546" s="16"/>
    </row>
    <row r="547">
      <c r="C547" s="16"/>
      <c r="D547" s="16"/>
      <c r="E547" s="16"/>
      <c r="F547" s="16"/>
      <c r="G547" s="16"/>
      <c r="H547" s="16"/>
    </row>
    <row r="548">
      <c r="C548" s="16"/>
      <c r="D548" s="16"/>
      <c r="E548" s="16"/>
      <c r="F548" s="16"/>
      <c r="G548" s="16"/>
      <c r="H548" s="16"/>
    </row>
    <row r="549">
      <c r="C549" s="16"/>
      <c r="D549" s="16"/>
      <c r="E549" s="16"/>
      <c r="F549" s="16"/>
      <c r="G549" s="16"/>
      <c r="H549" s="16"/>
    </row>
    <row r="550">
      <c r="C550" s="16"/>
      <c r="D550" s="16"/>
      <c r="E550" s="16"/>
      <c r="F550" s="16"/>
      <c r="G550" s="16"/>
      <c r="H550" s="16"/>
    </row>
    <row r="551">
      <c r="C551" s="16"/>
      <c r="D551" s="16"/>
      <c r="E551" s="16"/>
      <c r="F551" s="16"/>
      <c r="G551" s="16"/>
      <c r="H551" s="16"/>
    </row>
    <row r="552">
      <c r="C552" s="16"/>
      <c r="D552" s="16"/>
      <c r="E552" s="16"/>
      <c r="F552" s="16"/>
      <c r="G552" s="16"/>
      <c r="H552" s="16"/>
    </row>
    <row r="553">
      <c r="C553" s="16"/>
      <c r="D553" s="16"/>
      <c r="E553" s="16"/>
      <c r="F553" s="16"/>
      <c r="G553" s="16"/>
      <c r="H553" s="16"/>
    </row>
    <row r="554">
      <c r="C554" s="16"/>
      <c r="D554" s="16"/>
      <c r="E554" s="16"/>
      <c r="F554" s="16"/>
      <c r="G554" s="16"/>
      <c r="H554" s="16"/>
    </row>
    <row r="555">
      <c r="C555" s="16"/>
      <c r="D555" s="16"/>
      <c r="E555" s="16"/>
      <c r="F555" s="16"/>
      <c r="G555" s="16"/>
      <c r="H555" s="16"/>
    </row>
    <row r="556">
      <c r="C556" s="16"/>
      <c r="D556" s="16"/>
      <c r="E556" s="16"/>
      <c r="F556" s="16"/>
      <c r="G556" s="16"/>
      <c r="H556" s="16"/>
    </row>
    <row r="557">
      <c r="C557" s="16"/>
      <c r="D557" s="16"/>
      <c r="E557" s="16"/>
      <c r="F557" s="16"/>
      <c r="G557" s="16"/>
      <c r="H557" s="16"/>
    </row>
    <row r="558">
      <c r="C558" s="16"/>
      <c r="D558" s="16"/>
      <c r="E558" s="16"/>
      <c r="F558" s="16"/>
      <c r="G558" s="16"/>
      <c r="H558" s="16"/>
    </row>
    <row r="559">
      <c r="C559" s="16"/>
      <c r="D559" s="16"/>
      <c r="E559" s="16"/>
      <c r="F559" s="16"/>
      <c r="G559" s="16"/>
      <c r="H559" s="16"/>
    </row>
    <row r="560">
      <c r="C560" s="16"/>
      <c r="D560" s="16"/>
      <c r="E560" s="16"/>
      <c r="F560" s="16"/>
      <c r="G560" s="16"/>
      <c r="H560" s="16"/>
    </row>
    <row r="561">
      <c r="C561" s="16"/>
      <c r="D561" s="16"/>
      <c r="E561" s="16"/>
      <c r="F561" s="16"/>
      <c r="G561" s="16"/>
      <c r="H561" s="16"/>
    </row>
    <row r="562">
      <c r="C562" s="16"/>
      <c r="D562" s="16"/>
      <c r="E562" s="16"/>
      <c r="F562" s="16"/>
      <c r="G562" s="16"/>
      <c r="H562" s="16"/>
    </row>
    <row r="563">
      <c r="C563" s="16"/>
      <c r="D563" s="16"/>
      <c r="E563" s="16"/>
      <c r="F563" s="16"/>
      <c r="G563" s="16"/>
      <c r="H563" s="16"/>
    </row>
    <row r="564">
      <c r="C564" s="16"/>
      <c r="D564" s="16"/>
      <c r="E564" s="16"/>
      <c r="F564" s="16"/>
      <c r="G564" s="16"/>
      <c r="H564" s="16"/>
    </row>
    <row r="565">
      <c r="C565" s="16"/>
      <c r="D565" s="16"/>
      <c r="E565" s="16"/>
      <c r="F565" s="16"/>
      <c r="G565" s="16"/>
      <c r="H565" s="16"/>
    </row>
    <row r="566">
      <c r="C566" s="16"/>
      <c r="D566" s="16"/>
      <c r="E566" s="16"/>
      <c r="F566" s="16"/>
      <c r="G566" s="16"/>
      <c r="H566" s="16"/>
    </row>
    <row r="567">
      <c r="C567" s="16"/>
      <c r="D567" s="16"/>
      <c r="E567" s="16"/>
      <c r="F567" s="16"/>
      <c r="G567" s="16"/>
      <c r="H567" s="16"/>
    </row>
    <row r="568">
      <c r="C568" s="16"/>
      <c r="D568" s="16"/>
      <c r="E568" s="16"/>
      <c r="F568" s="16"/>
      <c r="G568" s="16"/>
      <c r="H568" s="16"/>
    </row>
    <row r="569">
      <c r="C569" s="16"/>
      <c r="D569" s="16"/>
      <c r="E569" s="16"/>
      <c r="F569" s="16"/>
      <c r="G569" s="16"/>
      <c r="H569" s="16"/>
    </row>
    <row r="570">
      <c r="C570" s="16"/>
      <c r="D570" s="16"/>
      <c r="E570" s="16"/>
      <c r="F570" s="16"/>
      <c r="G570" s="16"/>
      <c r="H570" s="16"/>
    </row>
    <row r="571">
      <c r="C571" s="16"/>
      <c r="D571" s="16"/>
      <c r="E571" s="16"/>
      <c r="F571" s="16"/>
      <c r="G571" s="16"/>
      <c r="H571" s="16"/>
    </row>
    <row r="572">
      <c r="C572" s="16"/>
      <c r="D572" s="16"/>
      <c r="E572" s="16"/>
      <c r="F572" s="16"/>
      <c r="G572" s="16"/>
      <c r="H572" s="16"/>
    </row>
    <row r="573">
      <c r="C573" s="16"/>
      <c r="D573" s="16"/>
      <c r="E573" s="16"/>
      <c r="F573" s="16"/>
      <c r="G573" s="16"/>
      <c r="H573" s="16"/>
    </row>
    <row r="574">
      <c r="C574" s="16"/>
      <c r="D574" s="16"/>
      <c r="E574" s="16"/>
      <c r="F574" s="16"/>
      <c r="G574" s="16"/>
      <c r="H574" s="16"/>
    </row>
    <row r="575">
      <c r="C575" s="16"/>
      <c r="D575" s="16"/>
      <c r="E575" s="16"/>
      <c r="F575" s="16"/>
      <c r="G575" s="16"/>
      <c r="H575" s="16"/>
    </row>
    <row r="576">
      <c r="C576" s="16"/>
      <c r="D576" s="16"/>
      <c r="E576" s="16"/>
      <c r="F576" s="16"/>
      <c r="G576" s="16"/>
      <c r="H576" s="16"/>
    </row>
    <row r="577">
      <c r="C577" s="16"/>
      <c r="D577" s="16"/>
      <c r="E577" s="16"/>
      <c r="F577" s="16"/>
      <c r="G577" s="16"/>
      <c r="H577" s="16"/>
    </row>
    <row r="578">
      <c r="C578" s="16"/>
      <c r="D578" s="16"/>
      <c r="E578" s="16"/>
      <c r="F578" s="16"/>
      <c r="G578" s="16"/>
      <c r="H578" s="16"/>
    </row>
    <row r="579">
      <c r="C579" s="16"/>
      <c r="D579" s="16"/>
      <c r="E579" s="16"/>
      <c r="F579" s="16"/>
      <c r="G579" s="16"/>
      <c r="H579" s="16"/>
    </row>
    <row r="580">
      <c r="C580" s="16"/>
      <c r="D580" s="16"/>
      <c r="E580" s="16"/>
      <c r="F580" s="16"/>
      <c r="G580" s="16"/>
      <c r="H580" s="16"/>
    </row>
    <row r="581">
      <c r="C581" s="16"/>
      <c r="D581" s="16"/>
      <c r="E581" s="16"/>
      <c r="F581" s="16"/>
      <c r="G581" s="16"/>
      <c r="H581" s="16"/>
    </row>
    <row r="582">
      <c r="C582" s="16"/>
      <c r="D582" s="16"/>
      <c r="E582" s="16"/>
      <c r="F582" s="16"/>
      <c r="G582" s="16"/>
      <c r="H582" s="16"/>
    </row>
    <row r="583">
      <c r="C583" s="16"/>
      <c r="D583" s="16"/>
      <c r="E583" s="16"/>
      <c r="F583" s="16"/>
      <c r="G583" s="16"/>
      <c r="H583" s="16"/>
    </row>
    <row r="584">
      <c r="C584" s="16"/>
      <c r="D584" s="16"/>
      <c r="E584" s="16"/>
      <c r="F584" s="16"/>
      <c r="G584" s="16"/>
      <c r="H584" s="16"/>
    </row>
    <row r="585">
      <c r="C585" s="16"/>
      <c r="D585" s="16"/>
      <c r="E585" s="16"/>
      <c r="F585" s="16"/>
      <c r="G585" s="16"/>
      <c r="H585" s="16"/>
    </row>
    <row r="586">
      <c r="C586" s="16"/>
      <c r="D586" s="16"/>
      <c r="E586" s="16"/>
      <c r="F586" s="16"/>
      <c r="G586" s="16"/>
      <c r="H586" s="16"/>
    </row>
    <row r="587">
      <c r="C587" s="16"/>
      <c r="D587" s="16"/>
      <c r="E587" s="16"/>
      <c r="F587" s="16"/>
      <c r="G587" s="16"/>
      <c r="H587" s="16"/>
    </row>
    <row r="588">
      <c r="C588" s="16"/>
      <c r="D588" s="16"/>
      <c r="E588" s="16"/>
      <c r="F588" s="16"/>
      <c r="G588" s="16"/>
      <c r="H588" s="16"/>
    </row>
    <row r="589">
      <c r="C589" s="16"/>
      <c r="D589" s="16"/>
      <c r="E589" s="16"/>
      <c r="F589" s="16"/>
      <c r="G589" s="16"/>
      <c r="H589" s="16"/>
    </row>
    <row r="590">
      <c r="C590" s="16"/>
      <c r="D590" s="16"/>
      <c r="E590" s="16"/>
      <c r="F590" s="16"/>
      <c r="G590" s="16"/>
      <c r="H590" s="16"/>
    </row>
    <row r="591">
      <c r="C591" s="16"/>
      <c r="D591" s="16"/>
      <c r="E591" s="16"/>
      <c r="F591" s="16"/>
      <c r="G591" s="16"/>
      <c r="H591" s="16"/>
    </row>
    <row r="592">
      <c r="C592" s="16"/>
      <c r="D592" s="16"/>
      <c r="E592" s="16"/>
      <c r="F592" s="16"/>
      <c r="G592" s="16"/>
      <c r="H592" s="16"/>
    </row>
    <row r="593">
      <c r="C593" s="16"/>
      <c r="D593" s="16"/>
      <c r="E593" s="16"/>
      <c r="F593" s="16"/>
      <c r="G593" s="16"/>
      <c r="H593" s="16"/>
    </row>
    <row r="594">
      <c r="C594" s="16"/>
      <c r="D594" s="16"/>
      <c r="E594" s="16"/>
      <c r="F594" s="16"/>
      <c r="G594" s="16"/>
      <c r="H594" s="16"/>
    </row>
    <row r="595">
      <c r="C595" s="16"/>
      <c r="D595" s="16"/>
      <c r="E595" s="16"/>
      <c r="F595" s="16"/>
      <c r="G595" s="16"/>
      <c r="H595" s="16"/>
    </row>
    <row r="596">
      <c r="C596" s="16"/>
      <c r="D596" s="16"/>
      <c r="E596" s="16"/>
      <c r="F596" s="16"/>
      <c r="G596" s="16"/>
      <c r="H596" s="16"/>
    </row>
    <row r="597">
      <c r="C597" s="16"/>
      <c r="D597" s="16"/>
      <c r="E597" s="16"/>
      <c r="F597" s="16"/>
      <c r="G597" s="16"/>
      <c r="H597" s="16"/>
    </row>
    <row r="598">
      <c r="C598" s="16"/>
      <c r="D598" s="16"/>
      <c r="E598" s="16"/>
      <c r="F598" s="16"/>
      <c r="G598" s="16"/>
      <c r="H598" s="16"/>
    </row>
    <row r="599">
      <c r="C599" s="16"/>
      <c r="D599" s="16"/>
      <c r="E599" s="16"/>
      <c r="F599" s="16"/>
      <c r="G599" s="16"/>
      <c r="H599" s="16"/>
    </row>
    <row r="600">
      <c r="C600" s="16"/>
      <c r="D600" s="16"/>
      <c r="E600" s="16"/>
      <c r="F600" s="16"/>
      <c r="G600" s="16"/>
      <c r="H600" s="16"/>
    </row>
    <row r="601">
      <c r="C601" s="16"/>
      <c r="D601" s="16"/>
      <c r="E601" s="16"/>
      <c r="F601" s="16"/>
      <c r="G601" s="16"/>
      <c r="H601" s="16"/>
    </row>
    <row r="602">
      <c r="C602" s="16"/>
      <c r="D602" s="16"/>
      <c r="E602" s="16"/>
      <c r="F602" s="16"/>
      <c r="G602" s="16"/>
      <c r="H602" s="16"/>
    </row>
    <row r="603">
      <c r="C603" s="16"/>
      <c r="D603" s="16"/>
      <c r="E603" s="16"/>
      <c r="F603" s="16"/>
      <c r="G603" s="16"/>
      <c r="H603" s="16"/>
    </row>
    <row r="604">
      <c r="C604" s="16"/>
      <c r="D604" s="16"/>
      <c r="E604" s="16"/>
      <c r="F604" s="16"/>
      <c r="G604" s="16"/>
      <c r="H604" s="16"/>
    </row>
    <row r="605">
      <c r="C605" s="16"/>
      <c r="D605" s="16"/>
      <c r="E605" s="16"/>
      <c r="F605" s="16"/>
      <c r="G605" s="16"/>
      <c r="H605" s="16"/>
    </row>
    <row r="606">
      <c r="C606" s="16"/>
      <c r="D606" s="16"/>
      <c r="E606" s="16"/>
      <c r="F606" s="16"/>
      <c r="G606" s="16"/>
      <c r="H606" s="16"/>
    </row>
    <row r="607">
      <c r="C607" s="16"/>
      <c r="D607" s="16"/>
      <c r="E607" s="16"/>
      <c r="F607" s="16"/>
      <c r="G607" s="16"/>
      <c r="H607" s="16"/>
    </row>
    <row r="608">
      <c r="C608" s="16"/>
      <c r="D608" s="16"/>
      <c r="E608" s="16"/>
      <c r="F608" s="16"/>
      <c r="G608" s="16"/>
      <c r="H608" s="16"/>
    </row>
    <row r="609">
      <c r="C609" s="16"/>
      <c r="D609" s="16"/>
      <c r="E609" s="16"/>
      <c r="F609" s="16"/>
      <c r="G609" s="16"/>
      <c r="H609" s="16"/>
    </row>
    <row r="610">
      <c r="C610" s="16"/>
      <c r="D610" s="16"/>
      <c r="E610" s="16"/>
      <c r="F610" s="16"/>
      <c r="G610" s="16"/>
      <c r="H610" s="16"/>
    </row>
    <row r="611">
      <c r="C611" s="16"/>
      <c r="D611" s="16"/>
      <c r="E611" s="16"/>
      <c r="F611" s="16"/>
      <c r="G611" s="16"/>
      <c r="H611" s="16"/>
    </row>
    <row r="612">
      <c r="C612" s="16"/>
      <c r="D612" s="16"/>
      <c r="E612" s="16"/>
      <c r="F612" s="16"/>
      <c r="G612" s="16"/>
      <c r="H612" s="16"/>
    </row>
    <row r="613">
      <c r="C613" s="16"/>
      <c r="D613" s="16"/>
      <c r="E613" s="16"/>
      <c r="F613" s="16"/>
      <c r="G613" s="16"/>
      <c r="H613" s="16"/>
    </row>
    <row r="614">
      <c r="C614" s="16"/>
      <c r="D614" s="16"/>
      <c r="E614" s="16"/>
      <c r="F614" s="16"/>
      <c r="G614" s="16"/>
      <c r="H614" s="16"/>
    </row>
    <row r="615">
      <c r="C615" s="16"/>
      <c r="D615" s="16"/>
      <c r="E615" s="16"/>
      <c r="F615" s="16"/>
      <c r="G615" s="16"/>
      <c r="H615" s="16"/>
    </row>
    <row r="616">
      <c r="C616" s="16"/>
      <c r="D616" s="16"/>
      <c r="E616" s="16"/>
      <c r="F616" s="16"/>
      <c r="G616" s="16"/>
      <c r="H616" s="16"/>
    </row>
    <row r="617">
      <c r="C617" s="16"/>
      <c r="D617" s="16"/>
      <c r="E617" s="16"/>
      <c r="F617" s="16"/>
      <c r="G617" s="16"/>
      <c r="H617" s="16"/>
    </row>
    <row r="618">
      <c r="C618" s="16"/>
      <c r="D618" s="16"/>
      <c r="E618" s="16"/>
      <c r="F618" s="16"/>
      <c r="G618" s="16"/>
      <c r="H618" s="16"/>
    </row>
    <row r="619">
      <c r="C619" s="16"/>
      <c r="D619" s="16"/>
      <c r="E619" s="16"/>
      <c r="F619" s="16"/>
      <c r="G619" s="16"/>
      <c r="H619" s="16"/>
    </row>
    <row r="620">
      <c r="C620" s="16"/>
      <c r="D620" s="16"/>
      <c r="E620" s="16"/>
      <c r="F620" s="16"/>
      <c r="G620" s="16"/>
      <c r="H620" s="16"/>
    </row>
    <row r="621">
      <c r="C621" s="16"/>
      <c r="D621" s="16"/>
      <c r="E621" s="16"/>
      <c r="F621" s="16"/>
      <c r="G621" s="16"/>
      <c r="H621" s="16"/>
    </row>
    <row r="622">
      <c r="C622" s="16"/>
      <c r="D622" s="16"/>
      <c r="E622" s="16"/>
      <c r="F622" s="16"/>
      <c r="G622" s="16"/>
      <c r="H622" s="16"/>
    </row>
    <row r="623">
      <c r="C623" s="16"/>
      <c r="D623" s="16"/>
      <c r="E623" s="16"/>
      <c r="F623" s="16"/>
      <c r="G623" s="16"/>
      <c r="H623" s="16"/>
    </row>
    <row r="624">
      <c r="C624" s="16"/>
      <c r="D624" s="16"/>
      <c r="E624" s="16"/>
      <c r="F624" s="16"/>
      <c r="G624" s="16"/>
      <c r="H624" s="16"/>
    </row>
    <row r="625">
      <c r="C625" s="16"/>
      <c r="D625" s="16"/>
      <c r="E625" s="16"/>
      <c r="F625" s="16"/>
      <c r="G625" s="16"/>
      <c r="H625" s="16"/>
    </row>
    <row r="626">
      <c r="C626" s="16"/>
      <c r="D626" s="16"/>
      <c r="E626" s="16"/>
      <c r="F626" s="16"/>
      <c r="G626" s="16"/>
      <c r="H626" s="16"/>
    </row>
    <row r="627">
      <c r="C627" s="16"/>
      <c r="D627" s="16"/>
      <c r="E627" s="16"/>
      <c r="F627" s="16"/>
      <c r="G627" s="16"/>
      <c r="H627" s="16"/>
    </row>
    <row r="628">
      <c r="C628" s="16"/>
      <c r="D628" s="16"/>
      <c r="E628" s="16"/>
      <c r="F628" s="16"/>
      <c r="G628" s="16"/>
      <c r="H628" s="16"/>
    </row>
    <row r="629">
      <c r="C629" s="16"/>
      <c r="D629" s="16"/>
      <c r="E629" s="16"/>
      <c r="F629" s="16"/>
      <c r="G629" s="16"/>
      <c r="H629" s="16"/>
    </row>
    <row r="630">
      <c r="C630" s="16"/>
      <c r="D630" s="16"/>
      <c r="E630" s="16"/>
      <c r="F630" s="16"/>
      <c r="G630" s="16"/>
      <c r="H630" s="16"/>
    </row>
    <row r="631">
      <c r="C631" s="16"/>
      <c r="D631" s="16"/>
      <c r="E631" s="16"/>
      <c r="F631" s="16"/>
      <c r="G631" s="16"/>
      <c r="H631" s="16"/>
    </row>
    <row r="632">
      <c r="C632" s="16"/>
      <c r="D632" s="16"/>
      <c r="E632" s="16"/>
      <c r="F632" s="16"/>
      <c r="G632" s="16"/>
      <c r="H632" s="16"/>
    </row>
    <row r="633">
      <c r="C633" s="16"/>
      <c r="D633" s="16"/>
      <c r="E633" s="16"/>
      <c r="F633" s="16"/>
      <c r="G633" s="16"/>
      <c r="H633" s="16"/>
    </row>
    <row r="634">
      <c r="C634" s="16"/>
      <c r="D634" s="16"/>
      <c r="E634" s="16"/>
      <c r="F634" s="16"/>
      <c r="G634" s="16"/>
      <c r="H634" s="16"/>
    </row>
    <row r="635">
      <c r="C635" s="16"/>
      <c r="D635" s="16"/>
      <c r="E635" s="16"/>
      <c r="F635" s="16"/>
      <c r="G635" s="16"/>
      <c r="H635" s="16"/>
    </row>
    <row r="636">
      <c r="C636" s="16"/>
      <c r="D636" s="16"/>
      <c r="E636" s="16"/>
      <c r="F636" s="16"/>
      <c r="G636" s="16"/>
      <c r="H636" s="16"/>
    </row>
    <row r="637">
      <c r="C637" s="16"/>
      <c r="D637" s="16"/>
      <c r="E637" s="16"/>
      <c r="F637" s="16"/>
      <c r="G637" s="16"/>
      <c r="H637" s="16"/>
    </row>
    <row r="638">
      <c r="C638" s="16"/>
      <c r="D638" s="16"/>
      <c r="E638" s="16"/>
      <c r="F638" s="16"/>
      <c r="G638" s="16"/>
      <c r="H638" s="16"/>
    </row>
    <row r="639">
      <c r="C639" s="16"/>
      <c r="D639" s="16"/>
      <c r="E639" s="16"/>
      <c r="F639" s="16"/>
      <c r="G639" s="16"/>
      <c r="H639" s="16"/>
    </row>
    <row r="640">
      <c r="C640" s="16"/>
      <c r="D640" s="16"/>
      <c r="E640" s="16"/>
      <c r="F640" s="16"/>
      <c r="G640" s="16"/>
      <c r="H640" s="16"/>
    </row>
    <row r="641">
      <c r="C641" s="16"/>
      <c r="D641" s="16"/>
      <c r="E641" s="16"/>
      <c r="F641" s="16"/>
      <c r="G641" s="16"/>
      <c r="H641" s="16"/>
    </row>
    <row r="642">
      <c r="C642" s="16"/>
      <c r="D642" s="16"/>
      <c r="E642" s="16"/>
      <c r="F642" s="16"/>
      <c r="G642" s="16"/>
      <c r="H642" s="16"/>
    </row>
    <row r="643">
      <c r="C643" s="16"/>
      <c r="D643" s="16"/>
      <c r="E643" s="16"/>
      <c r="F643" s="16"/>
      <c r="G643" s="16"/>
      <c r="H643" s="16"/>
    </row>
    <row r="644">
      <c r="C644" s="16"/>
      <c r="D644" s="16"/>
      <c r="E644" s="16"/>
      <c r="F644" s="16"/>
      <c r="G644" s="16"/>
      <c r="H644" s="16"/>
    </row>
    <row r="645">
      <c r="C645" s="16"/>
      <c r="D645" s="16"/>
      <c r="E645" s="16"/>
      <c r="F645" s="16"/>
      <c r="G645" s="16"/>
      <c r="H645" s="16"/>
    </row>
    <row r="646">
      <c r="C646" s="16"/>
      <c r="D646" s="16"/>
      <c r="E646" s="16"/>
      <c r="F646" s="16"/>
      <c r="G646" s="16"/>
      <c r="H646" s="16"/>
    </row>
    <row r="647">
      <c r="C647" s="16"/>
      <c r="D647" s="16"/>
      <c r="E647" s="16"/>
      <c r="F647" s="16"/>
      <c r="G647" s="16"/>
      <c r="H647" s="16"/>
    </row>
    <row r="648">
      <c r="C648" s="16"/>
      <c r="D648" s="16"/>
      <c r="E648" s="16"/>
      <c r="F648" s="16"/>
      <c r="G648" s="16"/>
      <c r="H648" s="16"/>
    </row>
    <row r="649">
      <c r="C649" s="16"/>
      <c r="D649" s="16"/>
      <c r="E649" s="16"/>
      <c r="F649" s="16"/>
      <c r="G649" s="16"/>
      <c r="H649" s="16"/>
    </row>
    <row r="650">
      <c r="C650" s="16"/>
      <c r="D650" s="16"/>
      <c r="E650" s="16"/>
      <c r="F650" s="16"/>
      <c r="G650" s="16"/>
      <c r="H650" s="16"/>
    </row>
    <row r="651">
      <c r="C651" s="16"/>
      <c r="D651" s="16"/>
      <c r="E651" s="16"/>
      <c r="F651" s="16"/>
      <c r="G651" s="16"/>
      <c r="H651" s="16"/>
    </row>
    <row r="652">
      <c r="C652" s="16"/>
      <c r="D652" s="16"/>
      <c r="E652" s="16"/>
      <c r="F652" s="16"/>
      <c r="G652" s="16"/>
      <c r="H652" s="16"/>
    </row>
    <row r="653">
      <c r="C653" s="16"/>
      <c r="D653" s="16"/>
      <c r="E653" s="16"/>
      <c r="F653" s="16"/>
      <c r="G653" s="16"/>
      <c r="H653" s="16"/>
    </row>
    <row r="654">
      <c r="C654" s="16"/>
      <c r="D654" s="16"/>
      <c r="E654" s="16"/>
      <c r="F654" s="16"/>
      <c r="G654" s="16"/>
      <c r="H654" s="16"/>
    </row>
    <row r="655">
      <c r="C655" s="16"/>
      <c r="D655" s="16"/>
      <c r="E655" s="16"/>
      <c r="F655" s="16"/>
      <c r="G655" s="16"/>
      <c r="H655" s="16"/>
    </row>
    <row r="656">
      <c r="C656" s="16"/>
      <c r="D656" s="16"/>
      <c r="E656" s="16"/>
      <c r="F656" s="16"/>
      <c r="G656" s="16"/>
      <c r="H656" s="16"/>
    </row>
    <row r="657">
      <c r="C657" s="16"/>
      <c r="D657" s="16"/>
      <c r="E657" s="16"/>
      <c r="F657" s="16"/>
      <c r="G657" s="16"/>
      <c r="H657" s="16"/>
    </row>
    <row r="658">
      <c r="C658" s="16"/>
      <c r="D658" s="16"/>
      <c r="E658" s="16"/>
      <c r="F658" s="16"/>
      <c r="G658" s="16"/>
      <c r="H658" s="16"/>
    </row>
    <row r="659">
      <c r="C659" s="16"/>
      <c r="D659" s="16"/>
      <c r="E659" s="16"/>
      <c r="F659" s="16"/>
      <c r="G659" s="16"/>
      <c r="H659" s="16"/>
    </row>
    <row r="660">
      <c r="C660" s="16"/>
      <c r="D660" s="16"/>
      <c r="E660" s="16"/>
      <c r="F660" s="16"/>
      <c r="G660" s="16"/>
      <c r="H660" s="16"/>
    </row>
    <row r="661">
      <c r="C661" s="16"/>
      <c r="D661" s="16"/>
      <c r="E661" s="16"/>
      <c r="F661" s="16"/>
      <c r="G661" s="16"/>
      <c r="H661" s="16"/>
    </row>
    <row r="662">
      <c r="C662" s="16"/>
      <c r="D662" s="16"/>
      <c r="E662" s="16"/>
      <c r="F662" s="16"/>
      <c r="G662" s="16"/>
      <c r="H662" s="16"/>
    </row>
    <row r="663">
      <c r="C663" s="16"/>
      <c r="D663" s="16"/>
      <c r="E663" s="16"/>
      <c r="F663" s="16"/>
      <c r="G663" s="16"/>
      <c r="H663" s="16"/>
    </row>
    <row r="664">
      <c r="C664" s="16"/>
      <c r="D664" s="16"/>
      <c r="E664" s="16"/>
      <c r="F664" s="16"/>
      <c r="G664" s="16"/>
      <c r="H664" s="16"/>
    </row>
    <row r="665">
      <c r="C665" s="16"/>
      <c r="D665" s="16"/>
      <c r="E665" s="16"/>
      <c r="F665" s="16"/>
      <c r="G665" s="16"/>
      <c r="H665" s="16"/>
    </row>
    <row r="666">
      <c r="C666" s="16"/>
      <c r="D666" s="16"/>
      <c r="E666" s="16"/>
      <c r="F666" s="16"/>
      <c r="G666" s="16"/>
      <c r="H666" s="16"/>
    </row>
    <row r="667">
      <c r="C667" s="16"/>
      <c r="D667" s="16"/>
      <c r="E667" s="16"/>
      <c r="F667" s="16"/>
      <c r="G667" s="16"/>
      <c r="H667" s="16"/>
    </row>
    <row r="668">
      <c r="C668" s="16"/>
      <c r="D668" s="16"/>
      <c r="E668" s="16"/>
      <c r="F668" s="16"/>
      <c r="G668" s="16"/>
      <c r="H668" s="16"/>
    </row>
    <row r="669">
      <c r="C669" s="16"/>
      <c r="D669" s="16"/>
      <c r="E669" s="16"/>
      <c r="F669" s="16"/>
      <c r="G669" s="16"/>
      <c r="H669" s="16"/>
    </row>
    <row r="670">
      <c r="C670" s="16"/>
      <c r="D670" s="16"/>
      <c r="E670" s="16"/>
      <c r="F670" s="16"/>
      <c r="G670" s="16"/>
      <c r="H670" s="16"/>
    </row>
    <row r="671">
      <c r="C671" s="16"/>
      <c r="D671" s="16"/>
      <c r="E671" s="16"/>
      <c r="F671" s="16"/>
      <c r="G671" s="16"/>
      <c r="H671" s="16"/>
    </row>
    <row r="672">
      <c r="C672" s="16"/>
      <c r="D672" s="16"/>
      <c r="E672" s="16"/>
      <c r="F672" s="16"/>
      <c r="G672" s="16"/>
      <c r="H672" s="16"/>
    </row>
    <row r="673">
      <c r="C673" s="16"/>
      <c r="D673" s="16"/>
      <c r="E673" s="16"/>
      <c r="F673" s="16"/>
      <c r="G673" s="16"/>
      <c r="H673" s="16"/>
    </row>
    <row r="674">
      <c r="C674" s="16"/>
      <c r="D674" s="16"/>
      <c r="E674" s="16"/>
      <c r="F674" s="16"/>
      <c r="G674" s="16"/>
      <c r="H674" s="16"/>
    </row>
    <row r="675">
      <c r="C675" s="16"/>
      <c r="D675" s="16"/>
      <c r="E675" s="16"/>
      <c r="F675" s="16"/>
      <c r="G675" s="16"/>
      <c r="H675" s="16"/>
    </row>
    <row r="676">
      <c r="C676" s="16"/>
      <c r="D676" s="16"/>
      <c r="E676" s="16"/>
      <c r="F676" s="16"/>
      <c r="G676" s="16"/>
      <c r="H676" s="16"/>
    </row>
    <row r="677">
      <c r="C677" s="16"/>
      <c r="D677" s="16"/>
      <c r="E677" s="16"/>
      <c r="F677" s="16"/>
      <c r="G677" s="16"/>
      <c r="H677" s="16"/>
    </row>
    <row r="678">
      <c r="C678" s="16"/>
      <c r="D678" s="16"/>
      <c r="E678" s="16"/>
      <c r="F678" s="16"/>
      <c r="G678" s="16"/>
      <c r="H678" s="16"/>
    </row>
    <row r="679">
      <c r="C679" s="16"/>
      <c r="D679" s="16"/>
      <c r="E679" s="16"/>
      <c r="F679" s="16"/>
      <c r="G679" s="16"/>
      <c r="H679" s="16"/>
    </row>
    <row r="680">
      <c r="C680" s="16"/>
      <c r="D680" s="16"/>
      <c r="E680" s="16"/>
      <c r="F680" s="16"/>
      <c r="G680" s="16"/>
      <c r="H680" s="16"/>
    </row>
    <row r="681">
      <c r="C681" s="16"/>
      <c r="D681" s="16"/>
      <c r="E681" s="16"/>
      <c r="F681" s="16"/>
      <c r="G681" s="16"/>
      <c r="H681" s="16"/>
    </row>
    <row r="682">
      <c r="C682" s="16"/>
      <c r="D682" s="16"/>
      <c r="E682" s="16"/>
      <c r="F682" s="16"/>
      <c r="G682" s="16"/>
      <c r="H682" s="16"/>
    </row>
    <row r="683">
      <c r="C683" s="16"/>
      <c r="D683" s="16"/>
      <c r="E683" s="16"/>
      <c r="F683" s="16"/>
      <c r="G683" s="16"/>
      <c r="H683" s="16"/>
    </row>
    <row r="684">
      <c r="C684" s="16"/>
      <c r="D684" s="16"/>
      <c r="E684" s="16"/>
      <c r="F684" s="16"/>
      <c r="G684" s="16"/>
      <c r="H684" s="16"/>
    </row>
    <row r="685">
      <c r="C685" s="16"/>
      <c r="D685" s="16"/>
      <c r="E685" s="16"/>
      <c r="F685" s="16"/>
      <c r="G685" s="16"/>
      <c r="H685" s="16"/>
    </row>
    <row r="686">
      <c r="C686" s="16"/>
      <c r="D686" s="16"/>
      <c r="E686" s="16"/>
      <c r="F686" s="16"/>
      <c r="G686" s="16"/>
      <c r="H686" s="16"/>
    </row>
    <row r="687">
      <c r="C687" s="16"/>
      <c r="D687" s="16"/>
      <c r="E687" s="16"/>
      <c r="F687" s="16"/>
      <c r="G687" s="16"/>
      <c r="H687" s="16"/>
    </row>
    <row r="688">
      <c r="C688" s="16"/>
      <c r="D688" s="16"/>
      <c r="E688" s="16"/>
      <c r="F688" s="16"/>
      <c r="G688" s="16"/>
      <c r="H688" s="16"/>
    </row>
    <row r="689">
      <c r="C689" s="16"/>
      <c r="D689" s="16"/>
      <c r="E689" s="16"/>
      <c r="F689" s="16"/>
      <c r="G689" s="16"/>
      <c r="H689" s="16"/>
    </row>
    <row r="690">
      <c r="C690" s="16"/>
      <c r="D690" s="16"/>
      <c r="E690" s="16"/>
      <c r="F690" s="16"/>
      <c r="G690" s="16"/>
      <c r="H690" s="16"/>
    </row>
    <row r="691">
      <c r="C691" s="16"/>
      <c r="D691" s="16"/>
      <c r="E691" s="16"/>
      <c r="F691" s="16"/>
      <c r="G691" s="16"/>
      <c r="H691" s="16"/>
    </row>
    <row r="692">
      <c r="C692" s="16"/>
      <c r="D692" s="16"/>
      <c r="E692" s="16"/>
      <c r="F692" s="16"/>
      <c r="G692" s="16"/>
      <c r="H692" s="16"/>
    </row>
    <row r="693">
      <c r="C693" s="16"/>
      <c r="D693" s="16"/>
      <c r="E693" s="16"/>
      <c r="F693" s="16"/>
      <c r="G693" s="16"/>
      <c r="H693" s="16"/>
    </row>
    <row r="694">
      <c r="C694" s="16"/>
      <c r="D694" s="16"/>
      <c r="E694" s="16"/>
      <c r="F694" s="16"/>
      <c r="G694" s="16"/>
      <c r="H694" s="16"/>
    </row>
    <row r="695">
      <c r="C695" s="16"/>
      <c r="D695" s="16"/>
      <c r="E695" s="16"/>
      <c r="F695" s="16"/>
      <c r="G695" s="16"/>
      <c r="H695" s="16"/>
    </row>
    <row r="696">
      <c r="C696" s="16"/>
      <c r="D696" s="16"/>
      <c r="E696" s="16"/>
      <c r="F696" s="16"/>
      <c r="G696" s="16"/>
      <c r="H696" s="16"/>
    </row>
    <row r="697">
      <c r="C697" s="16"/>
      <c r="D697" s="16"/>
      <c r="E697" s="16"/>
      <c r="F697" s="16"/>
      <c r="G697" s="16"/>
      <c r="H697" s="16"/>
    </row>
    <row r="698">
      <c r="C698" s="16"/>
      <c r="D698" s="16"/>
      <c r="E698" s="16"/>
      <c r="F698" s="16"/>
      <c r="G698" s="16"/>
      <c r="H698" s="16"/>
    </row>
    <row r="699">
      <c r="C699" s="16"/>
      <c r="D699" s="16"/>
      <c r="E699" s="16"/>
      <c r="F699" s="16"/>
      <c r="G699" s="16"/>
      <c r="H699" s="16"/>
    </row>
    <row r="700">
      <c r="C700" s="16"/>
      <c r="D700" s="16"/>
      <c r="E700" s="16"/>
      <c r="F700" s="16"/>
      <c r="G700" s="16"/>
      <c r="H700" s="16"/>
    </row>
    <row r="701">
      <c r="C701" s="16"/>
      <c r="D701" s="16"/>
      <c r="E701" s="16"/>
      <c r="F701" s="16"/>
      <c r="G701" s="16"/>
      <c r="H701" s="16"/>
    </row>
    <row r="702">
      <c r="C702" s="16"/>
      <c r="D702" s="16"/>
      <c r="E702" s="16"/>
      <c r="F702" s="16"/>
      <c r="G702" s="16"/>
      <c r="H702" s="16"/>
    </row>
    <row r="703">
      <c r="C703" s="16"/>
      <c r="D703" s="16"/>
      <c r="E703" s="16"/>
      <c r="F703" s="16"/>
      <c r="G703" s="16"/>
      <c r="H703" s="16"/>
    </row>
    <row r="704">
      <c r="C704" s="16"/>
      <c r="D704" s="16"/>
      <c r="E704" s="16"/>
      <c r="F704" s="16"/>
      <c r="G704" s="16"/>
      <c r="H704" s="16"/>
    </row>
    <row r="705">
      <c r="C705" s="16"/>
      <c r="D705" s="16"/>
      <c r="E705" s="16"/>
      <c r="F705" s="16"/>
      <c r="G705" s="16"/>
      <c r="H705" s="16"/>
    </row>
    <row r="706">
      <c r="C706" s="16"/>
      <c r="D706" s="16"/>
      <c r="E706" s="16"/>
      <c r="F706" s="16"/>
      <c r="G706" s="16"/>
      <c r="H706" s="16"/>
    </row>
    <row r="707">
      <c r="C707" s="16"/>
      <c r="D707" s="16"/>
      <c r="E707" s="16"/>
      <c r="F707" s="16"/>
      <c r="G707" s="16"/>
      <c r="H707" s="16"/>
    </row>
    <row r="708">
      <c r="C708" s="16"/>
      <c r="D708" s="16"/>
      <c r="E708" s="16"/>
      <c r="F708" s="16"/>
      <c r="G708" s="16"/>
      <c r="H708" s="16"/>
    </row>
    <row r="709">
      <c r="C709" s="16"/>
      <c r="D709" s="16"/>
      <c r="E709" s="16"/>
      <c r="F709" s="16"/>
      <c r="G709" s="16"/>
      <c r="H709" s="16"/>
    </row>
    <row r="710">
      <c r="C710" s="16"/>
      <c r="D710" s="16"/>
      <c r="E710" s="16"/>
      <c r="F710" s="16"/>
      <c r="G710" s="16"/>
      <c r="H710" s="16"/>
    </row>
    <row r="711">
      <c r="C711" s="16"/>
      <c r="D711" s="16"/>
      <c r="E711" s="16"/>
      <c r="F711" s="16"/>
      <c r="G711" s="16"/>
      <c r="H711" s="16"/>
    </row>
    <row r="712">
      <c r="C712" s="16"/>
      <c r="D712" s="16"/>
      <c r="E712" s="16"/>
      <c r="F712" s="16"/>
      <c r="G712" s="16"/>
      <c r="H712" s="16"/>
    </row>
    <row r="713">
      <c r="C713" s="16"/>
      <c r="D713" s="16"/>
      <c r="E713" s="16"/>
      <c r="F713" s="16"/>
      <c r="G713" s="16"/>
      <c r="H713" s="16"/>
    </row>
    <row r="714">
      <c r="C714" s="16"/>
      <c r="D714" s="16"/>
      <c r="E714" s="16"/>
      <c r="F714" s="16"/>
      <c r="G714" s="16"/>
      <c r="H714" s="16"/>
    </row>
    <row r="715">
      <c r="C715" s="16"/>
      <c r="D715" s="16"/>
      <c r="E715" s="16"/>
      <c r="F715" s="16"/>
      <c r="G715" s="16"/>
      <c r="H715" s="16"/>
    </row>
    <row r="716">
      <c r="C716" s="16"/>
      <c r="D716" s="16"/>
      <c r="E716" s="16"/>
      <c r="F716" s="16"/>
      <c r="G716" s="16"/>
      <c r="H716" s="16"/>
    </row>
    <row r="717">
      <c r="C717" s="16"/>
      <c r="D717" s="16"/>
      <c r="E717" s="16"/>
      <c r="F717" s="16"/>
      <c r="G717" s="16"/>
      <c r="H717" s="16"/>
    </row>
    <row r="718">
      <c r="C718" s="16"/>
      <c r="D718" s="16"/>
      <c r="E718" s="16"/>
      <c r="F718" s="16"/>
      <c r="G718" s="16"/>
      <c r="H718" s="16"/>
    </row>
    <row r="719">
      <c r="C719" s="16"/>
      <c r="D719" s="16"/>
      <c r="E719" s="16"/>
      <c r="F719" s="16"/>
      <c r="G719" s="16"/>
      <c r="H719" s="16"/>
    </row>
    <row r="720">
      <c r="C720" s="16"/>
      <c r="D720" s="16"/>
      <c r="E720" s="16"/>
      <c r="F720" s="16"/>
      <c r="G720" s="16"/>
      <c r="H720" s="16"/>
    </row>
    <row r="721">
      <c r="C721" s="16"/>
      <c r="D721" s="16"/>
      <c r="E721" s="16"/>
      <c r="F721" s="16"/>
      <c r="G721" s="16"/>
      <c r="H721" s="16"/>
    </row>
    <row r="722">
      <c r="C722" s="16"/>
      <c r="D722" s="16"/>
      <c r="E722" s="16"/>
      <c r="F722" s="16"/>
      <c r="G722" s="16"/>
      <c r="H722" s="16"/>
    </row>
    <row r="723">
      <c r="C723" s="16"/>
      <c r="D723" s="16"/>
      <c r="E723" s="16"/>
      <c r="F723" s="16"/>
      <c r="G723" s="16"/>
      <c r="H723" s="16"/>
    </row>
    <row r="724">
      <c r="C724" s="16"/>
      <c r="D724" s="16"/>
      <c r="E724" s="16"/>
      <c r="F724" s="16"/>
      <c r="G724" s="16"/>
      <c r="H724" s="16"/>
    </row>
    <row r="725">
      <c r="C725" s="16"/>
      <c r="D725" s="16"/>
      <c r="E725" s="16"/>
      <c r="F725" s="16"/>
      <c r="G725" s="16"/>
      <c r="H725" s="16"/>
    </row>
    <row r="726">
      <c r="C726" s="16"/>
      <c r="D726" s="16"/>
      <c r="E726" s="16"/>
      <c r="F726" s="16"/>
      <c r="G726" s="16"/>
      <c r="H726" s="16"/>
    </row>
    <row r="727">
      <c r="C727" s="16"/>
      <c r="D727" s="16"/>
      <c r="E727" s="16"/>
      <c r="F727" s="16"/>
      <c r="G727" s="16"/>
      <c r="H727" s="16"/>
    </row>
    <row r="728">
      <c r="C728" s="16"/>
      <c r="D728" s="16"/>
      <c r="E728" s="16"/>
      <c r="F728" s="16"/>
      <c r="G728" s="16"/>
      <c r="H728" s="16"/>
    </row>
    <row r="729">
      <c r="C729" s="16"/>
      <c r="D729" s="16"/>
      <c r="E729" s="16"/>
      <c r="F729" s="16"/>
      <c r="G729" s="16"/>
      <c r="H729" s="16"/>
    </row>
    <row r="730">
      <c r="C730" s="16"/>
      <c r="D730" s="16"/>
      <c r="E730" s="16"/>
      <c r="F730" s="16"/>
      <c r="G730" s="16"/>
      <c r="H730" s="16"/>
    </row>
    <row r="731">
      <c r="C731" s="16"/>
      <c r="D731" s="16"/>
      <c r="E731" s="16"/>
      <c r="F731" s="16"/>
      <c r="G731" s="16"/>
      <c r="H731" s="16"/>
    </row>
    <row r="732">
      <c r="C732" s="16"/>
      <c r="D732" s="16"/>
      <c r="E732" s="16"/>
      <c r="F732" s="16"/>
      <c r="G732" s="16"/>
      <c r="H732" s="16"/>
    </row>
    <row r="733">
      <c r="C733" s="16"/>
      <c r="D733" s="16"/>
      <c r="E733" s="16"/>
      <c r="F733" s="16"/>
      <c r="G733" s="16"/>
      <c r="H733" s="16"/>
    </row>
    <row r="734">
      <c r="C734" s="16"/>
      <c r="D734" s="16"/>
      <c r="E734" s="16"/>
      <c r="F734" s="16"/>
      <c r="G734" s="16"/>
      <c r="H734" s="16"/>
    </row>
    <row r="735">
      <c r="C735" s="16"/>
      <c r="D735" s="16"/>
      <c r="E735" s="16"/>
      <c r="F735" s="16"/>
      <c r="G735" s="16"/>
      <c r="H735" s="16"/>
    </row>
    <row r="736">
      <c r="C736" s="16"/>
      <c r="D736" s="16"/>
      <c r="E736" s="16"/>
      <c r="F736" s="16"/>
      <c r="G736" s="16"/>
      <c r="H736" s="16"/>
    </row>
    <row r="737">
      <c r="C737" s="16"/>
      <c r="D737" s="16"/>
      <c r="E737" s="16"/>
      <c r="F737" s="16"/>
      <c r="G737" s="16"/>
      <c r="H737" s="16"/>
    </row>
    <row r="738">
      <c r="C738" s="16"/>
      <c r="D738" s="16"/>
      <c r="E738" s="16"/>
      <c r="F738" s="16"/>
      <c r="G738" s="16"/>
      <c r="H738" s="16"/>
    </row>
    <row r="739">
      <c r="C739" s="16"/>
      <c r="D739" s="16"/>
      <c r="E739" s="16"/>
      <c r="F739" s="16"/>
      <c r="G739" s="16"/>
      <c r="H739" s="16"/>
    </row>
    <row r="740">
      <c r="C740" s="16"/>
      <c r="D740" s="16"/>
      <c r="E740" s="16"/>
      <c r="F740" s="16"/>
      <c r="G740" s="16"/>
      <c r="H740" s="16"/>
    </row>
    <row r="741">
      <c r="C741" s="16"/>
      <c r="D741" s="16"/>
      <c r="E741" s="16"/>
      <c r="F741" s="16"/>
      <c r="G741" s="16"/>
      <c r="H741" s="16"/>
    </row>
    <row r="742">
      <c r="C742" s="16"/>
      <c r="D742" s="16"/>
      <c r="E742" s="16"/>
      <c r="F742" s="16"/>
      <c r="G742" s="16"/>
      <c r="H742" s="16"/>
    </row>
    <row r="743">
      <c r="C743" s="16"/>
      <c r="D743" s="16"/>
      <c r="E743" s="16"/>
      <c r="F743" s="16"/>
      <c r="G743" s="16"/>
      <c r="H743" s="16"/>
    </row>
    <row r="744">
      <c r="C744" s="16"/>
      <c r="D744" s="16"/>
      <c r="E744" s="16"/>
      <c r="F744" s="16"/>
      <c r="G744" s="16"/>
      <c r="H744" s="16"/>
    </row>
    <row r="745">
      <c r="C745" s="16"/>
      <c r="D745" s="16"/>
      <c r="E745" s="16"/>
      <c r="F745" s="16"/>
      <c r="G745" s="16"/>
      <c r="H745" s="16"/>
    </row>
    <row r="746">
      <c r="C746" s="16"/>
      <c r="D746" s="16"/>
      <c r="E746" s="16"/>
      <c r="F746" s="16"/>
      <c r="G746" s="16"/>
      <c r="H746" s="16"/>
    </row>
    <row r="747">
      <c r="C747" s="16"/>
      <c r="D747" s="16"/>
      <c r="E747" s="16"/>
      <c r="F747" s="16"/>
      <c r="G747" s="16"/>
      <c r="H747" s="16"/>
    </row>
    <row r="748">
      <c r="C748" s="16"/>
      <c r="D748" s="16"/>
      <c r="E748" s="16"/>
      <c r="F748" s="16"/>
      <c r="G748" s="16"/>
      <c r="H748" s="16"/>
    </row>
    <row r="749">
      <c r="C749" s="16"/>
      <c r="D749" s="16"/>
      <c r="E749" s="16"/>
      <c r="F749" s="16"/>
      <c r="G749" s="16"/>
      <c r="H749" s="16"/>
    </row>
    <row r="750">
      <c r="C750" s="16"/>
      <c r="D750" s="16"/>
      <c r="E750" s="16"/>
      <c r="F750" s="16"/>
      <c r="G750" s="16"/>
      <c r="H750" s="16"/>
    </row>
    <row r="751">
      <c r="C751" s="16"/>
      <c r="D751" s="16"/>
      <c r="E751" s="16"/>
      <c r="F751" s="16"/>
      <c r="G751" s="16"/>
      <c r="H751" s="16"/>
    </row>
    <row r="752">
      <c r="C752" s="16"/>
      <c r="D752" s="16"/>
      <c r="E752" s="16"/>
      <c r="F752" s="16"/>
      <c r="G752" s="16"/>
      <c r="H752" s="16"/>
    </row>
    <row r="753">
      <c r="C753" s="16"/>
      <c r="D753" s="16"/>
      <c r="E753" s="16"/>
      <c r="F753" s="16"/>
      <c r="G753" s="16"/>
      <c r="H753" s="16"/>
    </row>
    <row r="754">
      <c r="C754" s="16"/>
      <c r="D754" s="16"/>
      <c r="E754" s="16"/>
      <c r="F754" s="16"/>
      <c r="G754" s="16"/>
      <c r="H754" s="16"/>
    </row>
    <row r="755">
      <c r="C755" s="16"/>
      <c r="D755" s="16"/>
      <c r="E755" s="16"/>
      <c r="F755" s="16"/>
      <c r="G755" s="16"/>
      <c r="H755" s="16"/>
    </row>
    <row r="756">
      <c r="C756" s="16"/>
      <c r="D756" s="16"/>
      <c r="E756" s="16"/>
      <c r="F756" s="16"/>
      <c r="G756" s="16"/>
      <c r="H756" s="16"/>
    </row>
    <row r="757">
      <c r="C757" s="16"/>
      <c r="D757" s="16"/>
      <c r="E757" s="16"/>
      <c r="F757" s="16"/>
      <c r="G757" s="16"/>
      <c r="H757" s="16"/>
    </row>
    <row r="758">
      <c r="C758" s="16"/>
      <c r="D758" s="16"/>
      <c r="E758" s="16"/>
      <c r="F758" s="16"/>
      <c r="G758" s="16"/>
      <c r="H758" s="16"/>
    </row>
    <row r="759">
      <c r="C759" s="16"/>
      <c r="D759" s="16"/>
      <c r="E759" s="16"/>
      <c r="F759" s="16"/>
      <c r="G759" s="16"/>
      <c r="H759" s="16"/>
    </row>
    <row r="760">
      <c r="C760" s="16"/>
      <c r="D760" s="16"/>
      <c r="E760" s="16"/>
      <c r="F760" s="16"/>
      <c r="G760" s="16"/>
      <c r="H760" s="16"/>
    </row>
    <row r="761">
      <c r="C761" s="16"/>
      <c r="D761" s="16"/>
      <c r="E761" s="16"/>
      <c r="F761" s="16"/>
      <c r="G761" s="16"/>
      <c r="H761" s="16"/>
    </row>
    <row r="762">
      <c r="C762" s="16"/>
      <c r="D762" s="16"/>
      <c r="E762" s="16"/>
      <c r="F762" s="16"/>
      <c r="G762" s="16"/>
      <c r="H762" s="16"/>
    </row>
    <row r="763">
      <c r="C763" s="16"/>
      <c r="D763" s="16"/>
      <c r="E763" s="16"/>
      <c r="F763" s="16"/>
      <c r="G763" s="16"/>
      <c r="H763" s="16"/>
    </row>
    <row r="764">
      <c r="C764" s="16"/>
      <c r="D764" s="16"/>
      <c r="E764" s="16"/>
      <c r="F764" s="16"/>
      <c r="G764" s="16"/>
      <c r="H764" s="16"/>
    </row>
    <row r="765">
      <c r="C765" s="16"/>
      <c r="D765" s="16"/>
      <c r="E765" s="16"/>
      <c r="F765" s="16"/>
      <c r="G765" s="16"/>
      <c r="H765" s="16"/>
    </row>
    <row r="766">
      <c r="C766" s="16"/>
      <c r="D766" s="16"/>
      <c r="E766" s="16"/>
      <c r="F766" s="16"/>
      <c r="G766" s="16"/>
      <c r="H766" s="16"/>
    </row>
    <row r="767">
      <c r="C767" s="16"/>
      <c r="D767" s="16"/>
      <c r="E767" s="16"/>
      <c r="F767" s="16"/>
      <c r="G767" s="16"/>
      <c r="H767" s="16"/>
    </row>
    <row r="768">
      <c r="C768" s="16"/>
      <c r="D768" s="16"/>
      <c r="E768" s="16"/>
      <c r="F768" s="16"/>
      <c r="G768" s="16"/>
      <c r="H768" s="16"/>
    </row>
    <row r="769">
      <c r="C769" s="16"/>
      <c r="D769" s="16"/>
      <c r="E769" s="16"/>
      <c r="F769" s="16"/>
      <c r="G769" s="16"/>
      <c r="H769" s="16"/>
    </row>
    <row r="770">
      <c r="C770" s="16"/>
      <c r="D770" s="16"/>
      <c r="E770" s="16"/>
      <c r="F770" s="16"/>
      <c r="G770" s="16"/>
      <c r="H770" s="16"/>
    </row>
    <row r="771">
      <c r="C771" s="16"/>
      <c r="D771" s="16"/>
      <c r="E771" s="16"/>
      <c r="F771" s="16"/>
      <c r="G771" s="16"/>
      <c r="H771" s="16"/>
    </row>
    <row r="772">
      <c r="C772" s="16"/>
      <c r="D772" s="16"/>
      <c r="E772" s="16"/>
      <c r="F772" s="16"/>
      <c r="G772" s="16"/>
      <c r="H772" s="16"/>
    </row>
    <row r="773">
      <c r="C773" s="16"/>
      <c r="D773" s="16"/>
      <c r="E773" s="16"/>
      <c r="F773" s="16"/>
      <c r="G773" s="16"/>
      <c r="H773" s="16"/>
    </row>
    <row r="774">
      <c r="C774" s="16"/>
      <c r="D774" s="16"/>
      <c r="E774" s="16"/>
      <c r="F774" s="16"/>
      <c r="G774" s="16"/>
      <c r="H774" s="16"/>
    </row>
    <row r="775">
      <c r="C775" s="16"/>
      <c r="D775" s="16"/>
      <c r="E775" s="16"/>
      <c r="F775" s="16"/>
      <c r="G775" s="16"/>
      <c r="H775" s="16"/>
    </row>
    <row r="776">
      <c r="C776" s="16"/>
      <c r="D776" s="16"/>
      <c r="E776" s="16"/>
      <c r="F776" s="16"/>
      <c r="G776" s="16"/>
      <c r="H776" s="16"/>
    </row>
    <row r="777">
      <c r="C777" s="16"/>
      <c r="D777" s="16"/>
      <c r="E777" s="16"/>
      <c r="F777" s="16"/>
      <c r="G777" s="16"/>
      <c r="H777" s="16"/>
    </row>
    <row r="778">
      <c r="C778" s="16"/>
      <c r="D778" s="16"/>
      <c r="E778" s="16"/>
      <c r="F778" s="16"/>
      <c r="G778" s="16"/>
      <c r="H778" s="16"/>
    </row>
    <row r="779">
      <c r="C779" s="16"/>
      <c r="D779" s="16"/>
      <c r="E779" s="16"/>
      <c r="F779" s="16"/>
      <c r="G779" s="16"/>
      <c r="H779" s="16"/>
    </row>
    <row r="780">
      <c r="C780" s="16"/>
      <c r="D780" s="16"/>
      <c r="E780" s="16"/>
      <c r="F780" s="16"/>
      <c r="G780" s="16"/>
      <c r="H780" s="16"/>
    </row>
    <row r="781">
      <c r="C781" s="16"/>
      <c r="D781" s="16"/>
      <c r="E781" s="16"/>
      <c r="F781" s="16"/>
      <c r="G781" s="16"/>
      <c r="H781" s="16"/>
    </row>
    <row r="782">
      <c r="C782" s="16"/>
      <c r="D782" s="16"/>
      <c r="E782" s="16"/>
      <c r="F782" s="16"/>
      <c r="G782" s="16"/>
      <c r="H782" s="16"/>
    </row>
    <row r="783">
      <c r="C783" s="16"/>
      <c r="D783" s="16"/>
      <c r="E783" s="16"/>
      <c r="F783" s="16"/>
      <c r="G783" s="16"/>
      <c r="H783" s="16"/>
    </row>
    <row r="784">
      <c r="C784" s="16"/>
      <c r="D784" s="16"/>
      <c r="E784" s="16"/>
      <c r="F784" s="16"/>
      <c r="G784" s="16"/>
      <c r="H784" s="16"/>
    </row>
    <row r="785">
      <c r="C785" s="16"/>
      <c r="D785" s="16"/>
      <c r="E785" s="16"/>
      <c r="F785" s="16"/>
      <c r="G785" s="16"/>
      <c r="H785" s="16"/>
    </row>
    <row r="786">
      <c r="C786" s="16"/>
      <c r="D786" s="16"/>
      <c r="E786" s="16"/>
      <c r="F786" s="16"/>
      <c r="G786" s="16"/>
      <c r="H786" s="16"/>
    </row>
    <row r="787">
      <c r="C787" s="16"/>
      <c r="D787" s="16"/>
      <c r="E787" s="16"/>
      <c r="F787" s="16"/>
      <c r="G787" s="16"/>
      <c r="H787" s="16"/>
    </row>
    <row r="788">
      <c r="C788" s="16"/>
      <c r="D788" s="16"/>
      <c r="E788" s="16"/>
      <c r="F788" s="16"/>
      <c r="G788" s="16"/>
      <c r="H788" s="16"/>
    </row>
    <row r="789">
      <c r="C789" s="16"/>
      <c r="D789" s="16"/>
      <c r="E789" s="16"/>
      <c r="F789" s="16"/>
      <c r="G789" s="16"/>
      <c r="H789" s="16"/>
    </row>
    <row r="790">
      <c r="C790" s="16"/>
      <c r="D790" s="16"/>
      <c r="E790" s="16"/>
      <c r="F790" s="16"/>
      <c r="G790" s="16"/>
      <c r="H790" s="16"/>
    </row>
    <row r="791">
      <c r="C791" s="16"/>
      <c r="D791" s="16"/>
      <c r="E791" s="16"/>
      <c r="F791" s="16"/>
      <c r="G791" s="16"/>
      <c r="H791" s="16"/>
    </row>
    <row r="792">
      <c r="C792" s="16"/>
      <c r="D792" s="16"/>
      <c r="E792" s="16"/>
      <c r="F792" s="16"/>
      <c r="G792" s="16"/>
      <c r="H792" s="16"/>
    </row>
    <row r="793">
      <c r="C793" s="16"/>
      <c r="D793" s="16"/>
      <c r="E793" s="16"/>
      <c r="F793" s="16"/>
      <c r="G793" s="16"/>
      <c r="H793" s="16"/>
    </row>
    <row r="794">
      <c r="C794" s="16"/>
      <c r="D794" s="16"/>
      <c r="E794" s="16"/>
      <c r="F794" s="16"/>
      <c r="G794" s="16"/>
      <c r="H794" s="16"/>
    </row>
    <row r="795">
      <c r="C795" s="16"/>
      <c r="D795" s="16"/>
      <c r="E795" s="16"/>
      <c r="F795" s="16"/>
      <c r="G795" s="16"/>
      <c r="H795" s="16"/>
    </row>
    <row r="796">
      <c r="C796" s="16"/>
      <c r="D796" s="16"/>
      <c r="E796" s="16"/>
      <c r="F796" s="16"/>
      <c r="G796" s="16"/>
      <c r="H796" s="16"/>
    </row>
    <row r="797">
      <c r="C797" s="16"/>
      <c r="D797" s="16"/>
      <c r="E797" s="16"/>
      <c r="F797" s="16"/>
      <c r="G797" s="16"/>
      <c r="H797" s="16"/>
    </row>
    <row r="798">
      <c r="C798" s="16"/>
      <c r="D798" s="16"/>
      <c r="E798" s="16"/>
      <c r="F798" s="16"/>
      <c r="G798" s="16"/>
      <c r="H798" s="16"/>
    </row>
    <row r="799">
      <c r="C799" s="16"/>
      <c r="D799" s="16"/>
      <c r="E799" s="16"/>
      <c r="F799" s="16"/>
      <c r="G799" s="16"/>
      <c r="H799" s="16"/>
    </row>
    <row r="800">
      <c r="C800" s="16"/>
      <c r="D800" s="16"/>
      <c r="E800" s="16"/>
      <c r="F800" s="16"/>
      <c r="G800" s="16"/>
      <c r="H800" s="16"/>
    </row>
    <row r="801">
      <c r="C801" s="16"/>
      <c r="D801" s="16"/>
      <c r="E801" s="16"/>
      <c r="F801" s="16"/>
      <c r="G801" s="16"/>
      <c r="H801" s="16"/>
    </row>
    <row r="802">
      <c r="C802" s="16"/>
      <c r="D802" s="16"/>
      <c r="E802" s="16"/>
      <c r="F802" s="16"/>
      <c r="G802" s="16"/>
      <c r="H802" s="16"/>
    </row>
    <row r="803">
      <c r="C803" s="16"/>
      <c r="D803" s="16"/>
      <c r="E803" s="16"/>
      <c r="F803" s="16"/>
      <c r="G803" s="16"/>
      <c r="H803" s="16"/>
    </row>
    <row r="804">
      <c r="C804" s="16"/>
      <c r="D804" s="16"/>
      <c r="E804" s="16"/>
      <c r="F804" s="16"/>
      <c r="G804" s="16"/>
      <c r="H804" s="16"/>
    </row>
    <row r="805">
      <c r="C805" s="16"/>
      <c r="D805" s="16"/>
      <c r="E805" s="16"/>
      <c r="F805" s="16"/>
      <c r="G805" s="16"/>
      <c r="H805" s="16"/>
    </row>
    <row r="806">
      <c r="C806" s="16"/>
      <c r="D806" s="16"/>
      <c r="E806" s="16"/>
      <c r="F806" s="16"/>
      <c r="G806" s="16"/>
      <c r="H806" s="16"/>
    </row>
    <row r="807">
      <c r="C807" s="16"/>
      <c r="D807" s="16"/>
      <c r="E807" s="16"/>
      <c r="F807" s="16"/>
      <c r="G807" s="16"/>
      <c r="H807" s="16"/>
    </row>
    <row r="808">
      <c r="C808" s="16"/>
      <c r="D808" s="16"/>
      <c r="E808" s="16"/>
      <c r="F808" s="16"/>
      <c r="G808" s="16"/>
      <c r="H808" s="16"/>
    </row>
    <row r="809">
      <c r="C809" s="16"/>
      <c r="D809" s="16"/>
      <c r="E809" s="16"/>
      <c r="F809" s="16"/>
      <c r="G809" s="16"/>
      <c r="H809" s="16"/>
    </row>
    <row r="810">
      <c r="C810" s="16"/>
      <c r="D810" s="16"/>
      <c r="E810" s="16"/>
      <c r="F810" s="16"/>
      <c r="G810" s="16"/>
      <c r="H810" s="16"/>
    </row>
    <row r="811">
      <c r="C811" s="16"/>
      <c r="D811" s="16"/>
      <c r="E811" s="16"/>
      <c r="F811" s="16"/>
      <c r="G811" s="16"/>
      <c r="H811" s="16"/>
    </row>
    <row r="812">
      <c r="C812" s="16"/>
      <c r="D812" s="16"/>
      <c r="E812" s="16"/>
      <c r="F812" s="16"/>
      <c r="G812" s="16"/>
      <c r="H812" s="16"/>
    </row>
    <row r="813">
      <c r="C813" s="16"/>
      <c r="D813" s="16"/>
      <c r="E813" s="16"/>
      <c r="F813" s="16"/>
      <c r="G813" s="16"/>
      <c r="H813" s="16"/>
    </row>
    <row r="814">
      <c r="C814" s="16"/>
      <c r="D814" s="16"/>
      <c r="E814" s="16"/>
      <c r="F814" s="16"/>
      <c r="G814" s="16"/>
      <c r="H814" s="16"/>
    </row>
    <row r="815">
      <c r="C815" s="16"/>
      <c r="D815" s="16"/>
      <c r="E815" s="16"/>
      <c r="F815" s="16"/>
      <c r="G815" s="16"/>
      <c r="H815" s="16"/>
    </row>
    <row r="816">
      <c r="C816" s="16"/>
      <c r="D816" s="16"/>
      <c r="E816" s="16"/>
      <c r="F816" s="16"/>
      <c r="G816" s="16"/>
      <c r="H816" s="16"/>
    </row>
    <row r="817">
      <c r="C817" s="16"/>
      <c r="D817" s="16"/>
      <c r="E817" s="16"/>
      <c r="F817" s="16"/>
      <c r="G817" s="16"/>
      <c r="H817" s="16"/>
    </row>
    <row r="818">
      <c r="C818" s="16"/>
      <c r="D818" s="16"/>
      <c r="E818" s="16"/>
      <c r="F818" s="16"/>
      <c r="G818" s="16"/>
      <c r="H818" s="16"/>
    </row>
    <row r="819">
      <c r="C819" s="16"/>
      <c r="D819" s="16"/>
      <c r="E819" s="16"/>
      <c r="F819" s="16"/>
      <c r="G819" s="16"/>
      <c r="H819" s="16"/>
    </row>
    <row r="820">
      <c r="C820" s="16"/>
      <c r="D820" s="16"/>
      <c r="E820" s="16"/>
      <c r="F820" s="16"/>
      <c r="G820" s="16"/>
      <c r="H820" s="16"/>
    </row>
    <row r="821">
      <c r="C821" s="16"/>
      <c r="D821" s="16"/>
      <c r="E821" s="16"/>
      <c r="F821" s="16"/>
      <c r="G821" s="16"/>
      <c r="H821" s="16"/>
    </row>
    <row r="822">
      <c r="C822" s="16"/>
      <c r="D822" s="16"/>
      <c r="E822" s="16"/>
      <c r="F822" s="16"/>
      <c r="G822" s="16"/>
      <c r="H822" s="16"/>
    </row>
    <row r="823">
      <c r="C823" s="16"/>
      <c r="D823" s="16"/>
      <c r="E823" s="16"/>
      <c r="F823" s="16"/>
      <c r="G823" s="16"/>
      <c r="H823" s="16"/>
    </row>
    <row r="824">
      <c r="C824" s="16"/>
      <c r="D824" s="16"/>
      <c r="E824" s="16"/>
      <c r="F824" s="16"/>
      <c r="G824" s="16"/>
      <c r="H824" s="16"/>
    </row>
    <row r="825">
      <c r="C825" s="16"/>
      <c r="D825" s="16"/>
      <c r="E825" s="16"/>
      <c r="F825" s="16"/>
      <c r="G825" s="16"/>
      <c r="H825" s="16"/>
    </row>
    <row r="826">
      <c r="C826" s="16"/>
      <c r="D826" s="16"/>
      <c r="E826" s="16"/>
      <c r="F826" s="16"/>
      <c r="G826" s="16"/>
      <c r="H826" s="16"/>
    </row>
    <row r="827">
      <c r="C827" s="16"/>
      <c r="D827" s="16"/>
      <c r="E827" s="16"/>
      <c r="F827" s="16"/>
      <c r="G827" s="16"/>
      <c r="H827" s="16"/>
    </row>
    <row r="828">
      <c r="C828" s="16"/>
      <c r="D828" s="16"/>
      <c r="E828" s="16"/>
      <c r="F828" s="16"/>
      <c r="G828" s="16"/>
      <c r="H828" s="16"/>
    </row>
    <row r="829">
      <c r="C829" s="16"/>
      <c r="D829" s="16"/>
      <c r="E829" s="16"/>
      <c r="F829" s="16"/>
      <c r="G829" s="16"/>
      <c r="H829" s="16"/>
    </row>
    <row r="830">
      <c r="C830" s="16"/>
      <c r="D830" s="16"/>
      <c r="E830" s="16"/>
      <c r="F830" s="16"/>
      <c r="G830" s="16"/>
      <c r="H830" s="16"/>
    </row>
    <row r="831">
      <c r="C831" s="16"/>
      <c r="D831" s="16"/>
      <c r="E831" s="16"/>
      <c r="F831" s="16"/>
      <c r="G831" s="16"/>
      <c r="H831" s="16"/>
    </row>
    <row r="832">
      <c r="C832" s="16"/>
      <c r="D832" s="16"/>
      <c r="E832" s="16"/>
      <c r="F832" s="16"/>
      <c r="G832" s="16"/>
      <c r="H832" s="16"/>
    </row>
    <row r="833">
      <c r="C833" s="16"/>
      <c r="D833" s="16"/>
      <c r="E833" s="16"/>
      <c r="F833" s="16"/>
      <c r="G833" s="16"/>
      <c r="H833" s="16"/>
    </row>
    <row r="834">
      <c r="C834" s="16"/>
      <c r="D834" s="16"/>
      <c r="E834" s="16"/>
      <c r="F834" s="16"/>
      <c r="G834" s="16"/>
      <c r="H834" s="16"/>
    </row>
    <row r="835">
      <c r="C835" s="16"/>
      <c r="D835" s="16"/>
      <c r="E835" s="16"/>
      <c r="F835" s="16"/>
      <c r="G835" s="16"/>
      <c r="H835" s="16"/>
    </row>
    <row r="836">
      <c r="C836" s="16"/>
      <c r="D836" s="16"/>
      <c r="E836" s="16"/>
      <c r="F836" s="16"/>
      <c r="G836" s="16"/>
      <c r="H836" s="16"/>
    </row>
    <row r="837">
      <c r="C837" s="16"/>
      <c r="D837" s="16"/>
      <c r="E837" s="16"/>
      <c r="F837" s="16"/>
      <c r="G837" s="16"/>
      <c r="H837" s="16"/>
    </row>
    <row r="838">
      <c r="C838" s="16"/>
      <c r="D838" s="16"/>
      <c r="E838" s="16"/>
      <c r="F838" s="16"/>
      <c r="G838" s="16"/>
      <c r="H838" s="16"/>
    </row>
    <row r="839">
      <c r="C839" s="16"/>
      <c r="D839" s="16"/>
      <c r="E839" s="16"/>
      <c r="F839" s="16"/>
      <c r="G839" s="16"/>
      <c r="H839" s="16"/>
    </row>
    <row r="840">
      <c r="C840" s="16"/>
      <c r="D840" s="16"/>
      <c r="E840" s="16"/>
      <c r="F840" s="16"/>
      <c r="G840" s="16"/>
      <c r="H840" s="16"/>
    </row>
    <row r="841">
      <c r="C841" s="16"/>
      <c r="D841" s="16"/>
      <c r="E841" s="16"/>
      <c r="F841" s="16"/>
      <c r="G841" s="16"/>
      <c r="H841" s="16"/>
    </row>
    <row r="842">
      <c r="C842" s="16"/>
      <c r="D842" s="16"/>
      <c r="E842" s="16"/>
      <c r="F842" s="16"/>
      <c r="G842" s="16"/>
      <c r="H842" s="16"/>
    </row>
    <row r="843">
      <c r="C843" s="16"/>
      <c r="D843" s="16"/>
      <c r="E843" s="16"/>
      <c r="F843" s="16"/>
      <c r="G843" s="16"/>
      <c r="H843" s="16"/>
    </row>
    <row r="844">
      <c r="C844" s="16"/>
      <c r="D844" s="16"/>
      <c r="E844" s="16"/>
      <c r="F844" s="16"/>
      <c r="G844" s="16"/>
      <c r="H844" s="16"/>
    </row>
    <row r="845">
      <c r="C845" s="16"/>
      <c r="D845" s="16"/>
      <c r="E845" s="16"/>
      <c r="F845" s="16"/>
      <c r="G845" s="16"/>
      <c r="H845" s="16"/>
    </row>
    <row r="846">
      <c r="C846" s="16"/>
      <c r="D846" s="16"/>
      <c r="E846" s="16"/>
      <c r="F846" s="16"/>
      <c r="G846" s="16"/>
      <c r="H846" s="16"/>
    </row>
    <row r="847">
      <c r="C847" s="16"/>
      <c r="D847" s="16"/>
      <c r="E847" s="16"/>
      <c r="F847" s="16"/>
      <c r="G847" s="16"/>
      <c r="H847" s="16"/>
    </row>
    <row r="848">
      <c r="C848" s="16"/>
      <c r="D848" s="16"/>
      <c r="E848" s="16"/>
      <c r="F848" s="16"/>
      <c r="G848" s="16"/>
      <c r="H848" s="16"/>
    </row>
    <row r="849">
      <c r="C849" s="16"/>
      <c r="D849" s="16"/>
      <c r="E849" s="16"/>
      <c r="F849" s="16"/>
      <c r="G849" s="16"/>
      <c r="H849" s="16"/>
    </row>
    <row r="850">
      <c r="C850" s="16"/>
      <c r="D850" s="16"/>
      <c r="E850" s="16"/>
      <c r="F850" s="16"/>
      <c r="G850" s="16"/>
      <c r="H850" s="16"/>
    </row>
    <row r="851">
      <c r="C851" s="16"/>
      <c r="D851" s="16"/>
      <c r="E851" s="16"/>
      <c r="F851" s="16"/>
      <c r="G851" s="16"/>
      <c r="H851" s="16"/>
    </row>
    <row r="852">
      <c r="C852" s="16"/>
      <c r="D852" s="16"/>
      <c r="E852" s="16"/>
      <c r="F852" s="16"/>
      <c r="G852" s="16"/>
      <c r="H852" s="16"/>
    </row>
    <row r="853">
      <c r="C853" s="16"/>
      <c r="D853" s="16"/>
      <c r="E853" s="16"/>
      <c r="F853" s="16"/>
      <c r="G853" s="16"/>
      <c r="H853" s="16"/>
    </row>
    <row r="854">
      <c r="C854" s="16"/>
      <c r="D854" s="16"/>
      <c r="E854" s="16"/>
      <c r="F854" s="16"/>
      <c r="G854" s="16"/>
      <c r="H854" s="16"/>
    </row>
    <row r="855">
      <c r="C855" s="16"/>
      <c r="D855" s="16"/>
      <c r="E855" s="16"/>
      <c r="F855" s="16"/>
      <c r="G855" s="16"/>
      <c r="H855" s="16"/>
    </row>
    <row r="856">
      <c r="C856" s="16"/>
      <c r="D856" s="16"/>
      <c r="E856" s="16"/>
      <c r="F856" s="16"/>
      <c r="G856" s="16"/>
      <c r="H856" s="16"/>
    </row>
    <row r="857">
      <c r="C857" s="16"/>
      <c r="D857" s="16"/>
      <c r="E857" s="16"/>
      <c r="F857" s="16"/>
      <c r="G857" s="16"/>
      <c r="H857" s="16"/>
    </row>
    <row r="858">
      <c r="C858" s="16"/>
      <c r="D858" s="16"/>
      <c r="E858" s="16"/>
      <c r="F858" s="16"/>
      <c r="G858" s="16"/>
      <c r="H858" s="16"/>
    </row>
    <row r="859">
      <c r="C859" s="16"/>
      <c r="D859" s="16"/>
      <c r="E859" s="16"/>
      <c r="F859" s="16"/>
      <c r="G859" s="16"/>
      <c r="H859" s="16"/>
    </row>
    <row r="860">
      <c r="C860" s="16"/>
      <c r="D860" s="16"/>
      <c r="E860" s="16"/>
      <c r="F860" s="16"/>
      <c r="G860" s="16"/>
      <c r="H860" s="16"/>
    </row>
    <row r="861">
      <c r="C861" s="16"/>
      <c r="D861" s="16"/>
      <c r="E861" s="16"/>
      <c r="F861" s="16"/>
      <c r="G861" s="16"/>
      <c r="H861" s="16"/>
    </row>
    <row r="862">
      <c r="C862" s="16"/>
      <c r="D862" s="16"/>
      <c r="E862" s="16"/>
      <c r="F862" s="16"/>
      <c r="G862" s="16"/>
      <c r="H862" s="16"/>
    </row>
    <row r="863">
      <c r="C863" s="16"/>
      <c r="D863" s="16"/>
      <c r="E863" s="16"/>
      <c r="F863" s="16"/>
      <c r="G863" s="16"/>
      <c r="H863" s="16"/>
    </row>
    <row r="864">
      <c r="C864" s="16"/>
      <c r="D864" s="16"/>
      <c r="E864" s="16"/>
      <c r="F864" s="16"/>
      <c r="G864" s="16"/>
      <c r="H864" s="16"/>
    </row>
    <row r="865">
      <c r="C865" s="16"/>
      <c r="D865" s="16"/>
      <c r="E865" s="16"/>
      <c r="F865" s="16"/>
      <c r="G865" s="16"/>
      <c r="H865" s="16"/>
    </row>
    <row r="866">
      <c r="C866" s="16"/>
      <c r="D866" s="16"/>
      <c r="E866" s="16"/>
      <c r="F866" s="16"/>
      <c r="G866" s="16"/>
      <c r="H866" s="16"/>
    </row>
    <row r="867">
      <c r="C867" s="16"/>
      <c r="D867" s="16"/>
      <c r="E867" s="16"/>
      <c r="F867" s="16"/>
      <c r="G867" s="16"/>
      <c r="H867" s="16"/>
    </row>
    <row r="868">
      <c r="C868" s="16"/>
      <c r="D868" s="16"/>
      <c r="E868" s="16"/>
      <c r="F868" s="16"/>
      <c r="G868" s="16"/>
      <c r="H868" s="16"/>
    </row>
    <row r="869">
      <c r="C869" s="16"/>
      <c r="D869" s="16"/>
      <c r="E869" s="16"/>
      <c r="F869" s="16"/>
      <c r="G869" s="16"/>
      <c r="H869" s="16"/>
    </row>
    <row r="870">
      <c r="C870" s="16"/>
      <c r="D870" s="16"/>
      <c r="E870" s="16"/>
      <c r="F870" s="16"/>
      <c r="G870" s="16"/>
      <c r="H870" s="16"/>
    </row>
    <row r="871">
      <c r="C871" s="16"/>
      <c r="D871" s="16"/>
      <c r="E871" s="16"/>
      <c r="F871" s="16"/>
      <c r="G871" s="16"/>
      <c r="H871" s="16"/>
    </row>
    <row r="872">
      <c r="C872" s="16"/>
      <c r="D872" s="16"/>
      <c r="E872" s="16"/>
      <c r="F872" s="16"/>
      <c r="G872" s="16"/>
      <c r="H872" s="16"/>
    </row>
    <row r="873">
      <c r="C873" s="16"/>
      <c r="D873" s="16"/>
      <c r="E873" s="16"/>
      <c r="F873" s="16"/>
      <c r="G873" s="16"/>
      <c r="H873" s="16"/>
    </row>
    <row r="874">
      <c r="C874" s="16"/>
      <c r="D874" s="16"/>
      <c r="E874" s="16"/>
      <c r="F874" s="16"/>
      <c r="G874" s="16"/>
      <c r="H874" s="16"/>
    </row>
    <row r="875">
      <c r="C875" s="16"/>
      <c r="D875" s="16"/>
      <c r="E875" s="16"/>
      <c r="F875" s="16"/>
      <c r="G875" s="16"/>
      <c r="H875" s="16"/>
    </row>
    <row r="876">
      <c r="C876" s="16"/>
      <c r="D876" s="16"/>
      <c r="E876" s="16"/>
      <c r="F876" s="16"/>
      <c r="G876" s="16"/>
      <c r="H876" s="16"/>
    </row>
    <row r="877">
      <c r="C877" s="16"/>
      <c r="D877" s="16"/>
      <c r="E877" s="16"/>
      <c r="F877" s="16"/>
      <c r="G877" s="16"/>
      <c r="H877" s="16"/>
    </row>
    <row r="878">
      <c r="C878" s="16"/>
      <c r="D878" s="16"/>
      <c r="E878" s="16"/>
      <c r="F878" s="16"/>
      <c r="G878" s="16"/>
      <c r="H878" s="16"/>
    </row>
    <row r="879">
      <c r="C879" s="16"/>
      <c r="D879" s="16"/>
      <c r="E879" s="16"/>
      <c r="F879" s="16"/>
      <c r="G879" s="16"/>
      <c r="H879" s="16"/>
    </row>
    <row r="880">
      <c r="C880" s="16"/>
      <c r="D880" s="16"/>
      <c r="E880" s="16"/>
      <c r="F880" s="16"/>
      <c r="G880" s="16"/>
      <c r="H880" s="16"/>
    </row>
    <row r="881">
      <c r="C881" s="16"/>
      <c r="D881" s="16"/>
      <c r="E881" s="16"/>
      <c r="F881" s="16"/>
      <c r="G881" s="16"/>
      <c r="H881" s="16"/>
    </row>
    <row r="882">
      <c r="C882" s="16"/>
      <c r="D882" s="16"/>
      <c r="E882" s="16"/>
      <c r="F882" s="16"/>
      <c r="G882" s="16"/>
      <c r="H882" s="16"/>
    </row>
    <row r="883">
      <c r="C883" s="16"/>
      <c r="D883" s="16"/>
      <c r="E883" s="16"/>
      <c r="F883" s="16"/>
      <c r="G883" s="16"/>
      <c r="H883" s="16"/>
    </row>
    <row r="884">
      <c r="C884" s="16"/>
      <c r="D884" s="16"/>
      <c r="E884" s="16"/>
      <c r="F884" s="16"/>
      <c r="G884" s="16"/>
      <c r="H884" s="16"/>
    </row>
    <row r="885">
      <c r="C885" s="16"/>
      <c r="D885" s="16"/>
      <c r="E885" s="16"/>
      <c r="F885" s="16"/>
      <c r="G885" s="16"/>
      <c r="H885" s="16"/>
    </row>
    <row r="886">
      <c r="C886" s="16"/>
      <c r="D886" s="16"/>
      <c r="E886" s="16"/>
      <c r="F886" s="16"/>
      <c r="G886" s="16"/>
      <c r="H886" s="16"/>
    </row>
    <row r="887">
      <c r="C887" s="16"/>
      <c r="D887" s="16"/>
      <c r="E887" s="16"/>
      <c r="F887" s="16"/>
      <c r="G887" s="16"/>
      <c r="H887" s="16"/>
    </row>
    <row r="888">
      <c r="C888" s="16"/>
      <c r="D888" s="16"/>
      <c r="E888" s="16"/>
      <c r="F888" s="16"/>
      <c r="G888" s="16"/>
      <c r="H888" s="16"/>
    </row>
    <row r="889">
      <c r="C889" s="16"/>
      <c r="D889" s="16"/>
      <c r="E889" s="16"/>
      <c r="F889" s="16"/>
      <c r="G889" s="16"/>
      <c r="H889" s="16"/>
    </row>
    <row r="890">
      <c r="C890" s="16"/>
      <c r="D890" s="16"/>
      <c r="E890" s="16"/>
      <c r="F890" s="16"/>
      <c r="G890" s="16"/>
      <c r="H890" s="16"/>
    </row>
    <row r="891">
      <c r="C891" s="16"/>
      <c r="D891" s="16"/>
      <c r="E891" s="16"/>
      <c r="F891" s="16"/>
      <c r="G891" s="16"/>
      <c r="H891" s="16"/>
    </row>
    <row r="892">
      <c r="C892" s="16"/>
      <c r="D892" s="16"/>
      <c r="E892" s="16"/>
      <c r="F892" s="16"/>
      <c r="G892" s="16"/>
      <c r="H892" s="16"/>
    </row>
    <row r="893">
      <c r="C893" s="16"/>
      <c r="D893" s="16"/>
      <c r="E893" s="16"/>
      <c r="F893" s="16"/>
      <c r="G893" s="16"/>
      <c r="H893" s="16"/>
    </row>
    <row r="894">
      <c r="C894" s="16"/>
      <c r="D894" s="16"/>
      <c r="E894" s="16"/>
      <c r="F894" s="16"/>
      <c r="G894" s="16"/>
      <c r="H894" s="16"/>
    </row>
    <row r="895">
      <c r="C895" s="16"/>
      <c r="D895" s="16"/>
      <c r="E895" s="16"/>
      <c r="F895" s="16"/>
      <c r="G895" s="16"/>
      <c r="H895" s="16"/>
    </row>
    <row r="896">
      <c r="C896" s="16"/>
      <c r="D896" s="16"/>
      <c r="E896" s="16"/>
      <c r="F896" s="16"/>
      <c r="G896" s="16"/>
      <c r="H896" s="16"/>
    </row>
    <row r="897">
      <c r="C897" s="16"/>
      <c r="D897" s="16"/>
      <c r="E897" s="16"/>
      <c r="F897" s="16"/>
      <c r="G897" s="16"/>
      <c r="H897" s="16"/>
    </row>
    <row r="898">
      <c r="C898" s="16"/>
      <c r="D898" s="16"/>
      <c r="E898" s="16"/>
      <c r="F898" s="16"/>
      <c r="G898" s="16"/>
      <c r="H898" s="16"/>
    </row>
    <row r="899">
      <c r="C899" s="16"/>
      <c r="D899" s="16"/>
      <c r="E899" s="16"/>
      <c r="F899" s="16"/>
      <c r="G899" s="16"/>
      <c r="H899" s="16"/>
    </row>
    <row r="900">
      <c r="C900" s="16"/>
      <c r="D900" s="16"/>
      <c r="E900" s="16"/>
      <c r="F900" s="16"/>
      <c r="G900" s="16"/>
      <c r="H900" s="16"/>
    </row>
    <row r="901">
      <c r="C901" s="16"/>
      <c r="D901" s="16"/>
      <c r="E901" s="16"/>
      <c r="F901" s="16"/>
      <c r="G901" s="16"/>
      <c r="H901" s="16"/>
    </row>
    <row r="902">
      <c r="C902" s="16"/>
      <c r="D902" s="16"/>
      <c r="E902" s="16"/>
      <c r="F902" s="16"/>
      <c r="G902" s="16"/>
      <c r="H902" s="16"/>
    </row>
    <row r="903">
      <c r="C903" s="16"/>
      <c r="D903" s="16"/>
      <c r="E903" s="16"/>
      <c r="F903" s="16"/>
      <c r="G903" s="16"/>
      <c r="H903" s="16"/>
    </row>
    <row r="904">
      <c r="C904" s="16"/>
      <c r="D904" s="16"/>
      <c r="E904" s="16"/>
      <c r="F904" s="16"/>
      <c r="G904" s="16"/>
      <c r="H904" s="16"/>
    </row>
    <row r="905">
      <c r="C905" s="16"/>
      <c r="D905" s="16"/>
      <c r="E905" s="16"/>
      <c r="F905" s="16"/>
      <c r="G905" s="16"/>
      <c r="H905" s="16"/>
    </row>
    <row r="906">
      <c r="C906" s="16"/>
      <c r="D906" s="16"/>
      <c r="E906" s="16"/>
      <c r="F906" s="16"/>
      <c r="G906" s="16"/>
      <c r="H906" s="16"/>
    </row>
    <row r="907">
      <c r="C907" s="16"/>
      <c r="D907" s="16"/>
      <c r="E907" s="16"/>
      <c r="F907" s="16"/>
      <c r="G907" s="16"/>
      <c r="H907" s="16"/>
    </row>
    <row r="908">
      <c r="C908" s="16"/>
      <c r="D908" s="16"/>
      <c r="E908" s="16"/>
      <c r="F908" s="16"/>
      <c r="G908" s="16"/>
      <c r="H908" s="16"/>
    </row>
    <row r="909">
      <c r="C909" s="16"/>
      <c r="D909" s="16"/>
      <c r="E909" s="16"/>
      <c r="F909" s="16"/>
      <c r="G909" s="16"/>
      <c r="H909" s="16"/>
    </row>
    <row r="910">
      <c r="C910" s="16"/>
      <c r="D910" s="16"/>
      <c r="E910" s="16"/>
      <c r="F910" s="16"/>
      <c r="G910" s="16"/>
      <c r="H910" s="16"/>
    </row>
    <row r="911">
      <c r="C911" s="16"/>
      <c r="D911" s="16"/>
      <c r="E911" s="16"/>
      <c r="F911" s="16"/>
      <c r="G911" s="16"/>
      <c r="H911" s="16"/>
    </row>
    <row r="912">
      <c r="C912" s="16"/>
      <c r="D912" s="16"/>
      <c r="E912" s="16"/>
      <c r="F912" s="16"/>
      <c r="G912" s="16"/>
      <c r="H912" s="16"/>
    </row>
    <row r="913">
      <c r="C913" s="16"/>
      <c r="D913" s="16"/>
      <c r="E913" s="16"/>
      <c r="F913" s="16"/>
      <c r="G913" s="16"/>
      <c r="H913" s="16"/>
    </row>
    <row r="914">
      <c r="C914" s="16"/>
      <c r="D914" s="16"/>
      <c r="E914" s="16"/>
      <c r="F914" s="16"/>
      <c r="G914" s="16"/>
      <c r="H914" s="16"/>
    </row>
    <row r="915">
      <c r="C915" s="16"/>
      <c r="D915" s="16"/>
      <c r="E915" s="16"/>
      <c r="F915" s="16"/>
      <c r="G915" s="16"/>
      <c r="H915" s="16"/>
    </row>
    <row r="916">
      <c r="C916" s="16"/>
      <c r="D916" s="16"/>
      <c r="E916" s="16"/>
      <c r="F916" s="16"/>
      <c r="G916" s="16"/>
      <c r="H916" s="16"/>
    </row>
    <row r="917">
      <c r="C917" s="16"/>
      <c r="D917" s="16"/>
      <c r="E917" s="16"/>
      <c r="F917" s="16"/>
      <c r="G917" s="16"/>
      <c r="H917" s="16"/>
    </row>
    <row r="918">
      <c r="C918" s="16"/>
      <c r="D918" s="16"/>
      <c r="E918" s="16"/>
      <c r="F918" s="16"/>
      <c r="G918" s="16"/>
      <c r="H918" s="16"/>
    </row>
    <row r="919">
      <c r="C919" s="16"/>
      <c r="D919" s="16"/>
      <c r="E919" s="16"/>
      <c r="F919" s="16"/>
      <c r="G919" s="16"/>
      <c r="H919" s="16"/>
    </row>
    <row r="920">
      <c r="C920" s="16"/>
      <c r="D920" s="16"/>
      <c r="E920" s="16"/>
      <c r="F920" s="16"/>
      <c r="G920" s="16"/>
      <c r="H920" s="16"/>
    </row>
    <row r="921">
      <c r="C921" s="16"/>
      <c r="D921" s="16"/>
      <c r="E921" s="16"/>
      <c r="F921" s="16"/>
      <c r="G921" s="16"/>
      <c r="H921" s="16"/>
    </row>
    <row r="922">
      <c r="C922" s="16"/>
      <c r="D922" s="16"/>
      <c r="E922" s="16"/>
      <c r="F922" s="16"/>
      <c r="G922" s="16"/>
      <c r="H922" s="16"/>
    </row>
    <row r="923">
      <c r="C923" s="16"/>
      <c r="D923" s="16"/>
      <c r="E923" s="16"/>
      <c r="F923" s="16"/>
      <c r="G923" s="16"/>
      <c r="H923" s="16"/>
    </row>
    <row r="924">
      <c r="C924" s="16"/>
      <c r="D924" s="16"/>
      <c r="E924" s="16"/>
      <c r="F924" s="16"/>
      <c r="G924" s="16"/>
      <c r="H924" s="16"/>
    </row>
    <row r="925">
      <c r="C925" s="16"/>
      <c r="D925" s="16"/>
      <c r="E925" s="16"/>
      <c r="F925" s="16"/>
      <c r="G925" s="16"/>
      <c r="H925" s="16"/>
    </row>
    <row r="926">
      <c r="C926" s="16"/>
      <c r="D926" s="16"/>
      <c r="E926" s="16"/>
      <c r="F926" s="16"/>
      <c r="G926" s="16"/>
      <c r="H926" s="16"/>
    </row>
    <row r="927">
      <c r="C927" s="16"/>
      <c r="D927" s="16"/>
      <c r="E927" s="16"/>
      <c r="F927" s="16"/>
      <c r="G927" s="16"/>
      <c r="H927" s="16"/>
    </row>
    <row r="928">
      <c r="C928" s="16"/>
      <c r="D928" s="16"/>
      <c r="E928" s="16"/>
      <c r="F928" s="16"/>
      <c r="G928" s="16"/>
      <c r="H928" s="16"/>
    </row>
    <row r="929">
      <c r="C929" s="16"/>
      <c r="D929" s="16"/>
      <c r="E929" s="16"/>
      <c r="F929" s="16"/>
      <c r="G929" s="16"/>
      <c r="H929" s="16"/>
    </row>
    <row r="930">
      <c r="C930" s="16"/>
      <c r="D930" s="16"/>
      <c r="E930" s="16"/>
      <c r="F930" s="16"/>
      <c r="G930" s="16"/>
      <c r="H930" s="16"/>
    </row>
    <row r="931">
      <c r="C931" s="16"/>
      <c r="D931" s="16"/>
      <c r="E931" s="16"/>
      <c r="F931" s="16"/>
      <c r="G931" s="16"/>
      <c r="H931" s="16"/>
    </row>
    <row r="932">
      <c r="C932" s="16"/>
      <c r="D932" s="16"/>
      <c r="E932" s="16"/>
      <c r="F932" s="16"/>
      <c r="G932" s="16"/>
      <c r="H932" s="16"/>
    </row>
    <row r="933">
      <c r="C933" s="16"/>
      <c r="D933" s="16"/>
      <c r="E933" s="16"/>
      <c r="F933" s="16"/>
      <c r="G933" s="16"/>
      <c r="H933" s="16"/>
    </row>
    <row r="934">
      <c r="C934" s="16"/>
      <c r="D934" s="16"/>
      <c r="E934" s="16"/>
      <c r="F934" s="16"/>
      <c r="G934" s="16"/>
      <c r="H934" s="16"/>
    </row>
    <row r="935">
      <c r="C935" s="16"/>
      <c r="D935" s="16"/>
      <c r="E935" s="16"/>
      <c r="F935" s="16"/>
      <c r="G935" s="16"/>
      <c r="H935" s="16"/>
    </row>
    <row r="936">
      <c r="C936" s="16"/>
      <c r="D936" s="16"/>
      <c r="E936" s="16"/>
      <c r="F936" s="16"/>
      <c r="G936" s="16"/>
      <c r="H936" s="16"/>
    </row>
    <row r="937">
      <c r="C937" s="16"/>
      <c r="D937" s="16"/>
      <c r="E937" s="16"/>
      <c r="F937" s="16"/>
      <c r="G937" s="16"/>
      <c r="H937" s="16"/>
    </row>
    <row r="938">
      <c r="C938" s="16"/>
      <c r="D938" s="16"/>
      <c r="E938" s="16"/>
      <c r="F938" s="16"/>
      <c r="G938" s="16"/>
      <c r="H938" s="16"/>
    </row>
    <row r="939">
      <c r="C939" s="16"/>
      <c r="D939" s="16"/>
      <c r="E939" s="16"/>
      <c r="F939" s="16"/>
      <c r="G939" s="16"/>
      <c r="H939" s="16"/>
    </row>
    <row r="940">
      <c r="C940" s="16"/>
      <c r="D940" s="16"/>
      <c r="E940" s="16"/>
      <c r="F940" s="16"/>
      <c r="G940" s="16"/>
      <c r="H940" s="16"/>
    </row>
    <row r="941">
      <c r="C941" s="16"/>
      <c r="D941" s="16"/>
      <c r="E941" s="16"/>
      <c r="F941" s="16"/>
      <c r="G941" s="16"/>
      <c r="H941" s="16"/>
    </row>
    <row r="942">
      <c r="C942" s="16"/>
      <c r="D942" s="16"/>
      <c r="E942" s="16"/>
      <c r="F942" s="16"/>
      <c r="G942" s="16"/>
      <c r="H942" s="16"/>
    </row>
    <row r="943">
      <c r="C943" s="16"/>
      <c r="D943" s="16"/>
      <c r="E943" s="16"/>
      <c r="F943" s="16"/>
      <c r="G943" s="16"/>
      <c r="H943" s="16"/>
    </row>
    <row r="944">
      <c r="C944" s="16"/>
      <c r="D944" s="16"/>
      <c r="E944" s="16"/>
      <c r="F944" s="16"/>
      <c r="G944" s="16"/>
      <c r="H944" s="16"/>
    </row>
    <row r="945">
      <c r="C945" s="16"/>
      <c r="D945" s="16"/>
      <c r="E945" s="16"/>
      <c r="F945" s="16"/>
      <c r="G945" s="16"/>
      <c r="H945" s="16"/>
    </row>
    <row r="946">
      <c r="C946" s="16"/>
      <c r="D946" s="16"/>
      <c r="E946" s="16"/>
      <c r="F946" s="16"/>
      <c r="G946" s="16"/>
      <c r="H946" s="16"/>
    </row>
    <row r="947">
      <c r="C947" s="16"/>
      <c r="D947" s="16"/>
      <c r="E947" s="16"/>
      <c r="F947" s="16"/>
      <c r="G947" s="16"/>
      <c r="H947" s="16"/>
    </row>
    <row r="948">
      <c r="C948" s="16"/>
      <c r="D948" s="16"/>
      <c r="E948" s="16"/>
      <c r="F948" s="16"/>
      <c r="G948" s="16"/>
      <c r="H948" s="16"/>
    </row>
    <row r="949">
      <c r="C949" s="16"/>
      <c r="D949" s="16"/>
      <c r="E949" s="16"/>
      <c r="F949" s="16"/>
      <c r="G949" s="16"/>
      <c r="H949" s="16"/>
    </row>
    <row r="950">
      <c r="C950" s="16"/>
      <c r="D950" s="16"/>
      <c r="E950" s="16"/>
      <c r="F950" s="16"/>
      <c r="G950" s="16"/>
      <c r="H950" s="16"/>
    </row>
    <row r="951">
      <c r="C951" s="16"/>
      <c r="D951" s="16"/>
      <c r="E951" s="16"/>
      <c r="F951" s="16"/>
      <c r="G951" s="16"/>
      <c r="H951" s="16"/>
    </row>
    <row r="952">
      <c r="C952" s="16"/>
      <c r="D952" s="16"/>
      <c r="E952" s="16"/>
      <c r="F952" s="16"/>
      <c r="G952" s="16"/>
      <c r="H952" s="16"/>
    </row>
    <row r="953">
      <c r="C953" s="16"/>
      <c r="D953" s="16"/>
      <c r="E953" s="16"/>
      <c r="F953" s="16"/>
      <c r="G953" s="16"/>
      <c r="H953" s="16"/>
    </row>
    <row r="954">
      <c r="C954" s="16"/>
      <c r="D954" s="16"/>
      <c r="E954" s="16"/>
      <c r="F954" s="16"/>
      <c r="G954" s="16"/>
      <c r="H954" s="16"/>
    </row>
    <row r="955">
      <c r="C955" s="16"/>
      <c r="D955" s="16"/>
      <c r="E955" s="16"/>
      <c r="F955" s="16"/>
      <c r="G955" s="16"/>
      <c r="H955" s="16"/>
    </row>
    <row r="956">
      <c r="C956" s="16"/>
      <c r="D956" s="16"/>
      <c r="E956" s="16"/>
      <c r="F956" s="16"/>
      <c r="G956" s="16"/>
      <c r="H956" s="16"/>
    </row>
    <row r="957">
      <c r="C957" s="16"/>
      <c r="D957" s="16"/>
      <c r="E957" s="16"/>
      <c r="F957" s="16"/>
      <c r="G957" s="16"/>
      <c r="H957" s="16"/>
    </row>
    <row r="958">
      <c r="C958" s="16"/>
      <c r="D958" s="16"/>
      <c r="E958" s="16"/>
      <c r="F958" s="16"/>
      <c r="G958" s="16"/>
      <c r="H958" s="16"/>
    </row>
    <row r="959">
      <c r="C959" s="16"/>
      <c r="D959" s="16"/>
      <c r="E959" s="16"/>
      <c r="F959" s="16"/>
      <c r="G959" s="16"/>
      <c r="H959" s="16"/>
    </row>
    <row r="960">
      <c r="C960" s="16"/>
      <c r="D960" s="16"/>
      <c r="E960" s="16"/>
      <c r="F960" s="16"/>
      <c r="G960" s="16"/>
      <c r="H960" s="16"/>
    </row>
    <row r="961">
      <c r="C961" s="16"/>
      <c r="D961" s="16"/>
      <c r="E961" s="16"/>
      <c r="F961" s="16"/>
      <c r="G961" s="16"/>
      <c r="H961" s="16"/>
    </row>
    <row r="962">
      <c r="C962" s="16"/>
      <c r="D962" s="16"/>
      <c r="E962" s="16"/>
      <c r="F962" s="16"/>
      <c r="G962" s="16"/>
      <c r="H962" s="16"/>
    </row>
    <row r="963">
      <c r="C963" s="16"/>
      <c r="D963" s="16"/>
      <c r="E963" s="16"/>
      <c r="F963" s="16"/>
      <c r="G963" s="16"/>
      <c r="H963" s="16"/>
    </row>
    <row r="964">
      <c r="C964" s="16"/>
      <c r="D964" s="16"/>
      <c r="E964" s="16"/>
      <c r="F964" s="16"/>
      <c r="G964" s="16"/>
      <c r="H964" s="16"/>
    </row>
    <row r="965">
      <c r="C965" s="16"/>
      <c r="D965" s="16"/>
      <c r="E965" s="16"/>
      <c r="F965" s="16"/>
      <c r="G965" s="16"/>
      <c r="H965" s="16"/>
    </row>
    <row r="966">
      <c r="C966" s="16"/>
      <c r="D966" s="16"/>
      <c r="E966" s="16"/>
      <c r="F966" s="16"/>
      <c r="G966" s="16"/>
      <c r="H966" s="16"/>
    </row>
    <row r="967">
      <c r="C967" s="16"/>
      <c r="D967" s="16"/>
      <c r="E967" s="16"/>
      <c r="F967" s="16"/>
      <c r="G967" s="16"/>
      <c r="H967" s="16"/>
    </row>
    <row r="968">
      <c r="C968" s="16"/>
      <c r="D968" s="16"/>
      <c r="E968" s="16"/>
      <c r="F968" s="16"/>
      <c r="G968" s="16"/>
      <c r="H968" s="16"/>
    </row>
    <row r="969">
      <c r="C969" s="16"/>
      <c r="D969" s="16"/>
      <c r="E969" s="16"/>
      <c r="F969" s="16"/>
      <c r="G969" s="16"/>
      <c r="H969" s="16"/>
    </row>
    <row r="970">
      <c r="C970" s="16"/>
      <c r="D970" s="16"/>
      <c r="E970" s="16"/>
      <c r="F970" s="16"/>
      <c r="G970" s="16"/>
      <c r="H970" s="16"/>
    </row>
    <row r="971">
      <c r="C971" s="16"/>
      <c r="D971" s="16"/>
      <c r="E971" s="16"/>
      <c r="F971" s="16"/>
      <c r="G971" s="16"/>
      <c r="H971" s="16"/>
    </row>
    <row r="972">
      <c r="C972" s="16"/>
      <c r="D972" s="16"/>
      <c r="E972" s="16"/>
      <c r="F972" s="16"/>
      <c r="G972" s="16"/>
      <c r="H972" s="16"/>
    </row>
    <row r="973">
      <c r="C973" s="16"/>
      <c r="D973" s="16"/>
      <c r="E973" s="16"/>
      <c r="F973" s="16"/>
      <c r="G973" s="16"/>
      <c r="H973" s="16"/>
    </row>
    <row r="974">
      <c r="C974" s="16"/>
      <c r="D974" s="16"/>
      <c r="E974" s="16"/>
      <c r="F974" s="16"/>
      <c r="G974" s="16"/>
      <c r="H974" s="16"/>
    </row>
    <row r="975">
      <c r="C975" s="16"/>
      <c r="D975" s="16"/>
      <c r="E975" s="16"/>
      <c r="F975" s="16"/>
      <c r="G975" s="16"/>
      <c r="H975" s="16"/>
    </row>
    <row r="976">
      <c r="C976" s="16"/>
      <c r="D976" s="16"/>
      <c r="E976" s="16"/>
      <c r="F976" s="16"/>
      <c r="G976" s="16"/>
      <c r="H976" s="16"/>
    </row>
    <row r="977">
      <c r="C977" s="16"/>
      <c r="D977" s="16"/>
      <c r="E977" s="16"/>
      <c r="F977" s="16"/>
      <c r="G977" s="16"/>
      <c r="H977" s="16"/>
    </row>
    <row r="978">
      <c r="C978" s="16"/>
      <c r="D978" s="16"/>
      <c r="E978" s="16"/>
      <c r="F978" s="16"/>
      <c r="G978" s="16"/>
      <c r="H978" s="16"/>
    </row>
    <row r="979">
      <c r="C979" s="16"/>
      <c r="D979" s="16"/>
      <c r="E979" s="16"/>
      <c r="F979" s="16"/>
      <c r="G979" s="16"/>
      <c r="H979" s="16"/>
    </row>
    <row r="980">
      <c r="C980" s="16"/>
      <c r="D980" s="16"/>
      <c r="E980" s="16"/>
      <c r="F980" s="16"/>
      <c r="G980" s="16"/>
      <c r="H980" s="16"/>
    </row>
    <row r="981">
      <c r="C981" s="16"/>
      <c r="D981" s="16"/>
      <c r="E981" s="16"/>
      <c r="F981" s="16"/>
      <c r="G981" s="16"/>
      <c r="H981" s="16"/>
    </row>
    <row r="982">
      <c r="C982" s="16"/>
      <c r="D982" s="16"/>
      <c r="E982" s="16"/>
      <c r="F982" s="16"/>
      <c r="G982" s="16"/>
      <c r="H982" s="16"/>
    </row>
    <row r="983">
      <c r="C983" s="16"/>
      <c r="D983" s="16"/>
      <c r="E983" s="16"/>
      <c r="F983" s="16"/>
      <c r="G983" s="16"/>
      <c r="H983" s="16"/>
    </row>
    <row r="984">
      <c r="C984" s="16"/>
      <c r="D984" s="16"/>
      <c r="E984" s="16"/>
      <c r="F984" s="16"/>
      <c r="G984" s="16"/>
      <c r="H984" s="16"/>
    </row>
    <row r="985">
      <c r="C985" s="16"/>
      <c r="D985" s="16"/>
      <c r="E985" s="16"/>
      <c r="F985" s="16"/>
      <c r="G985" s="16"/>
      <c r="H985" s="16"/>
    </row>
    <row r="986">
      <c r="C986" s="16"/>
      <c r="D986" s="16"/>
      <c r="E986" s="16"/>
      <c r="F986" s="16"/>
      <c r="G986" s="16"/>
      <c r="H986" s="16"/>
    </row>
    <row r="987">
      <c r="C987" s="16"/>
      <c r="D987" s="16"/>
      <c r="E987" s="16"/>
      <c r="F987" s="16"/>
      <c r="G987" s="16"/>
      <c r="H987" s="16"/>
    </row>
    <row r="988">
      <c r="C988" s="16"/>
      <c r="D988" s="16"/>
      <c r="E988" s="16"/>
      <c r="F988" s="16"/>
      <c r="G988" s="16"/>
      <c r="H988" s="16"/>
    </row>
    <row r="989">
      <c r="C989" s="16"/>
      <c r="D989" s="16"/>
      <c r="E989" s="16"/>
      <c r="F989" s="16"/>
      <c r="G989" s="16"/>
      <c r="H989" s="16"/>
    </row>
    <row r="990">
      <c r="C990" s="16"/>
      <c r="D990" s="16"/>
      <c r="E990" s="16"/>
      <c r="F990" s="16"/>
      <c r="G990" s="16"/>
      <c r="H990" s="16"/>
    </row>
    <row r="991">
      <c r="C991" s="16"/>
      <c r="D991" s="16"/>
      <c r="E991" s="16"/>
      <c r="F991" s="16"/>
      <c r="G991" s="16"/>
      <c r="H991" s="16"/>
    </row>
    <row r="992">
      <c r="C992" s="16"/>
      <c r="D992" s="16"/>
      <c r="E992" s="16"/>
      <c r="F992" s="16"/>
      <c r="G992" s="16"/>
      <c r="H992" s="16"/>
    </row>
    <row r="993">
      <c r="C993" s="16"/>
      <c r="D993" s="16"/>
      <c r="E993" s="16"/>
      <c r="F993" s="16"/>
      <c r="G993" s="16"/>
      <c r="H993" s="16"/>
    </row>
    <row r="994">
      <c r="C994" s="16"/>
      <c r="D994" s="16"/>
      <c r="E994" s="16"/>
      <c r="F994" s="16"/>
      <c r="G994" s="16"/>
      <c r="H994" s="16"/>
    </row>
    <row r="995">
      <c r="C995" s="16"/>
      <c r="D995" s="16"/>
      <c r="E995" s="16"/>
      <c r="F995" s="16"/>
      <c r="G995" s="16"/>
      <c r="H995" s="16"/>
    </row>
    <row r="996">
      <c r="C996" s="16"/>
      <c r="D996" s="16"/>
      <c r="E996" s="16"/>
      <c r="F996" s="16"/>
      <c r="G996" s="16"/>
      <c r="H996" s="16"/>
    </row>
    <row r="997">
      <c r="C997" s="16"/>
      <c r="D997" s="16"/>
      <c r="E997" s="16"/>
      <c r="F997" s="16"/>
      <c r="G997" s="16"/>
      <c r="H997" s="16"/>
    </row>
    <row r="998">
      <c r="C998" s="16"/>
      <c r="D998" s="16"/>
      <c r="E998" s="16"/>
      <c r="F998" s="16"/>
      <c r="G998" s="16"/>
      <c r="H998" s="16"/>
    </row>
    <row r="999">
      <c r="C999" s="16"/>
      <c r="D999" s="16"/>
      <c r="E999" s="16"/>
      <c r="F999" s="16"/>
      <c r="G999" s="16"/>
      <c r="H999" s="16"/>
    </row>
    <row r="1000">
      <c r="C1000" s="16"/>
      <c r="D1000" s="16"/>
      <c r="E1000" s="16"/>
      <c r="F1000" s="16"/>
      <c r="G1000" s="16"/>
      <c r="H1000" s="16"/>
    </row>
  </sheetData>
  <autoFilter ref="$A$1:$G$1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75"/>
    <col customWidth="1" min="2" max="2" width="6.13"/>
    <col customWidth="1" min="3" max="3" width="8.88"/>
    <col customWidth="1" min="4" max="4" width="19.13"/>
    <col customWidth="1" min="20" max="20" width="16.75"/>
    <col customWidth="1" min="21" max="21" width="16.88"/>
    <col customWidth="1" min="23" max="23" width="29.63"/>
    <col customWidth="1" min="24" max="24" width="24.0"/>
    <col customWidth="1" min="25" max="25" width="18.5"/>
    <col customWidth="1" min="26" max="26" width="23.25"/>
    <col customWidth="1" min="28" max="28" width="18.13"/>
    <col customWidth="1" min="29" max="29" width="18.38"/>
    <col customWidth="1" min="30" max="30" width="14.88"/>
    <col customWidth="1" min="39" max="39" width="14.75"/>
    <col customWidth="1" min="41" max="41" width="15.38"/>
    <col customWidth="1" min="43" max="43" width="15.25"/>
    <col customWidth="1" min="44" max="44" width="15.63"/>
    <col customWidth="1" min="52" max="52" width="20.13"/>
    <col customWidth="1" min="61" max="61" width="22.25"/>
    <col customWidth="1" min="62" max="65" width="13.38"/>
    <col customWidth="1" min="66" max="66" width="19.75"/>
  </cols>
  <sheetData>
    <row r="1">
      <c r="A1" s="1" t="s">
        <v>71</v>
      </c>
      <c r="B1" s="1" t="s">
        <v>72</v>
      </c>
      <c r="C1" s="1" t="s">
        <v>0</v>
      </c>
      <c r="D1" s="52" t="s">
        <v>200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1" t="s">
        <v>92</v>
      </c>
      <c r="N1" s="1" t="s">
        <v>93</v>
      </c>
      <c r="O1" s="1" t="s">
        <v>94</v>
      </c>
      <c r="P1" s="52" t="s">
        <v>95</v>
      </c>
      <c r="Q1" s="1" t="s">
        <v>96</v>
      </c>
      <c r="R1" s="1" t="s">
        <v>97</v>
      </c>
      <c r="S1" s="1" t="s">
        <v>98</v>
      </c>
      <c r="T1" s="1" t="s">
        <v>99</v>
      </c>
      <c r="U1" s="1" t="s">
        <v>100</v>
      </c>
      <c r="V1" s="52" t="s">
        <v>101</v>
      </c>
      <c r="W1" s="1" t="s">
        <v>102</v>
      </c>
      <c r="X1" s="1" t="s">
        <v>103</v>
      </c>
      <c r="Y1" s="1" t="s">
        <v>104</v>
      </c>
      <c r="Z1" s="1" t="s">
        <v>105</v>
      </c>
      <c r="AA1" s="52" t="s">
        <v>106</v>
      </c>
      <c r="AB1" s="1" t="s">
        <v>107</v>
      </c>
      <c r="AC1" s="1" t="s">
        <v>108</v>
      </c>
      <c r="AD1" s="52" t="s">
        <v>109</v>
      </c>
      <c r="AE1" s="1" t="s">
        <v>110</v>
      </c>
      <c r="AF1" s="1" t="s">
        <v>201</v>
      </c>
      <c r="AG1" s="1" t="s">
        <v>111</v>
      </c>
      <c r="AH1" s="1" t="s">
        <v>112</v>
      </c>
      <c r="AI1" s="1" t="s">
        <v>113</v>
      </c>
      <c r="AJ1" s="52" t="s">
        <v>115</v>
      </c>
      <c r="AK1" s="1" t="s">
        <v>116</v>
      </c>
      <c r="AL1" s="1" t="s">
        <v>117</v>
      </c>
      <c r="AM1" s="1" t="s">
        <v>118</v>
      </c>
      <c r="AN1" s="52" t="s">
        <v>119</v>
      </c>
      <c r="AO1" s="1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  <c r="BC1" s="1" t="s">
        <v>134</v>
      </c>
      <c r="BD1" s="1" t="s">
        <v>135</v>
      </c>
      <c r="BE1" s="1" t="s">
        <v>136</v>
      </c>
      <c r="BF1" s="1" t="s">
        <v>137</v>
      </c>
      <c r="BG1" s="1" t="s">
        <v>113</v>
      </c>
      <c r="BH1" s="85" t="s">
        <v>202</v>
      </c>
      <c r="BI1" s="1" t="s">
        <v>203</v>
      </c>
      <c r="BJ1" s="1" t="s">
        <v>177</v>
      </c>
      <c r="BK1" s="1" t="s">
        <v>140</v>
      </c>
      <c r="BL1" s="1" t="s">
        <v>141</v>
      </c>
      <c r="BM1" s="1" t="s">
        <v>178</v>
      </c>
      <c r="BN1" s="1" t="s">
        <v>179</v>
      </c>
    </row>
    <row r="2">
      <c r="A2" s="14">
        <v>2024.0</v>
      </c>
      <c r="B2" s="21" t="s">
        <v>82</v>
      </c>
      <c r="C2" s="8">
        <v>45413.0</v>
      </c>
      <c r="D2" s="35">
        <f t="shared" ref="D2:D10" si="1">SUM(E2:N2)</f>
        <v>0</v>
      </c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35">
        <f t="shared" ref="P2:P121" si="2">SUM(Q2:U2)</f>
        <v>0</v>
      </c>
      <c r="Q2" s="16"/>
      <c r="R2" s="16"/>
      <c r="S2" s="16"/>
      <c r="T2" s="16"/>
      <c r="U2" s="16"/>
      <c r="V2" s="35">
        <f t="shared" ref="V2:V121" si="3">SUM(W2:Z2)</f>
        <v>0</v>
      </c>
      <c r="W2" s="16"/>
      <c r="X2" s="16"/>
      <c r="Y2" s="16"/>
      <c r="Z2" s="16"/>
      <c r="AA2" s="35">
        <f t="shared" ref="AA2:AA121" si="4">SUM(AB2:AC2)</f>
        <v>0</v>
      </c>
      <c r="AB2" s="16"/>
      <c r="AC2" s="16"/>
      <c r="AD2" s="35">
        <f t="shared" ref="AD2:AD121" si="5">SUM(AE2:AI2)</f>
        <v>0</v>
      </c>
      <c r="AE2" s="16"/>
      <c r="AF2" s="16"/>
      <c r="AG2" s="16"/>
      <c r="AH2" s="16"/>
      <c r="AI2" s="16"/>
      <c r="AJ2" s="35">
        <f t="shared" ref="AJ2:AJ121" si="6">SUM(AK2:AM2)</f>
        <v>0</v>
      </c>
      <c r="AK2" s="16"/>
      <c r="AL2" s="16"/>
      <c r="AM2" s="16"/>
      <c r="AN2" s="35">
        <f t="shared" ref="AN2:AN121" si="7">SUM(AO2:BG2)</f>
        <v>0</v>
      </c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86">
        <f t="shared" ref="BH2:BH121" si="8">D2+P2+V2+AA2+AD2+AJ2+AN2</f>
        <v>0</v>
      </c>
      <c r="BI2" s="16">
        <f>BH2</f>
        <v>0</v>
      </c>
      <c r="BJ2" s="16"/>
      <c r="BK2" s="16"/>
      <c r="BL2" s="16"/>
      <c r="BM2" s="16"/>
      <c r="BN2" s="16"/>
    </row>
    <row r="3">
      <c r="A3" s="14">
        <v>2024.0</v>
      </c>
      <c r="B3" s="21" t="s">
        <v>82</v>
      </c>
      <c r="C3" s="8">
        <v>45414.0</v>
      </c>
      <c r="D3" s="35">
        <f t="shared" si="1"/>
        <v>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35">
        <f t="shared" si="2"/>
        <v>1629.72</v>
      </c>
      <c r="Q3" s="16"/>
      <c r="R3" s="87">
        <f>53+80+206.12+457.03+53+53+110+110+307.57</f>
        <v>1429.72</v>
      </c>
      <c r="S3" s="55">
        <v>200.0</v>
      </c>
      <c r="T3" s="16"/>
      <c r="U3" s="16"/>
      <c r="V3" s="35">
        <f t="shared" si="3"/>
        <v>0</v>
      </c>
      <c r="W3" s="16"/>
      <c r="X3" s="16"/>
      <c r="Y3" s="16"/>
      <c r="Z3" s="16"/>
      <c r="AA3" s="35">
        <f t="shared" si="4"/>
        <v>0</v>
      </c>
      <c r="AB3" s="16"/>
      <c r="AC3" s="16"/>
      <c r="AD3" s="35">
        <f t="shared" si="5"/>
        <v>240</v>
      </c>
      <c r="AE3" s="16"/>
      <c r="AF3" s="16"/>
      <c r="AG3" s="16"/>
      <c r="AH3" s="55">
        <v>240.0</v>
      </c>
      <c r="AI3" s="16"/>
      <c r="AJ3" s="35">
        <f t="shared" si="6"/>
        <v>2900</v>
      </c>
      <c r="AK3" s="16"/>
      <c r="AL3" s="16"/>
      <c r="AM3" s="55">
        <v>2900.0</v>
      </c>
      <c r="AN3" s="35">
        <f t="shared" si="7"/>
        <v>1573.55</v>
      </c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5">
        <v>770.0</v>
      </c>
      <c r="AZ3" s="16"/>
      <c r="BA3" s="16"/>
      <c r="BB3" s="55">
        <v>803.55</v>
      </c>
      <c r="BC3" s="16"/>
      <c r="BD3" s="16"/>
      <c r="BE3" s="16"/>
      <c r="BF3" s="16"/>
      <c r="BG3" s="16"/>
      <c r="BH3" s="86">
        <f t="shared" si="8"/>
        <v>6343.27</v>
      </c>
      <c r="BI3" s="16">
        <f t="shared" ref="BI3:BI32" si="9">BH3+BI2</f>
        <v>6343.27</v>
      </c>
      <c r="BJ3" s="16"/>
      <c r="BK3" s="16"/>
      <c r="BL3" s="16"/>
      <c r="BM3" s="16"/>
      <c r="BN3" s="16"/>
    </row>
    <row r="4">
      <c r="A4" s="14">
        <v>2024.0</v>
      </c>
      <c r="B4" s="21" t="s">
        <v>82</v>
      </c>
      <c r="C4" s="8">
        <v>45415.0</v>
      </c>
      <c r="D4" s="35">
        <f t="shared" si="1"/>
        <v>0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35">
        <f t="shared" si="2"/>
        <v>0</v>
      </c>
      <c r="Q4" s="16"/>
      <c r="R4" s="16"/>
      <c r="S4" s="16"/>
      <c r="T4" s="16"/>
      <c r="U4" s="16"/>
      <c r="V4" s="35">
        <f t="shared" si="3"/>
        <v>0</v>
      </c>
      <c r="W4" s="16"/>
      <c r="X4" s="16"/>
      <c r="Y4" s="16"/>
      <c r="Z4" s="16"/>
      <c r="AA4" s="35">
        <f t="shared" si="4"/>
        <v>0</v>
      </c>
      <c r="AB4" s="16"/>
      <c r="AC4" s="16"/>
      <c r="AD4" s="35">
        <f t="shared" si="5"/>
        <v>0</v>
      </c>
      <c r="AE4" s="16"/>
      <c r="AF4" s="16"/>
      <c r="AG4" s="16"/>
      <c r="AH4" s="16"/>
      <c r="AI4" s="16"/>
      <c r="AJ4" s="35">
        <f t="shared" si="6"/>
        <v>0</v>
      </c>
      <c r="AK4" s="16"/>
      <c r="AL4" s="16"/>
      <c r="AM4" s="16"/>
      <c r="AN4" s="35">
        <f t="shared" si="7"/>
        <v>0</v>
      </c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86">
        <f t="shared" si="8"/>
        <v>0</v>
      </c>
      <c r="BI4" s="16">
        <f t="shared" si="9"/>
        <v>6343.27</v>
      </c>
      <c r="BJ4" s="16"/>
      <c r="BK4" s="16"/>
      <c r="BL4" s="16"/>
      <c r="BM4" s="16"/>
      <c r="BN4" s="16"/>
    </row>
    <row r="5">
      <c r="A5" s="14">
        <v>2024.0</v>
      </c>
      <c r="B5" s="21" t="s">
        <v>82</v>
      </c>
      <c r="C5" s="8">
        <v>45416.0</v>
      </c>
      <c r="D5" s="35">
        <f t="shared" si="1"/>
        <v>0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35">
        <f t="shared" si="2"/>
        <v>0</v>
      </c>
      <c r="Q5" s="16"/>
      <c r="R5" s="16"/>
      <c r="S5" s="16"/>
      <c r="T5" s="16"/>
      <c r="U5" s="16"/>
      <c r="V5" s="35">
        <f t="shared" si="3"/>
        <v>0</v>
      </c>
      <c r="W5" s="16"/>
      <c r="X5" s="16"/>
      <c r="Y5" s="16"/>
      <c r="Z5" s="16"/>
      <c r="AA5" s="35">
        <f t="shared" si="4"/>
        <v>0</v>
      </c>
      <c r="AB5" s="16"/>
      <c r="AC5" s="16"/>
      <c r="AD5" s="35">
        <f t="shared" si="5"/>
        <v>0</v>
      </c>
      <c r="AE5" s="16"/>
      <c r="AF5" s="16"/>
      <c r="AG5" s="16"/>
      <c r="AH5" s="16"/>
      <c r="AI5" s="16"/>
      <c r="AJ5" s="35">
        <f t="shared" si="6"/>
        <v>0</v>
      </c>
      <c r="AK5" s="16"/>
      <c r="AL5" s="16"/>
      <c r="AM5" s="16"/>
      <c r="AN5" s="35">
        <f t="shared" si="7"/>
        <v>0</v>
      </c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86">
        <f t="shared" si="8"/>
        <v>0</v>
      </c>
      <c r="BI5" s="16">
        <f t="shared" si="9"/>
        <v>6343.27</v>
      </c>
      <c r="BJ5" s="16"/>
      <c r="BK5" s="16"/>
      <c r="BL5" s="16"/>
      <c r="BM5" s="16"/>
      <c r="BN5" s="16"/>
    </row>
    <row r="6">
      <c r="A6" s="14">
        <v>2024.0</v>
      </c>
      <c r="B6" s="21" t="s">
        <v>82</v>
      </c>
      <c r="C6" s="8">
        <v>45417.0</v>
      </c>
      <c r="D6" s="35">
        <f t="shared" si="1"/>
        <v>0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35">
        <f t="shared" si="2"/>
        <v>0</v>
      </c>
      <c r="Q6" s="16"/>
      <c r="R6" s="16"/>
      <c r="S6" s="16"/>
      <c r="T6" s="16"/>
      <c r="U6" s="16"/>
      <c r="V6" s="35">
        <f t="shared" si="3"/>
        <v>0</v>
      </c>
      <c r="W6" s="16"/>
      <c r="X6" s="16"/>
      <c r="Y6" s="16"/>
      <c r="Z6" s="16"/>
      <c r="AA6" s="35">
        <f t="shared" si="4"/>
        <v>0</v>
      </c>
      <c r="AB6" s="16"/>
      <c r="AC6" s="16"/>
      <c r="AD6" s="35">
        <f t="shared" si="5"/>
        <v>0</v>
      </c>
      <c r="AE6" s="16"/>
      <c r="AF6" s="16"/>
      <c r="AG6" s="16"/>
      <c r="AH6" s="16"/>
      <c r="AI6" s="16"/>
      <c r="AJ6" s="35">
        <f t="shared" si="6"/>
        <v>0</v>
      </c>
      <c r="AK6" s="16"/>
      <c r="AL6" s="16"/>
      <c r="AM6" s="16"/>
      <c r="AN6" s="35">
        <f t="shared" si="7"/>
        <v>0</v>
      </c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86">
        <f t="shared" si="8"/>
        <v>0</v>
      </c>
      <c r="BI6" s="16">
        <f t="shared" si="9"/>
        <v>6343.27</v>
      </c>
      <c r="BJ6" s="16"/>
      <c r="BK6" s="16"/>
      <c r="BL6" s="16"/>
      <c r="BM6" s="16"/>
      <c r="BN6" s="16"/>
    </row>
    <row r="7">
      <c r="A7" s="14">
        <v>2024.0</v>
      </c>
      <c r="B7" s="21" t="s">
        <v>82</v>
      </c>
      <c r="C7" s="8">
        <v>45418.0</v>
      </c>
      <c r="D7" s="35">
        <f t="shared" si="1"/>
        <v>3500</v>
      </c>
      <c r="E7" s="16"/>
      <c r="F7" s="16"/>
      <c r="G7" s="55">
        <v>3500.0</v>
      </c>
      <c r="H7" s="16"/>
      <c r="I7" s="16"/>
      <c r="J7" s="16"/>
      <c r="K7" s="16"/>
      <c r="L7" s="16"/>
      <c r="M7" s="16"/>
      <c r="N7" s="16"/>
      <c r="O7" s="16"/>
      <c r="P7" s="35">
        <f t="shared" si="2"/>
        <v>0</v>
      </c>
      <c r="Q7" s="16"/>
      <c r="R7" s="16"/>
      <c r="S7" s="16"/>
      <c r="T7" s="16"/>
      <c r="U7" s="16"/>
      <c r="V7" s="35">
        <f t="shared" si="3"/>
        <v>0</v>
      </c>
      <c r="W7" s="16"/>
      <c r="X7" s="16"/>
      <c r="Y7" s="16"/>
      <c r="Z7" s="16"/>
      <c r="AA7" s="35">
        <f t="shared" si="4"/>
        <v>0</v>
      </c>
      <c r="AB7" s="16"/>
      <c r="AC7" s="16"/>
      <c r="AD7" s="35">
        <f t="shared" si="5"/>
        <v>0</v>
      </c>
      <c r="AE7" s="16"/>
      <c r="AF7" s="16"/>
      <c r="AG7" s="16"/>
      <c r="AH7" s="16"/>
      <c r="AI7" s="16"/>
      <c r="AJ7" s="35">
        <f t="shared" si="6"/>
        <v>0</v>
      </c>
      <c r="AK7" s="16"/>
      <c r="AL7" s="16"/>
      <c r="AM7" s="16"/>
      <c r="AN7" s="35">
        <f t="shared" si="7"/>
        <v>8147.696</v>
      </c>
      <c r="AO7" s="16"/>
      <c r="AP7" s="55">
        <f>(+141.72*7.8)+11370.82-4328.54</f>
        <v>8147.696</v>
      </c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86">
        <f t="shared" si="8"/>
        <v>11647.696</v>
      </c>
      <c r="BI7" s="16">
        <f t="shared" si="9"/>
        <v>17990.966</v>
      </c>
      <c r="BJ7" s="55">
        <v>4328.54</v>
      </c>
      <c r="BK7" s="16"/>
      <c r="BL7" s="16"/>
      <c r="BM7" s="16"/>
      <c r="BN7" s="16"/>
    </row>
    <row r="8">
      <c r="A8" s="14">
        <v>2024.0</v>
      </c>
      <c r="B8" s="21" t="s">
        <v>82</v>
      </c>
      <c r="C8" s="8">
        <v>45419.0</v>
      </c>
      <c r="D8" s="35">
        <f t="shared" si="1"/>
        <v>14670</v>
      </c>
      <c r="E8" s="16"/>
      <c r="F8" s="16"/>
      <c r="G8" s="55">
        <v>14670.0</v>
      </c>
      <c r="H8" s="16"/>
      <c r="I8" s="16"/>
      <c r="J8" s="16"/>
      <c r="K8" s="16"/>
      <c r="L8" s="16"/>
      <c r="M8" s="16"/>
      <c r="N8" s="16"/>
      <c r="O8" s="16"/>
      <c r="P8" s="35">
        <f t="shared" si="2"/>
        <v>0</v>
      </c>
      <c r="Q8" s="16"/>
      <c r="R8" s="16"/>
      <c r="S8" s="16"/>
      <c r="T8" s="16"/>
      <c r="U8" s="16"/>
      <c r="V8" s="35">
        <f t="shared" si="3"/>
        <v>0</v>
      </c>
      <c r="W8" s="16"/>
      <c r="X8" s="16"/>
      <c r="Y8" s="16"/>
      <c r="Z8" s="16"/>
      <c r="AA8" s="35">
        <f t="shared" si="4"/>
        <v>0</v>
      </c>
      <c r="AB8" s="16"/>
      <c r="AC8" s="16"/>
      <c r="AD8" s="35">
        <f t="shared" si="5"/>
        <v>0</v>
      </c>
      <c r="AE8" s="16"/>
      <c r="AF8" s="16"/>
      <c r="AG8" s="16"/>
      <c r="AH8" s="16"/>
      <c r="AI8" s="16"/>
      <c r="AJ8" s="35">
        <f t="shared" si="6"/>
        <v>0</v>
      </c>
      <c r="AK8" s="16"/>
      <c r="AL8" s="16"/>
      <c r="AM8" s="16"/>
      <c r="AN8" s="35">
        <f t="shared" si="7"/>
        <v>0</v>
      </c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86">
        <f t="shared" si="8"/>
        <v>14670</v>
      </c>
      <c r="BI8" s="16">
        <f t="shared" si="9"/>
        <v>32660.966</v>
      </c>
      <c r="BJ8" s="16"/>
      <c r="BK8" s="16"/>
      <c r="BL8" s="16"/>
      <c r="BM8" s="16"/>
      <c r="BN8" s="16"/>
    </row>
    <row r="9">
      <c r="A9" s="14">
        <v>2024.0</v>
      </c>
      <c r="B9" s="21" t="s">
        <v>82</v>
      </c>
      <c r="C9" s="8">
        <v>45420.0</v>
      </c>
      <c r="D9" s="35">
        <f t="shared" si="1"/>
        <v>0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35">
        <f t="shared" si="2"/>
        <v>0</v>
      </c>
      <c r="Q9" s="16"/>
      <c r="R9" s="16"/>
      <c r="S9" s="16"/>
      <c r="T9" s="16"/>
      <c r="U9" s="16"/>
      <c r="V9" s="35">
        <f t="shared" si="3"/>
        <v>1400</v>
      </c>
      <c r="W9" s="16"/>
      <c r="X9" s="16"/>
      <c r="Y9" s="55">
        <v>1400.0</v>
      </c>
      <c r="Z9" s="16"/>
      <c r="AA9" s="35">
        <f t="shared" si="4"/>
        <v>0</v>
      </c>
      <c r="AB9" s="16"/>
      <c r="AC9" s="16"/>
      <c r="AD9" s="35">
        <f t="shared" si="5"/>
        <v>0</v>
      </c>
      <c r="AE9" s="16"/>
      <c r="AF9" s="16"/>
      <c r="AG9" s="16"/>
      <c r="AH9" s="16"/>
      <c r="AI9" s="16"/>
      <c r="AJ9" s="35">
        <f t="shared" si="6"/>
        <v>0</v>
      </c>
      <c r="AK9" s="16"/>
      <c r="AL9" s="16"/>
      <c r="AM9" s="16"/>
      <c r="AN9" s="35">
        <f t="shared" si="7"/>
        <v>0</v>
      </c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86">
        <f t="shared" si="8"/>
        <v>1400</v>
      </c>
      <c r="BI9" s="16">
        <f t="shared" si="9"/>
        <v>34060.966</v>
      </c>
      <c r="BJ9" s="16"/>
      <c r="BK9" s="16"/>
      <c r="BL9" s="16"/>
      <c r="BM9" s="16"/>
      <c r="BN9" s="16"/>
    </row>
    <row r="10">
      <c r="A10" s="14">
        <v>2024.0</v>
      </c>
      <c r="B10" s="21" t="s">
        <v>82</v>
      </c>
      <c r="C10" s="8">
        <v>45421.0</v>
      </c>
      <c r="D10" s="35">
        <f t="shared" si="1"/>
        <v>0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35">
        <f t="shared" si="2"/>
        <v>0</v>
      </c>
      <c r="Q10" s="16"/>
      <c r="R10" s="16"/>
      <c r="S10" s="16"/>
      <c r="T10" s="16"/>
      <c r="U10" s="16"/>
      <c r="V10" s="35">
        <f t="shared" si="3"/>
        <v>475</v>
      </c>
      <c r="W10" s="16"/>
      <c r="X10" s="55">
        <v>475.0</v>
      </c>
      <c r="Y10" s="16"/>
      <c r="Z10" s="16"/>
      <c r="AA10" s="35">
        <f t="shared" si="4"/>
        <v>0</v>
      </c>
      <c r="AB10" s="16"/>
      <c r="AC10" s="16"/>
      <c r="AD10" s="35">
        <f t="shared" si="5"/>
        <v>0</v>
      </c>
      <c r="AE10" s="16"/>
      <c r="AF10" s="16"/>
      <c r="AG10" s="16"/>
      <c r="AH10" s="16"/>
      <c r="AI10" s="16"/>
      <c r="AJ10" s="35">
        <f t="shared" si="6"/>
        <v>0</v>
      </c>
      <c r="AK10" s="16"/>
      <c r="AL10" s="16"/>
      <c r="AM10" s="16"/>
      <c r="AN10" s="35">
        <f t="shared" si="7"/>
        <v>0</v>
      </c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86">
        <f t="shared" si="8"/>
        <v>475</v>
      </c>
      <c r="BI10" s="16">
        <f t="shared" si="9"/>
        <v>34535.966</v>
      </c>
      <c r="BJ10" s="16"/>
      <c r="BK10" s="16"/>
      <c r="BL10" s="16"/>
      <c r="BM10" s="16"/>
      <c r="BN10" s="16"/>
    </row>
    <row r="11">
      <c r="A11" s="14">
        <v>2024.0</v>
      </c>
      <c r="B11" s="21" t="s">
        <v>82</v>
      </c>
      <c r="C11" s="8">
        <v>45422.0</v>
      </c>
      <c r="D11" s="35">
        <f>SUM(E11:O11)</f>
        <v>2100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5">
        <v>2100.0</v>
      </c>
      <c r="P11" s="35">
        <f t="shared" si="2"/>
        <v>0</v>
      </c>
      <c r="Q11" s="16"/>
      <c r="R11" s="16"/>
      <c r="S11" s="16"/>
      <c r="T11" s="16"/>
      <c r="U11" s="16"/>
      <c r="V11" s="35">
        <f t="shared" si="3"/>
        <v>0</v>
      </c>
      <c r="W11" s="16"/>
      <c r="X11" s="16"/>
      <c r="Y11" s="16"/>
      <c r="Z11" s="16"/>
      <c r="AA11" s="35">
        <f t="shared" si="4"/>
        <v>0</v>
      </c>
      <c r="AB11" s="16"/>
      <c r="AC11" s="16"/>
      <c r="AD11" s="35">
        <f t="shared" si="5"/>
        <v>0</v>
      </c>
      <c r="AE11" s="16"/>
      <c r="AF11" s="16"/>
      <c r="AG11" s="16"/>
      <c r="AH11" s="55"/>
      <c r="AI11" s="16"/>
      <c r="AJ11" s="35">
        <f t="shared" si="6"/>
        <v>0</v>
      </c>
      <c r="AK11" s="16"/>
      <c r="AL11" s="16"/>
      <c r="AM11" s="16"/>
      <c r="AN11" s="35">
        <f t="shared" si="7"/>
        <v>0</v>
      </c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86">
        <f t="shared" si="8"/>
        <v>2100</v>
      </c>
      <c r="BI11" s="16">
        <f t="shared" si="9"/>
        <v>36635.966</v>
      </c>
      <c r="BJ11" s="16"/>
      <c r="BK11" s="16"/>
      <c r="BL11" s="16"/>
      <c r="BM11" s="16"/>
      <c r="BN11" s="16"/>
    </row>
    <row r="12">
      <c r="A12" s="14">
        <v>2024.0</v>
      </c>
      <c r="B12" s="21" t="s">
        <v>82</v>
      </c>
      <c r="C12" s="8">
        <v>45423.0</v>
      </c>
      <c r="D12" s="35">
        <f t="shared" ref="D12:D36" si="10">SUM(E12:N12)</f>
        <v>0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35">
        <f t="shared" si="2"/>
        <v>0</v>
      </c>
      <c r="Q12" s="16"/>
      <c r="R12" s="16"/>
      <c r="S12" s="16"/>
      <c r="T12" s="16"/>
      <c r="U12" s="16"/>
      <c r="V12" s="35">
        <f t="shared" si="3"/>
        <v>0</v>
      </c>
      <c r="W12" s="16"/>
      <c r="X12" s="16"/>
      <c r="Y12" s="16"/>
      <c r="Z12" s="16"/>
      <c r="AA12" s="35">
        <f t="shared" si="4"/>
        <v>0</v>
      </c>
      <c r="AB12" s="16"/>
      <c r="AC12" s="16"/>
      <c r="AD12" s="35">
        <f t="shared" si="5"/>
        <v>0</v>
      </c>
      <c r="AE12" s="16"/>
      <c r="AF12" s="16"/>
      <c r="AG12" s="16"/>
      <c r="AH12" s="16"/>
      <c r="AI12" s="16"/>
      <c r="AJ12" s="35">
        <f t="shared" si="6"/>
        <v>0</v>
      </c>
      <c r="AK12" s="16"/>
      <c r="AL12" s="16"/>
      <c r="AM12" s="16"/>
      <c r="AN12" s="35">
        <f t="shared" si="7"/>
        <v>0</v>
      </c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86">
        <f t="shared" si="8"/>
        <v>0</v>
      </c>
      <c r="BI12" s="16">
        <f t="shared" si="9"/>
        <v>36635.966</v>
      </c>
      <c r="BJ12" s="16"/>
      <c r="BK12" s="16"/>
      <c r="BL12" s="16"/>
      <c r="BM12" s="16"/>
      <c r="BN12" s="16"/>
    </row>
    <row r="13">
      <c r="A13" s="14">
        <v>2024.0</v>
      </c>
      <c r="B13" s="21" t="s">
        <v>82</v>
      </c>
      <c r="C13" s="8">
        <v>45424.0</v>
      </c>
      <c r="D13" s="35">
        <f t="shared" si="10"/>
        <v>0</v>
      </c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35">
        <f t="shared" si="2"/>
        <v>0</v>
      </c>
      <c r="Q13" s="16"/>
      <c r="R13" s="16"/>
      <c r="S13" s="16"/>
      <c r="T13" s="16"/>
      <c r="U13" s="16"/>
      <c r="V13" s="35">
        <f t="shared" si="3"/>
        <v>0</v>
      </c>
      <c r="W13" s="16"/>
      <c r="X13" s="16"/>
      <c r="Y13" s="16"/>
      <c r="Z13" s="16"/>
      <c r="AA13" s="35">
        <f t="shared" si="4"/>
        <v>0</v>
      </c>
      <c r="AB13" s="16"/>
      <c r="AC13" s="16"/>
      <c r="AD13" s="35">
        <f t="shared" si="5"/>
        <v>0</v>
      </c>
      <c r="AE13" s="16"/>
      <c r="AF13" s="16"/>
      <c r="AG13" s="16"/>
      <c r="AH13" s="16"/>
      <c r="AI13" s="16"/>
      <c r="AJ13" s="35">
        <f t="shared" si="6"/>
        <v>0</v>
      </c>
      <c r="AK13" s="16"/>
      <c r="AL13" s="16"/>
      <c r="AM13" s="16"/>
      <c r="AN13" s="35">
        <f t="shared" si="7"/>
        <v>1436</v>
      </c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55">
        <v>1436.0</v>
      </c>
      <c r="AZ13" s="16"/>
      <c r="BA13" s="16"/>
      <c r="BB13" s="16"/>
      <c r="BC13" s="16"/>
      <c r="BD13" s="16"/>
      <c r="BE13" s="16"/>
      <c r="BF13" s="16"/>
      <c r="BG13" s="16"/>
      <c r="BH13" s="86">
        <f t="shared" si="8"/>
        <v>1436</v>
      </c>
      <c r="BI13" s="16">
        <f t="shared" si="9"/>
        <v>38071.966</v>
      </c>
      <c r="BJ13" s="16"/>
      <c r="BK13" s="16"/>
      <c r="BL13" s="16"/>
      <c r="BM13" s="16"/>
      <c r="BN13" s="16"/>
    </row>
    <row r="14">
      <c r="A14" s="14">
        <v>2024.0</v>
      </c>
      <c r="B14" s="21" t="s">
        <v>82</v>
      </c>
      <c r="C14" s="8">
        <v>45425.0</v>
      </c>
      <c r="D14" s="35">
        <f t="shared" si="10"/>
        <v>0</v>
      </c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35">
        <f t="shared" si="2"/>
        <v>0</v>
      </c>
      <c r="Q14" s="16"/>
      <c r="R14" s="16"/>
      <c r="S14" s="16"/>
      <c r="T14" s="16"/>
      <c r="U14" s="16"/>
      <c r="V14" s="35">
        <f t="shared" si="3"/>
        <v>0</v>
      </c>
      <c r="W14" s="16"/>
      <c r="X14" s="16"/>
      <c r="Y14" s="16"/>
      <c r="Z14" s="16"/>
      <c r="AA14" s="35">
        <f t="shared" si="4"/>
        <v>0</v>
      </c>
      <c r="AB14" s="16"/>
      <c r="AC14" s="16"/>
      <c r="AD14" s="35">
        <f t="shared" si="5"/>
        <v>0</v>
      </c>
      <c r="AE14" s="16"/>
      <c r="AF14" s="16"/>
      <c r="AG14" s="16"/>
      <c r="AH14" s="16"/>
      <c r="AI14" s="16"/>
      <c r="AJ14" s="35">
        <f t="shared" si="6"/>
        <v>100</v>
      </c>
      <c r="AK14" s="87">
        <f>50+50</f>
        <v>100</v>
      </c>
      <c r="AL14" s="16"/>
      <c r="AM14" s="16"/>
      <c r="AN14" s="35">
        <f t="shared" si="7"/>
        <v>863</v>
      </c>
      <c r="AO14" s="16"/>
      <c r="AP14" s="16"/>
      <c r="AQ14" s="16"/>
      <c r="AR14" s="16"/>
      <c r="AS14" s="55">
        <v>825.0</v>
      </c>
      <c r="AT14" s="16"/>
      <c r="AU14" s="16"/>
      <c r="AV14" s="16"/>
      <c r="AW14" s="87">
        <f>4+10+10+10+4</f>
        <v>38</v>
      </c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86">
        <f t="shared" si="8"/>
        <v>963</v>
      </c>
      <c r="BI14" s="16">
        <f t="shared" si="9"/>
        <v>39034.966</v>
      </c>
      <c r="BJ14" s="16"/>
      <c r="BK14" s="16"/>
      <c r="BL14" s="16"/>
      <c r="BM14" s="16"/>
      <c r="BN14" s="16"/>
    </row>
    <row r="15">
      <c r="A15" s="14">
        <v>2024.0</v>
      </c>
      <c r="B15" s="21" t="s">
        <v>82</v>
      </c>
      <c r="C15" s="8">
        <v>45426.0</v>
      </c>
      <c r="D15" s="35">
        <f t="shared" si="10"/>
        <v>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35">
        <f t="shared" si="2"/>
        <v>0</v>
      </c>
      <c r="Q15" s="16"/>
      <c r="R15" s="16"/>
      <c r="S15" s="16"/>
      <c r="T15" s="16"/>
      <c r="U15" s="16"/>
      <c r="V15" s="35">
        <f t="shared" si="3"/>
        <v>0</v>
      </c>
      <c r="W15" s="16"/>
      <c r="X15" s="16"/>
      <c r="Y15" s="16"/>
      <c r="Z15" s="16"/>
      <c r="AA15" s="35">
        <f t="shared" si="4"/>
        <v>0</v>
      </c>
      <c r="AB15" s="16"/>
      <c r="AC15" s="16"/>
      <c r="AD15" s="35">
        <f t="shared" si="5"/>
        <v>0</v>
      </c>
      <c r="AE15" s="16"/>
      <c r="AF15" s="16"/>
      <c r="AG15" s="16"/>
      <c r="AH15" s="16"/>
      <c r="AI15" s="16"/>
      <c r="AJ15" s="35">
        <f t="shared" si="6"/>
        <v>0</v>
      </c>
      <c r="AK15" s="16"/>
      <c r="AL15" s="16"/>
      <c r="AM15" s="16"/>
      <c r="AN15" s="35">
        <f t="shared" si="7"/>
        <v>0</v>
      </c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86">
        <f t="shared" si="8"/>
        <v>0</v>
      </c>
      <c r="BI15" s="16">
        <f t="shared" si="9"/>
        <v>39034.966</v>
      </c>
      <c r="BJ15" s="16"/>
      <c r="BK15" s="16"/>
      <c r="BL15" s="16"/>
      <c r="BM15" s="16"/>
      <c r="BN15" s="16"/>
    </row>
    <row r="16">
      <c r="A16" s="14">
        <v>2024.0</v>
      </c>
      <c r="B16" s="21" t="s">
        <v>82</v>
      </c>
      <c r="C16" s="8">
        <v>45427.0</v>
      </c>
      <c r="D16" s="35">
        <f t="shared" si="10"/>
        <v>53394.02</v>
      </c>
      <c r="E16" s="12">
        <v>53394.02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35">
        <f t="shared" si="2"/>
        <v>25</v>
      </c>
      <c r="Q16" s="16"/>
      <c r="R16" s="16"/>
      <c r="S16" s="55">
        <v>25.0</v>
      </c>
      <c r="T16" s="16"/>
      <c r="U16" s="16"/>
      <c r="V16" s="35">
        <f t="shared" si="3"/>
        <v>48</v>
      </c>
      <c r="W16" s="16"/>
      <c r="X16" s="55">
        <v>48.0</v>
      </c>
      <c r="Y16" s="16"/>
      <c r="Z16" s="16"/>
      <c r="AA16" s="35">
        <f t="shared" si="4"/>
        <v>7200</v>
      </c>
      <c r="AB16" s="55">
        <v>7200.0</v>
      </c>
      <c r="AC16" s="16"/>
      <c r="AD16" s="35">
        <f t="shared" si="5"/>
        <v>0</v>
      </c>
      <c r="AE16" s="16"/>
      <c r="AF16" s="16"/>
      <c r="AG16" s="16"/>
      <c r="AH16" s="16"/>
      <c r="AI16" s="16"/>
      <c r="AJ16" s="35">
        <f t="shared" si="6"/>
        <v>0</v>
      </c>
      <c r="AK16" s="16"/>
      <c r="AL16" s="16"/>
      <c r="AM16" s="16"/>
      <c r="AN16" s="35">
        <f t="shared" si="7"/>
        <v>5208.85</v>
      </c>
      <c r="AO16" s="16"/>
      <c r="AP16" s="55">
        <v>4200.0</v>
      </c>
      <c r="AQ16" s="16"/>
      <c r="AR16" s="16"/>
      <c r="AS16" s="55">
        <v>10.0</v>
      </c>
      <c r="AT16" s="16"/>
      <c r="AU16" s="16"/>
      <c r="AV16" s="55">
        <f>100+100</f>
        <v>200</v>
      </c>
      <c r="AW16" s="55">
        <f>41+83</f>
        <v>124</v>
      </c>
      <c r="AX16" s="16"/>
      <c r="AY16" s="16"/>
      <c r="AZ16" s="16"/>
      <c r="BA16" s="55">
        <f>180+38+50+15+55+90+200</f>
        <v>628</v>
      </c>
      <c r="BB16" s="55">
        <v>46.85</v>
      </c>
      <c r="BC16" s="16"/>
      <c r="BD16" s="16"/>
      <c r="BE16" s="16"/>
      <c r="BF16" s="16"/>
      <c r="BG16" s="16"/>
      <c r="BH16" s="86">
        <f t="shared" si="8"/>
        <v>65875.87</v>
      </c>
      <c r="BI16" s="16">
        <f t="shared" si="9"/>
        <v>104910.836</v>
      </c>
      <c r="BJ16" s="16"/>
      <c r="BK16" s="55">
        <v>29913.34</v>
      </c>
      <c r="BL16" s="16"/>
      <c r="BM16" s="16"/>
      <c r="BN16" s="16"/>
    </row>
    <row r="17">
      <c r="A17" s="14">
        <v>2024.0</v>
      </c>
      <c r="B17" s="21" t="s">
        <v>82</v>
      </c>
      <c r="C17" s="8">
        <v>45428.0</v>
      </c>
      <c r="D17" s="35">
        <f t="shared" si="10"/>
        <v>500</v>
      </c>
      <c r="E17" s="16"/>
      <c r="F17" s="55">
        <f>250+250</f>
        <v>500</v>
      </c>
      <c r="G17" s="16"/>
      <c r="H17" s="16"/>
      <c r="I17" s="16"/>
      <c r="J17" s="16"/>
      <c r="K17" s="16"/>
      <c r="L17" s="16"/>
      <c r="M17" s="16"/>
      <c r="N17" s="16"/>
      <c r="O17" s="16"/>
      <c r="P17" s="35">
        <f t="shared" si="2"/>
        <v>0</v>
      </c>
      <c r="Q17" s="16"/>
      <c r="R17" s="16"/>
      <c r="S17" s="16"/>
      <c r="T17" s="16"/>
      <c r="U17" s="16"/>
      <c r="V17" s="35">
        <f t="shared" si="3"/>
        <v>0</v>
      </c>
      <c r="W17" s="16"/>
      <c r="X17" s="16"/>
      <c r="Y17" s="16"/>
      <c r="Z17" s="16"/>
      <c r="AA17" s="35">
        <f t="shared" si="4"/>
        <v>0</v>
      </c>
      <c r="AB17" s="16"/>
      <c r="AC17" s="16"/>
      <c r="AD17" s="35">
        <f t="shared" si="5"/>
        <v>300</v>
      </c>
      <c r="AE17" s="16"/>
      <c r="AF17" s="16"/>
      <c r="AG17" s="16"/>
      <c r="AH17" s="55">
        <v>300.0</v>
      </c>
      <c r="AI17" s="16"/>
      <c r="AJ17" s="35">
        <f t="shared" si="6"/>
        <v>0</v>
      </c>
      <c r="AK17" s="16"/>
      <c r="AL17" s="16"/>
      <c r="AM17" s="16"/>
      <c r="AN17" s="35">
        <f t="shared" si="7"/>
        <v>500</v>
      </c>
      <c r="AO17" s="16"/>
      <c r="AP17" s="16"/>
      <c r="AQ17" s="16"/>
      <c r="AR17" s="16"/>
      <c r="AS17" s="16"/>
      <c r="AT17" s="16"/>
      <c r="AU17" s="55">
        <v>500.0</v>
      </c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86">
        <f t="shared" si="8"/>
        <v>1300</v>
      </c>
      <c r="BI17" s="16">
        <f t="shared" si="9"/>
        <v>106210.836</v>
      </c>
      <c r="BJ17" s="16"/>
      <c r="BK17" s="16"/>
      <c r="BL17" s="16"/>
      <c r="BM17" s="16"/>
      <c r="BN17" s="16"/>
    </row>
    <row r="18">
      <c r="A18" s="14">
        <v>2024.0</v>
      </c>
      <c r="B18" s="21" t="s">
        <v>82</v>
      </c>
      <c r="C18" s="8">
        <v>45429.0</v>
      </c>
      <c r="D18" s="35">
        <f t="shared" si="10"/>
        <v>0</v>
      </c>
      <c r="E18" s="12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35">
        <f t="shared" si="2"/>
        <v>0</v>
      </c>
      <c r="Q18" s="16"/>
      <c r="R18" s="16"/>
      <c r="S18" s="16"/>
      <c r="T18" s="16"/>
      <c r="U18" s="16"/>
      <c r="V18" s="35">
        <f t="shared" si="3"/>
        <v>0</v>
      </c>
      <c r="W18" s="16"/>
      <c r="X18" s="16"/>
      <c r="Y18" s="16"/>
      <c r="Z18" s="16"/>
      <c r="AA18" s="35">
        <f t="shared" si="4"/>
        <v>0</v>
      </c>
      <c r="AB18" s="16"/>
      <c r="AC18" s="16"/>
      <c r="AD18" s="35">
        <f t="shared" si="5"/>
        <v>0</v>
      </c>
      <c r="AE18" s="16"/>
      <c r="AF18" s="16"/>
      <c r="AG18" s="16"/>
      <c r="AH18" s="16"/>
      <c r="AI18" s="16"/>
      <c r="AJ18" s="35">
        <f t="shared" si="6"/>
        <v>0</v>
      </c>
      <c r="AK18" s="16"/>
      <c r="AL18" s="16"/>
      <c r="AM18" s="16"/>
      <c r="AN18" s="35">
        <f t="shared" si="7"/>
        <v>38952.25</v>
      </c>
      <c r="AO18" s="16"/>
      <c r="AP18" s="87">
        <f>(+3264.78+1676.32)*7.8+(+636.67-225)</f>
        <v>38952.25</v>
      </c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86">
        <f t="shared" si="8"/>
        <v>38952.25</v>
      </c>
      <c r="BI18" s="16">
        <f t="shared" si="9"/>
        <v>145163.086</v>
      </c>
      <c r="BJ18" s="16"/>
      <c r="BK18" s="16"/>
      <c r="BL18" s="16"/>
      <c r="BM18" s="16"/>
      <c r="BN18" s="16"/>
    </row>
    <row r="19">
      <c r="A19" s="14">
        <v>2024.0</v>
      </c>
      <c r="B19" s="21" t="s">
        <v>82</v>
      </c>
      <c r="C19" s="8">
        <v>45430.0</v>
      </c>
      <c r="D19" s="35">
        <f t="shared" si="10"/>
        <v>0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35">
        <f t="shared" si="2"/>
        <v>0</v>
      </c>
      <c r="Q19" s="16"/>
      <c r="R19" s="16"/>
      <c r="S19" s="16"/>
      <c r="T19" s="16"/>
      <c r="U19" s="16"/>
      <c r="V19" s="35">
        <f t="shared" si="3"/>
        <v>0</v>
      </c>
      <c r="W19" s="16"/>
      <c r="X19" s="16"/>
      <c r="Y19" s="16"/>
      <c r="Z19" s="16"/>
      <c r="AA19" s="35">
        <f t="shared" si="4"/>
        <v>0</v>
      </c>
      <c r="AB19" s="16"/>
      <c r="AC19" s="16"/>
      <c r="AD19" s="35">
        <f t="shared" si="5"/>
        <v>0</v>
      </c>
      <c r="AE19" s="16"/>
      <c r="AF19" s="16"/>
      <c r="AG19" s="16"/>
      <c r="AH19" s="16"/>
      <c r="AI19" s="16"/>
      <c r="AJ19" s="35">
        <f t="shared" si="6"/>
        <v>0</v>
      </c>
      <c r="AK19" s="16"/>
      <c r="AL19" s="16"/>
      <c r="AM19" s="16"/>
      <c r="AN19" s="35">
        <f t="shared" si="7"/>
        <v>0</v>
      </c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86">
        <f t="shared" si="8"/>
        <v>0</v>
      </c>
      <c r="BI19" s="16">
        <f t="shared" si="9"/>
        <v>145163.086</v>
      </c>
      <c r="BJ19" s="16"/>
      <c r="BK19" s="16"/>
      <c r="BL19" s="16"/>
      <c r="BM19" s="16"/>
      <c r="BN19" s="16"/>
    </row>
    <row r="20">
      <c r="A20" s="14">
        <v>2024.0</v>
      </c>
      <c r="B20" s="21" t="s">
        <v>82</v>
      </c>
      <c r="C20" s="8">
        <v>45431.0</v>
      </c>
      <c r="D20" s="35">
        <f t="shared" si="10"/>
        <v>0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35">
        <f t="shared" si="2"/>
        <v>0</v>
      </c>
      <c r="Q20" s="16"/>
      <c r="R20" s="16"/>
      <c r="S20" s="16"/>
      <c r="T20" s="16"/>
      <c r="U20" s="16"/>
      <c r="V20" s="35">
        <f t="shared" si="3"/>
        <v>0</v>
      </c>
      <c r="W20" s="16"/>
      <c r="X20" s="16"/>
      <c r="Y20" s="16"/>
      <c r="Z20" s="16"/>
      <c r="AA20" s="35">
        <f t="shared" si="4"/>
        <v>0</v>
      </c>
      <c r="AB20" s="16"/>
      <c r="AC20" s="16"/>
      <c r="AD20" s="35">
        <f t="shared" si="5"/>
        <v>0</v>
      </c>
      <c r="AE20" s="16"/>
      <c r="AF20" s="16"/>
      <c r="AG20" s="16"/>
      <c r="AH20" s="16"/>
      <c r="AI20" s="16"/>
      <c r="AJ20" s="35">
        <f t="shared" si="6"/>
        <v>0</v>
      </c>
      <c r="AK20" s="16"/>
      <c r="AL20" s="16"/>
      <c r="AM20" s="16"/>
      <c r="AN20" s="35">
        <f t="shared" si="7"/>
        <v>0</v>
      </c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86">
        <f t="shared" si="8"/>
        <v>0</v>
      </c>
      <c r="BI20" s="16">
        <f t="shared" si="9"/>
        <v>145163.086</v>
      </c>
      <c r="BJ20" s="16"/>
      <c r="BK20" s="16"/>
      <c r="BL20" s="16"/>
      <c r="BM20" s="16"/>
      <c r="BN20" s="16"/>
    </row>
    <row r="21">
      <c r="A21" s="14">
        <v>2024.0</v>
      </c>
      <c r="B21" s="21" t="s">
        <v>82</v>
      </c>
      <c r="C21" s="8">
        <v>45432.0</v>
      </c>
      <c r="D21" s="35">
        <f t="shared" si="10"/>
        <v>6209.07</v>
      </c>
      <c r="E21" s="16"/>
      <c r="F21" s="16"/>
      <c r="G21" s="16"/>
      <c r="H21" s="16"/>
      <c r="I21" s="16"/>
      <c r="J21" s="16"/>
      <c r="K21" s="16"/>
      <c r="L21" s="16"/>
      <c r="M21" s="55">
        <v>6209.07</v>
      </c>
      <c r="N21" s="16"/>
      <c r="O21" s="16"/>
      <c r="P21" s="35">
        <f t="shared" si="2"/>
        <v>0</v>
      </c>
      <c r="Q21" s="16"/>
      <c r="R21" s="16"/>
      <c r="S21" s="16"/>
      <c r="T21" s="16"/>
      <c r="U21" s="16"/>
      <c r="V21" s="35">
        <f t="shared" si="3"/>
        <v>0</v>
      </c>
      <c r="W21" s="16"/>
      <c r="X21" s="16"/>
      <c r="Y21" s="16"/>
      <c r="Z21" s="16"/>
      <c r="AA21" s="35">
        <f t="shared" si="4"/>
        <v>499.8</v>
      </c>
      <c r="AB21" s="16"/>
      <c r="AC21" s="55">
        <v>499.8</v>
      </c>
      <c r="AD21" s="35">
        <f t="shared" si="5"/>
        <v>0</v>
      </c>
      <c r="AE21" s="16"/>
      <c r="AF21" s="16"/>
      <c r="AG21" s="16"/>
      <c r="AH21" s="16"/>
      <c r="AI21" s="16"/>
      <c r="AJ21" s="35">
        <f t="shared" si="6"/>
        <v>0</v>
      </c>
      <c r="AK21" s="16"/>
      <c r="AL21" s="16"/>
      <c r="AM21" s="16"/>
      <c r="AN21" s="35">
        <f t="shared" si="7"/>
        <v>0</v>
      </c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86">
        <f t="shared" si="8"/>
        <v>6708.87</v>
      </c>
      <c r="BI21" s="16">
        <f t="shared" si="9"/>
        <v>151871.956</v>
      </c>
      <c r="BJ21" s="16"/>
      <c r="BK21" s="16"/>
      <c r="BL21" s="16"/>
      <c r="BM21" s="16"/>
      <c r="BN21" s="16"/>
    </row>
    <row r="22">
      <c r="A22" s="14">
        <v>2024.0</v>
      </c>
      <c r="B22" s="21" t="s">
        <v>82</v>
      </c>
      <c r="C22" s="8">
        <v>45433.0</v>
      </c>
      <c r="D22" s="35">
        <f t="shared" si="10"/>
        <v>0</v>
      </c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35">
        <f t="shared" si="2"/>
        <v>0</v>
      </c>
      <c r="Q22" s="16"/>
      <c r="R22" s="16"/>
      <c r="S22" s="16"/>
      <c r="T22" s="16"/>
      <c r="U22" s="16"/>
      <c r="V22" s="35">
        <f t="shared" si="3"/>
        <v>0</v>
      </c>
      <c r="W22" s="16"/>
      <c r="X22" s="16"/>
      <c r="Y22" s="16"/>
      <c r="Z22" s="16"/>
      <c r="AA22" s="35">
        <f t="shared" si="4"/>
        <v>0</v>
      </c>
      <c r="AB22" s="16"/>
      <c r="AC22" s="16"/>
      <c r="AD22" s="35">
        <f t="shared" si="5"/>
        <v>0</v>
      </c>
      <c r="AE22" s="16"/>
      <c r="AF22" s="16"/>
      <c r="AG22" s="16"/>
      <c r="AH22" s="16"/>
      <c r="AI22" s="16"/>
      <c r="AJ22" s="35">
        <f t="shared" si="6"/>
        <v>0</v>
      </c>
      <c r="AK22" s="16"/>
      <c r="AL22" s="16"/>
      <c r="AM22" s="16"/>
      <c r="AN22" s="35">
        <f t="shared" si="7"/>
        <v>300</v>
      </c>
      <c r="AO22" s="16"/>
      <c r="AP22" s="16"/>
      <c r="AQ22" s="16"/>
      <c r="AR22" s="16"/>
      <c r="AS22" s="16"/>
      <c r="AT22" s="16"/>
      <c r="AU22" s="16"/>
      <c r="AV22" s="55">
        <v>300.0</v>
      </c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86">
        <f t="shared" si="8"/>
        <v>300</v>
      </c>
      <c r="BI22" s="16">
        <f t="shared" si="9"/>
        <v>152171.956</v>
      </c>
      <c r="BJ22" s="16"/>
      <c r="BK22" s="16"/>
      <c r="BL22" s="16"/>
      <c r="BM22" s="16"/>
      <c r="BN22" s="16"/>
    </row>
    <row r="23">
      <c r="A23" s="14">
        <v>2024.0</v>
      </c>
      <c r="B23" s="21" t="s">
        <v>82</v>
      </c>
      <c r="C23" s="8">
        <v>45434.0</v>
      </c>
      <c r="D23" s="35">
        <f t="shared" si="10"/>
        <v>0</v>
      </c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35">
        <f t="shared" si="2"/>
        <v>0</v>
      </c>
      <c r="Q23" s="16"/>
      <c r="R23" s="16"/>
      <c r="S23" s="16"/>
      <c r="T23" s="16"/>
      <c r="U23" s="16"/>
      <c r="V23" s="35">
        <f t="shared" si="3"/>
        <v>730</v>
      </c>
      <c r="W23" s="16"/>
      <c r="X23" s="16"/>
      <c r="Y23" s="16"/>
      <c r="Z23" s="55">
        <v>730.0</v>
      </c>
      <c r="AA23" s="35">
        <f t="shared" si="4"/>
        <v>0</v>
      </c>
      <c r="AB23" s="16"/>
      <c r="AC23" s="16"/>
      <c r="AD23" s="35">
        <f t="shared" si="5"/>
        <v>0</v>
      </c>
      <c r="AE23" s="16"/>
      <c r="AF23" s="16"/>
      <c r="AG23" s="16"/>
      <c r="AH23" s="16"/>
      <c r="AI23" s="16"/>
      <c r="AJ23" s="35">
        <f t="shared" si="6"/>
        <v>0</v>
      </c>
      <c r="AK23" s="16"/>
      <c r="AL23" s="16"/>
      <c r="AM23" s="16"/>
      <c r="AN23" s="35">
        <f t="shared" si="7"/>
        <v>1285</v>
      </c>
      <c r="AO23" s="16"/>
      <c r="AP23" s="16"/>
      <c r="AQ23" s="16"/>
      <c r="AR23" s="16"/>
      <c r="AS23" s="87">
        <f>16+6+16+16+10+12+5+32+16+15+16+16+18+8+5+5+54+16+45+20+8+9+10+27+8+16+5+36+16+15+27+20+20+27</f>
        <v>591</v>
      </c>
      <c r="AT23" s="16"/>
      <c r="AU23" s="16"/>
      <c r="AV23" s="55">
        <v>100.0</v>
      </c>
      <c r="AW23" s="16"/>
      <c r="AX23" s="16"/>
      <c r="AY23" s="16"/>
      <c r="AZ23" s="16"/>
      <c r="BA23" s="55">
        <f>19+20</f>
        <v>39</v>
      </c>
      <c r="BB23" s="55">
        <v>555.0</v>
      </c>
      <c r="BC23" s="16"/>
      <c r="BD23" s="16"/>
      <c r="BE23" s="16"/>
      <c r="BF23" s="16"/>
      <c r="BG23" s="16"/>
      <c r="BH23" s="86">
        <f t="shared" si="8"/>
        <v>2015</v>
      </c>
      <c r="BI23" s="16">
        <f t="shared" si="9"/>
        <v>154186.956</v>
      </c>
      <c r="BJ23" s="16"/>
      <c r="BK23" s="16"/>
      <c r="BL23" s="16"/>
      <c r="BM23" s="16"/>
      <c r="BN23" s="16"/>
    </row>
    <row r="24">
      <c r="A24" s="14">
        <v>2024.0</v>
      </c>
      <c r="B24" s="21" t="s">
        <v>82</v>
      </c>
      <c r="C24" s="8">
        <v>45435.0</v>
      </c>
      <c r="D24" s="35">
        <f t="shared" si="10"/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35">
        <f t="shared" si="2"/>
        <v>100.97</v>
      </c>
      <c r="Q24" s="16"/>
      <c r="R24" s="16"/>
      <c r="S24" s="16"/>
      <c r="T24" s="16"/>
      <c r="U24" s="55">
        <v>100.97</v>
      </c>
      <c r="V24" s="35">
        <f t="shared" si="3"/>
        <v>0</v>
      </c>
      <c r="W24" s="16"/>
      <c r="X24" s="16"/>
      <c r="Y24" s="16"/>
      <c r="Z24" s="16"/>
      <c r="AA24" s="35">
        <f t="shared" si="4"/>
        <v>0</v>
      </c>
      <c r="AB24" s="16"/>
      <c r="AC24" s="16"/>
      <c r="AD24" s="35">
        <f t="shared" si="5"/>
        <v>0</v>
      </c>
      <c r="AE24" s="16"/>
      <c r="AF24" s="16"/>
      <c r="AG24" s="16"/>
      <c r="AH24" s="16"/>
      <c r="AI24" s="16"/>
      <c r="AJ24" s="35">
        <f t="shared" si="6"/>
        <v>0</v>
      </c>
      <c r="AK24" s="16"/>
      <c r="AL24" s="16"/>
      <c r="AM24" s="16"/>
      <c r="AN24" s="35">
        <f t="shared" si="7"/>
        <v>0</v>
      </c>
      <c r="AO24" s="16"/>
      <c r="AP24" s="16"/>
      <c r="AQ24" s="16"/>
      <c r="AR24" s="16"/>
      <c r="AS24" s="16"/>
      <c r="AT24" s="16"/>
      <c r="AU24" s="16"/>
      <c r="AV24" s="12">
        <v>0.0</v>
      </c>
      <c r="AW24" s="16"/>
      <c r="AX24" s="16"/>
      <c r="AY24" s="16"/>
      <c r="AZ24" s="16"/>
      <c r="BA24" s="12">
        <v>0.0</v>
      </c>
      <c r="BB24" s="16"/>
      <c r="BC24" s="16"/>
      <c r="BD24" s="16"/>
      <c r="BE24" s="16"/>
      <c r="BF24" s="16"/>
      <c r="BG24" s="16"/>
      <c r="BH24" s="86">
        <f t="shared" si="8"/>
        <v>100.97</v>
      </c>
      <c r="BI24" s="16">
        <f t="shared" si="9"/>
        <v>154287.926</v>
      </c>
      <c r="BJ24" s="16"/>
      <c r="BK24" s="16"/>
      <c r="BL24" s="16"/>
      <c r="BM24" s="16"/>
      <c r="BN24" s="16"/>
    </row>
    <row r="25">
      <c r="A25" s="14">
        <v>2024.0</v>
      </c>
      <c r="B25" s="21" t="s">
        <v>82</v>
      </c>
      <c r="C25" s="8">
        <v>45436.0</v>
      </c>
      <c r="D25" s="35">
        <f t="shared" si="10"/>
        <v>0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35">
        <f t="shared" si="2"/>
        <v>0</v>
      </c>
      <c r="Q25" s="16"/>
      <c r="R25" s="16"/>
      <c r="S25" s="16"/>
      <c r="T25" s="16"/>
      <c r="U25" s="16"/>
      <c r="V25" s="35">
        <f t="shared" si="3"/>
        <v>0</v>
      </c>
      <c r="W25" s="16"/>
      <c r="X25" s="16"/>
      <c r="Y25" s="16"/>
      <c r="Z25" s="16"/>
      <c r="AA25" s="35">
        <f t="shared" si="4"/>
        <v>0</v>
      </c>
      <c r="AB25" s="16"/>
      <c r="AC25" s="16"/>
      <c r="AD25" s="35">
        <f t="shared" si="5"/>
        <v>0</v>
      </c>
      <c r="AE25" s="16"/>
      <c r="AF25" s="16"/>
      <c r="AG25" s="16"/>
      <c r="AH25" s="12"/>
      <c r="AI25" s="16"/>
      <c r="AJ25" s="35">
        <f t="shared" si="6"/>
        <v>0</v>
      </c>
      <c r="AK25" s="16"/>
      <c r="AL25" s="16"/>
      <c r="AM25" s="16"/>
      <c r="AN25" s="35">
        <f t="shared" si="7"/>
        <v>300</v>
      </c>
      <c r="AO25" s="16"/>
      <c r="AP25" s="16"/>
      <c r="AQ25" s="16"/>
      <c r="AR25" s="16"/>
      <c r="AS25" s="16"/>
      <c r="AT25" s="16"/>
      <c r="AU25" s="16"/>
      <c r="AV25" s="55">
        <v>300.0</v>
      </c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86">
        <f t="shared" si="8"/>
        <v>300</v>
      </c>
      <c r="BI25" s="16">
        <f t="shared" si="9"/>
        <v>154587.926</v>
      </c>
      <c r="BJ25" s="16"/>
      <c r="BK25" s="16"/>
      <c r="BL25" s="16"/>
      <c r="BM25" s="16"/>
      <c r="BN25" s="16"/>
    </row>
    <row r="26">
      <c r="A26" s="14">
        <v>2024.0</v>
      </c>
      <c r="B26" s="21" t="s">
        <v>82</v>
      </c>
      <c r="C26" s="8">
        <v>45437.0</v>
      </c>
      <c r="D26" s="35">
        <f t="shared" si="10"/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35">
        <f t="shared" si="2"/>
        <v>0</v>
      </c>
      <c r="Q26" s="16"/>
      <c r="R26" s="16"/>
      <c r="S26" s="16"/>
      <c r="T26" s="16"/>
      <c r="U26" s="16"/>
      <c r="V26" s="35">
        <f t="shared" si="3"/>
        <v>0</v>
      </c>
      <c r="W26" s="16"/>
      <c r="X26" s="16"/>
      <c r="Y26" s="16"/>
      <c r="Z26" s="16"/>
      <c r="AA26" s="35">
        <f t="shared" si="4"/>
        <v>0</v>
      </c>
      <c r="AB26" s="16"/>
      <c r="AC26" s="16"/>
      <c r="AD26" s="35">
        <f t="shared" si="5"/>
        <v>0</v>
      </c>
      <c r="AE26" s="16"/>
      <c r="AF26" s="16"/>
      <c r="AG26" s="16"/>
      <c r="AH26" s="16"/>
      <c r="AI26" s="16"/>
      <c r="AJ26" s="35">
        <f t="shared" si="6"/>
        <v>0</v>
      </c>
      <c r="AK26" s="16"/>
      <c r="AL26" s="16"/>
      <c r="AM26" s="16"/>
      <c r="AN26" s="35">
        <f t="shared" si="7"/>
        <v>0</v>
      </c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86">
        <f t="shared" si="8"/>
        <v>0</v>
      </c>
      <c r="BI26" s="16">
        <f t="shared" si="9"/>
        <v>154587.926</v>
      </c>
      <c r="BJ26" s="16"/>
      <c r="BK26" s="16"/>
      <c r="BL26" s="16"/>
      <c r="BM26" s="16"/>
      <c r="BN26" s="16"/>
    </row>
    <row r="27">
      <c r="A27" s="14">
        <v>2024.0</v>
      </c>
      <c r="B27" s="21" t="s">
        <v>82</v>
      </c>
      <c r="C27" s="8">
        <v>45438.0</v>
      </c>
      <c r="D27" s="35">
        <f t="shared" si="10"/>
        <v>0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35">
        <f t="shared" si="2"/>
        <v>0</v>
      </c>
      <c r="Q27" s="16"/>
      <c r="R27" s="16"/>
      <c r="S27" s="16"/>
      <c r="T27" s="16"/>
      <c r="U27" s="16"/>
      <c r="V27" s="35">
        <f t="shared" si="3"/>
        <v>0</v>
      </c>
      <c r="W27" s="16"/>
      <c r="X27" s="16"/>
      <c r="Y27" s="16"/>
      <c r="Z27" s="16"/>
      <c r="AA27" s="35">
        <f t="shared" si="4"/>
        <v>0</v>
      </c>
      <c r="AB27" s="16"/>
      <c r="AC27" s="16"/>
      <c r="AD27" s="35">
        <f t="shared" si="5"/>
        <v>0</v>
      </c>
      <c r="AE27" s="16"/>
      <c r="AF27" s="16"/>
      <c r="AG27" s="16"/>
      <c r="AH27" s="16"/>
      <c r="AI27" s="16"/>
      <c r="AJ27" s="35">
        <f t="shared" si="6"/>
        <v>0</v>
      </c>
      <c r="AK27" s="16"/>
      <c r="AL27" s="16"/>
      <c r="AM27" s="16"/>
      <c r="AN27" s="35">
        <f t="shared" si="7"/>
        <v>0</v>
      </c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86">
        <f t="shared" si="8"/>
        <v>0</v>
      </c>
      <c r="BI27" s="16">
        <f t="shared" si="9"/>
        <v>154587.926</v>
      </c>
      <c r="BJ27" s="16"/>
      <c r="BK27" s="16"/>
      <c r="BL27" s="16"/>
      <c r="BM27" s="16"/>
      <c r="BN27" s="16"/>
    </row>
    <row r="28">
      <c r="A28" s="14">
        <v>2024.0</v>
      </c>
      <c r="B28" s="21" t="s">
        <v>82</v>
      </c>
      <c r="C28" s="8">
        <v>45439.0</v>
      </c>
      <c r="D28" s="35">
        <f t="shared" si="10"/>
        <v>0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35">
        <f t="shared" si="2"/>
        <v>0</v>
      </c>
      <c r="Q28" s="16"/>
      <c r="R28" s="16"/>
      <c r="S28" s="16"/>
      <c r="T28" s="16"/>
      <c r="U28" s="16"/>
      <c r="V28" s="35">
        <f t="shared" si="3"/>
        <v>0</v>
      </c>
      <c r="W28" s="16"/>
      <c r="X28" s="16"/>
      <c r="Y28" s="16"/>
      <c r="Z28" s="16"/>
      <c r="AA28" s="35">
        <f t="shared" si="4"/>
        <v>0</v>
      </c>
      <c r="AB28" s="16"/>
      <c r="AC28" s="16"/>
      <c r="AD28" s="35">
        <f t="shared" si="5"/>
        <v>0</v>
      </c>
      <c r="AE28" s="16"/>
      <c r="AF28" s="16"/>
      <c r="AG28" s="16"/>
      <c r="AH28" s="16"/>
      <c r="AI28" s="16"/>
      <c r="AJ28" s="35">
        <f t="shared" si="6"/>
        <v>0</v>
      </c>
      <c r="AK28" s="16"/>
      <c r="AL28" s="16"/>
      <c r="AM28" s="16"/>
      <c r="AN28" s="35">
        <f t="shared" si="7"/>
        <v>0</v>
      </c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86">
        <f t="shared" si="8"/>
        <v>0</v>
      </c>
      <c r="BI28" s="16">
        <f t="shared" si="9"/>
        <v>154587.926</v>
      </c>
      <c r="BJ28" s="16"/>
      <c r="BK28" s="16"/>
      <c r="BL28" s="16"/>
      <c r="BM28" s="16"/>
      <c r="BN28" s="16"/>
    </row>
    <row r="29">
      <c r="A29" s="14">
        <v>2024.0</v>
      </c>
      <c r="B29" s="21" t="s">
        <v>82</v>
      </c>
      <c r="C29" s="8">
        <v>45440.0</v>
      </c>
      <c r="D29" s="35">
        <f t="shared" si="10"/>
        <v>0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5">
        <f t="shared" si="2"/>
        <v>0</v>
      </c>
      <c r="Q29" s="16"/>
      <c r="R29" s="16"/>
      <c r="S29" s="16"/>
      <c r="T29" s="16"/>
      <c r="U29" s="16"/>
      <c r="V29" s="35">
        <f t="shared" si="3"/>
        <v>0</v>
      </c>
      <c r="W29" s="16"/>
      <c r="X29" s="16"/>
      <c r="Y29" s="16"/>
      <c r="Z29" s="16"/>
      <c r="AA29" s="35">
        <f t="shared" si="4"/>
        <v>0</v>
      </c>
      <c r="AB29" s="16"/>
      <c r="AC29" s="16"/>
      <c r="AD29" s="35">
        <f t="shared" si="5"/>
        <v>0</v>
      </c>
      <c r="AE29" s="16"/>
      <c r="AF29" s="16"/>
      <c r="AG29" s="16"/>
      <c r="AH29" s="16"/>
      <c r="AI29" s="16"/>
      <c r="AJ29" s="35">
        <f t="shared" si="6"/>
        <v>0</v>
      </c>
      <c r="AK29" s="16"/>
      <c r="AL29" s="16"/>
      <c r="AM29" s="16"/>
      <c r="AN29" s="35">
        <f t="shared" si="7"/>
        <v>0</v>
      </c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86">
        <f t="shared" si="8"/>
        <v>0</v>
      </c>
      <c r="BI29" s="16">
        <f t="shared" si="9"/>
        <v>154587.926</v>
      </c>
      <c r="BJ29" s="16"/>
      <c r="BK29" s="16"/>
      <c r="BL29" s="16"/>
      <c r="BM29" s="16"/>
      <c r="BN29" s="16"/>
    </row>
    <row r="30">
      <c r="A30" s="14">
        <v>2024.0</v>
      </c>
      <c r="B30" s="21" t="s">
        <v>82</v>
      </c>
      <c r="C30" s="8">
        <v>45441.0</v>
      </c>
      <c r="D30" s="35">
        <f t="shared" si="10"/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35">
        <f t="shared" si="2"/>
        <v>0</v>
      </c>
      <c r="Q30" s="16"/>
      <c r="R30" s="16"/>
      <c r="S30" s="16"/>
      <c r="T30" s="16"/>
      <c r="U30" s="16"/>
      <c r="V30" s="35">
        <f t="shared" si="3"/>
        <v>0</v>
      </c>
      <c r="W30" s="16"/>
      <c r="X30" s="16"/>
      <c r="Y30" s="16"/>
      <c r="Z30" s="16"/>
      <c r="AA30" s="35">
        <f t="shared" si="4"/>
        <v>0</v>
      </c>
      <c r="AB30" s="16"/>
      <c r="AC30" s="16"/>
      <c r="AD30" s="35">
        <f t="shared" si="5"/>
        <v>0</v>
      </c>
      <c r="AE30" s="16"/>
      <c r="AF30" s="16"/>
      <c r="AG30" s="16"/>
      <c r="AH30" s="16"/>
      <c r="AI30" s="16"/>
      <c r="AJ30" s="35">
        <f t="shared" si="6"/>
        <v>0</v>
      </c>
      <c r="AK30" s="16"/>
      <c r="AL30" s="16"/>
      <c r="AM30" s="16"/>
      <c r="AN30" s="35">
        <f t="shared" si="7"/>
        <v>399</v>
      </c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55">
        <v>399.0</v>
      </c>
      <c r="BB30" s="16"/>
      <c r="BC30" s="16"/>
      <c r="BD30" s="16"/>
      <c r="BE30" s="16"/>
      <c r="BF30" s="16"/>
      <c r="BG30" s="16"/>
      <c r="BH30" s="86">
        <f t="shared" si="8"/>
        <v>399</v>
      </c>
      <c r="BI30" s="16">
        <f t="shared" si="9"/>
        <v>154986.926</v>
      </c>
      <c r="BJ30" s="16"/>
      <c r="BK30" s="16"/>
      <c r="BL30" s="16"/>
      <c r="BM30" s="16"/>
      <c r="BN30" s="16"/>
    </row>
    <row r="31">
      <c r="A31" s="14">
        <v>2024.0</v>
      </c>
      <c r="B31" s="21" t="s">
        <v>82</v>
      </c>
      <c r="C31" s="8">
        <v>45442.0</v>
      </c>
      <c r="D31" s="35">
        <f t="shared" si="10"/>
        <v>0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35">
        <f t="shared" si="2"/>
        <v>0</v>
      </c>
      <c r="Q31" s="16"/>
      <c r="R31" s="16"/>
      <c r="S31" s="16"/>
      <c r="T31" s="16"/>
      <c r="U31" s="16"/>
      <c r="V31" s="35">
        <f t="shared" si="3"/>
        <v>0</v>
      </c>
      <c r="W31" s="16"/>
      <c r="X31" s="16"/>
      <c r="Y31" s="16"/>
      <c r="Z31" s="16"/>
      <c r="AA31" s="35">
        <f t="shared" si="4"/>
        <v>0</v>
      </c>
      <c r="AB31" s="16"/>
      <c r="AC31" s="16"/>
      <c r="AD31" s="35">
        <f t="shared" si="5"/>
        <v>0</v>
      </c>
      <c r="AE31" s="16"/>
      <c r="AF31" s="16"/>
      <c r="AG31" s="16"/>
      <c r="AH31" s="16"/>
      <c r="AI31" s="16"/>
      <c r="AJ31" s="35">
        <f t="shared" si="6"/>
        <v>0</v>
      </c>
      <c r="AK31" s="16"/>
      <c r="AL31" s="16"/>
      <c r="AM31" s="16"/>
      <c r="AN31" s="35">
        <f t="shared" si="7"/>
        <v>0</v>
      </c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86">
        <f t="shared" si="8"/>
        <v>0</v>
      </c>
      <c r="BI31" s="16">
        <f t="shared" si="9"/>
        <v>154986.926</v>
      </c>
      <c r="BJ31" s="16"/>
      <c r="BK31" s="16"/>
      <c r="BL31" s="16"/>
      <c r="BM31" s="16"/>
      <c r="BN31" s="16"/>
    </row>
    <row r="32">
      <c r="A32" s="88">
        <v>2024.0</v>
      </c>
      <c r="B32" s="89" t="s">
        <v>82</v>
      </c>
      <c r="C32" s="90">
        <v>45443.0</v>
      </c>
      <c r="D32" s="91">
        <f t="shared" si="10"/>
        <v>56618.26</v>
      </c>
      <c r="E32" s="92">
        <v>56618.26</v>
      </c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>
        <f t="shared" si="2"/>
        <v>3565.96</v>
      </c>
      <c r="Q32" s="93">
        <v>770.96</v>
      </c>
      <c r="R32" s="91"/>
      <c r="S32" s="93">
        <v>2795.0</v>
      </c>
      <c r="T32" s="91"/>
      <c r="U32" s="91"/>
      <c r="V32" s="91">
        <f t="shared" si="3"/>
        <v>0</v>
      </c>
      <c r="W32" s="91"/>
      <c r="X32" s="91"/>
      <c r="Y32" s="91"/>
      <c r="Z32" s="91"/>
      <c r="AA32" s="91">
        <f t="shared" si="4"/>
        <v>0</v>
      </c>
      <c r="AB32" s="91"/>
      <c r="AC32" s="91"/>
      <c r="AD32" s="91">
        <f t="shared" si="5"/>
        <v>1400</v>
      </c>
      <c r="AE32" s="91"/>
      <c r="AF32" s="94">
        <v>1100.0</v>
      </c>
      <c r="AG32" s="91"/>
      <c r="AH32" s="93">
        <v>300.0</v>
      </c>
      <c r="AI32" s="91"/>
      <c r="AJ32" s="91">
        <f t="shared" si="6"/>
        <v>0</v>
      </c>
      <c r="AK32" s="91"/>
      <c r="AL32" s="91"/>
      <c r="AM32" s="91"/>
      <c r="AN32" s="91">
        <f t="shared" si="7"/>
        <v>39754.752</v>
      </c>
      <c r="AO32" s="93">
        <v>0.0</v>
      </c>
      <c r="AP32" s="91"/>
      <c r="AQ32" s="91"/>
      <c r="AR32" s="91"/>
      <c r="AS32" s="91"/>
      <c r="AT32" s="91"/>
      <c r="AU32" s="91"/>
      <c r="AV32" s="91"/>
      <c r="AW32" s="91"/>
      <c r="AX32" s="91"/>
      <c r="AY32" s="91"/>
      <c r="AZ32" s="93">
        <f>((1545.84+654)*7.8)+1904+400+18792</f>
        <v>38254.752</v>
      </c>
      <c r="BA32" s="93">
        <v>1500.0</v>
      </c>
      <c r="BB32" s="91"/>
      <c r="BC32" s="91"/>
      <c r="BD32" s="91"/>
      <c r="BE32" s="91"/>
      <c r="BF32" s="91"/>
      <c r="BG32" s="91"/>
      <c r="BH32" s="95">
        <f t="shared" si="8"/>
        <v>101338.972</v>
      </c>
      <c r="BI32" s="91">
        <f t="shared" si="9"/>
        <v>256325.898</v>
      </c>
      <c r="BJ32" s="96">
        <f>(+335.41+952+750+1762.8)*7.8+(+9556.78+2420+1333.33+22000+44099.45+7800+8000+1350+1361.02)</f>
        <v>127562.218</v>
      </c>
      <c r="BK32" s="91"/>
      <c r="BL32" s="92">
        <v>35338.45</v>
      </c>
      <c r="BM32" s="91"/>
      <c r="BN32" s="91"/>
    </row>
    <row r="33">
      <c r="A33" s="14">
        <v>2024.0</v>
      </c>
      <c r="B33" s="21" t="s">
        <v>144</v>
      </c>
      <c r="C33" s="8">
        <v>45444.0</v>
      </c>
      <c r="D33" s="35">
        <f t="shared" si="10"/>
        <v>0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35">
        <f t="shared" si="2"/>
        <v>0</v>
      </c>
      <c r="Q33" s="16"/>
      <c r="R33" s="16"/>
      <c r="S33" s="16"/>
      <c r="T33" s="16"/>
      <c r="U33" s="16"/>
      <c r="V33" s="35">
        <f t="shared" si="3"/>
        <v>0</v>
      </c>
      <c r="W33" s="16"/>
      <c r="X33" s="16"/>
      <c r="Y33" s="16"/>
      <c r="Z33" s="16"/>
      <c r="AA33" s="35">
        <f t="shared" si="4"/>
        <v>0</v>
      </c>
      <c r="AB33" s="16"/>
      <c r="AC33" s="16"/>
      <c r="AD33" s="35">
        <f t="shared" si="5"/>
        <v>0</v>
      </c>
      <c r="AE33" s="16"/>
      <c r="AF33" s="16"/>
      <c r="AG33" s="16"/>
      <c r="AH33" s="16"/>
      <c r="AI33" s="16"/>
      <c r="AJ33" s="35">
        <f t="shared" si="6"/>
        <v>0</v>
      </c>
      <c r="AK33" s="16"/>
      <c r="AL33" s="16"/>
      <c r="AM33" s="16"/>
      <c r="AN33" s="35">
        <f t="shared" si="7"/>
        <v>0</v>
      </c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86">
        <f t="shared" si="8"/>
        <v>0</v>
      </c>
      <c r="BI33" s="16">
        <f>BH33</f>
        <v>0</v>
      </c>
      <c r="BJ33" s="16"/>
      <c r="BK33" s="16"/>
      <c r="BL33" s="16"/>
      <c r="BM33" s="16"/>
      <c r="BN33" s="16"/>
    </row>
    <row r="34">
      <c r="A34" s="14">
        <v>2024.0</v>
      </c>
      <c r="B34" s="21" t="s">
        <v>144</v>
      </c>
      <c r="C34" s="8">
        <v>45445.0</v>
      </c>
      <c r="D34" s="35">
        <f t="shared" si="10"/>
        <v>0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35">
        <f t="shared" si="2"/>
        <v>0</v>
      </c>
      <c r="Q34" s="16"/>
      <c r="R34" s="16"/>
      <c r="S34" s="16"/>
      <c r="T34" s="16"/>
      <c r="U34" s="16"/>
      <c r="V34" s="35">
        <f t="shared" si="3"/>
        <v>0</v>
      </c>
      <c r="W34" s="16"/>
      <c r="X34" s="16"/>
      <c r="Y34" s="16"/>
      <c r="Z34" s="16"/>
      <c r="AA34" s="35">
        <f t="shared" si="4"/>
        <v>0</v>
      </c>
      <c r="AB34" s="16"/>
      <c r="AC34" s="16"/>
      <c r="AD34" s="35">
        <f t="shared" si="5"/>
        <v>0</v>
      </c>
      <c r="AE34" s="16"/>
      <c r="AF34" s="16"/>
      <c r="AG34" s="16"/>
      <c r="AH34" s="16"/>
      <c r="AI34" s="16"/>
      <c r="AJ34" s="35">
        <f t="shared" si="6"/>
        <v>0</v>
      </c>
      <c r="AK34" s="16"/>
      <c r="AL34" s="16"/>
      <c r="AM34" s="16"/>
      <c r="AN34" s="35">
        <f t="shared" si="7"/>
        <v>0</v>
      </c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86">
        <f t="shared" si="8"/>
        <v>0</v>
      </c>
      <c r="BI34" s="16">
        <f t="shared" ref="BI34:BI67" si="11">BH34+BI33</f>
        <v>0</v>
      </c>
      <c r="BJ34" s="16"/>
      <c r="BK34" s="16"/>
      <c r="BL34" s="16"/>
      <c r="BM34" s="16"/>
      <c r="BN34" s="16"/>
    </row>
    <row r="35">
      <c r="A35" s="14">
        <v>2024.0</v>
      </c>
      <c r="B35" s="21" t="s">
        <v>144</v>
      </c>
      <c r="C35" s="8">
        <v>45446.0</v>
      </c>
      <c r="D35" s="35">
        <f t="shared" si="10"/>
        <v>0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35">
        <f t="shared" si="2"/>
        <v>0</v>
      </c>
      <c r="Q35" s="16"/>
      <c r="R35" s="16"/>
      <c r="S35" s="16"/>
      <c r="T35" s="16"/>
      <c r="U35" s="16"/>
      <c r="V35" s="35">
        <f t="shared" si="3"/>
        <v>1000</v>
      </c>
      <c r="W35" s="16"/>
      <c r="X35" s="16"/>
      <c r="Y35" s="12">
        <v>1000.0</v>
      </c>
      <c r="Z35" s="16"/>
      <c r="AA35" s="35">
        <f t="shared" si="4"/>
        <v>0</v>
      </c>
      <c r="AB35" s="16"/>
      <c r="AC35" s="16"/>
      <c r="AD35" s="35">
        <f t="shared" si="5"/>
        <v>0</v>
      </c>
      <c r="AE35" s="16"/>
      <c r="AF35" s="16"/>
      <c r="AG35" s="16"/>
      <c r="AH35" s="16"/>
      <c r="AI35" s="16"/>
      <c r="AJ35" s="35">
        <f t="shared" si="6"/>
        <v>0</v>
      </c>
      <c r="AK35" s="16"/>
      <c r="AL35" s="16"/>
      <c r="AM35" s="16"/>
      <c r="AN35" s="35">
        <f t="shared" si="7"/>
        <v>2791.26</v>
      </c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2">
        <v>2791.26</v>
      </c>
      <c r="BB35" s="16"/>
      <c r="BC35" s="16"/>
      <c r="BD35" s="16"/>
      <c r="BE35" s="16"/>
      <c r="BF35" s="16"/>
      <c r="BG35" s="16"/>
      <c r="BH35" s="86">
        <f t="shared" si="8"/>
        <v>3791.26</v>
      </c>
      <c r="BI35" s="16">
        <f t="shared" si="11"/>
        <v>3791.26</v>
      </c>
      <c r="BJ35" s="16"/>
      <c r="BK35" s="16"/>
      <c r="BL35" s="16"/>
      <c r="BM35" s="16"/>
      <c r="BN35" s="16"/>
    </row>
    <row r="36">
      <c r="A36" s="14">
        <v>2024.0</v>
      </c>
      <c r="B36" s="21" t="s">
        <v>144</v>
      </c>
      <c r="C36" s="8">
        <v>45447.0</v>
      </c>
      <c r="D36" s="35">
        <f t="shared" si="10"/>
        <v>0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35">
        <f t="shared" si="2"/>
        <v>0</v>
      </c>
      <c r="Q36" s="16"/>
      <c r="R36" s="16"/>
      <c r="S36" s="16"/>
      <c r="T36" s="16"/>
      <c r="U36" s="16"/>
      <c r="V36" s="35">
        <f t="shared" si="3"/>
        <v>0</v>
      </c>
      <c r="W36" s="16"/>
      <c r="X36" s="16"/>
      <c r="Y36" s="16"/>
      <c r="Z36" s="16"/>
      <c r="AA36" s="35">
        <f t="shared" si="4"/>
        <v>0</v>
      </c>
      <c r="AB36" s="16"/>
      <c r="AC36" s="16"/>
      <c r="AD36" s="35">
        <f t="shared" si="5"/>
        <v>0</v>
      </c>
      <c r="AE36" s="16"/>
      <c r="AF36" s="16"/>
      <c r="AG36" s="16"/>
      <c r="AH36" s="16"/>
      <c r="AI36" s="16"/>
      <c r="AJ36" s="35">
        <f t="shared" si="6"/>
        <v>2900</v>
      </c>
      <c r="AK36" s="12">
        <v>2900.0</v>
      </c>
      <c r="AL36" s="16"/>
      <c r="AM36" s="16"/>
      <c r="AN36" s="35">
        <f t="shared" si="7"/>
        <v>6900</v>
      </c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2">
        <v>6900.0</v>
      </c>
      <c r="BB36" s="16"/>
      <c r="BC36" s="16"/>
      <c r="BD36" s="16"/>
      <c r="BE36" s="16"/>
      <c r="BF36" s="16"/>
      <c r="BG36" s="16"/>
      <c r="BH36" s="86">
        <f t="shared" si="8"/>
        <v>9800</v>
      </c>
      <c r="BI36" s="16">
        <f t="shared" si="11"/>
        <v>13591.26</v>
      </c>
      <c r="BJ36" s="16"/>
      <c r="BK36" s="16"/>
      <c r="BL36" s="16"/>
      <c r="BM36" s="16"/>
      <c r="BN36" s="16"/>
    </row>
    <row r="37">
      <c r="A37" s="14">
        <v>2024.0</v>
      </c>
      <c r="B37" s="21" t="s">
        <v>144</v>
      </c>
      <c r="C37" s="8">
        <v>45448.0</v>
      </c>
      <c r="D37" s="35">
        <f>SUM(E37:O37)</f>
        <v>1950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2">
        <v>1950.0</v>
      </c>
      <c r="P37" s="35">
        <f t="shared" si="2"/>
        <v>0</v>
      </c>
      <c r="Q37" s="16"/>
      <c r="R37" s="16"/>
      <c r="S37" s="16"/>
      <c r="T37" s="16"/>
      <c r="U37" s="16"/>
      <c r="V37" s="35">
        <f t="shared" si="3"/>
        <v>0</v>
      </c>
      <c r="W37" s="16"/>
      <c r="X37" s="16"/>
      <c r="Y37" s="16"/>
      <c r="Z37" s="16"/>
      <c r="AA37" s="35">
        <f t="shared" si="4"/>
        <v>0</v>
      </c>
      <c r="AB37" s="16"/>
      <c r="AC37" s="16"/>
      <c r="AD37" s="35">
        <f t="shared" si="5"/>
        <v>0</v>
      </c>
      <c r="AE37" s="16"/>
      <c r="AF37" s="16"/>
      <c r="AG37" s="16"/>
      <c r="AH37" s="16"/>
      <c r="AI37" s="16"/>
      <c r="AJ37" s="35">
        <f t="shared" si="6"/>
        <v>0</v>
      </c>
      <c r="AK37" s="16"/>
      <c r="AL37" s="16"/>
      <c r="AM37" s="16"/>
      <c r="AN37" s="35">
        <f t="shared" si="7"/>
        <v>19902.918</v>
      </c>
      <c r="AO37" s="16"/>
      <c r="AP37" s="16">
        <f>(+1246.36*7.8)+14509.85-4328.54</f>
        <v>19902.918</v>
      </c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86">
        <f t="shared" si="8"/>
        <v>21852.918</v>
      </c>
      <c r="BI37" s="16">
        <f t="shared" si="11"/>
        <v>35444.178</v>
      </c>
      <c r="BJ37" s="16"/>
      <c r="BK37" s="16"/>
      <c r="BL37" s="16"/>
      <c r="BM37" s="16"/>
      <c r="BN37" s="16"/>
    </row>
    <row r="38">
      <c r="A38" s="14">
        <v>2024.0</v>
      </c>
      <c r="B38" s="21" t="s">
        <v>144</v>
      </c>
      <c r="C38" s="8">
        <v>45449.0</v>
      </c>
      <c r="D38" s="35">
        <f t="shared" ref="D38:D41" si="12">SUM(E38:N38)</f>
        <v>0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35">
        <f t="shared" si="2"/>
        <v>0</v>
      </c>
      <c r="Q38" s="16"/>
      <c r="R38" s="16"/>
      <c r="S38" s="16"/>
      <c r="T38" s="16"/>
      <c r="U38" s="16"/>
      <c r="V38" s="35">
        <f t="shared" si="3"/>
        <v>0</v>
      </c>
      <c r="W38" s="16"/>
      <c r="X38" s="16"/>
      <c r="Y38" s="16"/>
      <c r="Z38" s="16"/>
      <c r="AA38" s="35">
        <f t="shared" si="4"/>
        <v>0</v>
      </c>
      <c r="AB38" s="16"/>
      <c r="AC38" s="16"/>
      <c r="AD38" s="35">
        <f t="shared" si="5"/>
        <v>0</v>
      </c>
      <c r="AE38" s="16"/>
      <c r="AF38" s="16"/>
      <c r="AG38" s="16"/>
      <c r="AH38" s="16"/>
      <c r="AI38" s="16"/>
      <c r="AJ38" s="35">
        <f t="shared" si="6"/>
        <v>0</v>
      </c>
      <c r="AK38" s="16"/>
      <c r="AL38" s="16"/>
      <c r="AM38" s="16"/>
      <c r="AN38" s="35">
        <f t="shared" si="7"/>
        <v>0</v>
      </c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86">
        <f t="shared" si="8"/>
        <v>0</v>
      </c>
      <c r="BI38" s="16">
        <f t="shared" si="11"/>
        <v>35444.178</v>
      </c>
      <c r="BJ38" s="16"/>
      <c r="BK38" s="16"/>
      <c r="BL38" s="16"/>
      <c r="BM38" s="16"/>
      <c r="BN38" s="16"/>
    </row>
    <row r="39">
      <c r="A39" s="14">
        <v>2024.0</v>
      </c>
      <c r="B39" s="21" t="s">
        <v>144</v>
      </c>
      <c r="C39" s="8">
        <v>45450.0</v>
      </c>
      <c r="D39" s="35">
        <f t="shared" si="12"/>
        <v>0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35">
        <f t="shared" si="2"/>
        <v>1622.23</v>
      </c>
      <c r="Q39" s="16"/>
      <c r="R39" s="16"/>
      <c r="S39" s="16">
        <f>299+61.53+111.54+171.68+239.32+83.3+81.4+53</f>
        <v>1100.77</v>
      </c>
      <c r="T39" s="12">
        <v>521.46</v>
      </c>
      <c r="U39" s="16"/>
      <c r="V39" s="35">
        <f t="shared" si="3"/>
        <v>475</v>
      </c>
      <c r="W39" s="16"/>
      <c r="X39" s="12">
        <v>475.0</v>
      </c>
      <c r="Y39" s="16"/>
      <c r="Z39" s="16"/>
      <c r="AA39" s="35">
        <f t="shared" si="4"/>
        <v>499.8</v>
      </c>
      <c r="AB39" s="16"/>
      <c r="AC39" s="12">
        <v>499.8</v>
      </c>
      <c r="AD39" s="35">
        <f t="shared" si="5"/>
        <v>500</v>
      </c>
      <c r="AE39" s="16"/>
      <c r="AF39" s="16"/>
      <c r="AG39" s="16"/>
      <c r="AH39" s="12">
        <v>500.0</v>
      </c>
      <c r="AI39" s="16"/>
      <c r="AJ39" s="35">
        <f t="shared" si="6"/>
        <v>982.8</v>
      </c>
      <c r="AK39" s="12">
        <f>310.8+672</f>
        <v>982.8</v>
      </c>
      <c r="AL39" s="16"/>
      <c r="AM39" s="16"/>
      <c r="AN39" s="35">
        <f t="shared" si="7"/>
        <v>1302</v>
      </c>
      <c r="AO39" s="16"/>
      <c r="AP39" s="16"/>
      <c r="AQ39" s="16"/>
      <c r="AR39" s="16"/>
      <c r="AS39" s="16"/>
      <c r="AT39" s="16"/>
      <c r="AU39" s="16"/>
      <c r="AV39" s="16"/>
      <c r="AW39" s="12">
        <v>617.0</v>
      </c>
      <c r="AX39" s="16"/>
      <c r="AY39" s="16"/>
      <c r="AZ39" s="16"/>
      <c r="BA39" s="12">
        <v>685.0</v>
      </c>
      <c r="BB39" s="16"/>
      <c r="BC39" s="16"/>
      <c r="BD39" s="16"/>
      <c r="BE39" s="16"/>
      <c r="BF39" s="16"/>
      <c r="BG39" s="16"/>
      <c r="BH39" s="86">
        <f t="shared" si="8"/>
        <v>5381.83</v>
      </c>
      <c r="BI39" s="16">
        <f t="shared" si="11"/>
        <v>40826.008</v>
      </c>
      <c r="BJ39" s="16"/>
      <c r="BK39" s="16"/>
      <c r="BL39" s="16"/>
      <c r="BM39" s="16"/>
      <c r="BN39" s="16"/>
    </row>
    <row r="40">
      <c r="A40" s="14">
        <v>2024.0</v>
      </c>
      <c r="B40" s="21" t="s">
        <v>144</v>
      </c>
      <c r="C40" s="8">
        <v>45451.0</v>
      </c>
      <c r="D40" s="35">
        <f t="shared" si="12"/>
        <v>0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35">
        <f t="shared" si="2"/>
        <v>0</v>
      </c>
      <c r="Q40" s="16"/>
      <c r="R40" s="16"/>
      <c r="S40" s="16"/>
      <c r="T40" s="16"/>
      <c r="U40" s="16"/>
      <c r="V40" s="35">
        <f t="shared" si="3"/>
        <v>0</v>
      </c>
      <c r="W40" s="16"/>
      <c r="X40" s="16"/>
      <c r="Y40" s="16"/>
      <c r="Z40" s="16"/>
      <c r="AA40" s="35">
        <f t="shared" si="4"/>
        <v>0</v>
      </c>
      <c r="AB40" s="16"/>
      <c r="AC40" s="16"/>
      <c r="AD40" s="35">
        <f t="shared" si="5"/>
        <v>0</v>
      </c>
      <c r="AE40" s="16"/>
      <c r="AF40" s="16"/>
      <c r="AG40" s="16"/>
      <c r="AH40" s="16"/>
      <c r="AI40" s="16"/>
      <c r="AJ40" s="35">
        <f t="shared" si="6"/>
        <v>0</v>
      </c>
      <c r="AK40" s="16"/>
      <c r="AL40" s="16"/>
      <c r="AM40" s="16"/>
      <c r="AN40" s="35">
        <f t="shared" si="7"/>
        <v>0</v>
      </c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86">
        <f t="shared" si="8"/>
        <v>0</v>
      </c>
      <c r="BI40" s="16">
        <f t="shared" si="11"/>
        <v>40826.008</v>
      </c>
      <c r="BJ40" s="16"/>
      <c r="BK40" s="16"/>
      <c r="BL40" s="16"/>
      <c r="BM40" s="16"/>
      <c r="BN40" s="16"/>
    </row>
    <row r="41">
      <c r="A41" s="14">
        <v>2024.0</v>
      </c>
      <c r="B41" s="21" t="s">
        <v>144</v>
      </c>
      <c r="C41" s="8">
        <v>45452.0</v>
      </c>
      <c r="D41" s="35">
        <f t="shared" si="12"/>
        <v>0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5">
        <f t="shared" si="2"/>
        <v>0</v>
      </c>
      <c r="Q41" s="16"/>
      <c r="R41" s="16"/>
      <c r="S41" s="16"/>
      <c r="T41" s="16"/>
      <c r="U41" s="16"/>
      <c r="V41" s="35">
        <f t="shared" si="3"/>
        <v>0</v>
      </c>
      <c r="W41" s="16"/>
      <c r="X41" s="16"/>
      <c r="Y41" s="16"/>
      <c r="Z41" s="16"/>
      <c r="AA41" s="35">
        <f t="shared" si="4"/>
        <v>0</v>
      </c>
      <c r="AB41" s="16"/>
      <c r="AC41" s="16"/>
      <c r="AD41" s="35">
        <f t="shared" si="5"/>
        <v>0</v>
      </c>
      <c r="AE41" s="16"/>
      <c r="AF41" s="16"/>
      <c r="AG41" s="16"/>
      <c r="AH41" s="16"/>
      <c r="AI41" s="16"/>
      <c r="AJ41" s="35">
        <f t="shared" si="6"/>
        <v>0</v>
      </c>
      <c r="AK41" s="16"/>
      <c r="AL41" s="16"/>
      <c r="AM41" s="16"/>
      <c r="AN41" s="35">
        <f t="shared" si="7"/>
        <v>0</v>
      </c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86">
        <f t="shared" si="8"/>
        <v>0</v>
      </c>
      <c r="BI41" s="16">
        <f t="shared" si="11"/>
        <v>40826.008</v>
      </c>
      <c r="BJ41" s="16"/>
      <c r="BK41" s="16"/>
      <c r="BL41" s="16"/>
      <c r="BM41" s="16"/>
      <c r="BN41" s="16"/>
    </row>
    <row r="42">
      <c r="A42" s="14">
        <v>2024.0</v>
      </c>
      <c r="B42" s="21" t="s">
        <v>144</v>
      </c>
      <c r="C42" s="8">
        <v>45453.0</v>
      </c>
      <c r="D42" s="35">
        <f>SUM(E42:O42)</f>
        <v>545.19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2">
        <v>545.19</v>
      </c>
      <c r="P42" s="35">
        <f t="shared" si="2"/>
        <v>0</v>
      </c>
      <c r="Q42" s="16"/>
      <c r="R42" s="16"/>
      <c r="S42" s="16"/>
      <c r="T42" s="16"/>
      <c r="U42" s="16"/>
      <c r="V42" s="35">
        <f t="shared" si="3"/>
        <v>0</v>
      </c>
      <c r="W42" s="16"/>
      <c r="X42" s="16"/>
      <c r="Y42" s="16"/>
      <c r="Z42" s="16"/>
      <c r="AA42" s="35">
        <f t="shared" si="4"/>
        <v>0</v>
      </c>
      <c r="AB42" s="16"/>
      <c r="AC42" s="16"/>
      <c r="AD42" s="35">
        <f t="shared" si="5"/>
        <v>0</v>
      </c>
      <c r="AE42" s="16"/>
      <c r="AF42" s="16"/>
      <c r="AG42" s="16"/>
      <c r="AH42" s="16"/>
      <c r="AI42" s="16"/>
      <c r="AJ42" s="35">
        <f t="shared" si="6"/>
        <v>0</v>
      </c>
      <c r="AK42" s="16"/>
      <c r="AL42" s="16"/>
      <c r="AM42" s="16"/>
      <c r="AN42" s="35">
        <f t="shared" si="7"/>
        <v>0</v>
      </c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86">
        <f t="shared" si="8"/>
        <v>545.19</v>
      </c>
      <c r="BI42" s="16">
        <f t="shared" si="11"/>
        <v>41371.198</v>
      </c>
      <c r="BJ42" s="16"/>
      <c r="BK42" s="16"/>
      <c r="BL42" s="16"/>
      <c r="BM42" s="16"/>
      <c r="BN42" s="16"/>
    </row>
    <row r="43">
      <c r="A43" s="14">
        <v>2024.0</v>
      </c>
      <c r="B43" s="21" t="s">
        <v>144</v>
      </c>
      <c r="C43" s="8">
        <v>45454.0</v>
      </c>
      <c r="D43" s="35">
        <f t="shared" ref="D43:D121" si="13">SUM(E43:N43)</f>
        <v>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35">
        <f t="shared" si="2"/>
        <v>0</v>
      </c>
      <c r="Q43" s="16"/>
      <c r="R43" s="16"/>
      <c r="S43" s="16"/>
      <c r="T43" s="16"/>
      <c r="U43" s="16"/>
      <c r="V43" s="35">
        <f t="shared" si="3"/>
        <v>0</v>
      </c>
      <c r="W43" s="16"/>
      <c r="X43" s="16"/>
      <c r="Y43" s="16"/>
      <c r="Z43" s="16"/>
      <c r="AA43" s="35">
        <f t="shared" si="4"/>
        <v>0</v>
      </c>
      <c r="AB43" s="16"/>
      <c r="AC43" s="16"/>
      <c r="AD43" s="35">
        <f t="shared" si="5"/>
        <v>0</v>
      </c>
      <c r="AE43" s="16"/>
      <c r="AF43" s="16"/>
      <c r="AG43" s="16"/>
      <c r="AH43" s="16"/>
      <c r="AI43" s="16"/>
      <c r="AJ43" s="35">
        <f t="shared" si="6"/>
        <v>0</v>
      </c>
      <c r="AK43" s="16"/>
      <c r="AL43" s="16"/>
      <c r="AM43" s="16"/>
      <c r="AN43" s="35">
        <f t="shared" si="7"/>
        <v>0</v>
      </c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86">
        <f t="shared" si="8"/>
        <v>0</v>
      </c>
      <c r="BI43" s="16">
        <f t="shared" si="11"/>
        <v>41371.198</v>
      </c>
      <c r="BJ43" s="16"/>
      <c r="BK43" s="16"/>
      <c r="BL43" s="16"/>
      <c r="BM43" s="16"/>
      <c r="BN43" s="16"/>
    </row>
    <row r="44">
      <c r="A44" s="14">
        <v>2024.0</v>
      </c>
      <c r="B44" s="21" t="s">
        <v>144</v>
      </c>
      <c r="C44" s="8">
        <v>45455.0</v>
      </c>
      <c r="D44" s="35">
        <f t="shared" si="13"/>
        <v>0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35">
        <f t="shared" si="2"/>
        <v>0</v>
      </c>
      <c r="Q44" s="16"/>
      <c r="R44" s="16"/>
      <c r="S44" s="16"/>
      <c r="T44" s="16"/>
      <c r="U44" s="16"/>
      <c r="V44" s="35">
        <f t="shared" si="3"/>
        <v>0</v>
      </c>
      <c r="W44" s="16"/>
      <c r="X44" s="16"/>
      <c r="Y44" s="16"/>
      <c r="Z44" s="16"/>
      <c r="AA44" s="35">
        <f t="shared" si="4"/>
        <v>0</v>
      </c>
      <c r="AB44" s="16"/>
      <c r="AC44" s="16"/>
      <c r="AD44" s="35">
        <f t="shared" si="5"/>
        <v>0</v>
      </c>
      <c r="AE44" s="16"/>
      <c r="AF44" s="16"/>
      <c r="AG44" s="16"/>
      <c r="AH44" s="16"/>
      <c r="AI44" s="16"/>
      <c r="AJ44" s="35">
        <f t="shared" si="6"/>
        <v>0</v>
      </c>
      <c r="AK44" s="16"/>
      <c r="AL44" s="16"/>
      <c r="AM44" s="16"/>
      <c r="AN44" s="35">
        <f t="shared" si="7"/>
        <v>0</v>
      </c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86">
        <f t="shared" si="8"/>
        <v>0</v>
      </c>
      <c r="BI44" s="16">
        <f t="shared" si="11"/>
        <v>41371.198</v>
      </c>
      <c r="BJ44" s="16"/>
      <c r="BK44" s="16"/>
      <c r="BL44" s="16"/>
      <c r="BM44" s="16"/>
      <c r="BN44" s="16"/>
    </row>
    <row r="45">
      <c r="A45" s="14">
        <v>2024.0</v>
      </c>
      <c r="B45" s="21" t="s">
        <v>144</v>
      </c>
      <c r="C45" s="8">
        <v>45456.0</v>
      </c>
      <c r="D45" s="35">
        <f t="shared" si="13"/>
        <v>0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35">
        <f t="shared" si="2"/>
        <v>0</v>
      </c>
      <c r="Q45" s="16"/>
      <c r="R45" s="16"/>
      <c r="S45" s="16"/>
      <c r="T45" s="16"/>
      <c r="U45" s="16"/>
      <c r="V45" s="35">
        <f t="shared" si="3"/>
        <v>0</v>
      </c>
      <c r="W45" s="16"/>
      <c r="X45" s="16"/>
      <c r="Y45" s="16"/>
      <c r="Z45" s="16"/>
      <c r="AA45" s="35">
        <f t="shared" si="4"/>
        <v>0</v>
      </c>
      <c r="AB45" s="16"/>
      <c r="AC45" s="16"/>
      <c r="AD45" s="35">
        <f t="shared" si="5"/>
        <v>300</v>
      </c>
      <c r="AE45" s="16"/>
      <c r="AF45" s="16"/>
      <c r="AG45" s="16"/>
      <c r="AH45" s="12">
        <v>300.0</v>
      </c>
      <c r="AI45" s="16"/>
      <c r="AJ45" s="35">
        <f t="shared" si="6"/>
        <v>0</v>
      </c>
      <c r="AK45" s="16"/>
      <c r="AL45" s="16"/>
      <c r="AM45" s="16"/>
      <c r="AN45" s="35">
        <f t="shared" si="7"/>
        <v>0</v>
      </c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86">
        <f t="shared" si="8"/>
        <v>300</v>
      </c>
      <c r="BI45" s="16">
        <f t="shared" si="11"/>
        <v>41671.198</v>
      </c>
      <c r="BJ45" s="16"/>
      <c r="BK45" s="16"/>
      <c r="BL45" s="16"/>
      <c r="BM45" s="16"/>
      <c r="BN45" s="16"/>
    </row>
    <row r="46">
      <c r="A46" s="14">
        <v>2024.0</v>
      </c>
      <c r="B46" s="21" t="s">
        <v>144</v>
      </c>
      <c r="C46" s="8">
        <v>45457.0</v>
      </c>
      <c r="D46" s="35">
        <f t="shared" si="13"/>
        <v>0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35">
        <f t="shared" si="2"/>
        <v>0</v>
      </c>
      <c r="Q46" s="16"/>
      <c r="R46" s="16"/>
      <c r="S46" s="16"/>
      <c r="T46" s="16"/>
      <c r="U46" s="16"/>
      <c r="V46" s="35">
        <f t="shared" si="3"/>
        <v>0</v>
      </c>
      <c r="W46" s="16"/>
      <c r="X46" s="16"/>
      <c r="Y46" s="16"/>
      <c r="Z46" s="16"/>
      <c r="AA46" s="35">
        <f t="shared" si="4"/>
        <v>7200</v>
      </c>
      <c r="AB46" s="12">
        <v>7200.0</v>
      </c>
      <c r="AC46" s="16"/>
      <c r="AD46" s="35">
        <f t="shared" si="5"/>
        <v>0</v>
      </c>
      <c r="AE46" s="16"/>
      <c r="AF46" s="16"/>
      <c r="AG46" s="16"/>
      <c r="AH46" s="16"/>
      <c r="AI46" s="16"/>
      <c r="AJ46" s="35">
        <f t="shared" si="6"/>
        <v>0</v>
      </c>
      <c r="AK46" s="16"/>
      <c r="AL46" s="16"/>
      <c r="AM46" s="16"/>
      <c r="AN46" s="35">
        <f t="shared" si="7"/>
        <v>9450</v>
      </c>
      <c r="AO46" s="16"/>
      <c r="AP46" s="12">
        <v>9450.0</v>
      </c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86">
        <f t="shared" si="8"/>
        <v>16650</v>
      </c>
      <c r="BI46" s="16">
        <f t="shared" si="11"/>
        <v>58321.198</v>
      </c>
      <c r="BJ46" s="16"/>
      <c r="BK46" s="16"/>
      <c r="BL46" s="16"/>
      <c r="BM46" s="16"/>
      <c r="BN46" s="16"/>
    </row>
    <row r="47">
      <c r="A47" s="14">
        <v>2024.0</v>
      </c>
      <c r="B47" s="21" t="s">
        <v>144</v>
      </c>
      <c r="C47" s="8">
        <v>45458.0</v>
      </c>
      <c r="D47" s="35">
        <f t="shared" si="13"/>
        <v>0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35">
        <f t="shared" si="2"/>
        <v>0</v>
      </c>
      <c r="Q47" s="16"/>
      <c r="R47" s="16"/>
      <c r="S47" s="16"/>
      <c r="T47" s="16"/>
      <c r="U47" s="16"/>
      <c r="V47" s="35">
        <f t="shared" si="3"/>
        <v>0</v>
      </c>
      <c r="W47" s="16"/>
      <c r="X47" s="16"/>
      <c r="Y47" s="16"/>
      <c r="Z47" s="16"/>
      <c r="AA47" s="35">
        <f t="shared" si="4"/>
        <v>0</v>
      </c>
      <c r="AB47" s="16"/>
      <c r="AC47" s="16"/>
      <c r="AD47" s="35">
        <f t="shared" si="5"/>
        <v>250</v>
      </c>
      <c r="AE47" s="16"/>
      <c r="AF47" s="16"/>
      <c r="AG47" s="12">
        <v>250.0</v>
      </c>
      <c r="AH47" s="16"/>
      <c r="AI47" s="16"/>
      <c r="AJ47" s="35">
        <f t="shared" si="6"/>
        <v>0</v>
      </c>
      <c r="AK47" s="16"/>
      <c r="AL47" s="16"/>
      <c r="AM47" s="16"/>
      <c r="AN47" s="35">
        <f t="shared" si="7"/>
        <v>0</v>
      </c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86">
        <f t="shared" si="8"/>
        <v>250</v>
      </c>
      <c r="BI47" s="16">
        <f t="shared" si="11"/>
        <v>58571.198</v>
      </c>
      <c r="BJ47" s="16"/>
      <c r="BK47" s="16"/>
      <c r="BL47" s="16"/>
      <c r="BM47" s="16"/>
      <c r="BN47" s="16"/>
    </row>
    <row r="48">
      <c r="A48" s="14">
        <v>2024.0</v>
      </c>
      <c r="B48" s="21" t="s">
        <v>144</v>
      </c>
      <c r="C48" s="8">
        <v>45459.0</v>
      </c>
      <c r="D48" s="35">
        <f t="shared" si="13"/>
        <v>0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35">
        <f t="shared" si="2"/>
        <v>0</v>
      </c>
      <c r="Q48" s="16"/>
      <c r="R48" s="16"/>
      <c r="S48" s="16"/>
      <c r="T48" s="16"/>
      <c r="U48" s="16"/>
      <c r="V48" s="35">
        <f t="shared" si="3"/>
        <v>0</v>
      </c>
      <c r="W48" s="16"/>
      <c r="X48" s="16"/>
      <c r="Y48" s="16"/>
      <c r="Z48" s="16"/>
      <c r="AA48" s="35">
        <f t="shared" si="4"/>
        <v>0</v>
      </c>
      <c r="AB48" s="16"/>
      <c r="AC48" s="16"/>
      <c r="AD48" s="35">
        <f t="shared" si="5"/>
        <v>0</v>
      </c>
      <c r="AE48" s="16"/>
      <c r="AF48" s="16"/>
      <c r="AG48" s="16"/>
      <c r="AH48" s="16"/>
      <c r="AI48" s="16"/>
      <c r="AJ48" s="35">
        <f t="shared" si="6"/>
        <v>0</v>
      </c>
      <c r="AK48" s="16"/>
      <c r="AL48" s="16"/>
      <c r="AM48" s="16"/>
      <c r="AN48" s="35">
        <f t="shared" si="7"/>
        <v>0</v>
      </c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86">
        <f t="shared" si="8"/>
        <v>0</v>
      </c>
      <c r="BI48" s="16">
        <f t="shared" si="11"/>
        <v>58571.198</v>
      </c>
      <c r="BJ48" s="16"/>
      <c r="BK48" s="16"/>
      <c r="BL48" s="16"/>
      <c r="BM48" s="16"/>
      <c r="BN48" s="16"/>
    </row>
    <row r="49">
      <c r="A49" s="14">
        <v>2024.0</v>
      </c>
      <c r="B49" s="21" t="s">
        <v>144</v>
      </c>
      <c r="C49" s="8">
        <v>45460.0</v>
      </c>
      <c r="D49" s="35">
        <f t="shared" si="13"/>
        <v>0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35">
        <f t="shared" si="2"/>
        <v>0</v>
      </c>
      <c r="Q49" s="16"/>
      <c r="R49" s="16"/>
      <c r="S49" s="16"/>
      <c r="T49" s="16"/>
      <c r="U49" s="16"/>
      <c r="V49" s="35">
        <f t="shared" si="3"/>
        <v>0</v>
      </c>
      <c r="W49" s="16"/>
      <c r="X49" s="16"/>
      <c r="Y49" s="16"/>
      <c r="Z49" s="16"/>
      <c r="AA49" s="35">
        <f t="shared" si="4"/>
        <v>0</v>
      </c>
      <c r="AB49" s="16"/>
      <c r="AC49" s="16"/>
      <c r="AD49" s="35">
        <f t="shared" si="5"/>
        <v>0</v>
      </c>
      <c r="AE49" s="16"/>
      <c r="AF49" s="16"/>
      <c r="AG49" s="16"/>
      <c r="AH49" s="16"/>
      <c r="AI49" s="16"/>
      <c r="AJ49" s="35">
        <f t="shared" si="6"/>
        <v>0</v>
      </c>
      <c r="AK49" s="16"/>
      <c r="AL49" s="16"/>
      <c r="AM49" s="16"/>
      <c r="AN49" s="35">
        <f t="shared" si="7"/>
        <v>0</v>
      </c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86">
        <f t="shared" si="8"/>
        <v>0</v>
      </c>
      <c r="BI49" s="16">
        <f t="shared" si="11"/>
        <v>58571.198</v>
      </c>
      <c r="BJ49" s="16"/>
      <c r="BK49" s="16"/>
      <c r="BL49" s="16"/>
      <c r="BM49" s="16"/>
      <c r="BN49" s="16"/>
    </row>
    <row r="50">
      <c r="A50" s="14">
        <v>2024.0</v>
      </c>
      <c r="B50" s="21" t="s">
        <v>144</v>
      </c>
      <c r="C50" s="8">
        <v>45461.0</v>
      </c>
      <c r="D50" s="35">
        <f t="shared" si="13"/>
        <v>0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35">
        <f t="shared" si="2"/>
        <v>0</v>
      </c>
      <c r="Q50" s="16"/>
      <c r="R50" s="16"/>
      <c r="S50" s="16"/>
      <c r="T50" s="16"/>
      <c r="U50" s="16"/>
      <c r="V50" s="35">
        <f t="shared" si="3"/>
        <v>0</v>
      </c>
      <c r="W50" s="16"/>
      <c r="X50" s="16"/>
      <c r="Y50" s="16"/>
      <c r="Z50" s="16"/>
      <c r="AA50" s="35">
        <f t="shared" si="4"/>
        <v>0</v>
      </c>
      <c r="AB50" s="16"/>
      <c r="AC50" s="16"/>
      <c r="AD50" s="35">
        <f t="shared" si="5"/>
        <v>0</v>
      </c>
      <c r="AE50" s="16"/>
      <c r="AF50" s="16"/>
      <c r="AG50" s="16"/>
      <c r="AH50" s="16"/>
      <c r="AI50" s="16"/>
      <c r="AJ50" s="35">
        <f t="shared" si="6"/>
        <v>0</v>
      </c>
      <c r="AK50" s="16"/>
      <c r="AL50" s="16"/>
      <c r="AM50" s="16"/>
      <c r="AN50" s="35">
        <f t="shared" si="7"/>
        <v>0</v>
      </c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86">
        <f t="shared" si="8"/>
        <v>0</v>
      </c>
      <c r="BI50" s="16">
        <f t="shared" si="11"/>
        <v>58571.198</v>
      </c>
      <c r="BJ50" s="16"/>
      <c r="BK50" s="16"/>
      <c r="BL50" s="16"/>
      <c r="BM50" s="16"/>
      <c r="BN50" s="16"/>
    </row>
    <row r="51">
      <c r="A51" s="14">
        <v>2024.0</v>
      </c>
      <c r="B51" s="21" t="s">
        <v>144</v>
      </c>
      <c r="C51" s="8">
        <v>45462.0</v>
      </c>
      <c r="D51" s="35">
        <f t="shared" si="13"/>
        <v>0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35">
        <f t="shared" si="2"/>
        <v>1304.26</v>
      </c>
      <c r="Q51" s="12">
        <v>770.96</v>
      </c>
      <c r="R51" s="16"/>
      <c r="S51" s="16"/>
      <c r="T51" s="16"/>
      <c r="U51" s="12">
        <v>533.3</v>
      </c>
      <c r="V51" s="35">
        <f t="shared" si="3"/>
        <v>5592.5</v>
      </c>
      <c r="W51" s="16"/>
      <c r="X51" s="12">
        <v>5592.5</v>
      </c>
      <c r="Y51" s="16"/>
      <c r="Z51" s="16"/>
      <c r="AA51" s="35">
        <f t="shared" si="4"/>
        <v>0</v>
      </c>
      <c r="AB51" s="16"/>
      <c r="AC51" s="16"/>
      <c r="AD51" s="35">
        <f t="shared" si="5"/>
        <v>0</v>
      </c>
      <c r="AE51" s="16"/>
      <c r="AF51" s="16"/>
      <c r="AG51" s="16"/>
      <c r="AH51" s="16"/>
      <c r="AI51" s="16"/>
      <c r="AJ51" s="35">
        <f t="shared" si="6"/>
        <v>0</v>
      </c>
      <c r="AK51" s="16"/>
      <c r="AL51" s="16"/>
      <c r="AM51" s="16"/>
      <c r="AN51" s="35">
        <f t="shared" si="7"/>
        <v>0</v>
      </c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86">
        <f t="shared" si="8"/>
        <v>6896.76</v>
      </c>
      <c r="BI51" s="16">
        <f t="shared" si="11"/>
        <v>65467.958</v>
      </c>
      <c r="BJ51" s="16"/>
      <c r="BK51" s="16"/>
      <c r="BL51" s="16"/>
      <c r="BM51" s="16"/>
      <c r="BN51" s="16"/>
    </row>
    <row r="52">
      <c r="A52" s="14">
        <v>2024.0</v>
      </c>
      <c r="B52" s="21" t="s">
        <v>144</v>
      </c>
      <c r="C52" s="8">
        <v>45463.0</v>
      </c>
      <c r="D52" s="35">
        <f t="shared" si="13"/>
        <v>6209.07</v>
      </c>
      <c r="E52" s="16"/>
      <c r="F52" s="16"/>
      <c r="G52" s="16"/>
      <c r="H52" s="16"/>
      <c r="I52" s="16"/>
      <c r="J52" s="16"/>
      <c r="K52" s="16"/>
      <c r="L52" s="16"/>
      <c r="M52" s="12">
        <v>6209.07</v>
      </c>
      <c r="N52" s="16"/>
      <c r="O52" s="16"/>
      <c r="P52" s="35">
        <f t="shared" si="2"/>
        <v>0</v>
      </c>
      <c r="Q52" s="16"/>
      <c r="R52" s="16"/>
      <c r="S52" s="16"/>
      <c r="T52" s="16"/>
      <c r="U52" s="16"/>
      <c r="V52" s="35">
        <f t="shared" si="3"/>
        <v>0</v>
      </c>
      <c r="W52" s="16"/>
      <c r="X52" s="16"/>
      <c r="Y52" s="16"/>
      <c r="Z52" s="16"/>
      <c r="AA52" s="35">
        <f t="shared" si="4"/>
        <v>0</v>
      </c>
      <c r="AB52" s="16"/>
      <c r="AC52" s="16"/>
      <c r="AD52" s="35">
        <f t="shared" si="5"/>
        <v>0</v>
      </c>
      <c r="AE52" s="16"/>
      <c r="AF52" s="16"/>
      <c r="AG52" s="16"/>
      <c r="AH52" s="16"/>
      <c r="AI52" s="16"/>
      <c r="AJ52" s="35">
        <f t="shared" si="6"/>
        <v>0</v>
      </c>
      <c r="AK52" s="16"/>
      <c r="AL52" s="16"/>
      <c r="AM52" s="16"/>
      <c r="AN52" s="35">
        <f t="shared" si="7"/>
        <v>0</v>
      </c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86">
        <f t="shared" si="8"/>
        <v>6209.07</v>
      </c>
      <c r="BI52" s="16">
        <f t="shared" si="11"/>
        <v>71677.028</v>
      </c>
      <c r="BJ52" s="12">
        <v>6328.0</v>
      </c>
      <c r="BK52" s="16"/>
      <c r="BL52" s="16"/>
      <c r="BM52" s="16"/>
      <c r="BN52" s="16"/>
    </row>
    <row r="53">
      <c r="A53" s="14">
        <v>2024.0</v>
      </c>
      <c r="B53" s="21" t="s">
        <v>144</v>
      </c>
      <c r="C53" s="8">
        <v>45464.0</v>
      </c>
      <c r="D53" s="35">
        <f t="shared" si="13"/>
        <v>0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35">
        <f t="shared" si="2"/>
        <v>0</v>
      </c>
      <c r="Q53" s="16"/>
      <c r="R53" s="16"/>
      <c r="S53" s="16"/>
      <c r="T53" s="16"/>
      <c r="U53" s="16"/>
      <c r="V53" s="35">
        <f t="shared" si="3"/>
        <v>0</v>
      </c>
      <c r="W53" s="16"/>
      <c r="X53" s="16"/>
      <c r="Y53" s="16"/>
      <c r="Z53" s="16"/>
      <c r="AA53" s="35">
        <f t="shared" si="4"/>
        <v>0</v>
      </c>
      <c r="AB53" s="16"/>
      <c r="AC53" s="16"/>
      <c r="AD53" s="35">
        <f t="shared" si="5"/>
        <v>0</v>
      </c>
      <c r="AE53" s="16"/>
      <c r="AF53" s="16"/>
      <c r="AG53" s="16"/>
      <c r="AH53" s="16"/>
      <c r="AI53" s="16"/>
      <c r="AJ53" s="35">
        <f t="shared" si="6"/>
        <v>0</v>
      </c>
      <c r="AK53" s="16"/>
      <c r="AL53" s="16"/>
      <c r="AM53" s="16"/>
      <c r="AN53" s="35">
        <f t="shared" si="7"/>
        <v>0</v>
      </c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86">
        <f t="shared" si="8"/>
        <v>0</v>
      </c>
      <c r="BI53" s="16">
        <f t="shared" si="11"/>
        <v>71677.028</v>
      </c>
      <c r="BJ53" s="16"/>
      <c r="BK53" s="16"/>
      <c r="BL53" s="16"/>
      <c r="BM53" s="16"/>
      <c r="BN53" s="16"/>
    </row>
    <row r="54">
      <c r="A54" s="14">
        <v>2024.0</v>
      </c>
      <c r="B54" s="21" t="s">
        <v>144</v>
      </c>
      <c r="C54" s="8">
        <v>45465.0</v>
      </c>
      <c r="D54" s="35">
        <f t="shared" si="13"/>
        <v>0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35">
        <f t="shared" si="2"/>
        <v>0</v>
      </c>
      <c r="Q54" s="16"/>
      <c r="R54" s="16"/>
      <c r="S54" s="16"/>
      <c r="T54" s="16"/>
      <c r="U54" s="16"/>
      <c r="V54" s="35">
        <f t="shared" si="3"/>
        <v>0</v>
      </c>
      <c r="W54" s="16"/>
      <c r="X54" s="16"/>
      <c r="Y54" s="16"/>
      <c r="Z54" s="12">
        <v>0.0</v>
      </c>
      <c r="AA54" s="35">
        <f t="shared" si="4"/>
        <v>0</v>
      </c>
      <c r="AB54" s="16"/>
      <c r="AC54" s="16"/>
      <c r="AD54" s="35">
        <f t="shared" si="5"/>
        <v>0</v>
      </c>
      <c r="AE54" s="16"/>
      <c r="AF54" s="16"/>
      <c r="AG54" s="16"/>
      <c r="AH54" s="16"/>
      <c r="AI54" s="16"/>
      <c r="AJ54" s="35">
        <f t="shared" si="6"/>
        <v>0</v>
      </c>
      <c r="AK54" s="16"/>
      <c r="AL54" s="16"/>
      <c r="AM54" s="16"/>
      <c r="AN54" s="35">
        <f t="shared" si="7"/>
        <v>0</v>
      </c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86">
        <f t="shared" si="8"/>
        <v>0</v>
      </c>
      <c r="BI54" s="16">
        <f t="shared" si="11"/>
        <v>71677.028</v>
      </c>
      <c r="BJ54" s="16"/>
      <c r="BK54" s="16"/>
      <c r="BL54" s="16"/>
      <c r="BM54" s="16"/>
      <c r="BN54" s="16"/>
    </row>
    <row r="55">
      <c r="A55" s="14">
        <v>2024.0</v>
      </c>
      <c r="B55" s="21" t="s">
        <v>144</v>
      </c>
      <c r="C55" s="8">
        <v>45466.0</v>
      </c>
      <c r="D55" s="35">
        <f t="shared" si="13"/>
        <v>0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35">
        <f t="shared" si="2"/>
        <v>0</v>
      </c>
      <c r="Q55" s="16"/>
      <c r="R55" s="16"/>
      <c r="S55" s="16"/>
      <c r="T55" s="16"/>
      <c r="U55" s="16"/>
      <c r="V55" s="35">
        <f t="shared" si="3"/>
        <v>0</v>
      </c>
      <c r="W55" s="16"/>
      <c r="X55" s="16"/>
      <c r="Y55" s="16"/>
      <c r="Z55" s="16"/>
      <c r="AA55" s="35">
        <f t="shared" si="4"/>
        <v>0</v>
      </c>
      <c r="AB55" s="16"/>
      <c r="AC55" s="16"/>
      <c r="AD55" s="35">
        <f t="shared" si="5"/>
        <v>0</v>
      </c>
      <c r="AE55" s="16"/>
      <c r="AF55" s="16"/>
      <c r="AG55" s="16"/>
      <c r="AH55" s="16"/>
      <c r="AI55" s="16"/>
      <c r="AJ55" s="35">
        <f t="shared" si="6"/>
        <v>0</v>
      </c>
      <c r="AK55" s="16"/>
      <c r="AL55" s="16"/>
      <c r="AM55" s="16"/>
      <c r="AN55" s="35">
        <f t="shared" si="7"/>
        <v>0</v>
      </c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86">
        <f t="shared" si="8"/>
        <v>0</v>
      </c>
      <c r="BI55" s="16">
        <f t="shared" si="11"/>
        <v>71677.028</v>
      </c>
      <c r="BJ55" s="16"/>
      <c r="BK55" s="16"/>
      <c r="BL55" s="16"/>
      <c r="BM55" s="16"/>
      <c r="BN55" s="16"/>
    </row>
    <row r="56">
      <c r="A56" s="14">
        <v>2024.0</v>
      </c>
      <c r="B56" s="21" t="s">
        <v>144</v>
      </c>
      <c r="C56" s="8">
        <v>45467.0</v>
      </c>
      <c r="D56" s="35">
        <f t="shared" si="13"/>
        <v>0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35">
        <f t="shared" si="2"/>
        <v>0</v>
      </c>
      <c r="Q56" s="16"/>
      <c r="R56" s="16"/>
      <c r="S56" s="16"/>
      <c r="T56" s="16"/>
      <c r="U56" s="16"/>
      <c r="V56" s="35">
        <f t="shared" si="3"/>
        <v>0</v>
      </c>
      <c r="W56" s="16"/>
      <c r="X56" s="16"/>
      <c r="Y56" s="16"/>
      <c r="Z56" s="16"/>
      <c r="AA56" s="35">
        <f t="shared" si="4"/>
        <v>0</v>
      </c>
      <c r="AB56" s="16"/>
      <c r="AC56" s="16"/>
      <c r="AD56" s="35">
        <f t="shared" si="5"/>
        <v>0</v>
      </c>
      <c r="AE56" s="16"/>
      <c r="AF56" s="16"/>
      <c r="AG56" s="16"/>
      <c r="AH56" s="16"/>
      <c r="AI56" s="16"/>
      <c r="AJ56" s="35">
        <f t="shared" si="6"/>
        <v>0</v>
      </c>
      <c r="AK56" s="16"/>
      <c r="AL56" s="16"/>
      <c r="AM56" s="16"/>
      <c r="AN56" s="35">
        <f t="shared" si="7"/>
        <v>0</v>
      </c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86">
        <f t="shared" si="8"/>
        <v>0</v>
      </c>
      <c r="BI56" s="16">
        <f t="shared" si="11"/>
        <v>71677.028</v>
      </c>
      <c r="BJ56" s="16"/>
      <c r="BK56" s="16"/>
      <c r="BL56" s="16"/>
      <c r="BM56" s="16"/>
      <c r="BN56" s="16"/>
    </row>
    <row r="57">
      <c r="A57" s="14">
        <v>2024.0</v>
      </c>
      <c r="B57" s="21" t="s">
        <v>144</v>
      </c>
      <c r="C57" s="8">
        <v>45468.0</v>
      </c>
      <c r="D57" s="35">
        <f t="shared" si="13"/>
        <v>0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35">
        <f t="shared" si="2"/>
        <v>0</v>
      </c>
      <c r="Q57" s="16"/>
      <c r="R57" s="16"/>
      <c r="S57" s="16"/>
      <c r="T57" s="16"/>
      <c r="U57" s="16"/>
      <c r="V57" s="35">
        <f t="shared" si="3"/>
        <v>0</v>
      </c>
      <c r="W57" s="16"/>
      <c r="X57" s="16"/>
      <c r="Y57" s="16"/>
      <c r="Z57" s="16"/>
      <c r="AA57" s="35">
        <f t="shared" si="4"/>
        <v>0</v>
      </c>
      <c r="AB57" s="16"/>
      <c r="AC57" s="16"/>
      <c r="AD57" s="35">
        <f t="shared" si="5"/>
        <v>0</v>
      </c>
      <c r="AE57" s="16"/>
      <c r="AF57" s="16"/>
      <c r="AG57" s="16"/>
      <c r="AH57" s="16"/>
      <c r="AI57" s="16"/>
      <c r="AJ57" s="35">
        <f t="shared" si="6"/>
        <v>0</v>
      </c>
      <c r="AK57" s="16"/>
      <c r="AL57" s="16"/>
      <c r="AM57" s="16"/>
      <c r="AN57" s="35">
        <f t="shared" si="7"/>
        <v>0</v>
      </c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86">
        <f t="shared" si="8"/>
        <v>0</v>
      </c>
      <c r="BI57" s="16">
        <f t="shared" si="11"/>
        <v>71677.028</v>
      </c>
      <c r="BJ57" s="16"/>
      <c r="BK57" s="16"/>
      <c r="BL57" s="16"/>
      <c r="BM57" s="16"/>
      <c r="BN57" s="16"/>
    </row>
    <row r="58">
      <c r="A58" s="14">
        <v>2024.0</v>
      </c>
      <c r="B58" s="21" t="s">
        <v>144</v>
      </c>
      <c r="C58" s="8">
        <v>45469.0</v>
      </c>
      <c r="D58" s="35">
        <f t="shared" si="13"/>
        <v>0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35">
        <f t="shared" si="2"/>
        <v>533.02</v>
      </c>
      <c r="Q58" s="16"/>
      <c r="R58" s="16"/>
      <c r="S58" s="16"/>
      <c r="T58" s="16"/>
      <c r="U58" s="12">
        <v>533.02</v>
      </c>
      <c r="V58" s="35">
        <f t="shared" si="3"/>
        <v>0</v>
      </c>
      <c r="W58" s="16"/>
      <c r="X58" s="16"/>
      <c r="Y58" s="16"/>
      <c r="Z58" s="16"/>
      <c r="AA58" s="35">
        <f t="shared" si="4"/>
        <v>0</v>
      </c>
      <c r="AB58" s="16"/>
      <c r="AC58" s="16"/>
      <c r="AD58" s="35">
        <f t="shared" si="5"/>
        <v>325</v>
      </c>
      <c r="AE58" s="16"/>
      <c r="AF58" s="16"/>
      <c r="AG58" s="16"/>
      <c r="AH58" s="12">
        <v>325.0</v>
      </c>
      <c r="AI58" s="16"/>
      <c r="AJ58" s="35">
        <f t="shared" si="6"/>
        <v>0</v>
      </c>
      <c r="AK58" s="16"/>
      <c r="AL58" s="16"/>
      <c r="AM58" s="16"/>
      <c r="AN58" s="35">
        <f t="shared" si="7"/>
        <v>40071.31</v>
      </c>
      <c r="AO58" s="16"/>
      <c r="AP58" s="12">
        <v>40071.31</v>
      </c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86">
        <f t="shared" si="8"/>
        <v>40929.33</v>
      </c>
      <c r="BI58" s="16">
        <f t="shared" si="11"/>
        <v>112606.358</v>
      </c>
      <c r="BJ58" s="16"/>
      <c r="BK58" s="16"/>
      <c r="BL58" s="16"/>
      <c r="BM58" s="16"/>
      <c r="BN58" s="16"/>
    </row>
    <row r="59">
      <c r="A59" s="14">
        <v>2024.0</v>
      </c>
      <c r="B59" s="21" t="s">
        <v>144</v>
      </c>
      <c r="C59" s="8">
        <v>45470.0</v>
      </c>
      <c r="D59" s="35">
        <f t="shared" si="13"/>
        <v>0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35">
        <f t="shared" si="2"/>
        <v>0</v>
      </c>
      <c r="Q59" s="16"/>
      <c r="R59" s="16"/>
      <c r="S59" s="16"/>
      <c r="T59" s="16"/>
      <c r="U59" s="16"/>
      <c r="V59" s="35">
        <f t="shared" si="3"/>
        <v>0</v>
      </c>
      <c r="W59" s="16"/>
      <c r="X59" s="16"/>
      <c r="Y59" s="16"/>
      <c r="Z59" s="16"/>
      <c r="AA59" s="35">
        <f t="shared" si="4"/>
        <v>0</v>
      </c>
      <c r="AB59" s="16"/>
      <c r="AC59" s="16"/>
      <c r="AD59" s="35">
        <f t="shared" si="5"/>
        <v>0</v>
      </c>
      <c r="AE59" s="16"/>
      <c r="AF59" s="16"/>
      <c r="AG59" s="16"/>
      <c r="AH59" s="16"/>
      <c r="AI59" s="16"/>
      <c r="AJ59" s="35">
        <f t="shared" si="6"/>
        <v>0</v>
      </c>
      <c r="AK59" s="16"/>
      <c r="AL59" s="16"/>
      <c r="AM59" s="16"/>
      <c r="AN59" s="35">
        <f t="shared" si="7"/>
        <v>0</v>
      </c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86">
        <f t="shared" si="8"/>
        <v>0</v>
      </c>
      <c r="BI59" s="16">
        <f t="shared" si="11"/>
        <v>112606.358</v>
      </c>
      <c r="BJ59" s="16"/>
      <c r="BK59" s="16"/>
      <c r="BL59" s="16"/>
      <c r="BM59" s="16"/>
      <c r="BN59" s="16"/>
    </row>
    <row r="60">
      <c r="A60" s="14">
        <v>2024.0</v>
      </c>
      <c r="B60" s="21" t="s">
        <v>144</v>
      </c>
      <c r="C60" s="8">
        <v>45471.0</v>
      </c>
      <c r="D60" s="35">
        <f t="shared" si="13"/>
        <v>0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35">
        <f t="shared" si="2"/>
        <v>3304.48</v>
      </c>
      <c r="Q60" s="16"/>
      <c r="R60" s="16"/>
      <c r="S60" s="12">
        <v>3304.48</v>
      </c>
      <c r="T60" s="16"/>
      <c r="U60" s="16"/>
      <c r="V60" s="35">
        <f t="shared" si="3"/>
        <v>0</v>
      </c>
      <c r="W60" s="16"/>
      <c r="X60" s="16"/>
      <c r="Y60" s="16"/>
      <c r="Z60" s="16"/>
      <c r="AA60" s="35">
        <f t="shared" si="4"/>
        <v>0</v>
      </c>
      <c r="AB60" s="16"/>
      <c r="AC60" s="16"/>
      <c r="AD60" s="35">
        <f t="shared" si="5"/>
        <v>0</v>
      </c>
      <c r="AE60" s="16"/>
      <c r="AF60" s="16"/>
      <c r="AG60" s="16"/>
      <c r="AH60" s="16"/>
      <c r="AI60" s="16"/>
      <c r="AJ60" s="35">
        <f t="shared" si="6"/>
        <v>0</v>
      </c>
      <c r="AK60" s="16"/>
      <c r="AL60" s="16"/>
      <c r="AM60" s="16"/>
      <c r="AN60" s="35">
        <f t="shared" si="7"/>
        <v>12957.474</v>
      </c>
      <c r="AO60" s="16"/>
      <c r="AP60" s="16"/>
      <c r="AQ60" s="16"/>
      <c r="AR60" s="16"/>
      <c r="AS60" s="16"/>
      <c r="AT60" s="16"/>
      <c r="AU60" s="16"/>
      <c r="AV60" s="16"/>
      <c r="AW60" s="12">
        <v>400.0</v>
      </c>
      <c r="AX60" s="16"/>
      <c r="AY60" s="16"/>
      <c r="AZ60" s="16">
        <f>(1520.83+25)*7.8</f>
        <v>12057.474</v>
      </c>
      <c r="BA60" s="12">
        <v>500.0</v>
      </c>
      <c r="BB60" s="16"/>
      <c r="BC60" s="16"/>
      <c r="BD60" s="16"/>
      <c r="BE60" s="16"/>
      <c r="BF60" s="16"/>
      <c r="BG60" s="16"/>
      <c r="BH60" s="86">
        <f t="shared" si="8"/>
        <v>16261.954</v>
      </c>
      <c r="BI60" s="16">
        <f t="shared" si="11"/>
        <v>128868.312</v>
      </c>
      <c r="BJ60" s="16"/>
      <c r="BK60" s="16"/>
      <c r="BL60" s="16"/>
      <c r="BM60" s="16"/>
      <c r="BN60" s="16"/>
    </row>
    <row r="61">
      <c r="A61" s="14">
        <v>2024.0</v>
      </c>
      <c r="B61" s="21" t="s">
        <v>144</v>
      </c>
      <c r="C61" s="8">
        <v>45472.0</v>
      </c>
      <c r="D61" s="35">
        <f t="shared" si="13"/>
        <v>0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35">
        <f t="shared" si="2"/>
        <v>0</v>
      </c>
      <c r="Q61" s="16"/>
      <c r="R61" s="16"/>
      <c r="S61" s="16"/>
      <c r="T61" s="16"/>
      <c r="U61" s="16"/>
      <c r="V61" s="35">
        <f t="shared" si="3"/>
        <v>225</v>
      </c>
      <c r="W61" s="12">
        <v>225.0</v>
      </c>
      <c r="X61" s="16"/>
      <c r="Y61" s="16"/>
      <c r="Z61" s="16"/>
      <c r="AA61" s="35">
        <f t="shared" si="4"/>
        <v>0</v>
      </c>
      <c r="AB61" s="16"/>
      <c r="AC61" s="16"/>
      <c r="AD61" s="35">
        <f t="shared" si="5"/>
        <v>100</v>
      </c>
      <c r="AE61" s="16"/>
      <c r="AF61" s="16"/>
      <c r="AG61" s="16"/>
      <c r="AH61" s="12">
        <v>100.0</v>
      </c>
      <c r="AI61" s="16"/>
      <c r="AJ61" s="35">
        <f t="shared" si="6"/>
        <v>0</v>
      </c>
      <c r="AK61" s="16"/>
      <c r="AL61" s="16"/>
      <c r="AM61" s="16"/>
      <c r="AN61" s="35">
        <f t="shared" si="7"/>
        <v>30612.8</v>
      </c>
      <c r="AO61" s="16"/>
      <c r="AP61" s="16"/>
      <c r="AQ61" s="16"/>
      <c r="AR61" s="16"/>
      <c r="AS61" s="16">
        <f>828.1-48.1+758.75-50-225-38.75-100-70</f>
        <v>1055</v>
      </c>
      <c r="AT61" s="16"/>
      <c r="AU61" s="16"/>
      <c r="AV61" s="16"/>
      <c r="AW61" s="16"/>
      <c r="AX61" s="16"/>
      <c r="AY61" s="16"/>
      <c r="AZ61" s="12">
        <f>(+654*7.8)+1904+18792</f>
        <v>25797.2</v>
      </c>
      <c r="BA61" s="12">
        <f>3592.5+48.1+50+70</f>
        <v>3760.6</v>
      </c>
      <c r="BB61" s="16"/>
      <c r="BC61" s="16"/>
      <c r="BD61" s="16"/>
      <c r="BE61" s="16"/>
      <c r="BF61" s="16"/>
      <c r="BG61" s="16"/>
      <c r="BH61" s="86">
        <f t="shared" si="8"/>
        <v>30937.8</v>
      </c>
      <c r="BI61" s="16">
        <f t="shared" si="11"/>
        <v>159806.112</v>
      </c>
      <c r="BJ61" s="16"/>
      <c r="BK61" s="16"/>
      <c r="BL61" s="16"/>
      <c r="BM61" s="16"/>
      <c r="BN61" s="16"/>
    </row>
    <row r="62">
      <c r="A62" s="97">
        <v>2024.0</v>
      </c>
      <c r="B62" s="98" t="s">
        <v>144</v>
      </c>
      <c r="C62" s="99">
        <v>45473.0</v>
      </c>
      <c r="D62" s="100">
        <f t="shared" si="13"/>
        <v>113752.05</v>
      </c>
      <c r="E62" s="100">
        <f>90117.46+23634.59-6750</f>
        <v>107002.05</v>
      </c>
      <c r="F62" s="53">
        <v>6750.0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>
        <f t="shared" si="2"/>
        <v>0</v>
      </c>
      <c r="Q62" s="100"/>
      <c r="R62" s="100"/>
      <c r="S62" s="100"/>
      <c r="T62" s="100"/>
      <c r="U62" s="100"/>
      <c r="V62" s="100">
        <f t="shared" si="3"/>
        <v>0</v>
      </c>
      <c r="W62" s="100"/>
      <c r="X62" s="100"/>
      <c r="Y62" s="100"/>
      <c r="Z62" s="100"/>
      <c r="AA62" s="100">
        <f t="shared" si="4"/>
        <v>0</v>
      </c>
      <c r="AB62" s="100"/>
      <c r="AC62" s="100"/>
      <c r="AD62" s="100">
        <f t="shared" si="5"/>
        <v>1125</v>
      </c>
      <c r="AE62" s="100"/>
      <c r="AF62" s="53">
        <v>800.0</v>
      </c>
      <c r="AG62" s="53">
        <v>250.0</v>
      </c>
      <c r="AH62" s="53">
        <v>75.0</v>
      </c>
      <c r="AI62" s="100"/>
      <c r="AJ62" s="100">
        <f t="shared" si="6"/>
        <v>0</v>
      </c>
      <c r="AK62" s="100"/>
      <c r="AL62" s="100"/>
      <c r="AM62" s="100"/>
      <c r="AN62" s="100">
        <f t="shared" si="7"/>
        <v>1847.95</v>
      </c>
      <c r="AO62" s="100"/>
      <c r="AP62" s="100"/>
      <c r="AQ62" s="100"/>
      <c r="AR62" s="100"/>
      <c r="AS62" s="100"/>
      <c r="AT62" s="100"/>
      <c r="AU62" s="100"/>
      <c r="AV62" s="100"/>
      <c r="AW62" s="53">
        <v>38.75</v>
      </c>
      <c r="AX62" s="100"/>
      <c r="AY62" s="100"/>
      <c r="AZ62" s="100"/>
      <c r="BA62" s="53">
        <v>1809.2</v>
      </c>
      <c r="BB62" s="100"/>
      <c r="BC62" s="100"/>
      <c r="BD62" s="100"/>
      <c r="BE62" s="100"/>
      <c r="BF62" s="100"/>
      <c r="BG62" s="100"/>
      <c r="BH62" s="101">
        <f t="shared" si="8"/>
        <v>116725</v>
      </c>
      <c r="BI62" s="100">
        <f t="shared" si="11"/>
        <v>276531.112</v>
      </c>
      <c r="BJ62" s="53">
        <v>153066.47</v>
      </c>
      <c r="BK62" s="53">
        <v>41566.31</v>
      </c>
      <c r="BL62" s="53">
        <v>55330.75</v>
      </c>
      <c r="BM62" s="100">
        <f>SUM(BK62:BL62)</f>
        <v>96897.06</v>
      </c>
      <c r="BN62" s="100"/>
    </row>
    <row r="63">
      <c r="A63" s="14">
        <v>2024.0</v>
      </c>
      <c r="B63" s="21" t="s">
        <v>145</v>
      </c>
      <c r="C63" s="8">
        <v>45474.0</v>
      </c>
      <c r="D63" s="35">
        <f t="shared" si="13"/>
        <v>0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35">
        <f t="shared" si="2"/>
        <v>0</v>
      </c>
      <c r="Q63" s="16"/>
      <c r="R63" s="16"/>
      <c r="S63" s="16"/>
      <c r="T63" s="16"/>
      <c r="U63" s="16"/>
      <c r="V63" s="35">
        <f t="shared" si="3"/>
        <v>0</v>
      </c>
      <c r="W63" s="16"/>
      <c r="X63" s="16"/>
      <c r="Y63" s="16"/>
      <c r="Z63" s="16"/>
      <c r="AA63" s="35">
        <f t="shared" si="4"/>
        <v>0</v>
      </c>
      <c r="AB63" s="16"/>
      <c r="AC63" s="16"/>
      <c r="AD63" s="35">
        <f t="shared" si="5"/>
        <v>0</v>
      </c>
      <c r="AE63" s="16"/>
      <c r="AF63" s="16"/>
      <c r="AG63" s="16"/>
      <c r="AH63" s="16"/>
      <c r="AI63" s="16"/>
      <c r="AJ63" s="35">
        <f t="shared" si="6"/>
        <v>0</v>
      </c>
      <c r="AK63" s="16"/>
      <c r="AL63" s="16"/>
      <c r="AM63" s="16"/>
      <c r="AN63" s="35">
        <f t="shared" si="7"/>
        <v>0</v>
      </c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86">
        <f t="shared" si="8"/>
        <v>0</v>
      </c>
      <c r="BI63" s="16">
        <f t="shared" si="11"/>
        <v>276531.112</v>
      </c>
      <c r="BJ63" s="16"/>
      <c r="BK63" s="16"/>
      <c r="BL63" s="16"/>
      <c r="BM63" s="16"/>
      <c r="BN63" s="16"/>
    </row>
    <row r="64">
      <c r="A64" s="14">
        <v>2024.0</v>
      </c>
      <c r="B64" s="21" t="s">
        <v>145</v>
      </c>
      <c r="C64" s="8">
        <v>45475.0</v>
      </c>
      <c r="D64" s="35">
        <f t="shared" si="13"/>
        <v>0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35">
        <f t="shared" si="2"/>
        <v>0</v>
      </c>
      <c r="Q64" s="16"/>
      <c r="R64" s="16"/>
      <c r="S64" s="16"/>
      <c r="T64" s="16"/>
      <c r="U64" s="16"/>
      <c r="V64" s="35">
        <f t="shared" si="3"/>
        <v>0</v>
      </c>
      <c r="W64" s="16"/>
      <c r="X64" s="16"/>
      <c r="Y64" s="16"/>
      <c r="Z64" s="16"/>
      <c r="AA64" s="35">
        <f t="shared" si="4"/>
        <v>0</v>
      </c>
      <c r="AB64" s="16"/>
      <c r="AC64" s="16"/>
      <c r="AD64" s="35">
        <f t="shared" si="5"/>
        <v>0</v>
      </c>
      <c r="AE64" s="16"/>
      <c r="AF64" s="16"/>
      <c r="AG64" s="16"/>
      <c r="AH64" s="16"/>
      <c r="AI64" s="16"/>
      <c r="AJ64" s="35">
        <f t="shared" si="6"/>
        <v>0</v>
      </c>
      <c r="AK64" s="16"/>
      <c r="AL64" s="16"/>
      <c r="AM64" s="16"/>
      <c r="AN64" s="35">
        <f t="shared" si="7"/>
        <v>0</v>
      </c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86">
        <f t="shared" si="8"/>
        <v>0</v>
      </c>
      <c r="BI64" s="16">
        <f t="shared" si="11"/>
        <v>276531.112</v>
      </c>
      <c r="BJ64" s="16"/>
      <c r="BK64" s="16"/>
      <c r="BL64" s="16"/>
      <c r="BM64" s="16"/>
      <c r="BN64" s="16"/>
    </row>
    <row r="65">
      <c r="A65" s="14">
        <v>2024.0</v>
      </c>
      <c r="B65" s="21" t="s">
        <v>145</v>
      </c>
      <c r="C65" s="8">
        <v>45476.0</v>
      </c>
      <c r="D65" s="35">
        <f t="shared" si="13"/>
        <v>0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35">
        <f t="shared" si="2"/>
        <v>0</v>
      </c>
      <c r="Q65" s="16"/>
      <c r="R65" s="16"/>
      <c r="S65" s="16"/>
      <c r="T65" s="16"/>
      <c r="U65" s="16"/>
      <c r="V65" s="35">
        <f t="shared" si="3"/>
        <v>0</v>
      </c>
      <c r="W65" s="16"/>
      <c r="X65" s="16"/>
      <c r="Y65" s="16"/>
      <c r="Z65" s="16"/>
      <c r="AA65" s="35">
        <f t="shared" si="4"/>
        <v>0</v>
      </c>
      <c r="AB65" s="16"/>
      <c r="AC65" s="16"/>
      <c r="AD65" s="35">
        <f t="shared" si="5"/>
        <v>0</v>
      </c>
      <c r="AE65" s="16"/>
      <c r="AF65" s="16"/>
      <c r="AG65" s="16"/>
      <c r="AH65" s="16"/>
      <c r="AI65" s="16"/>
      <c r="AJ65" s="35">
        <f t="shared" si="6"/>
        <v>0</v>
      </c>
      <c r="AK65" s="16"/>
      <c r="AL65" s="16"/>
      <c r="AM65" s="16"/>
      <c r="AN65" s="35">
        <f t="shared" si="7"/>
        <v>0</v>
      </c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86">
        <f t="shared" si="8"/>
        <v>0</v>
      </c>
      <c r="BI65" s="16">
        <f t="shared" si="11"/>
        <v>276531.112</v>
      </c>
      <c r="BJ65" s="16"/>
      <c r="BK65" s="16"/>
      <c r="BL65" s="16"/>
      <c r="BM65" s="16"/>
      <c r="BN65" s="16"/>
    </row>
    <row r="66">
      <c r="A66" s="14">
        <v>2024.0</v>
      </c>
      <c r="B66" s="21" t="s">
        <v>145</v>
      </c>
      <c r="C66" s="8">
        <v>45477.0</v>
      </c>
      <c r="D66" s="35">
        <f t="shared" si="13"/>
        <v>0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35">
        <f t="shared" si="2"/>
        <v>0</v>
      </c>
      <c r="Q66" s="16"/>
      <c r="R66" s="16"/>
      <c r="S66" s="16"/>
      <c r="T66" s="16"/>
      <c r="U66" s="16"/>
      <c r="V66" s="35">
        <f t="shared" si="3"/>
        <v>0</v>
      </c>
      <c r="W66" s="16"/>
      <c r="X66" s="16"/>
      <c r="Y66" s="16"/>
      <c r="Z66" s="16"/>
      <c r="AA66" s="35">
        <f t="shared" si="4"/>
        <v>0</v>
      </c>
      <c r="AB66" s="16"/>
      <c r="AC66" s="16"/>
      <c r="AD66" s="35">
        <f t="shared" si="5"/>
        <v>0</v>
      </c>
      <c r="AE66" s="16"/>
      <c r="AF66" s="16"/>
      <c r="AG66" s="16"/>
      <c r="AH66" s="16"/>
      <c r="AI66" s="16"/>
      <c r="AJ66" s="35">
        <f t="shared" si="6"/>
        <v>0</v>
      </c>
      <c r="AK66" s="16"/>
      <c r="AL66" s="16"/>
      <c r="AM66" s="16"/>
      <c r="AN66" s="35">
        <f t="shared" si="7"/>
        <v>0</v>
      </c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86">
        <f t="shared" si="8"/>
        <v>0</v>
      </c>
      <c r="BI66" s="16">
        <f t="shared" si="11"/>
        <v>276531.112</v>
      </c>
      <c r="BJ66" s="16"/>
      <c r="BK66" s="16"/>
      <c r="BL66" s="16"/>
      <c r="BM66" s="16"/>
      <c r="BN66" s="16"/>
    </row>
    <row r="67">
      <c r="A67" s="14">
        <v>2024.0</v>
      </c>
      <c r="B67" s="21" t="s">
        <v>145</v>
      </c>
      <c r="C67" s="8">
        <v>45478.0</v>
      </c>
      <c r="D67" s="35">
        <f t="shared" si="13"/>
        <v>0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35">
        <f t="shared" si="2"/>
        <v>0</v>
      </c>
      <c r="Q67" s="16"/>
      <c r="R67" s="16"/>
      <c r="S67" s="16"/>
      <c r="T67" s="16"/>
      <c r="U67" s="16"/>
      <c r="V67" s="35">
        <f t="shared" si="3"/>
        <v>0</v>
      </c>
      <c r="W67" s="16"/>
      <c r="X67" s="16"/>
      <c r="Y67" s="16"/>
      <c r="Z67" s="16"/>
      <c r="AA67" s="35">
        <f t="shared" si="4"/>
        <v>0</v>
      </c>
      <c r="AB67" s="16"/>
      <c r="AC67" s="16"/>
      <c r="AD67" s="35">
        <f t="shared" si="5"/>
        <v>0</v>
      </c>
      <c r="AE67" s="16"/>
      <c r="AF67" s="16"/>
      <c r="AG67" s="16"/>
      <c r="AH67" s="16"/>
      <c r="AI67" s="16"/>
      <c r="AJ67" s="35">
        <f t="shared" si="6"/>
        <v>0</v>
      </c>
      <c r="AK67" s="16"/>
      <c r="AL67" s="16"/>
      <c r="AM67" s="16"/>
      <c r="AN67" s="35">
        <f t="shared" si="7"/>
        <v>0</v>
      </c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86">
        <f t="shared" si="8"/>
        <v>0</v>
      </c>
      <c r="BI67" s="16">
        <f t="shared" si="11"/>
        <v>276531.112</v>
      </c>
      <c r="BJ67" s="16"/>
      <c r="BK67" s="16"/>
      <c r="BL67" s="16"/>
      <c r="BM67" s="16"/>
      <c r="BN67" s="16"/>
    </row>
    <row r="68">
      <c r="A68" s="14">
        <v>2024.0</v>
      </c>
      <c r="B68" s="21" t="s">
        <v>145</v>
      </c>
      <c r="C68" s="8">
        <v>45479.0</v>
      </c>
      <c r="D68" s="35">
        <f t="shared" si="13"/>
        <v>0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35">
        <f t="shared" si="2"/>
        <v>0</v>
      </c>
      <c r="Q68" s="16"/>
      <c r="R68" s="16"/>
      <c r="S68" s="16"/>
      <c r="T68" s="16"/>
      <c r="U68" s="16"/>
      <c r="V68" s="35">
        <f t="shared" si="3"/>
        <v>0</v>
      </c>
      <c r="W68" s="16"/>
      <c r="X68" s="16"/>
      <c r="Y68" s="16"/>
      <c r="Z68" s="16"/>
      <c r="AA68" s="35">
        <f t="shared" si="4"/>
        <v>0</v>
      </c>
      <c r="AB68" s="16"/>
      <c r="AC68" s="16"/>
      <c r="AD68" s="35">
        <f t="shared" si="5"/>
        <v>0</v>
      </c>
      <c r="AE68" s="16"/>
      <c r="AF68" s="16"/>
      <c r="AG68" s="16"/>
      <c r="AH68" s="16"/>
      <c r="AI68" s="16"/>
      <c r="AJ68" s="35">
        <f t="shared" si="6"/>
        <v>0</v>
      </c>
      <c r="AK68" s="16"/>
      <c r="AL68" s="16"/>
      <c r="AM68" s="16"/>
      <c r="AN68" s="35">
        <f t="shared" si="7"/>
        <v>0</v>
      </c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86">
        <f t="shared" si="8"/>
        <v>0</v>
      </c>
      <c r="BI68" s="16"/>
      <c r="BJ68" s="16"/>
      <c r="BK68" s="16"/>
      <c r="BL68" s="16"/>
      <c r="BM68" s="16"/>
      <c r="BN68" s="16"/>
    </row>
    <row r="69">
      <c r="A69" s="14">
        <v>2024.0</v>
      </c>
      <c r="B69" s="21" t="s">
        <v>145</v>
      </c>
      <c r="C69" s="8">
        <v>45480.0</v>
      </c>
      <c r="D69" s="35">
        <f t="shared" si="13"/>
        <v>0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35">
        <f t="shared" si="2"/>
        <v>0</v>
      </c>
      <c r="Q69" s="16"/>
      <c r="R69" s="16"/>
      <c r="S69" s="16"/>
      <c r="T69" s="16"/>
      <c r="U69" s="16"/>
      <c r="V69" s="35">
        <f t="shared" si="3"/>
        <v>0</v>
      </c>
      <c r="W69" s="16"/>
      <c r="X69" s="16"/>
      <c r="Y69" s="16"/>
      <c r="Z69" s="16"/>
      <c r="AA69" s="35">
        <f t="shared" si="4"/>
        <v>0</v>
      </c>
      <c r="AB69" s="16"/>
      <c r="AC69" s="16"/>
      <c r="AD69" s="35">
        <f t="shared" si="5"/>
        <v>0</v>
      </c>
      <c r="AE69" s="16"/>
      <c r="AF69" s="16"/>
      <c r="AG69" s="16"/>
      <c r="AH69" s="16"/>
      <c r="AI69" s="16"/>
      <c r="AJ69" s="35">
        <f t="shared" si="6"/>
        <v>0</v>
      </c>
      <c r="AK69" s="16"/>
      <c r="AL69" s="16"/>
      <c r="AM69" s="16"/>
      <c r="AN69" s="35">
        <f t="shared" si="7"/>
        <v>0</v>
      </c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86">
        <f t="shared" si="8"/>
        <v>0</v>
      </c>
      <c r="BI69" s="16"/>
      <c r="BJ69" s="16"/>
      <c r="BK69" s="16"/>
      <c r="BL69" s="16"/>
      <c r="BM69" s="16"/>
      <c r="BN69" s="16"/>
    </row>
    <row r="70">
      <c r="A70" s="14">
        <v>2024.0</v>
      </c>
      <c r="B70" s="21" t="s">
        <v>145</v>
      </c>
      <c r="C70" s="8">
        <v>45481.0</v>
      </c>
      <c r="D70" s="35">
        <f t="shared" si="13"/>
        <v>0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35">
        <f t="shared" si="2"/>
        <v>0</v>
      </c>
      <c r="Q70" s="16"/>
      <c r="R70" s="16"/>
      <c r="S70" s="16"/>
      <c r="T70" s="16"/>
      <c r="U70" s="16"/>
      <c r="V70" s="35">
        <f t="shared" si="3"/>
        <v>0</v>
      </c>
      <c r="W70" s="16"/>
      <c r="X70" s="16"/>
      <c r="Y70" s="16"/>
      <c r="Z70" s="16"/>
      <c r="AA70" s="35">
        <f t="shared" si="4"/>
        <v>0</v>
      </c>
      <c r="AB70" s="16"/>
      <c r="AC70" s="16"/>
      <c r="AD70" s="35">
        <f t="shared" si="5"/>
        <v>0</v>
      </c>
      <c r="AE70" s="16"/>
      <c r="AF70" s="16"/>
      <c r="AG70" s="16"/>
      <c r="AH70" s="16"/>
      <c r="AI70" s="16"/>
      <c r="AJ70" s="35">
        <f t="shared" si="6"/>
        <v>0</v>
      </c>
      <c r="AK70" s="16"/>
      <c r="AL70" s="16"/>
      <c r="AM70" s="16"/>
      <c r="AN70" s="35">
        <f t="shared" si="7"/>
        <v>0</v>
      </c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86">
        <f t="shared" si="8"/>
        <v>0</v>
      </c>
      <c r="BI70" s="16"/>
      <c r="BJ70" s="16"/>
      <c r="BK70" s="16"/>
      <c r="BL70" s="16"/>
      <c r="BM70" s="16"/>
      <c r="BN70" s="16"/>
    </row>
    <row r="71">
      <c r="A71" s="14">
        <v>2024.0</v>
      </c>
      <c r="B71" s="21" t="s">
        <v>145</v>
      </c>
      <c r="C71" s="8">
        <v>45482.0</v>
      </c>
      <c r="D71" s="35">
        <f t="shared" si="13"/>
        <v>0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35">
        <f t="shared" si="2"/>
        <v>0</v>
      </c>
      <c r="Q71" s="16"/>
      <c r="R71" s="16"/>
      <c r="S71" s="16"/>
      <c r="T71" s="16"/>
      <c r="U71" s="16"/>
      <c r="V71" s="35">
        <f t="shared" si="3"/>
        <v>0</v>
      </c>
      <c r="W71" s="16"/>
      <c r="X71" s="16"/>
      <c r="Y71" s="16"/>
      <c r="Z71" s="16"/>
      <c r="AA71" s="35">
        <f t="shared" si="4"/>
        <v>0</v>
      </c>
      <c r="AB71" s="16"/>
      <c r="AC71" s="16"/>
      <c r="AD71" s="35">
        <f t="shared" si="5"/>
        <v>0</v>
      </c>
      <c r="AE71" s="16"/>
      <c r="AF71" s="16"/>
      <c r="AG71" s="16"/>
      <c r="AH71" s="16"/>
      <c r="AI71" s="16"/>
      <c r="AJ71" s="35">
        <f t="shared" si="6"/>
        <v>0</v>
      </c>
      <c r="AK71" s="16"/>
      <c r="AL71" s="16"/>
      <c r="AM71" s="16"/>
      <c r="AN71" s="35">
        <f t="shared" si="7"/>
        <v>0</v>
      </c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86">
        <f t="shared" si="8"/>
        <v>0</v>
      </c>
      <c r="BI71" s="16"/>
      <c r="BJ71" s="16"/>
      <c r="BK71" s="16"/>
      <c r="BL71" s="16"/>
      <c r="BM71" s="16"/>
      <c r="BN71" s="16"/>
    </row>
    <row r="72">
      <c r="A72" s="14">
        <v>2024.0</v>
      </c>
      <c r="B72" s="21" t="s">
        <v>145</v>
      </c>
      <c r="C72" s="8">
        <v>45483.0</v>
      </c>
      <c r="D72" s="35">
        <f t="shared" si="13"/>
        <v>0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35">
        <f t="shared" si="2"/>
        <v>0</v>
      </c>
      <c r="Q72" s="16"/>
      <c r="R72" s="16"/>
      <c r="S72" s="16"/>
      <c r="T72" s="16"/>
      <c r="U72" s="16"/>
      <c r="V72" s="35">
        <f t="shared" si="3"/>
        <v>0</v>
      </c>
      <c r="W72" s="16"/>
      <c r="X72" s="16"/>
      <c r="Y72" s="16"/>
      <c r="Z72" s="16"/>
      <c r="AA72" s="35">
        <f t="shared" si="4"/>
        <v>0</v>
      </c>
      <c r="AB72" s="16"/>
      <c r="AC72" s="16"/>
      <c r="AD72" s="35">
        <f t="shared" si="5"/>
        <v>0</v>
      </c>
      <c r="AE72" s="16"/>
      <c r="AF72" s="16"/>
      <c r="AG72" s="16"/>
      <c r="AH72" s="16"/>
      <c r="AI72" s="16"/>
      <c r="AJ72" s="35">
        <f t="shared" si="6"/>
        <v>0</v>
      </c>
      <c r="AK72" s="16"/>
      <c r="AL72" s="16"/>
      <c r="AM72" s="16"/>
      <c r="AN72" s="35">
        <f t="shared" si="7"/>
        <v>0</v>
      </c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86">
        <f t="shared" si="8"/>
        <v>0</v>
      </c>
      <c r="BI72" s="16"/>
      <c r="BJ72" s="16"/>
      <c r="BK72" s="16"/>
      <c r="BL72" s="16"/>
      <c r="BM72" s="16"/>
      <c r="BN72" s="16"/>
    </row>
    <row r="73">
      <c r="A73" s="14">
        <v>2024.0</v>
      </c>
      <c r="B73" s="21" t="s">
        <v>145</v>
      </c>
      <c r="C73" s="8">
        <v>45484.0</v>
      </c>
      <c r="D73" s="35">
        <f t="shared" si="13"/>
        <v>0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35">
        <f t="shared" si="2"/>
        <v>0</v>
      </c>
      <c r="Q73" s="16"/>
      <c r="R73" s="16"/>
      <c r="S73" s="16"/>
      <c r="T73" s="16"/>
      <c r="U73" s="16"/>
      <c r="V73" s="35">
        <f t="shared" si="3"/>
        <v>0</v>
      </c>
      <c r="W73" s="16"/>
      <c r="X73" s="16"/>
      <c r="Y73" s="16"/>
      <c r="Z73" s="16"/>
      <c r="AA73" s="35">
        <f t="shared" si="4"/>
        <v>0</v>
      </c>
      <c r="AB73" s="16"/>
      <c r="AC73" s="16"/>
      <c r="AD73" s="35">
        <f t="shared" si="5"/>
        <v>0</v>
      </c>
      <c r="AE73" s="16"/>
      <c r="AF73" s="16"/>
      <c r="AG73" s="16"/>
      <c r="AH73" s="16"/>
      <c r="AI73" s="16"/>
      <c r="AJ73" s="35">
        <f t="shared" si="6"/>
        <v>0</v>
      </c>
      <c r="AK73" s="16"/>
      <c r="AL73" s="16"/>
      <c r="AM73" s="16"/>
      <c r="AN73" s="35">
        <f t="shared" si="7"/>
        <v>0</v>
      </c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86">
        <f t="shared" si="8"/>
        <v>0</v>
      </c>
      <c r="BI73" s="16"/>
      <c r="BJ73" s="16"/>
      <c r="BK73" s="16"/>
      <c r="BL73" s="16"/>
      <c r="BM73" s="16"/>
      <c r="BN73" s="16"/>
    </row>
    <row r="74">
      <c r="A74" s="14">
        <v>2024.0</v>
      </c>
      <c r="B74" s="21" t="s">
        <v>145</v>
      </c>
      <c r="C74" s="8">
        <v>45485.0</v>
      </c>
      <c r="D74" s="35">
        <f t="shared" si="13"/>
        <v>0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35">
        <f t="shared" si="2"/>
        <v>0</v>
      </c>
      <c r="Q74" s="16"/>
      <c r="R74" s="16"/>
      <c r="S74" s="16"/>
      <c r="T74" s="16"/>
      <c r="U74" s="16"/>
      <c r="V74" s="35">
        <f t="shared" si="3"/>
        <v>0</v>
      </c>
      <c r="W74" s="16"/>
      <c r="X74" s="16"/>
      <c r="Y74" s="16"/>
      <c r="Z74" s="16"/>
      <c r="AA74" s="35">
        <f t="shared" si="4"/>
        <v>0</v>
      </c>
      <c r="AB74" s="16"/>
      <c r="AC74" s="16"/>
      <c r="AD74" s="35">
        <f t="shared" si="5"/>
        <v>0</v>
      </c>
      <c r="AE74" s="16"/>
      <c r="AF74" s="16"/>
      <c r="AG74" s="16"/>
      <c r="AH74" s="16"/>
      <c r="AI74" s="16"/>
      <c r="AJ74" s="35">
        <f t="shared" si="6"/>
        <v>0</v>
      </c>
      <c r="AK74" s="16"/>
      <c r="AL74" s="16"/>
      <c r="AM74" s="16"/>
      <c r="AN74" s="35">
        <f t="shared" si="7"/>
        <v>0</v>
      </c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86">
        <f t="shared" si="8"/>
        <v>0</v>
      </c>
      <c r="BI74" s="16"/>
      <c r="BJ74" s="16"/>
      <c r="BK74" s="16"/>
      <c r="BL74" s="16"/>
      <c r="BM74" s="16"/>
      <c r="BN74" s="16"/>
    </row>
    <row r="75">
      <c r="A75" s="14">
        <v>2024.0</v>
      </c>
      <c r="B75" s="21" t="s">
        <v>145</v>
      </c>
      <c r="C75" s="8">
        <v>45486.0</v>
      </c>
      <c r="D75" s="35">
        <f t="shared" si="13"/>
        <v>0</v>
      </c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35">
        <f t="shared" si="2"/>
        <v>0</v>
      </c>
      <c r="Q75" s="16"/>
      <c r="R75" s="16"/>
      <c r="S75" s="16"/>
      <c r="T75" s="16"/>
      <c r="U75" s="16"/>
      <c r="V75" s="35">
        <f t="shared" si="3"/>
        <v>0</v>
      </c>
      <c r="W75" s="16"/>
      <c r="X75" s="16"/>
      <c r="Y75" s="16"/>
      <c r="Z75" s="16"/>
      <c r="AA75" s="35">
        <f t="shared" si="4"/>
        <v>0</v>
      </c>
      <c r="AB75" s="16"/>
      <c r="AC75" s="16"/>
      <c r="AD75" s="35">
        <f t="shared" si="5"/>
        <v>0</v>
      </c>
      <c r="AE75" s="16"/>
      <c r="AF75" s="16"/>
      <c r="AG75" s="16"/>
      <c r="AH75" s="16"/>
      <c r="AI75" s="16"/>
      <c r="AJ75" s="35">
        <f t="shared" si="6"/>
        <v>0</v>
      </c>
      <c r="AK75" s="16"/>
      <c r="AL75" s="16"/>
      <c r="AM75" s="16"/>
      <c r="AN75" s="35">
        <f t="shared" si="7"/>
        <v>0</v>
      </c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86">
        <f t="shared" si="8"/>
        <v>0</v>
      </c>
      <c r="BI75" s="16"/>
      <c r="BJ75" s="16"/>
      <c r="BK75" s="16"/>
      <c r="BL75" s="16"/>
      <c r="BM75" s="16"/>
      <c r="BN75" s="16"/>
    </row>
    <row r="76">
      <c r="A76" s="14">
        <v>2024.0</v>
      </c>
      <c r="B76" s="21" t="s">
        <v>145</v>
      </c>
      <c r="C76" s="8">
        <v>45487.0</v>
      </c>
      <c r="D76" s="35">
        <f t="shared" si="13"/>
        <v>0</v>
      </c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35">
        <f t="shared" si="2"/>
        <v>0</v>
      </c>
      <c r="Q76" s="16"/>
      <c r="R76" s="16"/>
      <c r="S76" s="16"/>
      <c r="T76" s="16"/>
      <c r="U76" s="16"/>
      <c r="V76" s="35">
        <f t="shared" si="3"/>
        <v>0</v>
      </c>
      <c r="W76" s="16"/>
      <c r="X76" s="16"/>
      <c r="Y76" s="16"/>
      <c r="Z76" s="16"/>
      <c r="AA76" s="35">
        <f t="shared" si="4"/>
        <v>0</v>
      </c>
      <c r="AB76" s="16"/>
      <c r="AC76" s="16"/>
      <c r="AD76" s="35">
        <f t="shared" si="5"/>
        <v>0</v>
      </c>
      <c r="AE76" s="16"/>
      <c r="AF76" s="16"/>
      <c r="AG76" s="16"/>
      <c r="AH76" s="16"/>
      <c r="AI76" s="16"/>
      <c r="AJ76" s="35">
        <f t="shared" si="6"/>
        <v>0</v>
      </c>
      <c r="AK76" s="16"/>
      <c r="AL76" s="16"/>
      <c r="AM76" s="16"/>
      <c r="AN76" s="35">
        <f t="shared" si="7"/>
        <v>0</v>
      </c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86">
        <f t="shared" si="8"/>
        <v>0</v>
      </c>
      <c r="BI76" s="16"/>
      <c r="BJ76" s="16"/>
      <c r="BK76" s="16"/>
      <c r="BL76" s="16"/>
      <c r="BM76" s="16"/>
      <c r="BN76" s="16"/>
    </row>
    <row r="77">
      <c r="A77" s="14">
        <v>2024.0</v>
      </c>
      <c r="B77" s="21" t="s">
        <v>145</v>
      </c>
      <c r="C77" s="8">
        <v>45488.0</v>
      </c>
      <c r="D77" s="35">
        <f t="shared" si="13"/>
        <v>0</v>
      </c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35">
        <f t="shared" si="2"/>
        <v>0</v>
      </c>
      <c r="Q77" s="16"/>
      <c r="R77" s="16"/>
      <c r="S77" s="16"/>
      <c r="T77" s="16"/>
      <c r="U77" s="16"/>
      <c r="V77" s="35">
        <f t="shared" si="3"/>
        <v>0</v>
      </c>
      <c r="W77" s="16"/>
      <c r="X77" s="16"/>
      <c r="Y77" s="16"/>
      <c r="Z77" s="16"/>
      <c r="AA77" s="35">
        <f t="shared" si="4"/>
        <v>0</v>
      </c>
      <c r="AB77" s="16"/>
      <c r="AC77" s="16"/>
      <c r="AD77" s="35">
        <f t="shared" si="5"/>
        <v>0</v>
      </c>
      <c r="AE77" s="16"/>
      <c r="AF77" s="16"/>
      <c r="AG77" s="16"/>
      <c r="AH77" s="16"/>
      <c r="AI77" s="16"/>
      <c r="AJ77" s="35">
        <f t="shared" si="6"/>
        <v>0</v>
      </c>
      <c r="AK77" s="16"/>
      <c r="AL77" s="16"/>
      <c r="AM77" s="16"/>
      <c r="AN77" s="35">
        <f t="shared" si="7"/>
        <v>0</v>
      </c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86">
        <f t="shared" si="8"/>
        <v>0</v>
      </c>
      <c r="BI77" s="16"/>
      <c r="BJ77" s="16"/>
      <c r="BK77" s="16"/>
      <c r="BL77" s="16"/>
      <c r="BM77" s="16"/>
      <c r="BN77" s="16"/>
    </row>
    <row r="78">
      <c r="A78" s="14">
        <v>2024.0</v>
      </c>
      <c r="B78" s="21" t="s">
        <v>145</v>
      </c>
      <c r="C78" s="8">
        <v>45489.0</v>
      </c>
      <c r="D78" s="35">
        <f t="shared" si="13"/>
        <v>0</v>
      </c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35">
        <f t="shared" si="2"/>
        <v>0</v>
      </c>
      <c r="Q78" s="16"/>
      <c r="R78" s="16"/>
      <c r="S78" s="16"/>
      <c r="T78" s="16"/>
      <c r="U78" s="16"/>
      <c r="V78" s="35">
        <f t="shared" si="3"/>
        <v>0</v>
      </c>
      <c r="W78" s="16"/>
      <c r="X78" s="16"/>
      <c r="Y78" s="16"/>
      <c r="Z78" s="16"/>
      <c r="AA78" s="35">
        <f t="shared" si="4"/>
        <v>0</v>
      </c>
      <c r="AB78" s="16"/>
      <c r="AC78" s="16"/>
      <c r="AD78" s="35">
        <f t="shared" si="5"/>
        <v>0</v>
      </c>
      <c r="AE78" s="16"/>
      <c r="AF78" s="16"/>
      <c r="AG78" s="16"/>
      <c r="AH78" s="16"/>
      <c r="AI78" s="16"/>
      <c r="AJ78" s="35">
        <f t="shared" si="6"/>
        <v>0</v>
      </c>
      <c r="AK78" s="16"/>
      <c r="AL78" s="16"/>
      <c r="AM78" s="16"/>
      <c r="AN78" s="35">
        <f t="shared" si="7"/>
        <v>0</v>
      </c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86">
        <f t="shared" si="8"/>
        <v>0</v>
      </c>
      <c r="BI78" s="16"/>
      <c r="BJ78" s="16"/>
      <c r="BK78" s="16"/>
      <c r="BL78" s="16"/>
      <c r="BM78" s="16"/>
      <c r="BN78" s="16"/>
    </row>
    <row r="79">
      <c r="A79" s="14">
        <v>2024.0</v>
      </c>
      <c r="B79" s="21" t="s">
        <v>145</v>
      </c>
      <c r="C79" s="8">
        <v>45490.0</v>
      </c>
      <c r="D79" s="35">
        <f t="shared" si="13"/>
        <v>0</v>
      </c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35">
        <f t="shared" si="2"/>
        <v>0</v>
      </c>
      <c r="Q79" s="16"/>
      <c r="R79" s="16"/>
      <c r="S79" s="16"/>
      <c r="T79" s="16"/>
      <c r="U79" s="16"/>
      <c r="V79" s="35">
        <f t="shared" si="3"/>
        <v>0</v>
      </c>
      <c r="W79" s="16"/>
      <c r="X79" s="16"/>
      <c r="Y79" s="16"/>
      <c r="Z79" s="16"/>
      <c r="AA79" s="35">
        <f t="shared" si="4"/>
        <v>0</v>
      </c>
      <c r="AB79" s="16"/>
      <c r="AC79" s="16"/>
      <c r="AD79" s="35">
        <f t="shared" si="5"/>
        <v>0</v>
      </c>
      <c r="AE79" s="16"/>
      <c r="AF79" s="16"/>
      <c r="AG79" s="16"/>
      <c r="AH79" s="16"/>
      <c r="AI79" s="16"/>
      <c r="AJ79" s="35">
        <f t="shared" si="6"/>
        <v>0</v>
      </c>
      <c r="AK79" s="16"/>
      <c r="AL79" s="16"/>
      <c r="AM79" s="16"/>
      <c r="AN79" s="35">
        <f t="shared" si="7"/>
        <v>0</v>
      </c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86">
        <f t="shared" si="8"/>
        <v>0</v>
      </c>
      <c r="BI79" s="16"/>
      <c r="BJ79" s="16"/>
      <c r="BK79" s="16"/>
      <c r="BL79" s="16"/>
      <c r="BM79" s="16"/>
      <c r="BN79" s="16"/>
    </row>
    <row r="80">
      <c r="A80" s="14">
        <v>2024.0</v>
      </c>
      <c r="B80" s="21" t="s">
        <v>145</v>
      </c>
      <c r="C80" s="8">
        <v>45491.0</v>
      </c>
      <c r="D80" s="35">
        <f t="shared" si="13"/>
        <v>0</v>
      </c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35">
        <f t="shared" si="2"/>
        <v>0</v>
      </c>
      <c r="Q80" s="16"/>
      <c r="R80" s="16"/>
      <c r="S80" s="16"/>
      <c r="T80" s="16"/>
      <c r="U80" s="16"/>
      <c r="V80" s="35">
        <f t="shared" si="3"/>
        <v>0</v>
      </c>
      <c r="W80" s="16"/>
      <c r="X80" s="16"/>
      <c r="Y80" s="16"/>
      <c r="Z80" s="16"/>
      <c r="AA80" s="35">
        <f t="shared" si="4"/>
        <v>0</v>
      </c>
      <c r="AB80" s="16"/>
      <c r="AC80" s="16"/>
      <c r="AD80" s="35">
        <f t="shared" si="5"/>
        <v>0</v>
      </c>
      <c r="AE80" s="16"/>
      <c r="AF80" s="16"/>
      <c r="AG80" s="16"/>
      <c r="AH80" s="16"/>
      <c r="AI80" s="16"/>
      <c r="AJ80" s="35">
        <f t="shared" si="6"/>
        <v>0</v>
      </c>
      <c r="AK80" s="16"/>
      <c r="AL80" s="16"/>
      <c r="AM80" s="16"/>
      <c r="AN80" s="35">
        <f t="shared" si="7"/>
        <v>0</v>
      </c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86">
        <f t="shared" si="8"/>
        <v>0</v>
      </c>
      <c r="BI80" s="16"/>
      <c r="BJ80" s="16"/>
      <c r="BK80" s="16"/>
      <c r="BL80" s="16"/>
      <c r="BM80" s="16"/>
      <c r="BN80" s="16"/>
    </row>
    <row r="81">
      <c r="A81" s="14">
        <v>2024.0</v>
      </c>
      <c r="B81" s="21" t="s">
        <v>145</v>
      </c>
      <c r="C81" s="8">
        <v>45492.0</v>
      </c>
      <c r="D81" s="35">
        <f t="shared" si="13"/>
        <v>0</v>
      </c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35">
        <f t="shared" si="2"/>
        <v>0</v>
      </c>
      <c r="Q81" s="16"/>
      <c r="R81" s="16"/>
      <c r="S81" s="16"/>
      <c r="T81" s="16"/>
      <c r="U81" s="16"/>
      <c r="V81" s="35">
        <f t="shared" si="3"/>
        <v>0</v>
      </c>
      <c r="W81" s="16"/>
      <c r="X81" s="16"/>
      <c r="Y81" s="16"/>
      <c r="Z81" s="16"/>
      <c r="AA81" s="35">
        <f t="shared" si="4"/>
        <v>0</v>
      </c>
      <c r="AB81" s="16"/>
      <c r="AC81" s="16"/>
      <c r="AD81" s="35">
        <f t="shared" si="5"/>
        <v>0</v>
      </c>
      <c r="AE81" s="16"/>
      <c r="AF81" s="16"/>
      <c r="AG81" s="16"/>
      <c r="AH81" s="16"/>
      <c r="AI81" s="16"/>
      <c r="AJ81" s="35">
        <f t="shared" si="6"/>
        <v>0</v>
      </c>
      <c r="AK81" s="16"/>
      <c r="AL81" s="16"/>
      <c r="AM81" s="16"/>
      <c r="AN81" s="35">
        <f t="shared" si="7"/>
        <v>0</v>
      </c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86">
        <f t="shared" si="8"/>
        <v>0</v>
      </c>
      <c r="BI81" s="16"/>
      <c r="BJ81" s="16"/>
      <c r="BK81" s="16"/>
      <c r="BL81" s="16"/>
      <c r="BM81" s="16"/>
      <c r="BN81" s="16"/>
    </row>
    <row r="82">
      <c r="A82" s="14">
        <v>2024.0</v>
      </c>
      <c r="B82" s="21" t="s">
        <v>145</v>
      </c>
      <c r="C82" s="8">
        <v>45493.0</v>
      </c>
      <c r="D82" s="35">
        <f t="shared" si="13"/>
        <v>0</v>
      </c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35">
        <f t="shared" si="2"/>
        <v>0</v>
      </c>
      <c r="Q82" s="16"/>
      <c r="R82" s="16"/>
      <c r="S82" s="16"/>
      <c r="T82" s="16"/>
      <c r="U82" s="16"/>
      <c r="V82" s="35">
        <f t="shared" si="3"/>
        <v>0</v>
      </c>
      <c r="W82" s="16"/>
      <c r="X82" s="16"/>
      <c r="Y82" s="16"/>
      <c r="Z82" s="16"/>
      <c r="AA82" s="35">
        <f t="shared" si="4"/>
        <v>0</v>
      </c>
      <c r="AB82" s="16"/>
      <c r="AC82" s="16"/>
      <c r="AD82" s="35">
        <f t="shared" si="5"/>
        <v>0</v>
      </c>
      <c r="AE82" s="16"/>
      <c r="AF82" s="16"/>
      <c r="AG82" s="16"/>
      <c r="AH82" s="16"/>
      <c r="AI82" s="16"/>
      <c r="AJ82" s="35">
        <f t="shared" si="6"/>
        <v>0</v>
      </c>
      <c r="AK82" s="16"/>
      <c r="AL82" s="16"/>
      <c r="AM82" s="16"/>
      <c r="AN82" s="35">
        <f t="shared" si="7"/>
        <v>0</v>
      </c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86">
        <f t="shared" si="8"/>
        <v>0</v>
      </c>
      <c r="BI82" s="16"/>
      <c r="BJ82" s="16"/>
      <c r="BK82" s="16"/>
      <c r="BL82" s="16"/>
      <c r="BM82" s="16"/>
      <c r="BN82" s="16"/>
    </row>
    <row r="83">
      <c r="A83" s="14">
        <v>2024.0</v>
      </c>
      <c r="B83" s="21" t="s">
        <v>145</v>
      </c>
      <c r="C83" s="8">
        <v>45494.0</v>
      </c>
      <c r="D83" s="35">
        <f t="shared" si="13"/>
        <v>0</v>
      </c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35">
        <f t="shared" si="2"/>
        <v>0</v>
      </c>
      <c r="Q83" s="16"/>
      <c r="R83" s="16"/>
      <c r="S83" s="16"/>
      <c r="T83" s="16"/>
      <c r="U83" s="16"/>
      <c r="V83" s="35">
        <f t="shared" si="3"/>
        <v>0</v>
      </c>
      <c r="W83" s="16"/>
      <c r="X83" s="16"/>
      <c r="Y83" s="16"/>
      <c r="Z83" s="16"/>
      <c r="AA83" s="35">
        <f t="shared" si="4"/>
        <v>0</v>
      </c>
      <c r="AB83" s="16"/>
      <c r="AC83" s="16"/>
      <c r="AD83" s="35">
        <f t="shared" si="5"/>
        <v>0</v>
      </c>
      <c r="AE83" s="16"/>
      <c r="AF83" s="16"/>
      <c r="AG83" s="16"/>
      <c r="AH83" s="16"/>
      <c r="AI83" s="16"/>
      <c r="AJ83" s="35">
        <f t="shared" si="6"/>
        <v>0</v>
      </c>
      <c r="AK83" s="16"/>
      <c r="AL83" s="16"/>
      <c r="AM83" s="16"/>
      <c r="AN83" s="35">
        <f t="shared" si="7"/>
        <v>0</v>
      </c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86">
        <f t="shared" si="8"/>
        <v>0</v>
      </c>
      <c r="BI83" s="16"/>
      <c r="BJ83" s="16"/>
      <c r="BK83" s="16"/>
      <c r="BL83" s="16"/>
      <c r="BM83" s="16"/>
      <c r="BN83" s="16"/>
    </row>
    <row r="84">
      <c r="A84" s="14">
        <v>2024.0</v>
      </c>
      <c r="B84" s="21" t="s">
        <v>145</v>
      </c>
      <c r="C84" s="8">
        <v>45495.0</v>
      </c>
      <c r="D84" s="35">
        <f t="shared" si="13"/>
        <v>0</v>
      </c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35">
        <f t="shared" si="2"/>
        <v>0</v>
      </c>
      <c r="Q84" s="16"/>
      <c r="R84" s="16"/>
      <c r="S84" s="16"/>
      <c r="T84" s="16"/>
      <c r="U84" s="16"/>
      <c r="V84" s="35">
        <f t="shared" si="3"/>
        <v>0</v>
      </c>
      <c r="W84" s="16"/>
      <c r="X84" s="16"/>
      <c r="Y84" s="16"/>
      <c r="Z84" s="16"/>
      <c r="AA84" s="35">
        <f t="shared" si="4"/>
        <v>0</v>
      </c>
      <c r="AB84" s="16"/>
      <c r="AC84" s="16"/>
      <c r="AD84" s="35">
        <f t="shared" si="5"/>
        <v>0</v>
      </c>
      <c r="AE84" s="16"/>
      <c r="AF84" s="16"/>
      <c r="AG84" s="16"/>
      <c r="AH84" s="16"/>
      <c r="AI84" s="16"/>
      <c r="AJ84" s="35">
        <f t="shared" si="6"/>
        <v>0</v>
      </c>
      <c r="AK84" s="16"/>
      <c r="AL84" s="16"/>
      <c r="AM84" s="16"/>
      <c r="AN84" s="35">
        <f t="shared" si="7"/>
        <v>0</v>
      </c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86">
        <f t="shared" si="8"/>
        <v>0</v>
      </c>
      <c r="BI84" s="16"/>
      <c r="BJ84" s="16"/>
      <c r="BK84" s="16"/>
      <c r="BL84" s="16"/>
      <c r="BM84" s="16"/>
      <c r="BN84" s="16"/>
    </row>
    <row r="85">
      <c r="A85" s="14">
        <v>2024.0</v>
      </c>
      <c r="B85" s="21" t="s">
        <v>145</v>
      </c>
      <c r="C85" s="8">
        <v>45496.0</v>
      </c>
      <c r="D85" s="35">
        <f t="shared" si="13"/>
        <v>0</v>
      </c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35">
        <f t="shared" si="2"/>
        <v>0</v>
      </c>
      <c r="Q85" s="16"/>
      <c r="R85" s="16"/>
      <c r="S85" s="16"/>
      <c r="T85" s="16"/>
      <c r="U85" s="16"/>
      <c r="V85" s="35">
        <f t="shared" si="3"/>
        <v>0</v>
      </c>
      <c r="W85" s="16"/>
      <c r="X85" s="16"/>
      <c r="Y85" s="16"/>
      <c r="Z85" s="16"/>
      <c r="AA85" s="35">
        <f t="shared" si="4"/>
        <v>0</v>
      </c>
      <c r="AB85" s="16"/>
      <c r="AC85" s="16"/>
      <c r="AD85" s="35">
        <f t="shared" si="5"/>
        <v>0</v>
      </c>
      <c r="AE85" s="16"/>
      <c r="AF85" s="16"/>
      <c r="AG85" s="16"/>
      <c r="AH85" s="16"/>
      <c r="AI85" s="16"/>
      <c r="AJ85" s="35">
        <f t="shared" si="6"/>
        <v>0</v>
      </c>
      <c r="AK85" s="16"/>
      <c r="AL85" s="16"/>
      <c r="AM85" s="16"/>
      <c r="AN85" s="35">
        <f t="shared" si="7"/>
        <v>0</v>
      </c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86">
        <f t="shared" si="8"/>
        <v>0</v>
      </c>
      <c r="BI85" s="16"/>
      <c r="BJ85" s="16"/>
      <c r="BK85" s="16"/>
      <c r="BL85" s="16"/>
      <c r="BM85" s="16"/>
      <c r="BN85" s="16"/>
    </row>
    <row r="86">
      <c r="A86" s="14">
        <v>2024.0</v>
      </c>
      <c r="B86" s="21" t="s">
        <v>145</v>
      </c>
      <c r="C86" s="8">
        <v>45497.0</v>
      </c>
      <c r="D86" s="35">
        <f t="shared" si="13"/>
        <v>0</v>
      </c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35">
        <f t="shared" si="2"/>
        <v>0</v>
      </c>
      <c r="Q86" s="16"/>
      <c r="R86" s="16"/>
      <c r="S86" s="16"/>
      <c r="T86" s="16"/>
      <c r="U86" s="16"/>
      <c r="V86" s="35">
        <f t="shared" si="3"/>
        <v>0</v>
      </c>
      <c r="W86" s="16"/>
      <c r="X86" s="16"/>
      <c r="Y86" s="16"/>
      <c r="Z86" s="16"/>
      <c r="AA86" s="35">
        <f t="shared" si="4"/>
        <v>0</v>
      </c>
      <c r="AB86" s="16"/>
      <c r="AC86" s="16"/>
      <c r="AD86" s="35">
        <f t="shared" si="5"/>
        <v>0</v>
      </c>
      <c r="AE86" s="16"/>
      <c r="AF86" s="16"/>
      <c r="AG86" s="16"/>
      <c r="AH86" s="16"/>
      <c r="AI86" s="16"/>
      <c r="AJ86" s="35">
        <f t="shared" si="6"/>
        <v>0</v>
      </c>
      <c r="AK86" s="16"/>
      <c r="AL86" s="16"/>
      <c r="AM86" s="16"/>
      <c r="AN86" s="35">
        <f t="shared" si="7"/>
        <v>0</v>
      </c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86">
        <f t="shared" si="8"/>
        <v>0</v>
      </c>
      <c r="BI86" s="16"/>
      <c r="BJ86" s="16"/>
      <c r="BK86" s="16"/>
      <c r="BL86" s="16"/>
      <c r="BM86" s="16"/>
      <c r="BN86" s="16"/>
    </row>
    <row r="87">
      <c r="A87" s="14">
        <v>2024.0</v>
      </c>
      <c r="B87" s="21" t="s">
        <v>145</v>
      </c>
      <c r="C87" s="8">
        <v>45498.0</v>
      </c>
      <c r="D87" s="35">
        <f t="shared" si="13"/>
        <v>0</v>
      </c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35">
        <f t="shared" si="2"/>
        <v>0</v>
      </c>
      <c r="Q87" s="16"/>
      <c r="R87" s="16"/>
      <c r="S87" s="16"/>
      <c r="T87" s="16"/>
      <c r="U87" s="16"/>
      <c r="V87" s="35">
        <f t="shared" si="3"/>
        <v>0</v>
      </c>
      <c r="W87" s="16"/>
      <c r="X87" s="16"/>
      <c r="Y87" s="16"/>
      <c r="Z87" s="16"/>
      <c r="AA87" s="35">
        <f t="shared" si="4"/>
        <v>0</v>
      </c>
      <c r="AB87" s="16"/>
      <c r="AC87" s="16"/>
      <c r="AD87" s="35">
        <f t="shared" si="5"/>
        <v>0</v>
      </c>
      <c r="AE87" s="16"/>
      <c r="AF87" s="16"/>
      <c r="AG87" s="16"/>
      <c r="AH87" s="16"/>
      <c r="AI87" s="16"/>
      <c r="AJ87" s="35">
        <f t="shared" si="6"/>
        <v>0</v>
      </c>
      <c r="AK87" s="16"/>
      <c r="AL87" s="16"/>
      <c r="AM87" s="16"/>
      <c r="AN87" s="35">
        <f t="shared" si="7"/>
        <v>0</v>
      </c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86">
        <f t="shared" si="8"/>
        <v>0</v>
      </c>
      <c r="BI87" s="16"/>
      <c r="BJ87" s="16"/>
      <c r="BK87" s="16"/>
      <c r="BL87" s="16"/>
      <c r="BM87" s="16"/>
      <c r="BN87" s="16"/>
    </row>
    <row r="88">
      <c r="A88" s="14">
        <v>2024.0</v>
      </c>
      <c r="B88" s="21" t="s">
        <v>145</v>
      </c>
      <c r="C88" s="8">
        <v>45499.0</v>
      </c>
      <c r="D88" s="35">
        <f t="shared" si="13"/>
        <v>0</v>
      </c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35">
        <f t="shared" si="2"/>
        <v>0</v>
      </c>
      <c r="Q88" s="16"/>
      <c r="R88" s="16"/>
      <c r="S88" s="16"/>
      <c r="T88" s="16"/>
      <c r="U88" s="16"/>
      <c r="V88" s="35">
        <f t="shared" si="3"/>
        <v>0</v>
      </c>
      <c r="W88" s="16"/>
      <c r="X88" s="16"/>
      <c r="Y88" s="16"/>
      <c r="Z88" s="16"/>
      <c r="AA88" s="35">
        <f t="shared" si="4"/>
        <v>0</v>
      </c>
      <c r="AB88" s="16"/>
      <c r="AC88" s="16"/>
      <c r="AD88" s="35">
        <f t="shared" si="5"/>
        <v>0</v>
      </c>
      <c r="AE88" s="16"/>
      <c r="AF88" s="16"/>
      <c r="AG88" s="16"/>
      <c r="AH88" s="16"/>
      <c r="AI88" s="16"/>
      <c r="AJ88" s="35">
        <f t="shared" si="6"/>
        <v>0</v>
      </c>
      <c r="AK88" s="16"/>
      <c r="AL88" s="16"/>
      <c r="AM88" s="16"/>
      <c r="AN88" s="35">
        <f t="shared" si="7"/>
        <v>0</v>
      </c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86">
        <f t="shared" si="8"/>
        <v>0</v>
      </c>
      <c r="BI88" s="16"/>
      <c r="BJ88" s="16"/>
      <c r="BK88" s="16"/>
      <c r="BL88" s="16"/>
      <c r="BM88" s="16"/>
      <c r="BN88" s="16"/>
    </row>
    <row r="89">
      <c r="A89" s="14">
        <v>2024.0</v>
      </c>
      <c r="B89" s="21" t="s">
        <v>145</v>
      </c>
      <c r="C89" s="8">
        <v>45500.0</v>
      </c>
      <c r="D89" s="35">
        <f t="shared" si="13"/>
        <v>0</v>
      </c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35">
        <f t="shared" si="2"/>
        <v>0</v>
      </c>
      <c r="Q89" s="16"/>
      <c r="R89" s="16"/>
      <c r="S89" s="16"/>
      <c r="T89" s="16"/>
      <c r="U89" s="16"/>
      <c r="V89" s="35">
        <f t="shared" si="3"/>
        <v>0</v>
      </c>
      <c r="W89" s="16"/>
      <c r="X89" s="16"/>
      <c r="Y89" s="16"/>
      <c r="Z89" s="16"/>
      <c r="AA89" s="35">
        <f t="shared" si="4"/>
        <v>0</v>
      </c>
      <c r="AB89" s="16"/>
      <c r="AC89" s="16"/>
      <c r="AD89" s="35">
        <f t="shared" si="5"/>
        <v>0</v>
      </c>
      <c r="AE89" s="16"/>
      <c r="AF89" s="16"/>
      <c r="AG89" s="16"/>
      <c r="AH89" s="16"/>
      <c r="AI89" s="16"/>
      <c r="AJ89" s="35">
        <f t="shared" si="6"/>
        <v>0</v>
      </c>
      <c r="AK89" s="16"/>
      <c r="AL89" s="16"/>
      <c r="AM89" s="16"/>
      <c r="AN89" s="35">
        <f t="shared" si="7"/>
        <v>0</v>
      </c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86">
        <f t="shared" si="8"/>
        <v>0</v>
      </c>
      <c r="BI89" s="16"/>
      <c r="BJ89" s="16"/>
      <c r="BK89" s="16"/>
      <c r="BL89" s="16"/>
      <c r="BM89" s="16"/>
      <c r="BN89" s="16"/>
    </row>
    <row r="90">
      <c r="A90" s="14">
        <v>2024.0</v>
      </c>
      <c r="B90" s="21" t="s">
        <v>145</v>
      </c>
      <c r="C90" s="8">
        <v>45501.0</v>
      </c>
      <c r="D90" s="35">
        <f t="shared" si="13"/>
        <v>0</v>
      </c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35">
        <f t="shared" si="2"/>
        <v>0</v>
      </c>
      <c r="Q90" s="16"/>
      <c r="R90" s="16"/>
      <c r="S90" s="16"/>
      <c r="T90" s="16"/>
      <c r="U90" s="16"/>
      <c r="V90" s="35">
        <f t="shared" si="3"/>
        <v>0</v>
      </c>
      <c r="W90" s="16"/>
      <c r="X90" s="16"/>
      <c r="Y90" s="16"/>
      <c r="Z90" s="16"/>
      <c r="AA90" s="35">
        <f t="shared" si="4"/>
        <v>0</v>
      </c>
      <c r="AB90" s="16"/>
      <c r="AC90" s="16"/>
      <c r="AD90" s="35">
        <f t="shared" si="5"/>
        <v>0</v>
      </c>
      <c r="AE90" s="16"/>
      <c r="AF90" s="16"/>
      <c r="AG90" s="16"/>
      <c r="AH90" s="16"/>
      <c r="AI90" s="16"/>
      <c r="AJ90" s="35">
        <f t="shared" si="6"/>
        <v>0</v>
      </c>
      <c r="AK90" s="16"/>
      <c r="AL90" s="16"/>
      <c r="AM90" s="16"/>
      <c r="AN90" s="35">
        <f t="shared" si="7"/>
        <v>0</v>
      </c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86">
        <f t="shared" si="8"/>
        <v>0</v>
      </c>
      <c r="BI90" s="16"/>
      <c r="BJ90" s="16"/>
      <c r="BK90" s="16"/>
      <c r="BL90" s="16"/>
      <c r="BM90" s="16"/>
      <c r="BN90" s="16"/>
    </row>
    <row r="91">
      <c r="A91" s="14">
        <v>2024.0</v>
      </c>
      <c r="B91" s="21" t="s">
        <v>145</v>
      </c>
      <c r="C91" s="8">
        <v>45502.0</v>
      </c>
      <c r="D91" s="35">
        <f t="shared" si="13"/>
        <v>0</v>
      </c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35">
        <f t="shared" si="2"/>
        <v>0</v>
      </c>
      <c r="Q91" s="16"/>
      <c r="R91" s="16"/>
      <c r="S91" s="16"/>
      <c r="T91" s="16"/>
      <c r="U91" s="16"/>
      <c r="V91" s="35">
        <f t="shared" si="3"/>
        <v>0</v>
      </c>
      <c r="W91" s="16"/>
      <c r="X91" s="16"/>
      <c r="Y91" s="16"/>
      <c r="Z91" s="16"/>
      <c r="AA91" s="35">
        <f t="shared" si="4"/>
        <v>0</v>
      </c>
      <c r="AB91" s="16"/>
      <c r="AC91" s="16"/>
      <c r="AD91" s="35">
        <f t="shared" si="5"/>
        <v>0</v>
      </c>
      <c r="AE91" s="16"/>
      <c r="AF91" s="16"/>
      <c r="AG91" s="16"/>
      <c r="AH91" s="16"/>
      <c r="AI91" s="16"/>
      <c r="AJ91" s="35">
        <f t="shared" si="6"/>
        <v>0</v>
      </c>
      <c r="AK91" s="16"/>
      <c r="AL91" s="16"/>
      <c r="AM91" s="16"/>
      <c r="AN91" s="35">
        <f t="shared" si="7"/>
        <v>0</v>
      </c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86">
        <f t="shared" si="8"/>
        <v>0</v>
      </c>
      <c r="BI91" s="16"/>
      <c r="BJ91" s="16"/>
      <c r="BK91" s="16"/>
      <c r="BL91" s="16"/>
      <c r="BM91" s="16"/>
      <c r="BN91" s="16"/>
    </row>
    <row r="92">
      <c r="A92" s="14">
        <v>2024.0</v>
      </c>
      <c r="B92" s="21" t="s">
        <v>145</v>
      </c>
      <c r="C92" s="8">
        <v>45503.0</v>
      </c>
      <c r="D92" s="35">
        <f t="shared" si="13"/>
        <v>0</v>
      </c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35">
        <f t="shared" si="2"/>
        <v>0</v>
      </c>
      <c r="Q92" s="16"/>
      <c r="R92" s="16"/>
      <c r="S92" s="16"/>
      <c r="T92" s="16"/>
      <c r="U92" s="16"/>
      <c r="V92" s="35">
        <f t="shared" si="3"/>
        <v>0</v>
      </c>
      <c r="W92" s="16"/>
      <c r="X92" s="16"/>
      <c r="Y92" s="16"/>
      <c r="Z92" s="16"/>
      <c r="AA92" s="35">
        <f t="shared" si="4"/>
        <v>0</v>
      </c>
      <c r="AB92" s="16"/>
      <c r="AC92" s="16"/>
      <c r="AD92" s="35">
        <f t="shared" si="5"/>
        <v>0</v>
      </c>
      <c r="AE92" s="16"/>
      <c r="AF92" s="16"/>
      <c r="AG92" s="16"/>
      <c r="AH92" s="16"/>
      <c r="AI92" s="16"/>
      <c r="AJ92" s="35">
        <f t="shared" si="6"/>
        <v>0</v>
      </c>
      <c r="AK92" s="16"/>
      <c r="AL92" s="16"/>
      <c r="AM92" s="16"/>
      <c r="AN92" s="35">
        <f t="shared" si="7"/>
        <v>0</v>
      </c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86">
        <f t="shared" si="8"/>
        <v>0</v>
      </c>
      <c r="BI92" s="16"/>
      <c r="BJ92" s="16"/>
      <c r="BK92" s="16"/>
      <c r="BL92" s="16"/>
      <c r="BM92" s="16"/>
      <c r="BN92" s="16"/>
    </row>
    <row r="93">
      <c r="A93" s="14">
        <v>2024.0</v>
      </c>
      <c r="B93" s="21" t="s">
        <v>145</v>
      </c>
      <c r="C93" s="8">
        <v>45504.0</v>
      </c>
      <c r="D93" s="35">
        <f t="shared" si="13"/>
        <v>0</v>
      </c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35">
        <f t="shared" si="2"/>
        <v>0</v>
      </c>
      <c r="Q93" s="16"/>
      <c r="R93" s="16"/>
      <c r="S93" s="16"/>
      <c r="T93" s="16"/>
      <c r="U93" s="16"/>
      <c r="V93" s="35">
        <f t="shared" si="3"/>
        <v>0</v>
      </c>
      <c r="W93" s="16"/>
      <c r="X93" s="16"/>
      <c r="Y93" s="16"/>
      <c r="Z93" s="16"/>
      <c r="AA93" s="35">
        <f t="shared" si="4"/>
        <v>0</v>
      </c>
      <c r="AB93" s="16"/>
      <c r="AC93" s="16"/>
      <c r="AD93" s="35">
        <f t="shared" si="5"/>
        <v>0</v>
      </c>
      <c r="AE93" s="16"/>
      <c r="AF93" s="16"/>
      <c r="AG93" s="16"/>
      <c r="AH93" s="16"/>
      <c r="AI93" s="16"/>
      <c r="AJ93" s="35">
        <f t="shared" si="6"/>
        <v>0</v>
      </c>
      <c r="AK93" s="16"/>
      <c r="AL93" s="16"/>
      <c r="AM93" s="16"/>
      <c r="AN93" s="35">
        <f t="shared" si="7"/>
        <v>0</v>
      </c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86">
        <f t="shared" si="8"/>
        <v>0</v>
      </c>
      <c r="BI93" s="16"/>
      <c r="BJ93" s="16"/>
      <c r="BK93" s="16"/>
      <c r="BL93" s="16"/>
      <c r="BM93" s="16"/>
      <c r="BN93" s="16"/>
    </row>
    <row r="94">
      <c r="A94" s="14">
        <v>2024.0</v>
      </c>
      <c r="B94" s="21" t="s">
        <v>147</v>
      </c>
      <c r="C94" s="8">
        <v>45505.0</v>
      </c>
      <c r="D94" s="35">
        <f t="shared" si="13"/>
        <v>0</v>
      </c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35">
        <f t="shared" si="2"/>
        <v>0</v>
      </c>
      <c r="Q94" s="16"/>
      <c r="R94" s="16"/>
      <c r="S94" s="16"/>
      <c r="T94" s="16"/>
      <c r="U94" s="16"/>
      <c r="V94" s="35">
        <f t="shared" si="3"/>
        <v>0</v>
      </c>
      <c r="W94" s="16"/>
      <c r="X94" s="16"/>
      <c r="Y94" s="16"/>
      <c r="Z94" s="16"/>
      <c r="AA94" s="35">
        <f t="shared" si="4"/>
        <v>0</v>
      </c>
      <c r="AB94" s="16"/>
      <c r="AC94" s="16"/>
      <c r="AD94" s="35">
        <f t="shared" si="5"/>
        <v>0</v>
      </c>
      <c r="AE94" s="16"/>
      <c r="AF94" s="16"/>
      <c r="AG94" s="16"/>
      <c r="AH94" s="16"/>
      <c r="AI94" s="16"/>
      <c r="AJ94" s="35">
        <f t="shared" si="6"/>
        <v>0</v>
      </c>
      <c r="AK94" s="16"/>
      <c r="AL94" s="16"/>
      <c r="AM94" s="16"/>
      <c r="AN94" s="35">
        <f t="shared" si="7"/>
        <v>0</v>
      </c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86">
        <f t="shared" si="8"/>
        <v>0</v>
      </c>
      <c r="BI94" s="16"/>
      <c r="BJ94" s="16"/>
      <c r="BK94" s="16"/>
      <c r="BL94" s="16"/>
      <c r="BM94" s="16"/>
      <c r="BN94" s="16"/>
    </row>
    <row r="95">
      <c r="A95" s="14">
        <v>2024.0</v>
      </c>
      <c r="B95" s="21" t="s">
        <v>147</v>
      </c>
      <c r="C95" s="8">
        <v>45506.0</v>
      </c>
      <c r="D95" s="35">
        <f t="shared" si="13"/>
        <v>0</v>
      </c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35">
        <f t="shared" si="2"/>
        <v>0</v>
      </c>
      <c r="Q95" s="16"/>
      <c r="R95" s="16"/>
      <c r="S95" s="16"/>
      <c r="T95" s="16"/>
      <c r="U95" s="16"/>
      <c r="V95" s="35">
        <f t="shared" si="3"/>
        <v>0</v>
      </c>
      <c r="W95" s="16"/>
      <c r="X95" s="16"/>
      <c r="Y95" s="16"/>
      <c r="Z95" s="16"/>
      <c r="AA95" s="35">
        <f t="shared" si="4"/>
        <v>0</v>
      </c>
      <c r="AB95" s="16"/>
      <c r="AC95" s="16"/>
      <c r="AD95" s="35">
        <f t="shared" si="5"/>
        <v>0</v>
      </c>
      <c r="AE95" s="16"/>
      <c r="AF95" s="16"/>
      <c r="AG95" s="16"/>
      <c r="AH95" s="16"/>
      <c r="AI95" s="16"/>
      <c r="AJ95" s="35">
        <f t="shared" si="6"/>
        <v>0</v>
      </c>
      <c r="AK95" s="16"/>
      <c r="AL95" s="16"/>
      <c r="AM95" s="16"/>
      <c r="AN95" s="35">
        <f t="shared" si="7"/>
        <v>0</v>
      </c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86">
        <f t="shared" si="8"/>
        <v>0</v>
      </c>
      <c r="BI95" s="16"/>
      <c r="BJ95" s="16"/>
      <c r="BK95" s="16"/>
      <c r="BL95" s="16"/>
      <c r="BM95" s="16"/>
      <c r="BN95" s="16"/>
    </row>
    <row r="96">
      <c r="A96" s="14">
        <v>2024.0</v>
      </c>
      <c r="B96" s="21" t="s">
        <v>147</v>
      </c>
      <c r="C96" s="8">
        <v>45507.0</v>
      </c>
      <c r="D96" s="35">
        <f t="shared" si="13"/>
        <v>0</v>
      </c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35">
        <f t="shared" si="2"/>
        <v>0</v>
      </c>
      <c r="Q96" s="16"/>
      <c r="R96" s="16"/>
      <c r="S96" s="16"/>
      <c r="T96" s="16"/>
      <c r="U96" s="16"/>
      <c r="V96" s="35">
        <f t="shared" si="3"/>
        <v>0</v>
      </c>
      <c r="W96" s="16"/>
      <c r="X96" s="16"/>
      <c r="Y96" s="16"/>
      <c r="Z96" s="16"/>
      <c r="AA96" s="35">
        <f t="shared" si="4"/>
        <v>0</v>
      </c>
      <c r="AB96" s="16"/>
      <c r="AC96" s="16"/>
      <c r="AD96" s="35">
        <f t="shared" si="5"/>
        <v>0</v>
      </c>
      <c r="AE96" s="16"/>
      <c r="AF96" s="16"/>
      <c r="AG96" s="16"/>
      <c r="AH96" s="16"/>
      <c r="AI96" s="16"/>
      <c r="AJ96" s="35">
        <f t="shared" si="6"/>
        <v>0</v>
      </c>
      <c r="AK96" s="16"/>
      <c r="AL96" s="16"/>
      <c r="AM96" s="16"/>
      <c r="AN96" s="35">
        <f t="shared" si="7"/>
        <v>0</v>
      </c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86">
        <f t="shared" si="8"/>
        <v>0</v>
      </c>
      <c r="BI96" s="16"/>
      <c r="BJ96" s="16"/>
      <c r="BK96" s="16"/>
      <c r="BL96" s="16"/>
      <c r="BM96" s="16"/>
      <c r="BN96" s="16"/>
    </row>
    <row r="97">
      <c r="A97" s="14">
        <v>2024.0</v>
      </c>
      <c r="B97" s="21" t="s">
        <v>147</v>
      </c>
      <c r="C97" s="8">
        <v>45508.0</v>
      </c>
      <c r="D97" s="35">
        <f t="shared" si="13"/>
        <v>0</v>
      </c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35">
        <f t="shared" si="2"/>
        <v>0</v>
      </c>
      <c r="Q97" s="16"/>
      <c r="R97" s="16"/>
      <c r="S97" s="16"/>
      <c r="T97" s="16"/>
      <c r="U97" s="16"/>
      <c r="V97" s="35">
        <f t="shared" si="3"/>
        <v>0</v>
      </c>
      <c r="W97" s="16"/>
      <c r="X97" s="16"/>
      <c r="Y97" s="16"/>
      <c r="Z97" s="16"/>
      <c r="AA97" s="35">
        <f t="shared" si="4"/>
        <v>0</v>
      </c>
      <c r="AB97" s="16"/>
      <c r="AC97" s="16"/>
      <c r="AD97" s="35">
        <f t="shared" si="5"/>
        <v>0</v>
      </c>
      <c r="AE97" s="16"/>
      <c r="AF97" s="16"/>
      <c r="AG97" s="16"/>
      <c r="AH97" s="16"/>
      <c r="AI97" s="16"/>
      <c r="AJ97" s="35">
        <f t="shared" si="6"/>
        <v>0</v>
      </c>
      <c r="AK97" s="16"/>
      <c r="AL97" s="16"/>
      <c r="AM97" s="16"/>
      <c r="AN97" s="35">
        <f t="shared" si="7"/>
        <v>0</v>
      </c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86">
        <f t="shared" si="8"/>
        <v>0</v>
      </c>
      <c r="BI97" s="16"/>
      <c r="BJ97" s="16"/>
      <c r="BK97" s="16"/>
      <c r="BL97" s="16"/>
      <c r="BM97" s="16"/>
      <c r="BN97" s="16"/>
    </row>
    <row r="98">
      <c r="A98" s="14">
        <v>2024.0</v>
      </c>
      <c r="B98" s="21" t="s">
        <v>147</v>
      </c>
      <c r="C98" s="8">
        <v>45509.0</v>
      </c>
      <c r="D98" s="35">
        <f t="shared" si="13"/>
        <v>0</v>
      </c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35">
        <f t="shared" si="2"/>
        <v>0</v>
      </c>
      <c r="Q98" s="16"/>
      <c r="R98" s="16"/>
      <c r="S98" s="16"/>
      <c r="T98" s="16"/>
      <c r="U98" s="16"/>
      <c r="V98" s="35">
        <f t="shared" si="3"/>
        <v>0</v>
      </c>
      <c r="W98" s="16"/>
      <c r="X98" s="16"/>
      <c r="Y98" s="16"/>
      <c r="Z98" s="16"/>
      <c r="AA98" s="35">
        <f t="shared" si="4"/>
        <v>0</v>
      </c>
      <c r="AB98" s="16"/>
      <c r="AC98" s="16"/>
      <c r="AD98" s="35">
        <f t="shared" si="5"/>
        <v>0</v>
      </c>
      <c r="AE98" s="16"/>
      <c r="AF98" s="16"/>
      <c r="AG98" s="16"/>
      <c r="AH98" s="16"/>
      <c r="AI98" s="16"/>
      <c r="AJ98" s="35">
        <f t="shared" si="6"/>
        <v>0</v>
      </c>
      <c r="AK98" s="16"/>
      <c r="AL98" s="16"/>
      <c r="AM98" s="16"/>
      <c r="AN98" s="35">
        <f t="shared" si="7"/>
        <v>0</v>
      </c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86">
        <f t="shared" si="8"/>
        <v>0</v>
      </c>
      <c r="BI98" s="16"/>
      <c r="BJ98" s="16"/>
      <c r="BK98" s="16"/>
      <c r="BL98" s="16"/>
      <c r="BM98" s="16"/>
      <c r="BN98" s="16"/>
    </row>
    <row r="99">
      <c r="A99" s="14">
        <v>2024.0</v>
      </c>
      <c r="B99" s="21" t="s">
        <v>147</v>
      </c>
      <c r="C99" s="8">
        <v>45510.0</v>
      </c>
      <c r="D99" s="35">
        <f t="shared" si="13"/>
        <v>0</v>
      </c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35">
        <f t="shared" si="2"/>
        <v>0</v>
      </c>
      <c r="Q99" s="16"/>
      <c r="R99" s="16"/>
      <c r="S99" s="16"/>
      <c r="T99" s="16"/>
      <c r="U99" s="16"/>
      <c r="V99" s="35">
        <f t="shared" si="3"/>
        <v>0</v>
      </c>
      <c r="W99" s="16"/>
      <c r="X99" s="16"/>
      <c r="Y99" s="16"/>
      <c r="Z99" s="16"/>
      <c r="AA99" s="35">
        <f t="shared" si="4"/>
        <v>0</v>
      </c>
      <c r="AB99" s="16"/>
      <c r="AC99" s="16"/>
      <c r="AD99" s="35">
        <f t="shared" si="5"/>
        <v>0</v>
      </c>
      <c r="AE99" s="16"/>
      <c r="AF99" s="16"/>
      <c r="AG99" s="16"/>
      <c r="AH99" s="16"/>
      <c r="AI99" s="16"/>
      <c r="AJ99" s="35">
        <f t="shared" si="6"/>
        <v>0</v>
      </c>
      <c r="AK99" s="16"/>
      <c r="AL99" s="16"/>
      <c r="AM99" s="16"/>
      <c r="AN99" s="35">
        <f t="shared" si="7"/>
        <v>0</v>
      </c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86">
        <f t="shared" si="8"/>
        <v>0</v>
      </c>
      <c r="BI99" s="16"/>
      <c r="BJ99" s="16"/>
      <c r="BK99" s="16"/>
      <c r="BL99" s="16"/>
      <c r="BM99" s="16"/>
      <c r="BN99" s="16"/>
    </row>
    <row r="100">
      <c r="A100" s="14">
        <v>2024.0</v>
      </c>
      <c r="B100" s="21" t="s">
        <v>147</v>
      </c>
      <c r="C100" s="8">
        <v>45511.0</v>
      </c>
      <c r="D100" s="35">
        <f t="shared" si="13"/>
        <v>0</v>
      </c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35">
        <f t="shared" si="2"/>
        <v>0</v>
      </c>
      <c r="Q100" s="16"/>
      <c r="R100" s="16"/>
      <c r="S100" s="16"/>
      <c r="T100" s="16"/>
      <c r="U100" s="16"/>
      <c r="V100" s="35">
        <f t="shared" si="3"/>
        <v>0</v>
      </c>
      <c r="W100" s="16"/>
      <c r="X100" s="16"/>
      <c r="Y100" s="16"/>
      <c r="Z100" s="16"/>
      <c r="AA100" s="35">
        <f t="shared" si="4"/>
        <v>0</v>
      </c>
      <c r="AB100" s="16"/>
      <c r="AC100" s="16"/>
      <c r="AD100" s="35">
        <f t="shared" si="5"/>
        <v>0</v>
      </c>
      <c r="AE100" s="16"/>
      <c r="AF100" s="16"/>
      <c r="AG100" s="16"/>
      <c r="AH100" s="16"/>
      <c r="AI100" s="16"/>
      <c r="AJ100" s="35">
        <f t="shared" si="6"/>
        <v>0</v>
      </c>
      <c r="AK100" s="16"/>
      <c r="AL100" s="16"/>
      <c r="AM100" s="16"/>
      <c r="AN100" s="35">
        <f t="shared" si="7"/>
        <v>0</v>
      </c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86">
        <f t="shared" si="8"/>
        <v>0</v>
      </c>
      <c r="BI100" s="16"/>
      <c r="BJ100" s="16"/>
      <c r="BK100" s="16"/>
      <c r="BL100" s="16"/>
      <c r="BM100" s="16"/>
      <c r="BN100" s="16"/>
    </row>
    <row r="101">
      <c r="A101" s="14">
        <v>2024.0</v>
      </c>
      <c r="B101" s="21" t="s">
        <v>147</v>
      </c>
      <c r="C101" s="8">
        <v>45512.0</v>
      </c>
      <c r="D101" s="35">
        <f t="shared" si="13"/>
        <v>0</v>
      </c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35">
        <f t="shared" si="2"/>
        <v>0</v>
      </c>
      <c r="Q101" s="16"/>
      <c r="R101" s="16"/>
      <c r="S101" s="16"/>
      <c r="T101" s="16"/>
      <c r="U101" s="16"/>
      <c r="V101" s="35">
        <f t="shared" si="3"/>
        <v>0</v>
      </c>
      <c r="W101" s="16"/>
      <c r="X101" s="16"/>
      <c r="Y101" s="16"/>
      <c r="Z101" s="16"/>
      <c r="AA101" s="35">
        <f t="shared" si="4"/>
        <v>0</v>
      </c>
      <c r="AB101" s="16"/>
      <c r="AC101" s="16"/>
      <c r="AD101" s="35">
        <f t="shared" si="5"/>
        <v>0</v>
      </c>
      <c r="AE101" s="16"/>
      <c r="AF101" s="16"/>
      <c r="AG101" s="16"/>
      <c r="AH101" s="16"/>
      <c r="AI101" s="16"/>
      <c r="AJ101" s="35">
        <f t="shared" si="6"/>
        <v>0</v>
      </c>
      <c r="AK101" s="16"/>
      <c r="AL101" s="16"/>
      <c r="AM101" s="16"/>
      <c r="AN101" s="35">
        <f t="shared" si="7"/>
        <v>0</v>
      </c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86">
        <f t="shared" si="8"/>
        <v>0</v>
      </c>
      <c r="BI101" s="16"/>
      <c r="BJ101" s="16"/>
      <c r="BK101" s="16"/>
      <c r="BL101" s="16"/>
      <c r="BM101" s="16"/>
      <c r="BN101" s="16"/>
    </row>
    <row r="102">
      <c r="A102" s="14">
        <v>2024.0</v>
      </c>
      <c r="B102" s="21" t="s">
        <v>147</v>
      </c>
      <c r="C102" s="8">
        <v>45513.0</v>
      </c>
      <c r="D102" s="35">
        <f t="shared" si="13"/>
        <v>0</v>
      </c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35">
        <f t="shared" si="2"/>
        <v>0</v>
      </c>
      <c r="Q102" s="16"/>
      <c r="R102" s="16"/>
      <c r="S102" s="16"/>
      <c r="T102" s="16"/>
      <c r="U102" s="16"/>
      <c r="V102" s="35">
        <f t="shared" si="3"/>
        <v>0</v>
      </c>
      <c r="W102" s="16"/>
      <c r="X102" s="16"/>
      <c r="Y102" s="16"/>
      <c r="Z102" s="16"/>
      <c r="AA102" s="35">
        <f t="shared" si="4"/>
        <v>0</v>
      </c>
      <c r="AB102" s="16"/>
      <c r="AC102" s="16"/>
      <c r="AD102" s="35">
        <f t="shared" si="5"/>
        <v>0</v>
      </c>
      <c r="AE102" s="16"/>
      <c r="AF102" s="16"/>
      <c r="AG102" s="16"/>
      <c r="AH102" s="16"/>
      <c r="AI102" s="16"/>
      <c r="AJ102" s="35">
        <f t="shared" si="6"/>
        <v>0</v>
      </c>
      <c r="AK102" s="16"/>
      <c r="AL102" s="16"/>
      <c r="AM102" s="16"/>
      <c r="AN102" s="35">
        <f t="shared" si="7"/>
        <v>0</v>
      </c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86">
        <f t="shared" si="8"/>
        <v>0</v>
      </c>
      <c r="BI102" s="16"/>
      <c r="BJ102" s="16"/>
      <c r="BK102" s="16"/>
      <c r="BL102" s="16"/>
      <c r="BM102" s="16"/>
      <c r="BN102" s="16"/>
    </row>
    <row r="103">
      <c r="A103" s="14">
        <v>2024.0</v>
      </c>
      <c r="B103" s="21" t="s">
        <v>147</v>
      </c>
      <c r="C103" s="8">
        <v>45514.0</v>
      </c>
      <c r="D103" s="35">
        <f t="shared" si="13"/>
        <v>0</v>
      </c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35">
        <f t="shared" si="2"/>
        <v>0</v>
      </c>
      <c r="Q103" s="16"/>
      <c r="R103" s="16"/>
      <c r="S103" s="16"/>
      <c r="T103" s="16"/>
      <c r="U103" s="16"/>
      <c r="V103" s="35">
        <f t="shared" si="3"/>
        <v>0</v>
      </c>
      <c r="W103" s="16"/>
      <c r="X103" s="16"/>
      <c r="Y103" s="16"/>
      <c r="Z103" s="16"/>
      <c r="AA103" s="35">
        <f t="shared" si="4"/>
        <v>0</v>
      </c>
      <c r="AB103" s="16"/>
      <c r="AC103" s="16"/>
      <c r="AD103" s="35">
        <f t="shared" si="5"/>
        <v>0</v>
      </c>
      <c r="AE103" s="16"/>
      <c r="AF103" s="16"/>
      <c r="AG103" s="16"/>
      <c r="AH103" s="16"/>
      <c r="AI103" s="16"/>
      <c r="AJ103" s="35">
        <f t="shared" si="6"/>
        <v>0</v>
      </c>
      <c r="AK103" s="16"/>
      <c r="AL103" s="16"/>
      <c r="AM103" s="16"/>
      <c r="AN103" s="35">
        <f t="shared" si="7"/>
        <v>0</v>
      </c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86">
        <f t="shared" si="8"/>
        <v>0</v>
      </c>
      <c r="BI103" s="16"/>
      <c r="BJ103" s="16"/>
      <c r="BK103" s="16"/>
      <c r="BL103" s="16"/>
      <c r="BM103" s="16"/>
      <c r="BN103" s="16"/>
    </row>
    <row r="104">
      <c r="A104" s="14">
        <v>2024.0</v>
      </c>
      <c r="B104" s="21" t="s">
        <v>147</v>
      </c>
      <c r="C104" s="8">
        <v>45515.0</v>
      </c>
      <c r="D104" s="35">
        <f t="shared" si="13"/>
        <v>0</v>
      </c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35">
        <f t="shared" si="2"/>
        <v>0</v>
      </c>
      <c r="Q104" s="16"/>
      <c r="R104" s="16"/>
      <c r="S104" s="16"/>
      <c r="T104" s="16"/>
      <c r="U104" s="16"/>
      <c r="V104" s="35">
        <f t="shared" si="3"/>
        <v>0</v>
      </c>
      <c r="W104" s="16"/>
      <c r="X104" s="16"/>
      <c r="Y104" s="16"/>
      <c r="Z104" s="16"/>
      <c r="AA104" s="35">
        <f t="shared" si="4"/>
        <v>0</v>
      </c>
      <c r="AB104" s="16"/>
      <c r="AC104" s="16"/>
      <c r="AD104" s="35">
        <f t="shared" si="5"/>
        <v>0</v>
      </c>
      <c r="AE104" s="16"/>
      <c r="AF104" s="16"/>
      <c r="AG104" s="16"/>
      <c r="AH104" s="16"/>
      <c r="AI104" s="16"/>
      <c r="AJ104" s="35">
        <f t="shared" si="6"/>
        <v>0</v>
      </c>
      <c r="AK104" s="16"/>
      <c r="AL104" s="16"/>
      <c r="AM104" s="16"/>
      <c r="AN104" s="35">
        <f t="shared" si="7"/>
        <v>0</v>
      </c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86">
        <f t="shared" si="8"/>
        <v>0</v>
      </c>
      <c r="BI104" s="16"/>
      <c r="BJ104" s="16"/>
      <c r="BK104" s="16"/>
      <c r="BL104" s="16"/>
      <c r="BM104" s="16"/>
      <c r="BN104" s="16"/>
    </row>
    <row r="105">
      <c r="A105" s="14">
        <v>2024.0</v>
      </c>
      <c r="B105" s="21" t="s">
        <v>147</v>
      </c>
      <c r="C105" s="8">
        <v>45516.0</v>
      </c>
      <c r="D105" s="35">
        <f t="shared" si="13"/>
        <v>0</v>
      </c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35">
        <f t="shared" si="2"/>
        <v>0</v>
      </c>
      <c r="Q105" s="16"/>
      <c r="R105" s="16"/>
      <c r="S105" s="16"/>
      <c r="T105" s="16"/>
      <c r="U105" s="16"/>
      <c r="V105" s="35">
        <f t="shared" si="3"/>
        <v>0</v>
      </c>
      <c r="W105" s="16"/>
      <c r="X105" s="16"/>
      <c r="Y105" s="16"/>
      <c r="Z105" s="16"/>
      <c r="AA105" s="35">
        <f t="shared" si="4"/>
        <v>0</v>
      </c>
      <c r="AB105" s="16"/>
      <c r="AC105" s="16"/>
      <c r="AD105" s="35">
        <f t="shared" si="5"/>
        <v>0</v>
      </c>
      <c r="AE105" s="16"/>
      <c r="AF105" s="16"/>
      <c r="AG105" s="16"/>
      <c r="AH105" s="16"/>
      <c r="AI105" s="16"/>
      <c r="AJ105" s="35">
        <f t="shared" si="6"/>
        <v>0</v>
      </c>
      <c r="AK105" s="16"/>
      <c r="AL105" s="16"/>
      <c r="AM105" s="16"/>
      <c r="AN105" s="35">
        <f t="shared" si="7"/>
        <v>0</v>
      </c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86">
        <f t="shared" si="8"/>
        <v>0</v>
      </c>
      <c r="BI105" s="16"/>
      <c r="BJ105" s="16"/>
      <c r="BK105" s="16"/>
      <c r="BL105" s="16"/>
      <c r="BM105" s="16"/>
      <c r="BN105" s="16"/>
    </row>
    <row r="106">
      <c r="A106" s="14">
        <v>2024.0</v>
      </c>
      <c r="B106" s="21" t="s">
        <v>147</v>
      </c>
      <c r="C106" s="8">
        <v>45517.0</v>
      </c>
      <c r="D106" s="35">
        <f t="shared" si="13"/>
        <v>0</v>
      </c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35">
        <f t="shared" si="2"/>
        <v>0</v>
      </c>
      <c r="Q106" s="16"/>
      <c r="R106" s="16"/>
      <c r="S106" s="16"/>
      <c r="T106" s="16"/>
      <c r="U106" s="16"/>
      <c r="V106" s="35">
        <f t="shared" si="3"/>
        <v>0</v>
      </c>
      <c r="W106" s="16"/>
      <c r="X106" s="16"/>
      <c r="Y106" s="16"/>
      <c r="Z106" s="16"/>
      <c r="AA106" s="35">
        <f t="shared" si="4"/>
        <v>0</v>
      </c>
      <c r="AB106" s="16"/>
      <c r="AC106" s="16"/>
      <c r="AD106" s="35">
        <f t="shared" si="5"/>
        <v>0</v>
      </c>
      <c r="AE106" s="16"/>
      <c r="AF106" s="16"/>
      <c r="AG106" s="16"/>
      <c r="AH106" s="16"/>
      <c r="AI106" s="16"/>
      <c r="AJ106" s="35">
        <f t="shared" si="6"/>
        <v>0</v>
      </c>
      <c r="AK106" s="16"/>
      <c r="AL106" s="16"/>
      <c r="AM106" s="16"/>
      <c r="AN106" s="35">
        <f t="shared" si="7"/>
        <v>0</v>
      </c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86">
        <f t="shared" si="8"/>
        <v>0</v>
      </c>
      <c r="BI106" s="16"/>
      <c r="BJ106" s="16"/>
      <c r="BK106" s="16"/>
      <c r="BL106" s="16"/>
      <c r="BM106" s="16"/>
      <c r="BN106" s="16"/>
    </row>
    <row r="107">
      <c r="A107" s="14">
        <v>2024.0</v>
      </c>
      <c r="B107" s="21" t="s">
        <v>147</v>
      </c>
      <c r="C107" s="8">
        <v>45518.0</v>
      </c>
      <c r="D107" s="35">
        <f t="shared" si="13"/>
        <v>0</v>
      </c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35">
        <f t="shared" si="2"/>
        <v>0</v>
      </c>
      <c r="Q107" s="16"/>
      <c r="R107" s="16"/>
      <c r="S107" s="16"/>
      <c r="T107" s="16"/>
      <c r="U107" s="16"/>
      <c r="V107" s="35">
        <f t="shared" si="3"/>
        <v>0</v>
      </c>
      <c r="W107" s="16"/>
      <c r="X107" s="16"/>
      <c r="Y107" s="16"/>
      <c r="Z107" s="16"/>
      <c r="AA107" s="35">
        <f t="shared" si="4"/>
        <v>0</v>
      </c>
      <c r="AB107" s="16"/>
      <c r="AC107" s="16"/>
      <c r="AD107" s="35">
        <f t="shared" si="5"/>
        <v>0</v>
      </c>
      <c r="AE107" s="16"/>
      <c r="AF107" s="16"/>
      <c r="AG107" s="16"/>
      <c r="AH107" s="16"/>
      <c r="AI107" s="16"/>
      <c r="AJ107" s="35">
        <f t="shared" si="6"/>
        <v>0</v>
      </c>
      <c r="AK107" s="16"/>
      <c r="AL107" s="16"/>
      <c r="AM107" s="16"/>
      <c r="AN107" s="35">
        <f t="shared" si="7"/>
        <v>0</v>
      </c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86">
        <f t="shared" si="8"/>
        <v>0</v>
      </c>
      <c r="BI107" s="16"/>
      <c r="BJ107" s="16"/>
      <c r="BK107" s="16"/>
      <c r="BL107" s="16"/>
      <c r="BM107" s="16"/>
      <c r="BN107" s="16"/>
    </row>
    <row r="108">
      <c r="A108" s="14">
        <v>2024.0</v>
      </c>
      <c r="B108" s="21" t="s">
        <v>147</v>
      </c>
      <c r="C108" s="8">
        <v>45519.0</v>
      </c>
      <c r="D108" s="35">
        <f t="shared" si="13"/>
        <v>0</v>
      </c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35">
        <f t="shared" si="2"/>
        <v>0</v>
      </c>
      <c r="Q108" s="16"/>
      <c r="R108" s="16"/>
      <c r="S108" s="16"/>
      <c r="T108" s="16"/>
      <c r="U108" s="16"/>
      <c r="V108" s="35">
        <f t="shared" si="3"/>
        <v>0</v>
      </c>
      <c r="W108" s="16"/>
      <c r="X108" s="16"/>
      <c r="Y108" s="16"/>
      <c r="Z108" s="16"/>
      <c r="AA108" s="35">
        <f t="shared" si="4"/>
        <v>0</v>
      </c>
      <c r="AB108" s="16"/>
      <c r="AC108" s="16"/>
      <c r="AD108" s="35">
        <f t="shared" si="5"/>
        <v>0</v>
      </c>
      <c r="AE108" s="16"/>
      <c r="AF108" s="16"/>
      <c r="AG108" s="16"/>
      <c r="AH108" s="16"/>
      <c r="AI108" s="16"/>
      <c r="AJ108" s="35">
        <f t="shared" si="6"/>
        <v>0</v>
      </c>
      <c r="AK108" s="16"/>
      <c r="AL108" s="16"/>
      <c r="AM108" s="16"/>
      <c r="AN108" s="35">
        <f t="shared" si="7"/>
        <v>0</v>
      </c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86">
        <f t="shared" si="8"/>
        <v>0</v>
      </c>
      <c r="BI108" s="16"/>
      <c r="BJ108" s="16"/>
      <c r="BK108" s="16"/>
      <c r="BL108" s="16"/>
      <c r="BM108" s="16"/>
      <c r="BN108" s="16"/>
    </row>
    <row r="109">
      <c r="A109" s="14">
        <v>2024.0</v>
      </c>
      <c r="B109" s="21" t="s">
        <v>147</v>
      </c>
      <c r="C109" s="8">
        <v>45520.0</v>
      </c>
      <c r="D109" s="35">
        <f t="shared" si="13"/>
        <v>0</v>
      </c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35">
        <f t="shared" si="2"/>
        <v>0</v>
      </c>
      <c r="Q109" s="16"/>
      <c r="R109" s="16"/>
      <c r="S109" s="16"/>
      <c r="T109" s="16"/>
      <c r="U109" s="16"/>
      <c r="V109" s="35">
        <f t="shared" si="3"/>
        <v>0</v>
      </c>
      <c r="W109" s="16"/>
      <c r="X109" s="16"/>
      <c r="Y109" s="16"/>
      <c r="Z109" s="16"/>
      <c r="AA109" s="35">
        <f t="shared" si="4"/>
        <v>0</v>
      </c>
      <c r="AB109" s="16"/>
      <c r="AC109" s="16"/>
      <c r="AD109" s="35">
        <f t="shared" si="5"/>
        <v>0</v>
      </c>
      <c r="AE109" s="16"/>
      <c r="AF109" s="16"/>
      <c r="AG109" s="16"/>
      <c r="AH109" s="16"/>
      <c r="AI109" s="16"/>
      <c r="AJ109" s="35">
        <f t="shared" si="6"/>
        <v>0</v>
      </c>
      <c r="AK109" s="16"/>
      <c r="AL109" s="16"/>
      <c r="AM109" s="16"/>
      <c r="AN109" s="35">
        <f t="shared" si="7"/>
        <v>0</v>
      </c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86">
        <f t="shared" si="8"/>
        <v>0</v>
      </c>
      <c r="BI109" s="16"/>
      <c r="BJ109" s="16"/>
      <c r="BK109" s="16"/>
      <c r="BL109" s="16"/>
      <c r="BM109" s="16"/>
      <c r="BN109" s="16"/>
    </row>
    <row r="110">
      <c r="A110" s="14">
        <v>2024.0</v>
      </c>
      <c r="B110" s="21" t="s">
        <v>147</v>
      </c>
      <c r="C110" s="8">
        <v>45521.0</v>
      </c>
      <c r="D110" s="35">
        <f t="shared" si="13"/>
        <v>0</v>
      </c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35">
        <f t="shared" si="2"/>
        <v>0</v>
      </c>
      <c r="Q110" s="16"/>
      <c r="R110" s="16"/>
      <c r="S110" s="16"/>
      <c r="T110" s="16"/>
      <c r="U110" s="16"/>
      <c r="V110" s="35">
        <f t="shared" si="3"/>
        <v>0</v>
      </c>
      <c r="W110" s="16"/>
      <c r="X110" s="16"/>
      <c r="Y110" s="16"/>
      <c r="Z110" s="16"/>
      <c r="AA110" s="35">
        <f t="shared" si="4"/>
        <v>0</v>
      </c>
      <c r="AB110" s="16"/>
      <c r="AC110" s="16"/>
      <c r="AD110" s="35">
        <f t="shared" si="5"/>
        <v>0</v>
      </c>
      <c r="AE110" s="16"/>
      <c r="AF110" s="16"/>
      <c r="AG110" s="16"/>
      <c r="AH110" s="16"/>
      <c r="AI110" s="16"/>
      <c r="AJ110" s="35">
        <f t="shared" si="6"/>
        <v>0</v>
      </c>
      <c r="AK110" s="16"/>
      <c r="AL110" s="16"/>
      <c r="AM110" s="16"/>
      <c r="AN110" s="35">
        <f t="shared" si="7"/>
        <v>0</v>
      </c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86">
        <f t="shared" si="8"/>
        <v>0</v>
      </c>
      <c r="BI110" s="16"/>
      <c r="BJ110" s="16"/>
      <c r="BK110" s="16"/>
      <c r="BL110" s="16"/>
      <c r="BM110" s="16"/>
      <c r="BN110" s="16"/>
    </row>
    <row r="111">
      <c r="A111" s="14">
        <v>2024.0</v>
      </c>
      <c r="B111" s="21" t="s">
        <v>147</v>
      </c>
      <c r="C111" s="8">
        <v>45522.0</v>
      </c>
      <c r="D111" s="35">
        <f t="shared" si="13"/>
        <v>0</v>
      </c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35">
        <f t="shared" si="2"/>
        <v>0</v>
      </c>
      <c r="Q111" s="16"/>
      <c r="R111" s="16"/>
      <c r="S111" s="16"/>
      <c r="T111" s="16"/>
      <c r="U111" s="16"/>
      <c r="V111" s="35">
        <f t="shared" si="3"/>
        <v>0</v>
      </c>
      <c r="W111" s="16"/>
      <c r="X111" s="16"/>
      <c r="Y111" s="16"/>
      <c r="Z111" s="16"/>
      <c r="AA111" s="35">
        <f t="shared" si="4"/>
        <v>0</v>
      </c>
      <c r="AB111" s="16"/>
      <c r="AC111" s="16"/>
      <c r="AD111" s="35">
        <f t="shared" si="5"/>
        <v>0</v>
      </c>
      <c r="AE111" s="16"/>
      <c r="AF111" s="16"/>
      <c r="AG111" s="16"/>
      <c r="AH111" s="16"/>
      <c r="AI111" s="16"/>
      <c r="AJ111" s="35">
        <f t="shared" si="6"/>
        <v>0</v>
      </c>
      <c r="AK111" s="16"/>
      <c r="AL111" s="16"/>
      <c r="AM111" s="16"/>
      <c r="AN111" s="35">
        <f t="shared" si="7"/>
        <v>0</v>
      </c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86">
        <f t="shared" si="8"/>
        <v>0</v>
      </c>
      <c r="BI111" s="16"/>
      <c r="BJ111" s="16"/>
      <c r="BK111" s="16"/>
      <c r="BL111" s="16"/>
      <c r="BM111" s="16"/>
      <c r="BN111" s="16"/>
    </row>
    <row r="112">
      <c r="A112" s="14">
        <v>2024.0</v>
      </c>
      <c r="B112" s="21" t="s">
        <v>147</v>
      </c>
      <c r="C112" s="8">
        <v>45523.0</v>
      </c>
      <c r="D112" s="35">
        <f t="shared" si="13"/>
        <v>0</v>
      </c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35">
        <f t="shared" si="2"/>
        <v>0</v>
      </c>
      <c r="Q112" s="16"/>
      <c r="R112" s="16"/>
      <c r="S112" s="16"/>
      <c r="T112" s="16"/>
      <c r="U112" s="16"/>
      <c r="V112" s="35">
        <f t="shared" si="3"/>
        <v>0</v>
      </c>
      <c r="W112" s="16"/>
      <c r="X112" s="16"/>
      <c r="Y112" s="16"/>
      <c r="Z112" s="16"/>
      <c r="AA112" s="35">
        <f t="shared" si="4"/>
        <v>0</v>
      </c>
      <c r="AB112" s="16"/>
      <c r="AC112" s="16"/>
      <c r="AD112" s="35">
        <f t="shared" si="5"/>
        <v>0</v>
      </c>
      <c r="AE112" s="16"/>
      <c r="AF112" s="16"/>
      <c r="AG112" s="16"/>
      <c r="AH112" s="16"/>
      <c r="AI112" s="16"/>
      <c r="AJ112" s="35">
        <f t="shared" si="6"/>
        <v>0</v>
      </c>
      <c r="AK112" s="16"/>
      <c r="AL112" s="16"/>
      <c r="AM112" s="16"/>
      <c r="AN112" s="35">
        <f t="shared" si="7"/>
        <v>0</v>
      </c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86">
        <f t="shared" si="8"/>
        <v>0</v>
      </c>
      <c r="BI112" s="16"/>
      <c r="BJ112" s="16"/>
      <c r="BK112" s="16"/>
      <c r="BL112" s="16"/>
      <c r="BM112" s="16"/>
      <c r="BN112" s="16"/>
    </row>
    <row r="113">
      <c r="A113" s="14">
        <v>2024.0</v>
      </c>
      <c r="B113" s="21" t="s">
        <v>147</v>
      </c>
      <c r="C113" s="8">
        <v>45524.0</v>
      </c>
      <c r="D113" s="35">
        <f t="shared" si="13"/>
        <v>0</v>
      </c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35">
        <f t="shared" si="2"/>
        <v>0</v>
      </c>
      <c r="Q113" s="16"/>
      <c r="R113" s="16"/>
      <c r="S113" s="16"/>
      <c r="T113" s="16"/>
      <c r="U113" s="16"/>
      <c r="V113" s="35">
        <f t="shared" si="3"/>
        <v>0</v>
      </c>
      <c r="W113" s="16"/>
      <c r="X113" s="16"/>
      <c r="Y113" s="16"/>
      <c r="Z113" s="16"/>
      <c r="AA113" s="35">
        <f t="shared" si="4"/>
        <v>0</v>
      </c>
      <c r="AB113" s="16"/>
      <c r="AC113" s="16"/>
      <c r="AD113" s="35">
        <f t="shared" si="5"/>
        <v>0</v>
      </c>
      <c r="AE113" s="16"/>
      <c r="AF113" s="16"/>
      <c r="AG113" s="16"/>
      <c r="AH113" s="16"/>
      <c r="AI113" s="16"/>
      <c r="AJ113" s="35">
        <f t="shared" si="6"/>
        <v>0</v>
      </c>
      <c r="AK113" s="16"/>
      <c r="AL113" s="16"/>
      <c r="AM113" s="16"/>
      <c r="AN113" s="35">
        <f t="shared" si="7"/>
        <v>0</v>
      </c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86">
        <f t="shared" si="8"/>
        <v>0</v>
      </c>
      <c r="BI113" s="16"/>
      <c r="BJ113" s="16"/>
      <c r="BK113" s="16"/>
      <c r="BL113" s="16"/>
      <c r="BM113" s="16"/>
      <c r="BN113" s="16"/>
    </row>
    <row r="114">
      <c r="A114" s="14">
        <v>2024.0</v>
      </c>
      <c r="B114" s="21" t="s">
        <v>147</v>
      </c>
      <c r="C114" s="8">
        <v>45525.0</v>
      </c>
      <c r="D114" s="35">
        <f t="shared" si="13"/>
        <v>0</v>
      </c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35">
        <f t="shared" si="2"/>
        <v>0</v>
      </c>
      <c r="Q114" s="16"/>
      <c r="R114" s="16"/>
      <c r="S114" s="16"/>
      <c r="T114" s="16"/>
      <c r="U114" s="16"/>
      <c r="V114" s="35">
        <f t="shared" si="3"/>
        <v>0</v>
      </c>
      <c r="W114" s="16"/>
      <c r="X114" s="16"/>
      <c r="Y114" s="16"/>
      <c r="Z114" s="16"/>
      <c r="AA114" s="35">
        <f t="shared" si="4"/>
        <v>0</v>
      </c>
      <c r="AB114" s="16"/>
      <c r="AC114" s="16"/>
      <c r="AD114" s="35">
        <f t="shared" si="5"/>
        <v>0</v>
      </c>
      <c r="AE114" s="16"/>
      <c r="AF114" s="16"/>
      <c r="AG114" s="16"/>
      <c r="AH114" s="16"/>
      <c r="AI114" s="16"/>
      <c r="AJ114" s="35">
        <f t="shared" si="6"/>
        <v>0</v>
      </c>
      <c r="AK114" s="16"/>
      <c r="AL114" s="16"/>
      <c r="AM114" s="16"/>
      <c r="AN114" s="35">
        <f t="shared" si="7"/>
        <v>0</v>
      </c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86">
        <f t="shared" si="8"/>
        <v>0</v>
      </c>
      <c r="BI114" s="16"/>
      <c r="BJ114" s="16"/>
      <c r="BK114" s="16"/>
      <c r="BL114" s="16"/>
      <c r="BM114" s="16"/>
      <c r="BN114" s="16"/>
    </row>
    <row r="115">
      <c r="A115" s="14">
        <v>2024.0</v>
      </c>
      <c r="B115" s="21" t="s">
        <v>147</v>
      </c>
      <c r="C115" s="8">
        <v>45526.0</v>
      </c>
      <c r="D115" s="35">
        <f t="shared" si="13"/>
        <v>0</v>
      </c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35">
        <f t="shared" si="2"/>
        <v>0</v>
      </c>
      <c r="Q115" s="16"/>
      <c r="R115" s="16"/>
      <c r="S115" s="16"/>
      <c r="T115" s="16"/>
      <c r="U115" s="16"/>
      <c r="V115" s="35">
        <f t="shared" si="3"/>
        <v>0</v>
      </c>
      <c r="W115" s="16"/>
      <c r="X115" s="16"/>
      <c r="Y115" s="16"/>
      <c r="Z115" s="16"/>
      <c r="AA115" s="35">
        <f t="shared" si="4"/>
        <v>0</v>
      </c>
      <c r="AB115" s="16"/>
      <c r="AC115" s="16"/>
      <c r="AD115" s="35">
        <f t="shared" si="5"/>
        <v>0</v>
      </c>
      <c r="AE115" s="16"/>
      <c r="AF115" s="16"/>
      <c r="AG115" s="16"/>
      <c r="AH115" s="16"/>
      <c r="AI115" s="16"/>
      <c r="AJ115" s="35">
        <f t="shared" si="6"/>
        <v>0</v>
      </c>
      <c r="AK115" s="16"/>
      <c r="AL115" s="16"/>
      <c r="AM115" s="16"/>
      <c r="AN115" s="35">
        <f t="shared" si="7"/>
        <v>0</v>
      </c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86">
        <f t="shared" si="8"/>
        <v>0</v>
      </c>
      <c r="BI115" s="16"/>
      <c r="BJ115" s="16"/>
      <c r="BK115" s="16"/>
      <c r="BL115" s="16"/>
      <c r="BM115" s="16"/>
      <c r="BN115" s="16"/>
    </row>
    <row r="116">
      <c r="A116" s="14">
        <v>2024.0</v>
      </c>
      <c r="B116" s="21" t="s">
        <v>147</v>
      </c>
      <c r="C116" s="8">
        <v>45527.0</v>
      </c>
      <c r="D116" s="35">
        <f t="shared" si="13"/>
        <v>0</v>
      </c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35">
        <f t="shared" si="2"/>
        <v>0</v>
      </c>
      <c r="Q116" s="16"/>
      <c r="R116" s="16"/>
      <c r="S116" s="16"/>
      <c r="T116" s="16"/>
      <c r="U116" s="16"/>
      <c r="V116" s="35">
        <f t="shared" si="3"/>
        <v>0</v>
      </c>
      <c r="W116" s="16"/>
      <c r="X116" s="16"/>
      <c r="Y116" s="16"/>
      <c r="Z116" s="16"/>
      <c r="AA116" s="35">
        <f t="shared" si="4"/>
        <v>0</v>
      </c>
      <c r="AB116" s="16"/>
      <c r="AC116" s="16"/>
      <c r="AD116" s="35">
        <f t="shared" si="5"/>
        <v>0</v>
      </c>
      <c r="AE116" s="16"/>
      <c r="AF116" s="16"/>
      <c r="AG116" s="16"/>
      <c r="AH116" s="16"/>
      <c r="AI116" s="16"/>
      <c r="AJ116" s="35">
        <f t="shared" si="6"/>
        <v>0</v>
      </c>
      <c r="AK116" s="16"/>
      <c r="AL116" s="16"/>
      <c r="AM116" s="16"/>
      <c r="AN116" s="35">
        <f t="shared" si="7"/>
        <v>0</v>
      </c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86">
        <f t="shared" si="8"/>
        <v>0</v>
      </c>
      <c r="BI116" s="16"/>
      <c r="BJ116" s="16"/>
      <c r="BK116" s="16"/>
      <c r="BL116" s="16"/>
      <c r="BM116" s="16"/>
      <c r="BN116" s="16"/>
    </row>
    <row r="117">
      <c r="A117" s="14">
        <v>2024.0</v>
      </c>
      <c r="B117" s="21" t="s">
        <v>147</v>
      </c>
      <c r="C117" s="8">
        <v>45528.0</v>
      </c>
      <c r="D117" s="35">
        <f t="shared" si="13"/>
        <v>0</v>
      </c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35">
        <f t="shared" si="2"/>
        <v>0</v>
      </c>
      <c r="Q117" s="16"/>
      <c r="R117" s="16"/>
      <c r="S117" s="16"/>
      <c r="T117" s="16"/>
      <c r="U117" s="16"/>
      <c r="V117" s="35">
        <f t="shared" si="3"/>
        <v>0</v>
      </c>
      <c r="W117" s="16"/>
      <c r="X117" s="16"/>
      <c r="Y117" s="16"/>
      <c r="Z117" s="16"/>
      <c r="AA117" s="35">
        <f t="shared" si="4"/>
        <v>0</v>
      </c>
      <c r="AB117" s="16"/>
      <c r="AC117" s="16"/>
      <c r="AD117" s="35">
        <f t="shared" si="5"/>
        <v>0</v>
      </c>
      <c r="AE117" s="16"/>
      <c r="AF117" s="16"/>
      <c r="AG117" s="16"/>
      <c r="AH117" s="16"/>
      <c r="AI117" s="16"/>
      <c r="AJ117" s="35">
        <f t="shared" si="6"/>
        <v>0</v>
      </c>
      <c r="AK117" s="16"/>
      <c r="AL117" s="16"/>
      <c r="AM117" s="16"/>
      <c r="AN117" s="35">
        <f t="shared" si="7"/>
        <v>0</v>
      </c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86">
        <f t="shared" si="8"/>
        <v>0</v>
      </c>
      <c r="BI117" s="16"/>
      <c r="BJ117" s="16"/>
      <c r="BK117" s="16"/>
      <c r="BL117" s="16"/>
      <c r="BM117" s="16"/>
      <c r="BN117" s="16"/>
    </row>
    <row r="118">
      <c r="A118" s="14">
        <v>2024.0</v>
      </c>
      <c r="B118" s="21" t="s">
        <v>147</v>
      </c>
      <c r="C118" s="8">
        <v>45529.0</v>
      </c>
      <c r="D118" s="35">
        <f t="shared" si="13"/>
        <v>0</v>
      </c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35">
        <f t="shared" si="2"/>
        <v>0</v>
      </c>
      <c r="Q118" s="16"/>
      <c r="R118" s="16"/>
      <c r="S118" s="16"/>
      <c r="T118" s="16"/>
      <c r="U118" s="16"/>
      <c r="V118" s="35">
        <f t="shared" si="3"/>
        <v>0</v>
      </c>
      <c r="W118" s="16"/>
      <c r="X118" s="16"/>
      <c r="Y118" s="16"/>
      <c r="Z118" s="16"/>
      <c r="AA118" s="35">
        <f t="shared" si="4"/>
        <v>0</v>
      </c>
      <c r="AB118" s="16"/>
      <c r="AC118" s="16"/>
      <c r="AD118" s="35">
        <f t="shared" si="5"/>
        <v>0</v>
      </c>
      <c r="AE118" s="16"/>
      <c r="AF118" s="16"/>
      <c r="AG118" s="16"/>
      <c r="AH118" s="16"/>
      <c r="AI118" s="16"/>
      <c r="AJ118" s="35">
        <f t="shared" si="6"/>
        <v>0</v>
      </c>
      <c r="AK118" s="16"/>
      <c r="AL118" s="16"/>
      <c r="AM118" s="16"/>
      <c r="AN118" s="35">
        <f t="shared" si="7"/>
        <v>0</v>
      </c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86">
        <f t="shared" si="8"/>
        <v>0</v>
      </c>
      <c r="BI118" s="16"/>
      <c r="BJ118" s="16"/>
      <c r="BK118" s="16"/>
      <c r="BL118" s="16"/>
      <c r="BM118" s="16"/>
      <c r="BN118" s="16"/>
    </row>
    <row r="119">
      <c r="A119" s="14">
        <v>2024.0</v>
      </c>
      <c r="B119" s="21" t="s">
        <v>147</v>
      </c>
      <c r="C119" s="8">
        <v>45530.0</v>
      </c>
      <c r="D119" s="35">
        <f t="shared" si="13"/>
        <v>0</v>
      </c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35">
        <f t="shared" si="2"/>
        <v>0</v>
      </c>
      <c r="Q119" s="16"/>
      <c r="R119" s="16"/>
      <c r="S119" s="16"/>
      <c r="T119" s="16"/>
      <c r="U119" s="16"/>
      <c r="V119" s="35">
        <f t="shared" si="3"/>
        <v>0</v>
      </c>
      <c r="W119" s="16"/>
      <c r="X119" s="16"/>
      <c r="Y119" s="16"/>
      <c r="Z119" s="16"/>
      <c r="AA119" s="35">
        <f t="shared" si="4"/>
        <v>0</v>
      </c>
      <c r="AB119" s="16"/>
      <c r="AC119" s="16"/>
      <c r="AD119" s="35">
        <f t="shared" si="5"/>
        <v>0</v>
      </c>
      <c r="AE119" s="16"/>
      <c r="AF119" s="16"/>
      <c r="AG119" s="16"/>
      <c r="AH119" s="16"/>
      <c r="AI119" s="16"/>
      <c r="AJ119" s="35">
        <f t="shared" si="6"/>
        <v>0</v>
      </c>
      <c r="AK119" s="16"/>
      <c r="AL119" s="16"/>
      <c r="AM119" s="16"/>
      <c r="AN119" s="35">
        <f t="shared" si="7"/>
        <v>0</v>
      </c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86">
        <f t="shared" si="8"/>
        <v>0</v>
      </c>
      <c r="BI119" s="16"/>
      <c r="BJ119" s="16"/>
      <c r="BK119" s="16"/>
      <c r="BL119" s="16"/>
      <c r="BM119" s="16"/>
      <c r="BN119" s="16"/>
    </row>
    <row r="120">
      <c r="A120" s="14">
        <v>2024.0</v>
      </c>
      <c r="B120" s="21" t="s">
        <v>147</v>
      </c>
      <c r="C120" s="8">
        <v>45531.0</v>
      </c>
      <c r="D120" s="35">
        <f t="shared" si="13"/>
        <v>0</v>
      </c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35">
        <f t="shared" si="2"/>
        <v>0</v>
      </c>
      <c r="Q120" s="16"/>
      <c r="R120" s="16"/>
      <c r="S120" s="16"/>
      <c r="T120" s="16"/>
      <c r="U120" s="16"/>
      <c r="V120" s="35">
        <f t="shared" si="3"/>
        <v>0</v>
      </c>
      <c r="W120" s="16"/>
      <c r="X120" s="16"/>
      <c r="Y120" s="16"/>
      <c r="Z120" s="16"/>
      <c r="AA120" s="35">
        <f t="shared" si="4"/>
        <v>0</v>
      </c>
      <c r="AB120" s="16"/>
      <c r="AC120" s="16"/>
      <c r="AD120" s="35">
        <f t="shared" si="5"/>
        <v>0</v>
      </c>
      <c r="AE120" s="16"/>
      <c r="AF120" s="16"/>
      <c r="AG120" s="16"/>
      <c r="AH120" s="16"/>
      <c r="AI120" s="16"/>
      <c r="AJ120" s="35">
        <f t="shared" si="6"/>
        <v>0</v>
      </c>
      <c r="AK120" s="16"/>
      <c r="AL120" s="16"/>
      <c r="AM120" s="16"/>
      <c r="AN120" s="35">
        <f t="shared" si="7"/>
        <v>0</v>
      </c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86">
        <f t="shared" si="8"/>
        <v>0</v>
      </c>
      <c r="BI120" s="16"/>
      <c r="BJ120" s="16"/>
      <c r="BK120" s="16"/>
      <c r="BL120" s="16"/>
      <c r="BM120" s="16"/>
      <c r="BN120" s="16"/>
    </row>
    <row r="121">
      <c r="A121" s="14">
        <v>2024.0</v>
      </c>
      <c r="B121" s="21" t="s">
        <v>147</v>
      </c>
      <c r="C121" s="8">
        <v>45532.0</v>
      </c>
      <c r="D121" s="35">
        <f t="shared" si="13"/>
        <v>0</v>
      </c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35">
        <f t="shared" si="2"/>
        <v>0</v>
      </c>
      <c r="Q121" s="16"/>
      <c r="R121" s="16"/>
      <c r="S121" s="16"/>
      <c r="T121" s="16"/>
      <c r="U121" s="16"/>
      <c r="V121" s="35">
        <f t="shared" si="3"/>
        <v>0</v>
      </c>
      <c r="W121" s="16"/>
      <c r="X121" s="16"/>
      <c r="Y121" s="16"/>
      <c r="Z121" s="16"/>
      <c r="AA121" s="35">
        <f t="shared" si="4"/>
        <v>0</v>
      </c>
      <c r="AB121" s="16"/>
      <c r="AC121" s="16"/>
      <c r="AD121" s="35">
        <f t="shared" si="5"/>
        <v>0</v>
      </c>
      <c r="AE121" s="16"/>
      <c r="AF121" s="16"/>
      <c r="AG121" s="16"/>
      <c r="AH121" s="16"/>
      <c r="AI121" s="16"/>
      <c r="AJ121" s="35">
        <f t="shared" si="6"/>
        <v>0</v>
      </c>
      <c r="AK121" s="16"/>
      <c r="AL121" s="16"/>
      <c r="AM121" s="16"/>
      <c r="AN121" s="35">
        <f t="shared" si="7"/>
        <v>0</v>
      </c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86">
        <f t="shared" si="8"/>
        <v>0</v>
      </c>
      <c r="BI121" s="16"/>
      <c r="BJ121" s="16"/>
      <c r="BK121" s="16"/>
      <c r="BL121" s="16"/>
      <c r="BM121" s="16"/>
      <c r="BN121" s="16"/>
    </row>
    <row r="122">
      <c r="D122" s="36"/>
      <c r="P122" s="36"/>
      <c r="V122" s="36"/>
      <c r="AA122" s="36"/>
      <c r="AD122" s="36"/>
      <c r="AJ122" s="36"/>
      <c r="AN122" s="36"/>
      <c r="BH122" s="102"/>
    </row>
    <row r="123">
      <c r="D123" s="36"/>
      <c r="P123" s="36"/>
      <c r="V123" s="36"/>
      <c r="AA123" s="36"/>
      <c r="AD123" s="36"/>
      <c r="AJ123" s="36"/>
      <c r="AN123" s="36"/>
      <c r="BH123" s="102"/>
    </row>
    <row r="124">
      <c r="D124" s="36"/>
      <c r="P124" s="36"/>
      <c r="V124" s="36"/>
      <c r="AA124" s="36"/>
      <c r="AD124" s="36"/>
      <c r="AJ124" s="36"/>
      <c r="AN124" s="36"/>
      <c r="BH124" s="102"/>
    </row>
    <row r="125">
      <c r="D125" s="36"/>
      <c r="P125" s="36"/>
      <c r="V125" s="36"/>
      <c r="AA125" s="36"/>
      <c r="AD125" s="36"/>
      <c r="AJ125" s="36"/>
      <c r="AN125" s="36"/>
      <c r="BH125" s="102"/>
    </row>
    <row r="126">
      <c r="D126" s="36"/>
      <c r="P126" s="36"/>
      <c r="V126" s="36"/>
      <c r="AA126" s="36"/>
      <c r="AD126" s="36"/>
      <c r="AJ126" s="36"/>
      <c r="AN126" s="36"/>
      <c r="BH126" s="102"/>
    </row>
    <row r="127">
      <c r="D127" s="36"/>
      <c r="P127" s="36"/>
      <c r="V127" s="36"/>
      <c r="AA127" s="36"/>
      <c r="AD127" s="36"/>
      <c r="AJ127" s="36"/>
      <c r="AN127" s="36"/>
      <c r="BH127" s="102"/>
    </row>
    <row r="128">
      <c r="D128" s="36"/>
      <c r="P128" s="36"/>
      <c r="V128" s="36"/>
      <c r="AA128" s="36"/>
      <c r="AD128" s="36"/>
      <c r="AJ128" s="36"/>
      <c r="AN128" s="36"/>
      <c r="BH128" s="102"/>
    </row>
    <row r="129">
      <c r="D129" s="36"/>
      <c r="P129" s="36"/>
      <c r="V129" s="36"/>
      <c r="AA129" s="36"/>
      <c r="AD129" s="36"/>
      <c r="AJ129" s="36"/>
      <c r="AN129" s="36"/>
      <c r="BH129" s="102"/>
    </row>
    <row r="130">
      <c r="D130" s="36"/>
      <c r="P130" s="36"/>
      <c r="V130" s="36"/>
      <c r="AA130" s="36"/>
      <c r="AD130" s="36"/>
      <c r="AJ130" s="36"/>
      <c r="AN130" s="36"/>
      <c r="BH130" s="102"/>
    </row>
    <row r="131">
      <c r="D131" s="36"/>
      <c r="P131" s="36"/>
      <c r="V131" s="36"/>
      <c r="AA131" s="36"/>
      <c r="AD131" s="36"/>
      <c r="AJ131" s="36"/>
      <c r="AN131" s="36"/>
      <c r="BH131" s="102"/>
    </row>
    <row r="132">
      <c r="D132" s="36"/>
      <c r="P132" s="36"/>
      <c r="V132" s="36"/>
      <c r="AA132" s="36"/>
      <c r="AD132" s="36"/>
      <c r="AJ132" s="36"/>
      <c r="AN132" s="36"/>
      <c r="BH132" s="102"/>
    </row>
    <row r="133">
      <c r="D133" s="36"/>
      <c r="P133" s="36"/>
      <c r="V133" s="36"/>
      <c r="AA133" s="36"/>
      <c r="AD133" s="36"/>
      <c r="AJ133" s="36"/>
      <c r="AN133" s="36"/>
      <c r="BH133" s="102"/>
    </row>
    <row r="134">
      <c r="D134" s="36"/>
      <c r="P134" s="36"/>
      <c r="V134" s="36"/>
      <c r="AA134" s="36"/>
      <c r="AD134" s="36"/>
      <c r="AJ134" s="36"/>
      <c r="AN134" s="36"/>
      <c r="BH134" s="102"/>
    </row>
    <row r="135">
      <c r="D135" s="36"/>
      <c r="P135" s="36"/>
      <c r="V135" s="36"/>
      <c r="AA135" s="36"/>
      <c r="AD135" s="36"/>
      <c r="AJ135" s="36"/>
      <c r="AN135" s="36"/>
      <c r="BH135" s="102"/>
    </row>
    <row r="136">
      <c r="D136" s="36"/>
      <c r="P136" s="36"/>
      <c r="V136" s="36"/>
      <c r="AA136" s="36"/>
      <c r="AD136" s="36"/>
      <c r="AJ136" s="36"/>
      <c r="AN136" s="36"/>
      <c r="BH136" s="102"/>
    </row>
    <row r="137">
      <c r="D137" s="36"/>
      <c r="P137" s="36"/>
      <c r="V137" s="36"/>
      <c r="AA137" s="36"/>
      <c r="AD137" s="36"/>
      <c r="AJ137" s="36"/>
      <c r="AN137" s="36"/>
      <c r="BH137" s="102"/>
    </row>
    <row r="138">
      <c r="D138" s="36"/>
      <c r="P138" s="36"/>
      <c r="V138" s="36"/>
      <c r="AA138" s="36"/>
      <c r="AD138" s="36"/>
      <c r="AJ138" s="36"/>
      <c r="AN138" s="36"/>
      <c r="BH138" s="102"/>
    </row>
    <row r="139">
      <c r="D139" s="36"/>
      <c r="P139" s="36"/>
      <c r="V139" s="36"/>
      <c r="AA139" s="36"/>
      <c r="AD139" s="36"/>
      <c r="AJ139" s="36"/>
      <c r="AN139" s="36"/>
      <c r="BH139" s="102"/>
    </row>
    <row r="140">
      <c r="D140" s="36"/>
      <c r="P140" s="36"/>
      <c r="V140" s="36"/>
      <c r="AA140" s="36"/>
      <c r="AD140" s="36"/>
      <c r="AJ140" s="36"/>
      <c r="AN140" s="36"/>
      <c r="BH140" s="102"/>
    </row>
    <row r="141">
      <c r="D141" s="36"/>
      <c r="P141" s="36"/>
      <c r="V141" s="36"/>
      <c r="AA141" s="36"/>
      <c r="AD141" s="36"/>
      <c r="AJ141" s="36"/>
      <c r="AN141" s="36"/>
      <c r="BH141" s="102"/>
    </row>
    <row r="142">
      <c r="D142" s="36"/>
      <c r="P142" s="36"/>
      <c r="V142" s="36"/>
      <c r="AA142" s="36"/>
      <c r="AD142" s="36"/>
      <c r="AJ142" s="36"/>
      <c r="AN142" s="36"/>
      <c r="BH142" s="102"/>
    </row>
    <row r="143">
      <c r="D143" s="36"/>
      <c r="P143" s="36"/>
      <c r="V143" s="36"/>
      <c r="AA143" s="36"/>
      <c r="AD143" s="36"/>
      <c r="AJ143" s="36"/>
      <c r="AN143" s="36"/>
      <c r="BH143" s="102"/>
    </row>
    <row r="144">
      <c r="D144" s="36"/>
      <c r="P144" s="36"/>
      <c r="V144" s="36"/>
      <c r="AA144" s="36"/>
      <c r="AD144" s="36"/>
      <c r="AJ144" s="36"/>
      <c r="AN144" s="36"/>
      <c r="BH144" s="102"/>
    </row>
    <row r="145">
      <c r="D145" s="36"/>
      <c r="P145" s="36"/>
      <c r="V145" s="36"/>
      <c r="AA145" s="36"/>
      <c r="AD145" s="36"/>
      <c r="AJ145" s="36"/>
      <c r="AN145" s="36"/>
      <c r="BH145" s="102"/>
    </row>
    <row r="146">
      <c r="D146" s="36"/>
      <c r="P146" s="36"/>
      <c r="V146" s="36"/>
      <c r="AA146" s="36"/>
      <c r="AD146" s="36"/>
      <c r="AJ146" s="36"/>
      <c r="AN146" s="36"/>
      <c r="BH146" s="102"/>
    </row>
    <row r="147">
      <c r="D147" s="36"/>
      <c r="P147" s="36"/>
      <c r="V147" s="36"/>
      <c r="AA147" s="36"/>
      <c r="AD147" s="36"/>
      <c r="AJ147" s="36"/>
      <c r="AN147" s="36"/>
      <c r="BH147" s="102"/>
    </row>
    <row r="148">
      <c r="D148" s="36"/>
      <c r="P148" s="36"/>
      <c r="V148" s="36"/>
      <c r="AA148" s="36"/>
      <c r="AD148" s="36"/>
      <c r="AJ148" s="36"/>
      <c r="AN148" s="36"/>
      <c r="BH148" s="102"/>
    </row>
    <row r="149">
      <c r="D149" s="36"/>
      <c r="P149" s="36"/>
      <c r="V149" s="36"/>
      <c r="AA149" s="36"/>
      <c r="AD149" s="36"/>
      <c r="AJ149" s="36"/>
      <c r="AN149" s="36"/>
      <c r="BH149" s="102"/>
    </row>
    <row r="150">
      <c r="D150" s="36"/>
      <c r="P150" s="36"/>
      <c r="V150" s="36"/>
      <c r="AA150" s="36"/>
      <c r="AD150" s="36"/>
      <c r="AJ150" s="36"/>
      <c r="AN150" s="36"/>
      <c r="BH150" s="102"/>
    </row>
    <row r="151">
      <c r="D151" s="36"/>
      <c r="P151" s="36"/>
      <c r="V151" s="36"/>
      <c r="AA151" s="36"/>
      <c r="AD151" s="36"/>
      <c r="AJ151" s="36"/>
      <c r="AN151" s="36"/>
      <c r="BH151" s="102"/>
    </row>
    <row r="152">
      <c r="D152" s="36"/>
      <c r="P152" s="36"/>
      <c r="V152" s="36"/>
      <c r="AA152" s="36"/>
      <c r="AD152" s="36"/>
      <c r="AJ152" s="36"/>
      <c r="AN152" s="36"/>
      <c r="BH152" s="102"/>
    </row>
    <row r="153">
      <c r="D153" s="36"/>
      <c r="P153" s="36"/>
      <c r="V153" s="36"/>
      <c r="AA153" s="36"/>
      <c r="AD153" s="36"/>
      <c r="AJ153" s="36"/>
      <c r="AN153" s="36"/>
      <c r="BH153" s="102"/>
    </row>
    <row r="154">
      <c r="D154" s="36"/>
      <c r="P154" s="36"/>
      <c r="V154" s="36"/>
      <c r="AA154" s="36"/>
      <c r="AD154" s="36"/>
      <c r="AJ154" s="36"/>
      <c r="AN154" s="36"/>
      <c r="BH154" s="102"/>
    </row>
    <row r="155">
      <c r="D155" s="36"/>
      <c r="P155" s="36"/>
      <c r="V155" s="36"/>
      <c r="AA155" s="36"/>
      <c r="AD155" s="36"/>
      <c r="AJ155" s="36"/>
      <c r="AN155" s="36"/>
      <c r="BH155" s="102"/>
    </row>
    <row r="156">
      <c r="D156" s="36"/>
      <c r="P156" s="36"/>
      <c r="V156" s="36"/>
      <c r="AA156" s="36"/>
      <c r="AD156" s="36"/>
      <c r="AJ156" s="36"/>
      <c r="AN156" s="36"/>
      <c r="BH156" s="102"/>
    </row>
    <row r="157">
      <c r="D157" s="36"/>
      <c r="P157" s="36"/>
      <c r="V157" s="36"/>
      <c r="AA157" s="36"/>
      <c r="AD157" s="36"/>
      <c r="AJ157" s="36"/>
      <c r="AN157" s="36"/>
      <c r="BH157" s="102"/>
    </row>
    <row r="158">
      <c r="D158" s="36"/>
      <c r="P158" s="36"/>
      <c r="V158" s="36"/>
      <c r="AA158" s="36"/>
      <c r="AD158" s="36"/>
      <c r="AJ158" s="36"/>
      <c r="AN158" s="36"/>
      <c r="BH158" s="102"/>
    </row>
    <row r="159">
      <c r="D159" s="36"/>
      <c r="P159" s="36"/>
      <c r="V159" s="36"/>
      <c r="AA159" s="36"/>
      <c r="AD159" s="36"/>
      <c r="AJ159" s="36"/>
      <c r="AN159" s="36"/>
      <c r="BH159" s="102"/>
    </row>
    <row r="160">
      <c r="D160" s="36"/>
      <c r="P160" s="36"/>
      <c r="V160" s="36"/>
      <c r="AA160" s="36"/>
      <c r="AD160" s="36"/>
      <c r="AJ160" s="36"/>
      <c r="AN160" s="36"/>
      <c r="BH160" s="102"/>
    </row>
    <row r="161">
      <c r="D161" s="36"/>
      <c r="P161" s="36"/>
      <c r="V161" s="36"/>
      <c r="AA161" s="36"/>
      <c r="AD161" s="36"/>
      <c r="AJ161" s="36"/>
      <c r="AN161" s="36"/>
      <c r="BH161" s="102"/>
    </row>
    <row r="162">
      <c r="D162" s="36"/>
      <c r="P162" s="36"/>
      <c r="V162" s="36"/>
      <c r="AA162" s="36"/>
      <c r="AD162" s="36"/>
      <c r="AJ162" s="36"/>
      <c r="AN162" s="36"/>
      <c r="BH162" s="102"/>
    </row>
    <row r="163">
      <c r="D163" s="36"/>
      <c r="P163" s="36"/>
      <c r="V163" s="36"/>
      <c r="AA163" s="36"/>
      <c r="AD163" s="36"/>
      <c r="AJ163" s="36"/>
      <c r="AN163" s="36"/>
      <c r="BH163" s="102"/>
    </row>
    <row r="164">
      <c r="D164" s="36"/>
      <c r="P164" s="36"/>
      <c r="V164" s="36"/>
      <c r="AA164" s="36"/>
      <c r="AD164" s="36"/>
      <c r="AJ164" s="36"/>
      <c r="AN164" s="36"/>
      <c r="BH164" s="102"/>
    </row>
    <row r="165">
      <c r="D165" s="36"/>
      <c r="P165" s="36"/>
      <c r="V165" s="36"/>
      <c r="AA165" s="36"/>
      <c r="AD165" s="36"/>
      <c r="AJ165" s="36"/>
      <c r="AN165" s="36"/>
      <c r="BH165" s="102"/>
    </row>
    <row r="166">
      <c r="D166" s="36"/>
      <c r="P166" s="36"/>
      <c r="V166" s="36"/>
      <c r="AA166" s="36"/>
      <c r="AD166" s="36"/>
      <c r="AJ166" s="36"/>
      <c r="AN166" s="36"/>
      <c r="BH166" s="102"/>
    </row>
    <row r="167">
      <c r="D167" s="36"/>
      <c r="P167" s="36"/>
      <c r="V167" s="36"/>
      <c r="AA167" s="36"/>
      <c r="AD167" s="36"/>
      <c r="AJ167" s="36"/>
      <c r="AN167" s="36"/>
      <c r="BH167" s="102"/>
    </row>
    <row r="168">
      <c r="D168" s="36"/>
      <c r="P168" s="36"/>
      <c r="V168" s="36"/>
      <c r="AA168" s="36"/>
      <c r="AD168" s="36"/>
      <c r="AJ168" s="36"/>
      <c r="AN168" s="36"/>
      <c r="BH168" s="102"/>
    </row>
    <row r="169">
      <c r="D169" s="36"/>
      <c r="P169" s="36"/>
      <c r="V169" s="36"/>
      <c r="AA169" s="36"/>
      <c r="AD169" s="36"/>
      <c r="AJ169" s="36"/>
      <c r="AN169" s="36"/>
      <c r="BH169" s="102"/>
    </row>
    <row r="170">
      <c r="D170" s="36"/>
      <c r="P170" s="36"/>
      <c r="V170" s="36"/>
      <c r="AA170" s="36"/>
      <c r="AD170" s="36"/>
      <c r="AJ170" s="36"/>
      <c r="AN170" s="36"/>
      <c r="BH170" s="102"/>
    </row>
    <row r="171">
      <c r="D171" s="36"/>
      <c r="P171" s="36"/>
      <c r="V171" s="36"/>
      <c r="AA171" s="36"/>
      <c r="AD171" s="36"/>
      <c r="AJ171" s="36"/>
      <c r="AN171" s="36"/>
      <c r="BH171" s="102"/>
    </row>
    <row r="172">
      <c r="D172" s="36"/>
      <c r="P172" s="36"/>
      <c r="V172" s="36"/>
      <c r="AA172" s="36"/>
      <c r="AD172" s="36"/>
      <c r="AJ172" s="36"/>
      <c r="AN172" s="36"/>
      <c r="BH172" s="102"/>
    </row>
    <row r="173">
      <c r="D173" s="36"/>
      <c r="P173" s="36"/>
      <c r="V173" s="36"/>
      <c r="AA173" s="36"/>
      <c r="AD173" s="36"/>
      <c r="AJ173" s="36"/>
      <c r="AN173" s="36"/>
      <c r="BH173" s="102"/>
    </row>
    <row r="174">
      <c r="D174" s="36"/>
      <c r="P174" s="36"/>
      <c r="V174" s="36"/>
      <c r="AA174" s="36"/>
      <c r="AD174" s="36"/>
      <c r="AJ174" s="36"/>
      <c r="AN174" s="36"/>
      <c r="BH174" s="102"/>
    </row>
    <row r="175">
      <c r="D175" s="36"/>
      <c r="P175" s="36"/>
      <c r="V175" s="36"/>
      <c r="AA175" s="36"/>
      <c r="AD175" s="36"/>
      <c r="AJ175" s="36"/>
      <c r="AN175" s="36"/>
      <c r="BH175" s="102"/>
    </row>
    <row r="176">
      <c r="D176" s="36"/>
      <c r="P176" s="36"/>
      <c r="V176" s="36"/>
      <c r="AA176" s="36"/>
      <c r="AD176" s="36"/>
      <c r="AJ176" s="36"/>
      <c r="AN176" s="36"/>
      <c r="BH176" s="102"/>
    </row>
    <row r="177">
      <c r="D177" s="36"/>
      <c r="P177" s="36"/>
      <c r="V177" s="36"/>
      <c r="AA177" s="36"/>
      <c r="AD177" s="36"/>
      <c r="AJ177" s="36"/>
      <c r="AN177" s="36"/>
      <c r="BH177" s="102"/>
    </row>
    <row r="178">
      <c r="D178" s="36"/>
      <c r="P178" s="36"/>
      <c r="V178" s="36"/>
      <c r="AA178" s="36"/>
      <c r="AD178" s="36"/>
      <c r="AJ178" s="36"/>
      <c r="AN178" s="36"/>
      <c r="BH178" s="102"/>
    </row>
    <row r="179">
      <c r="D179" s="36"/>
      <c r="P179" s="36"/>
      <c r="V179" s="36"/>
      <c r="AA179" s="36"/>
      <c r="AD179" s="36"/>
      <c r="AJ179" s="36"/>
      <c r="AN179" s="36"/>
      <c r="BH179" s="102"/>
    </row>
    <row r="180">
      <c r="D180" s="36"/>
      <c r="P180" s="36"/>
      <c r="V180" s="36"/>
      <c r="AA180" s="36"/>
      <c r="AD180" s="36"/>
      <c r="AJ180" s="36"/>
      <c r="AN180" s="36"/>
      <c r="BH180" s="102"/>
    </row>
    <row r="181">
      <c r="D181" s="36"/>
      <c r="P181" s="36"/>
      <c r="V181" s="36"/>
      <c r="AA181" s="36"/>
      <c r="AD181" s="36"/>
      <c r="AJ181" s="36"/>
      <c r="AN181" s="36"/>
      <c r="BH181" s="102"/>
    </row>
    <row r="182">
      <c r="D182" s="36"/>
      <c r="P182" s="36"/>
      <c r="V182" s="36"/>
      <c r="AA182" s="36"/>
      <c r="AD182" s="36"/>
      <c r="AJ182" s="36"/>
      <c r="AN182" s="36"/>
      <c r="BH182" s="102"/>
    </row>
    <row r="183">
      <c r="D183" s="36"/>
      <c r="P183" s="36"/>
      <c r="V183" s="36"/>
      <c r="AA183" s="36"/>
      <c r="AD183" s="36"/>
      <c r="AJ183" s="36"/>
      <c r="AN183" s="36"/>
      <c r="BH183" s="102"/>
    </row>
    <row r="184">
      <c r="D184" s="36"/>
      <c r="P184" s="36"/>
      <c r="V184" s="36"/>
      <c r="AA184" s="36"/>
      <c r="AD184" s="36"/>
      <c r="AJ184" s="36"/>
      <c r="AN184" s="36"/>
      <c r="BH184" s="102"/>
    </row>
    <row r="185">
      <c r="D185" s="36"/>
      <c r="P185" s="36"/>
      <c r="V185" s="36"/>
      <c r="AA185" s="36"/>
      <c r="AD185" s="36"/>
      <c r="AJ185" s="36"/>
      <c r="AN185" s="36"/>
      <c r="BH185" s="102"/>
    </row>
    <row r="186">
      <c r="D186" s="36"/>
      <c r="P186" s="36"/>
      <c r="V186" s="36"/>
      <c r="AA186" s="36"/>
      <c r="AD186" s="36"/>
      <c r="AJ186" s="36"/>
      <c r="AN186" s="36"/>
      <c r="BH186" s="102"/>
    </row>
    <row r="187">
      <c r="D187" s="36"/>
      <c r="P187" s="36"/>
      <c r="V187" s="36"/>
      <c r="AA187" s="36"/>
      <c r="AD187" s="36"/>
      <c r="AJ187" s="36"/>
      <c r="AN187" s="36"/>
      <c r="BH187" s="102"/>
    </row>
    <row r="188">
      <c r="D188" s="36"/>
      <c r="P188" s="36"/>
      <c r="V188" s="36"/>
      <c r="AA188" s="36"/>
      <c r="AD188" s="36"/>
      <c r="AJ188" s="36"/>
      <c r="AN188" s="36"/>
      <c r="BH188" s="102"/>
    </row>
    <row r="189">
      <c r="D189" s="36"/>
      <c r="P189" s="36"/>
      <c r="V189" s="36"/>
      <c r="AA189" s="36"/>
      <c r="AD189" s="36"/>
      <c r="AJ189" s="36"/>
      <c r="AN189" s="36"/>
      <c r="BH189" s="102"/>
    </row>
    <row r="190">
      <c r="D190" s="36"/>
      <c r="P190" s="36"/>
      <c r="V190" s="36"/>
      <c r="AA190" s="36"/>
      <c r="AD190" s="36"/>
      <c r="AJ190" s="36"/>
      <c r="AN190" s="36"/>
      <c r="BH190" s="102"/>
    </row>
    <row r="191">
      <c r="D191" s="36"/>
      <c r="P191" s="36"/>
      <c r="V191" s="36"/>
      <c r="AA191" s="36"/>
      <c r="AD191" s="36"/>
      <c r="AJ191" s="36"/>
      <c r="AN191" s="36"/>
      <c r="BH191" s="102"/>
    </row>
    <row r="192">
      <c r="D192" s="36"/>
      <c r="P192" s="36"/>
      <c r="V192" s="36"/>
      <c r="AA192" s="36"/>
      <c r="AD192" s="36"/>
      <c r="AJ192" s="36"/>
      <c r="AN192" s="36"/>
      <c r="BH192" s="102"/>
    </row>
    <row r="193">
      <c r="D193" s="36"/>
      <c r="P193" s="36"/>
      <c r="V193" s="36"/>
      <c r="AA193" s="36"/>
      <c r="AD193" s="36"/>
      <c r="AJ193" s="36"/>
      <c r="AN193" s="36"/>
      <c r="BH193" s="102"/>
    </row>
    <row r="194">
      <c r="D194" s="36"/>
      <c r="P194" s="36"/>
      <c r="V194" s="36"/>
      <c r="AA194" s="36"/>
      <c r="AD194" s="36"/>
      <c r="AJ194" s="36"/>
      <c r="AN194" s="36"/>
      <c r="BH194" s="102"/>
    </row>
    <row r="195">
      <c r="D195" s="36"/>
      <c r="P195" s="36"/>
      <c r="V195" s="36"/>
      <c r="AA195" s="36"/>
      <c r="AD195" s="36"/>
      <c r="AJ195" s="36"/>
      <c r="AN195" s="36"/>
      <c r="BH195" s="102"/>
    </row>
    <row r="196">
      <c r="D196" s="36"/>
      <c r="P196" s="36"/>
      <c r="V196" s="36"/>
      <c r="AA196" s="36"/>
      <c r="AD196" s="36"/>
      <c r="AJ196" s="36"/>
      <c r="AN196" s="36"/>
      <c r="BH196" s="102"/>
    </row>
    <row r="197">
      <c r="D197" s="36"/>
      <c r="P197" s="36"/>
      <c r="V197" s="36"/>
      <c r="AA197" s="36"/>
      <c r="AD197" s="36"/>
      <c r="AJ197" s="36"/>
      <c r="AN197" s="36"/>
      <c r="BH197" s="102"/>
    </row>
    <row r="198">
      <c r="D198" s="36"/>
      <c r="P198" s="36"/>
      <c r="V198" s="36"/>
      <c r="AA198" s="36"/>
      <c r="AD198" s="36"/>
      <c r="AJ198" s="36"/>
      <c r="AN198" s="36"/>
      <c r="BH198" s="102"/>
    </row>
    <row r="199">
      <c r="D199" s="36"/>
      <c r="P199" s="36"/>
      <c r="V199" s="36"/>
      <c r="AA199" s="36"/>
      <c r="AD199" s="36"/>
      <c r="AJ199" s="36"/>
      <c r="AN199" s="36"/>
      <c r="BH199" s="102"/>
    </row>
    <row r="200">
      <c r="D200" s="36"/>
      <c r="P200" s="36"/>
      <c r="V200" s="36"/>
      <c r="AA200" s="36"/>
      <c r="AD200" s="36"/>
      <c r="AJ200" s="36"/>
      <c r="AN200" s="36"/>
      <c r="BH200" s="102"/>
    </row>
    <row r="201">
      <c r="D201" s="36"/>
      <c r="P201" s="36"/>
      <c r="V201" s="36"/>
      <c r="AA201" s="36"/>
      <c r="AD201" s="36"/>
      <c r="AJ201" s="36"/>
      <c r="AN201" s="36"/>
      <c r="BH201" s="102"/>
    </row>
    <row r="202">
      <c r="D202" s="36"/>
      <c r="P202" s="36"/>
      <c r="V202" s="36"/>
      <c r="AA202" s="36"/>
      <c r="AD202" s="36"/>
      <c r="AJ202" s="36"/>
      <c r="AN202" s="36"/>
      <c r="BH202" s="102"/>
    </row>
    <row r="203">
      <c r="D203" s="36"/>
      <c r="P203" s="36"/>
      <c r="V203" s="36"/>
      <c r="AA203" s="36"/>
      <c r="AD203" s="36"/>
      <c r="AJ203" s="36"/>
      <c r="AN203" s="36"/>
      <c r="BH203" s="102"/>
    </row>
    <row r="204">
      <c r="D204" s="36"/>
      <c r="P204" s="36"/>
      <c r="V204" s="36"/>
      <c r="AA204" s="36"/>
      <c r="AD204" s="36"/>
      <c r="AJ204" s="36"/>
      <c r="AN204" s="36"/>
      <c r="BH204" s="102"/>
    </row>
    <row r="205">
      <c r="D205" s="36"/>
      <c r="P205" s="36"/>
      <c r="V205" s="36"/>
      <c r="AA205" s="36"/>
      <c r="AD205" s="36"/>
      <c r="AJ205" s="36"/>
      <c r="AN205" s="36"/>
      <c r="BH205" s="102"/>
    </row>
    <row r="206">
      <c r="D206" s="36"/>
      <c r="P206" s="36"/>
      <c r="V206" s="36"/>
      <c r="AA206" s="36"/>
      <c r="AD206" s="36"/>
      <c r="AJ206" s="36"/>
      <c r="AN206" s="36"/>
      <c r="BH206" s="102"/>
    </row>
    <row r="207">
      <c r="D207" s="36"/>
      <c r="P207" s="36"/>
      <c r="V207" s="36"/>
      <c r="AA207" s="36"/>
      <c r="AD207" s="36"/>
      <c r="AJ207" s="36"/>
      <c r="AN207" s="36"/>
      <c r="BH207" s="102"/>
    </row>
    <row r="208">
      <c r="D208" s="36"/>
      <c r="P208" s="36"/>
      <c r="V208" s="36"/>
      <c r="AA208" s="36"/>
      <c r="AD208" s="36"/>
      <c r="AJ208" s="36"/>
      <c r="AN208" s="36"/>
      <c r="BH208" s="102"/>
    </row>
    <row r="209">
      <c r="D209" s="36"/>
      <c r="P209" s="36"/>
      <c r="V209" s="36"/>
      <c r="AA209" s="36"/>
      <c r="AD209" s="36"/>
      <c r="AJ209" s="36"/>
      <c r="AN209" s="36"/>
      <c r="BH209" s="102"/>
    </row>
    <row r="210">
      <c r="D210" s="36"/>
      <c r="P210" s="36"/>
      <c r="V210" s="36"/>
      <c r="AA210" s="36"/>
      <c r="AD210" s="36"/>
      <c r="AJ210" s="36"/>
      <c r="AN210" s="36"/>
      <c r="BH210" s="102"/>
    </row>
    <row r="211">
      <c r="D211" s="36"/>
      <c r="P211" s="36"/>
      <c r="V211" s="36"/>
      <c r="AA211" s="36"/>
      <c r="AD211" s="36"/>
      <c r="AJ211" s="36"/>
      <c r="AN211" s="36"/>
      <c r="BH211" s="102"/>
    </row>
    <row r="212">
      <c r="D212" s="36"/>
      <c r="P212" s="36"/>
      <c r="V212" s="36"/>
      <c r="AA212" s="36"/>
      <c r="AD212" s="36"/>
      <c r="AJ212" s="36"/>
      <c r="AN212" s="36"/>
      <c r="BH212" s="102"/>
    </row>
    <row r="213">
      <c r="D213" s="36"/>
      <c r="P213" s="36"/>
      <c r="V213" s="36"/>
      <c r="AA213" s="36"/>
      <c r="AD213" s="36"/>
      <c r="AJ213" s="36"/>
      <c r="AN213" s="36"/>
      <c r="BH213" s="102"/>
    </row>
    <row r="214">
      <c r="D214" s="36"/>
      <c r="P214" s="36"/>
      <c r="V214" s="36"/>
      <c r="AA214" s="36"/>
      <c r="AD214" s="36"/>
      <c r="AJ214" s="36"/>
      <c r="AN214" s="36"/>
      <c r="BH214" s="102"/>
    </row>
    <row r="215">
      <c r="D215" s="36"/>
      <c r="P215" s="36"/>
      <c r="V215" s="36"/>
      <c r="AA215" s="36"/>
      <c r="AD215" s="36"/>
      <c r="AJ215" s="36"/>
      <c r="AN215" s="36"/>
      <c r="BH215" s="102"/>
    </row>
    <row r="216">
      <c r="D216" s="36"/>
      <c r="P216" s="36"/>
      <c r="V216" s="36"/>
      <c r="AA216" s="36"/>
      <c r="AD216" s="36"/>
      <c r="AJ216" s="36"/>
      <c r="AN216" s="36"/>
      <c r="BH216" s="102"/>
    </row>
    <row r="217">
      <c r="D217" s="36"/>
      <c r="P217" s="36"/>
      <c r="V217" s="36"/>
      <c r="AA217" s="36"/>
      <c r="AD217" s="36"/>
      <c r="AJ217" s="36"/>
      <c r="AN217" s="36"/>
      <c r="BH217" s="102"/>
    </row>
    <row r="218">
      <c r="D218" s="36"/>
      <c r="P218" s="36"/>
      <c r="V218" s="36"/>
      <c r="AA218" s="36"/>
      <c r="AD218" s="36"/>
      <c r="AJ218" s="36"/>
      <c r="AN218" s="36"/>
      <c r="BH218" s="102"/>
    </row>
    <row r="219">
      <c r="D219" s="36"/>
      <c r="P219" s="36"/>
      <c r="V219" s="36"/>
      <c r="AA219" s="36"/>
      <c r="AD219" s="36"/>
      <c r="AJ219" s="36"/>
      <c r="AN219" s="36"/>
      <c r="BH219" s="102"/>
    </row>
    <row r="220">
      <c r="D220" s="36"/>
      <c r="P220" s="36"/>
      <c r="V220" s="36"/>
      <c r="AA220" s="36"/>
      <c r="AD220" s="36"/>
      <c r="AJ220" s="36"/>
      <c r="AN220" s="36"/>
      <c r="BH220" s="102"/>
    </row>
    <row r="221">
      <c r="D221" s="36"/>
      <c r="P221" s="36"/>
      <c r="V221" s="36"/>
      <c r="AA221" s="36"/>
      <c r="AD221" s="36"/>
      <c r="AJ221" s="36"/>
      <c r="AN221" s="36"/>
      <c r="BH221" s="102"/>
    </row>
    <row r="222">
      <c r="D222" s="36"/>
      <c r="P222" s="36"/>
      <c r="V222" s="36"/>
      <c r="AA222" s="36"/>
      <c r="AD222" s="36"/>
      <c r="AJ222" s="36"/>
      <c r="AN222" s="36"/>
      <c r="BH222" s="102"/>
    </row>
    <row r="223">
      <c r="D223" s="36"/>
      <c r="P223" s="36"/>
      <c r="V223" s="36"/>
      <c r="AA223" s="36"/>
      <c r="AD223" s="36"/>
      <c r="AJ223" s="36"/>
      <c r="AN223" s="36"/>
      <c r="BH223" s="102"/>
    </row>
    <row r="224">
      <c r="D224" s="36"/>
      <c r="P224" s="36"/>
      <c r="V224" s="36"/>
      <c r="AA224" s="36"/>
      <c r="AD224" s="36"/>
      <c r="AJ224" s="36"/>
      <c r="AN224" s="36"/>
      <c r="BH224" s="102"/>
    </row>
    <row r="225">
      <c r="D225" s="36"/>
      <c r="P225" s="36"/>
      <c r="V225" s="36"/>
      <c r="AA225" s="36"/>
      <c r="AD225" s="36"/>
      <c r="AJ225" s="36"/>
      <c r="AN225" s="36"/>
      <c r="BH225" s="102"/>
    </row>
    <row r="226">
      <c r="D226" s="36"/>
      <c r="P226" s="36"/>
      <c r="V226" s="36"/>
      <c r="AA226" s="36"/>
      <c r="AD226" s="36"/>
      <c r="AJ226" s="36"/>
      <c r="AN226" s="36"/>
      <c r="BH226" s="102"/>
    </row>
    <row r="227">
      <c r="D227" s="36"/>
      <c r="P227" s="36"/>
      <c r="V227" s="36"/>
      <c r="AA227" s="36"/>
      <c r="AD227" s="36"/>
      <c r="AJ227" s="36"/>
      <c r="AN227" s="36"/>
      <c r="BH227" s="102"/>
    </row>
    <row r="228">
      <c r="D228" s="36"/>
      <c r="P228" s="36"/>
      <c r="V228" s="36"/>
      <c r="AA228" s="36"/>
      <c r="AD228" s="36"/>
      <c r="AJ228" s="36"/>
      <c r="AN228" s="36"/>
      <c r="BH228" s="102"/>
    </row>
    <row r="229">
      <c r="D229" s="36"/>
      <c r="P229" s="36"/>
      <c r="V229" s="36"/>
      <c r="AA229" s="36"/>
      <c r="AD229" s="36"/>
      <c r="AJ229" s="36"/>
      <c r="AN229" s="36"/>
      <c r="BH229" s="102"/>
    </row>
    <row r="230">
      <c r="D230" s="36"/>
      <c r="P230" s="36"/>
      <c r="V230" s="36"/>
      <c r="AA230" s="36"/>
      <c r="AD230" s="36"/>
      <c r="AJ230" s="36"/>
      <c r="AN230" s="36"/>
      <c r="BH230" s="102"/>
    </row>
    <row r="231">
      <c r="D231" s="36"/>
      <c r="P231" s="36"/>
      <c r="V231" s="36"/>
      <c r="AA231" s="36"/>
      <c r="AD231" s="36"/>
      <c r="AJ231" s="36"/>
      <c r="AN231" s="36"/>
      <c r="BH231" s="102"/>
    </row>
    <row r="232">
      <c r="D232" s="36"/>
      <c r="P232" s="36"/>
      <c r="V232" s="36"/>
      <c r="AA232" s="36"/>
      <c r="AD232" s="36"/>
      <c r="AJ232" s="36"/>
      <c r="AN232" s="36"/>
      <c r="BH232" s="102"/>
    </row>
    <row r="233">
      <c r="D233" s="36"/>
      <c r="P233" s="36"/>
      <c r="V233" s="36"/>
      <c r="AA233" s="36"/>
      <c r="AD233" s="36"/>
      <c r="AJ233" s="36"/>
      <c r="AN233" s="36"/>
      <c r="BH233" s="102"/>
    </row>
    <row r="234">
      <c r="D234" s="36"/>
      <c r="P234" s="36"/>
      <c r="V234" s="36"/>
      <c r="AA234" s="36"/>
      <c r="AD234" s="36"/>
      <c r="AJ234" s="36"/>
      <c r="AN234" s="36"/>
      <c r="BH234" s="102"/>
    </row>
    <row r="235">
      <c r="D235" s="36"/>
      <c r="P235" s="36"/>
      <c r="V235" s="36"/>
      <c r="AA235" s="36"/>
      <c r="AD235" s="36"/>
      <c r="AJ235" s="36"/>
      <c r="AN235" s="36"/>
      <c r="BH235" s="102"/>
    </row>
    <row r="236">
      <c r="D236" s="36"/>
      <c r="P236" s="36"/>
      <c r="V236" s="36"/>
      <c r="AA236" s="36"/>
      <c r="AD236" s="36"/>
      <c r="AJ236" s="36"/>
      <c r="AN236" s="36"/>
      <c r="BH236" s="102"/>
    </row>
    <row r="237">
      <c r="D237" s="36"/>
      <c r="P237" s="36"/>
      <c r="V237" s="36"/>
      <c r="AA237" s="36"/>
      <c r="AD237" s="36"/>
      <c r="AJ237" s="36"/>
      <c r="AN237" s="36"/>
      <c r="BH237" s="102"/>
    </row>
    <row r="238">
      <c r="D238" s="36"/>
      <c r="P238" s="36"/>
      <c r="V238" s="36"/>
      <c r="AA238" s="36"/>
      <c r="AD238" s="36"/>
      <c r="AJ238" s="36"/>
      <c r="AN238" s="36"/>
      <c r="BH238" s="102"/>
    </row>
    <row r="239">
      <c r="D239" s="36"/>
      <c r="P239" s="36"/>
      <c r="V239" s="36"/>
      <c r="AA239" s="36"/>
      <c r="AD239" s="36"/>
      <c r="AJ239" s="36"/>
      <c r="AN239" s="36"/>
      <c r="BH239" s="102"/>
    </row>
    <row r="240">
      <c r="D240" s="36"/>
      <c r="P240" s="36"/>
      <c r="V240" s="36"/>
      <c r="AA240" s="36"/>
      <c r="AD240" s="36"/>
      <c r="AJ240" s="36"/>
      <c r="AN240" s="36"/>
      <c r="BH240" s="102"/>
    </row>
    <row r="241">
      <c r="D241" s="36"/>
      <c r="P241" s="36"/>
      <c r="V241" s="36"/>
      <c r="AA241" s="36"/>
      <c r="AD241" s="36"/>
      <c r="AJ241" s="36"/>
      <c r="AN241" s="36"/>
      <c r="BH241" s="102"/>
    </row>
    <row r="242">
      <c r="D242" s="36"/>
      <c r="P242" s="36"/>
      <c r="V242" s="36"/>
      <c r="AA242" s="36"/>
      <c r="AD242" s="36"/>
      <c r="AJ242" s="36"/>
      <c r="AN242" s="36"/>
      <c r="BH242" s="102"/>
    </row>
    <row r="243">
      <c r="D243" s="36"/>
      <c r="P243" s="36"/>
      <c r="V243" s="36"/>
      <c r="AA243" s="36"/>
      <c r="AD243" s="36"/>
      <c r="AJ243" s="36"/>
      <c r="AN243" s="36"/>
      <c r="BH243" s="102"/>
    </row>
    <row r="244">
      <c r="D244" s="36"/>
      <c r="P244" s="36"/>
      <c r="V244" s="36"/>
      <c r="AA244" s="36"/>
      <c r="AD244" s="36"/>
      <c r="AJ244" s="36"/>
      <c r="AN244" s="36"/>
      <c r="BH244" s="102"/>
    </row>
    <row r="245">
      <c r="D245" s="36"/>
      <c r="P245" s="36"/>
      <c r="V245" s="36"/>
      <c r="AA245" s="36"/>
      <c r="AD245" s="36"/>
      <c r="AJ245" s="36"/>
      <c r="AN245" s="36"/>
      <c r="BH245" s="102"/>
    </row>
    <row r="246">
      <c r="D246" s="36"/>
      <c r="P246" s="36"/>
      <c r="V246" s="36"/>
      <c r="AA246" s="36"/>
      <c r="AD246" s="36"/>
      <c r="AJ246" s="36"/>
      <c r="AN246" s="36"/>
      <c r="BH246" s="102"/>
    </row>
    <row r="247">
      <c r="D247" s="36"/>
      <c r="P247" s="36"/>
      <c r="V247" s="36"/>
      <c r="AA247" s="36"/>
      <c r="AD247" s="36"/>
      <c r="AJ247" s="36"/>
      <c r="AN247" s="36"/>
      <c r="BH247" s="102"/>
    </row>
    <row r="248">
      <c r="D248" s="36"/>
      <c r="P248" s="36"/>
      <c r="V248" s="36"/>
      <c r="AA248" s="36"/>
      <c r="AD248" s="36"/>
      <c r="AJ248" s="36"/>
      <c r="AN248" s="36"/>
      <c r="BH248" s="102"/>
    </row>
    <row r="249">
      <c r="D249" s="36"/>
      <c r="P249" s="36"/>
      <c r="V249" s="36"/>
      <c r="AA249" s="36"/>
      <c r="AD249" s="36"/>
      <c r="AJ249" s="36"/>
      <c r="AN249" s="36"/>
      <c r="BH249" s="102"/>
    </row>
    <row r="250">
      <c r="D250" s="36"/>
      <c r="P250" s="36"/>
      <c r="V250" s="36"/>
      <c r="AA250" s="36"/>
      <c r="AD250" s="36"/>
      <c r="AJ250" s="36"/>
      <c r="AN250" s="36"/>
      <c r="BH250" s="102"/>
    </row>
    <row r="251">
      <c r="D251" s="36"/>
      <c r="P251" s="36"/>
      <c r="V251" s="36"/>
      <c r="AA251" s="36"/>
      <c r="AD251" s="36"/>
      <c r="AJ251" s="36"/>
      <c r="AN251" s="36"/>
      <c r="BH251" s="102"/>
    </row>
    <row r="252">
      <c r="D252" s="36"/>
      <c r="P252" s="36"/>
      <c r="V252" s="36"/>
      <c r="AA252" s="36"/>
      <c r="AD252" s="36"/>
      <c r="AJ252" s="36"/>
      <c r="AN252" s="36"/>
      <c r="BH252" s="102"/>
    </row>
    <row r="253">
      <c r="D253" s="36"/>
      <c r="P253" s="36"/>
      <c r="V253" s="36"/>
      <c r="AA253" s="36"/>
      <c r="AD253" s="36"/>
      <c r="AJ253" s="36"/>
      <c r="AN253" s="36"/>
      <c r="BH253" s="102"/>
    </row>
    <row r="254">
      <c r="D254" s="36"/>
      <c r="P254" s="36"/>
      <c r="V254" s="36"/>
      <c r="AA254" s="36"/>
      <c r="AD254" s="36"/>
      <c r="AJ254" s="36"/>
      <c r="AN254" s="36"/>
      <c r="BH254" s="102"/>
    </row>
    <row r="255">
      <c r="D255" s="36"/>
      <c r="P255" s="36"/>
      <c r="V255" s="36"/>
      <c r="AA255" s="36"/>
      <c r="AD255" s="36"/>
      <c r="AJ255" s="36"/>
      <c r="AN255" s="36"/>
      <c r="BH255" s="102"/>
    </row>
    <row r="256">
      <c r="D256" s="36"/>
      <c r="P256" s="36"/>
      <c r="V256" s="36"/>
      <c r="AA256" s="36"/>
      <c r="AD256" s="36"/>
      <c r="AJ256" s="36"/>
      <c r="AN256" s="36"/>
      <c r="BH256" s="102"/>
    </row>
    <row r="257">
      <c r="D257" s="36"/>
      <c r="P257" s="36"/>
      <c r="V257" s="36"/>
      <c r="AA257" s="36"/>
      <c r="AD257" s="36"/>
      <c r="AJ257" s="36"/>
      <c r="AN257" s="36"/>
      <c r="BH257" s="102"/>
    </row>
    <row r="258">
      <c r="D258" s="36"/>
      <c r="P258" s="36"/>
      <c r="V258" s="36"/>
      <c r="AA258" s="36"/>
      <c r="AD258" s="36"/>
      <c r="AJ258" s="36"/>
      <c r="AN258" s="36"/>
      <c r="BH258" s="102"/>
    </row>
    <row r="259">
      <c r="D259" s="36"/>
      <c r="P259" s="36"/>
      <c r="V259" s="36"/>
      <c r="AA259" s="36"/>
      <c r="AD259" s="36"/>
      <c r="AJ259" s="36"/>
      <c r="AN259" s="36"/>
      <c r="BH259" s="102"/>
    </row>
    <row r="260">
      <c r="D260" s="36"/>
      <c r="P260" s="36"/>
      <c r="V260" s="36"/>
      <c r="AA260" s="36"/>
      <c r="AD260" s="36"/>
      <c r="AJ260" s="36"/>
      <c r="AN260" s="36"/>
      <c r="BH260" s="102"/>
    </row>
    <row r="261">
      <c r="D261" s="36"/>
      <c r="P261" s="36"/>
      <c r="V261" s="36"/>
      <c r="AA261" s="36"/>
      <c r="AD261" s="36"/>
      <c r="AJ261" s="36"/>
      <c r="AN261" s="36"/>
      <c r="BH261" s="102"/>
    </row>
    <row r="262">
      <c r="D262" s="36"/>
      <c r="P262" s="36"/>
      <c r="V262" s="36"/>
      <c r="AA262" s="36"/>
      <c r="AD262" s="36"/>
      <c r="AJ262" s="36"/>
      <c r="AN262" s="36"/>
      <c r="BH262" s="102"/>
    </row>
    <row r="263">
      <c r="D263" s="36"/>
      <c r="P263" s="36"/>
      <c r="V263" s="36"/>
      <c r="AA263" s="36"/>
      <c r="AD263" s="36"/>
      <c r="AJ263" s="36"/>
      <c r="AN263" s="36"/>
      <c r="BH263" s="102"/>
    </row>
    <row r="264">
      <c r="D264" s="36"/>
      <c r="P264" s="36"/>
      <c r="V264" s="36"/>
      <c r="AA264" s="36"/>
      <c r="AD264" s="36"/>
      <c r="AJ264" s="36"/>
      <c r="AN264" s="36"/>
      <c r="BH264" s="102"/>
    </row>
    <row r="265">
      <c r="D265" s="36"/>
      <c r="P265" s="36"/>
      <c r="V265" s="36"/>
      <c r="AA265" s="36"/>
      <c r="AD265" s="36"/>
      <c r="AJ265" s="36"/>
      <c r="AN265" s="36"/>
      <c r="BH265" s="102"/>
    </row>
    <row r="266">
      <c r="D266" s="36"/>
      <c r="P266" s="36"/>
      <c r="V266" s="36"/>
      <c r="AA266" s="36"/>
      <c r="AD266" s="36"/>
      <c r="AJ266" s="36"/>
      <c r="AN266" s="36"/>
      <c r="BH266" s="102"/>
    </row>
    <row r="267">
      <c r="D267" s="36"/>
      <c r="P267" s="36"/>
      <c r="V267" s="36"/>
      <c r="AA267" s="36"/>
      <c r="AD267" s="36"/>
      <c r="AJ267" s="36"/>
      <c r="AN267" s="36"/>
      <c r="BH267" s="102"/>
    </row>
    <row r="268">
      <c r="D268" s="36"/>
      <c r="P268" s="36"/>
      <c r="V268" s="36"/>
      <c r="AA268" s="36"/>
      <c r="AD268" s="36"/>
      <c r="AJ268" s="36"/>
      <c r="AN268" s="36"/>
      <c r="BH268" s="102"/>
    </row>
    <row r="269">
      <c r="D269" s="36"/>
      <c r="P269" s="36"/>
      <c r="V269" s="36"/>
      <c r="AA269" s="36"/>
      <c r="AD269" s="36"/>
      <c r="AJ269" s="36"/>
      <c r="AN269" s="36"/>
      <c r="BH269" s="102"/>
    </row>
    <row r="270">
      <c r="D270" s="36"/>
      <c r="P270" s="36"/>
      <c r="V270" s="36"/>
      <c r="AA270" s="36"/>
      <c r="AD270" s="36"/>
      <c r="AJ270" s="36"/>
      <c r="AN270" s="36"/>
      <c r="BH270" s="102"/>
    </row>
    <row r="271">
      <c r="D271" s="36"/>
      <c r="P271" s="36"/>
      <c r="V271" s="36"/>
      <c r="AA271" s="36"/>
      <c r="AD271" s="36"/>
      <c r="AJ271" s="36"/>
      <c r="AN271" s="36"/>
      <c r="BH271" s="102"/>
    </row>
    <row r="272">
      <c r="D272" s="36"/>
      <c r="P272" s="36"/>
      <c r="V272" s="36"/>
      <c r="AA272" s="36"/>
      <c r="AD272" s="36"/>
      <c r="AJ272" s="36"/>
      <c r="AN272" s="36"/>
      <c r="BH272" s="102"/>
    </row>
    <row r="273">
      <c r="D273" s="36"/>
      <c r="P273" s="36"/>
      <c r="V273" s="36"/>
      <c r="AA273" s="36"/>
      <c r="AD273" s="36"/>
      <c r="AJ273" s="36"/>
      <c r="AN273" s="36"/>
      <c r="BH273" s="102"/>
    </row>
    <row r="274">
      <c r="D274" s="36"/>
      <c r="P274" s="36"/>
      <c r="V274" s="36"/>
      <c r="AA274" s="36"/>
      <c r="AD274" s="36"/>
      <c r="AJ274" s="36"/>
      <c r="AN274" s="36"/>
      <c r="BH274" s="102"/>
    </row>
    <row r="275">
      <c r="D275" s="36"/>
      <c r="P275" s="36"/>
      <c r="V275" s="36"/>
      <c r="AA275" s="36"/>
      <c r="AD275" s="36"/>
      <c r="AJ275" s="36"/>
      <c r="AN275" s="36"/>
      <c r="BH275" s="102"/>
    </row>
    <row r="276">
      <c r="D276" s="36"/>
      <c r="P276" s="36"/>
      <c r="V276" s="36"/>
      <c r="AA276" s="36"/>
      <c r="AD276" s="36"/>
      <c r="AJ276" s="36"/>
      <c r="AN276" s="36"/>
      <c r="BH276" s="102"/>
    </row>
    <row r="277">
      <c r="D277" s="36"/>
      <c r="P277" s="36"/>
      <c r="V277" s="36"/>
      <c r="AA277" s="36"/>
      <c r="AD277" s="36"/>
      <c r="AJ277" s="36"/>
      <c r="AN277" s="36"/>
      <c r="BH277" s="102"/>
    </row>
    <row r="278">
      <c r="D278" s="36"/>
      <c r="P278" s="36"/>
      <c r="V278" s="36"/>
      <c r="AA278" s="36"/>
      <c r="AD278" s="36"/>
      <c r="AJ278" s="36"/>
      <c r="AN278" s="36"/>
      <c r="BH278" s="102"/>
    </row>
    <row r="279">
      <c r="D279" s="36"/>
      <c r="P279" s="36"/>
      <c r="V279" s="36"/>
      <c r="AA279" s="36"/>
      <c r="AD279" s="36"/>
      <c r="AJ279" s="36"/>
      <c r="AN279" s="36"/>
      <c r="BH279" s="102"/>
    </row>
    <row r="280">
      <c r="D280" s="36"/>
      <c r="P280" s="36"/>
      <c r="V280" s="36"/>
      <c r="AA280" s="36"/>
      <c r="AD280" s="36"/>
      <c r="AJ280" s="36"/>
      <c r="AN280" s="36"/>
      <c r="BH280" s="102"/>
    </row>
    <row r="281">
      <c r="D281" s="36"/>
      <c r="P281" s="36"/>
      <c r="V281" s="36"/>
      <c r="AA281" s="36"/>
      <c r="AD281" s="36"/>
      <c r="AJ281" s="36"/>
      <c r="AN281" s="36"/>
      <c r="BH281" s="102"/>
    </row>
    <row r="282">
      <c r="D282" s="36"/>
      <c r="P282" s="36"/>
      <c r="V282" s="36"/>
      <c r="AA282" s="36"/>
      <c r="AD282" s="36"/>
      <c r="AJ282" s="36"/>
      <c r="AN282" s="36"/>
      <c r="BH282" s="102"/>
    </row>
    <row r="283">
      <c r="D283" s="36"/>
      <c r="P283" s="36"/>
      <c r="V283" s="36"/>
      <c r="AA283" s="36"/>
      <c r="AD283" s="36"/>
      <c r="AJ283" s="36"/>
      <c r="AN283" s="36"/>
      <c r="BH283" s="102"/>
    </row>
    <row r="284">
      <c r="D284" s="36"/>
      <c r="P284" s="36"/>
      <c r="V284" s="36"/>
      <c r="AA284" s="36"/>
      <c r="AD284" s="36"/>
      <c r="AJ284" s="36"/>
      <c r="AN284" s="36"/>
      <c r="BH284" s="102"/>
    </row>
    <row r="285">
      <c r="D285" s="36"/>
      <c r="P285" s="36"/>
      <c r="V285" s="36"/>
      <c r="AA285" s="36"/>
      <c r="AD285" s="36"/>
      <c r="AJ285" s="36"/>
      <c r="AN285" s="36"/>
      <c r="BH285" s="102"/>
    </row>
    <row r="286">
      <c r="D286" s="36"/>
      <c r="P286" s="36"/>
      <c r="V286" s="36"/>
      <c r="AA286" s="36"/>
      <c r="AD286" s="36"/>
      <c r="AJ286" s="36"/>
      <c r="AN286" s="36"/>
      <c r="BH286" s="102"/>
    </row>
    <row r="287">
      <c r="D287" s="36"/>
      <c r="P287" s="36"/>
      <c r="V287" s="36"/>
      <c r="AA287" s="36"/>
      <c r="AD287" s="36"/>
      <c r="AJ287" s="36"/>
      <c r="AN287" s="36"/>
      <c r="BH287" s="102"/>
    </row>
    <row r="288">
      <c r="D288" s="36"/>
      <c r="P288" s="36"/>
      <c r="V288" s="36"/>
      <c r="AA288" s="36"/>
      <c r="AD288" s="36"/>
      <c r="AJ288" s="36"/>
      <c r="AN288" s="36"/>
      <c r="BH288" s="102"/>
    </row>
    <row r="289">
      <c r="D289" s="36"/>
      <c r="P289" s="36"/>
      <c r="V289" s="36"/>
      <c r="AA289" s="36"/>
      <c r="AD289" s="36"/>
      <c r="AJ289" s="36"/>
      <c r="AN289" s="36"/>
      <c r="BH289" s="102"/>
    </row>
    <row r="290">
      <c r="D290" s="36"/>
      <c r="P290" s="36"/>
      <c r="V290" s="36"/>
      <c r="AA290" s="36"/>
      <c r="AD290" s="36"/>
      <c r="AJ290" s="36"/>
      <c r="AN290" s="36"/>
      <c r="BH290" s="102"/>
    </row>
    <row r="291">
      <c r="D291" s="36"/>
      <c r="P291" s="36"/>
      <c r="V291" s="36"/>
      <c r="AA291" s="36"/>
      <c r="AD291" s="36"/>
      <c r="AJ291" s="36"/>
      <c r="AN291" s="36"/>
      <c r="BH291" s="102"/>
    </row>
    <row r="292">
      <c r="D292" s="36"/>
      <c r="P292" s="36"/>
      <c r="V292" s="36"/>
      <c r="AA292" s="36"/>
      <c r="AD292" s="36"/>
      <c r="AJ292" s="36"/>
      <c r="AN292" s="36"/>
      <c r="BH292" s="102"/>
    </row>
    <row r="293">
      <c r="D293" s="36"/>
      <c r="P293" s="36"/>
      <c r="V293" s="36"/>
      <c r="AA293" s="36"/>
      <c r="AD293" s="36"/>
      <c r="AJ293" s="36"/>
      <c r="AN293" s="36"/>
      <c r="BH293" s="102"/>
    </row>
    <row r="294">
      <c r="D294" s="36"/>
      <c r="P294" s="36"/>
      <c r="V294" s="36"/>
      <c r="AA294" s="36"/>
      <c r="AD294" s="36"/>
      <c r="AJ294" s="36"/>
      <c r="AN294" s="36"/>
      <c r="BH294" s="102"/>
    </row>
    <row r="295">
      <c r="D295" s="36"/>
      <c r="P295" s="36"/>
      <c r="V295" s="36"/>
      <c r="AA295" s="36"/>
      <c r="AD295" s="36"/>
      <c r="AJ295" s="36"/>
      <c r="AN295" s="36"/>
      <c r="BH295" s="102"/>
    </row>
    <row r="296">
      <c r="D296" s="36"/>
      <c r="P296" s="36"/>
      <c r="V296" s="36"/>
      <c r="AA296" s="36"/>
      <c r="AD296" s="36"/>
      <c r="AJ296" s="36"/>
      <c r="AN296" s="36"/>
      <c r="BH296" s="102"/>
    </row>
    <row r="297">
      <c r="D297" s="36"/>
      <c r="P297" s="36"/>
      <c r="V297" s="36"/>
      <c r="AA297" s="36"/>
      <c r="AD297" s="36"/>
      <c r="AJ297" s="36"/>
      <c r="AN297" s="36"/>
      <c r="BH297" s="102"/>
    </row>
    <row r="298">
      <c r="D298" s="36"/>
      <c r="P298" s="36"/>
      <c r="V298" s="36"/>
      <c r="AA298" s="36"/>
      <c r="AD298" s="36"/>
      <c r="AJ298" s="36"/>
      <c r="AN298" s="36"/>
      <c r="BH298" s="102"/>
    </row>
    <row r="299">
      <c r="D299" s="36"/>
      <c r="P299" s="36"/>
      <c r="V299" s="36"/>
      <c r="AA299" s="36"/>
      <c r="AD299" s="36"/>
      <c r="AJ299" s="36"/>
      <c r="AN299" s="36"/>
      <c r="BH299" s="102"/>
    </row>
    <row r="300">
      <c r="D300" s="36"/>
      <c r="P300" s="36"/>
      <c r="V300" s="36"/>
      <c r="AA300" s="36"/>
      <c r="AD300" s="36"/>
      <c r="AJ300" s="36"/>
      <c r="AN300" s="36"/>
      <c r="BH300" s="102"/>
    </row>
    <row r="301">
      <c r="D301" s="36"/>
      <c r="P301" s="36"/>
      <c r="V301" s="36"/>
      <c r="AA301" s="36"/>
      <c r="AD301" s="36"/>
      <c r="AJ301" s="36"/>
      <c r="AN301" s="36"/>
      <c r="BH301" s="102"/>
    </row>
    <row r="302">
      <c r="D302" s="36"/>
      <c r="P302" s="36"/>
      <c r="V302" s="36"/>
      <c r="AA302" s="36"/>
      <c r="AD302" s="36"/>
      <c r="AJ302" s="36"/>
      <c r="AN302" s="36"/>
      <c r="BH302" s="102"/>
    </row>
    <row r="303">
      <c r="D303" s="36"/>
      <c r="P303" s="36"/>
      <c r="V303" s="36"/>
      <c r="AA303" s="36"/>
      <c r="AD303" s="36"/>
      <c r="AJ303" s="36"/>
      <c r="AN303" s="36"/>
      <c r="BH303" s="102"/>
    </row>
    <row r="304">
      <c r="D304" s="36"/>
      <c r="P304" s="36"/>
      <c r="V304" s="36"/>
      <c r="AA304" s="36"/>
      <c r="AD304" s="36"/>
      <c r="AJ304" s="36"/>
      <c r="AN304" s="36"/>
      <c r="BH304" s="102"/>
    </row>
    <row r="305">
      <c r="D305" s="36"/>
      <c r="P305" s="36"/>
      <c r="V305" s="36"/>
      <c r="AA305" s="36"/>
      <c r="AD305" s="36"/>
      <c r="AJ305" s="36"/>
      <c r="AN305" s="36"/>
      <c r="BH305" s="102"/>
    </row>
    <row r="306">
      <c r="D306" s="36"/>
      <c r="P306" s="36"/>
      <c r="V306" s="36"/>
      <c r="AA306" s="36"/>
      <c r="AD306" s="36"/>
      <c r="AJ306" s="36"/>
      <c r="AN306" s="36"/>
      <c r="BH306" s="102"/>
    </row>
    <row r="307">
      <c r="D307" s="36"/>
      <c r="P307" s="36"/>
      <c r="V307" s="36"/>
      <c r="AA307" s="36"/>
      <c r="AD307" s="36"/>
      <c r="AJ307" s="36"/>
      <c r="AN307" s="36"/>
      <c r="BH307" s="102"/>
    </row>
    <row r="308">
      <c r="D308" s="36"/>
      <c r="P308" s="36"/>
      <c r="V308" s="36"/>
      <c r="AA308" s="36"/>
      <c r="AD308" s="36"/>
      <c r="AJ308" s="36"/>
      <c r="AN308" s="36"/>
      <c r="BH308" s="102"/>
    </row>
    <row r="309">
      <c r="D309" s="36"/>
      <c r="P309" s="36"/>
      <c r="V309" s="36"/>
      <c r="AA309" s="36"/>
      <c r="AD309" s="36"/>
      <c r="AJ309" s="36"/>
      <c r="AN309" s="36"/>
      <c r="BH309" s="102"/>
    </row>
    <row r="310">
      <c r="D310" s="36"/>
      <c r="P310" s="36"/>
      <c r="V310" s="36"/>
      <c r="AA310" s="36"/>
      <c r="AD310" s="36"/>
      <c r="AJ310" s="36"/>
      <c r="AN310" s="36"/>
      <c r="BH310" s="102"/>
    </row>
    <row r="311">
      <c r="D311" s="36"/>
      <c r="P311" s="36"/>
      <c r="V311" s="36"/>
      <c r="AA311" s="36"/>
      <c r="AD311" s="36"/>
      <c r="AJ311" s="36"/>
      <c r="AN311" s="36"/>
      <c r="BH311" s="102"/>
    </row>
    <row r="312">
      <c r="D312" s="36"/>
      <c r="P312" s="36"/>
      <c r="V312" s="36"/>
      <c r="AA312" s="36"/>
      <c r="AD312" s="36"/>
      <c r="AJ312" s="36"/>
      <c r="AN312" s="36"/>
      <c r="BH312" s="102"/>
    </row>
    <row r="313">
      <c r="D313" s="36"/>
      <c r="P313" s="36"/>
      <c r="V313" s="36"/>
      <c r="AA313" s="36"/>
      <c r="AD313" s="36"/>
      <c r="AJ313" s="36"/>
      <c r="AN313" s="36"/>
      <c r="BH313" s="102"/>
    </row>
    <row r="314">
      <c r="D314" s="36"/>
      <c r="P314" s="36"/>
      <c r="V314" s="36"/>
      <c r="AA314" s="36"/>
      <c r="AD314" s="36"/>
      <c r="AJ314" s="36"/>
      <c r="AN314" s="36"/>
      <c r="BH314" s="102"/>
    </row>
    <row r="315">
      <c r="D315" s="36"/>
      <c r="P315" s="36"/>
      <c r="V315" s="36"/>
      <c r="AA315" s="36"/>
      <c r="AD315" s="36"/>
      <c r="AJ315" s="36"/>
      <c r="AN315" s="36"/>
      <c r="BH315" s="102"/>
    </row>
    <row r="316">
      <c r="D316" s="36"/>
      <c r="P316" s="36"/>
      <c r="V316" s="36"/>
      <c r="AA316" s="36"/>
      <c r="AD316" s="36"/>
      <c r="AJ316" s="36"/>
      <c r="AN316" s="36"/>
      <c r="BH316" s="102"/>
    </row>
    <row r="317">
      <c r="D317" s="36"/>
      <c r="P317" s="36"/>
      <c r="V317" s="36"/>
      <c r="AA317" s="36"/>
      <c r="AD317" s="36"/>
      <c r="AJ317" s="36"/>
      <c r="AN317" s="36"/>
      <c r="BH317" s="102"/>
    </row>
    <row r="318">
      <c r="D318" s="36"/>
      <c r="P318" s="36"/>
      <c r="V318" s="36"/>
      <c r="AA318" s="36"/>
      <c r="AD318" s="36"/>
      <c r="AJ318" s="36"/>
      <c r="AN318" s="36"/>
      <c r="BH318" s="102"/>
    </row>
    <row r="319">
      <c r="D319" s="36"/>
      <c r="P319" s="36"/>
      <c r="V319" s="36"/>
      <c r="AA319" s="36"/>
      <c r="AD319" s="36"/>
      <c r="AJ319" s="36"/>
      <c r="AN319" s="36"/>
      <c r="BH319" s="102"/>
    </row>
    <row r="320">
      <c r="D320" s="36"/>
      <c r="P320" s="36"/>
      <c r="V320" s="36"/>
      <c r="AA320" s="36"/>
      <c r="AD320" s="36"/>
      <c r="AJ320" s="36"/>
      <c r="AN320" s="36"/>
      <c r="BH320" s="102"/>
    </row>
    <row r="321">
      <c r="D321" s="36"/>
      <c r="P321" s="36"/>
      <c r="V321" s="36"/>
      <c r="AA321" s="36"/>
      <c r="AD321" s="36"/>
      <c r="AJ321" s="36"/>
      <c r="AN321" s="36"/>
      <c r="BH321" s="102"/>
    </row>
    <row r="322">
      <c r="D322" s="36"/>
      <c r="P322" s="36"/>
      <c r="V322" s="36"/>
      <c r="AA322" s="36"/>
      <c r="AD322" s="36"/>
      <c r="AJ322" s="36"/>
      <c r="AN322" s="36"/>
      <c r="BH322" s="102"/>
    </row>
    <row r="323">
      <c r="D323" s="36"/>
      <c r="P323" s="36"/>
      <c r="V323" s="36"/>
      <c r="AA323" s="36"/>
      <c r="AD323" s="36"/>
      <c r="AJ323" s="36"/>
      <c r="AN323" s="36"/>
      <c r="BH323" s="102"/>
    </row>
    <row r="324">
      <c r="D324" s="36"/>
      <c r="P324" s="36"/>
      <c r="V324" s="36"/>
      <c r="AA324" s="36"/>
      <c r="AD324" s="36"/>
      <c r="AJ324" s="36"/>
      <c r="AN324" s="36"/>
      <c r="BH324" s="102"/>
    </row>
    <row r="325">
      <c r="D325" s="36"/>
      <c r="P325" s="36"/>
      <c r="V325" s="36"/>
      <c r="AA325" s="36"/>
      <c r="AD325" s="36"/>
      <c r="AJ325" s="36"/>
      <c r="AN325" s="36"/>
      <c r="BH325" s="102"/>
    </row>
    <row r="326">
      <c r="D326" s="36"/>
      <c r="P326" s="36"/>
      <c r="V326" s="36"/>
      <c r="AA326" s="36"/>
      <c r="AD326" s="36"/>
      <c r="AJ326" s="36"/>
      <c r="AN326" s="36"/>
      <c r="BH326" s="102"/>
    </row>
    <row r="327">
      <c r="D327" s="36"/>
      <c r="P327" s="36"/>
      <c r="V327" s="36"/>
      <c r="AA327" s="36"/>
      <c r="AD327" s="36"/>
      <c r="AJ327" s="36"/>
      <c r="AN327" s="36"/>
      <c r="BH327" s="102"/>
    </row>
    <row r="328">
      <c r="D328" s="36"/>
      <c r="P328" s="36"/>
      <c r="V328" s="36"/>
      <c r="AA328" s="36"/>
      <c r="AD328" s="36"/>
      <c r="AJ328" s="36"/>
      <c r="AN328" s="36"/>
      <c r="BH328" s="102"/>
    </row>
    <row r="329">
      <c r="D329" s="36"/>
      <c r="P329" s="36"/>
      <c r="V329" s="36"/>
      <c r="AA329" s="36"/>
      <c r="AD329" s="36"/>
      <c r="AJ329" s="36"/>
      <c r="AN329" s="36"/>
      <c r="BH329" s="102"/>
    </row>
    <row r="330">
      <c r="D330" s="36"/>
      <c r="P330" s="36"/>
      <c r="V330" s="36"/>
      <c r="AA330" s="36"/>
      <c r="AD330" s="36"/>
      <c r="AJ330" s="36"/>
      <c r="AN330" s="36"/>
      <c r="BH330" s="102"/>
    </row>
    <row r="331">
      <c r="D331" s="36"/>
      <c r="P331" s="36"/>
      <c r="V331" s="36"/>
      <c r="AA331" s="36"/>
      <c r="AD331" s="36"/>
      <c r="AJ331" s="36"/>
      <c r="AN331" s="36"/>
      <c r="BH331" s="102"/>
    </row>
    <row r="332">
      <c r="D332" s="36"/>
      <c r="P332" s="36"/>
      <c r="V332" s="36"/>
      <c r="AA332" s="36"/>
      <c r="AD332" s="36"/>
      <c r="AJ332" s="36"/>
      <c r="AN332" s="36"/>
      <c r="BH332" s="102"/>
    </row>
    <row r="333">
      <c r="D333" s="36"/>
      <c r="P333" s="36"/>
      <c r="V333" s="36"/>
      <c r="AA333" s="36"/>
      <c r="AD333" s="36"/>
      <c r="AJ333" s="36"/>
      <c r="AN333" s="36"/>
      <c r="BH333" s="102"/>
    </row>
    <row r="334">
      <c r="D334" s="36"/>
      <c r="P334" s="36"/>
      <c r="V334" s="36"/>
      <c r="AA334" s="36"/>
      <c r="AD334" s="36"/>
      <c r="AJ334" s="36"/>
      <c r="AN334" s="36"/>
      <c r="BH334" s="102"/>
    </row>
    <row r="335">
      <c r="D335" s="36"/>
      <c r="P335" s="36"/>
      <c r="V335" s="36"/>
      <c r="AA335" s="36"/>
      <c r="AD335" s="36"/>
      <c r="AJ335" s="36"/>
      <c r="AN335" s="36"/>
      <c r="BH335" s="102"/>
    </row>
    <row r="336">
      <c r="D336" s="36"/>
      <c r="P336" s="36"/>
      <c r="V336" s="36"/>
      <c r="AA336" s="36"/>
      <c r="AD336" s="36"/>
      <c r="AJ336" s="36"/>
      <c r="AN336" s="36"/>
      <c r="BH336" s="102"/>
    </row>
    <row r="337">
      <c r="D337" s="36"/>
      <c r="P337" s="36"/>
      <c r="V337" s="36"/>
      <c r="AA337" s="36"/>
      <c r="AD337" s="36"/>
      <c r="AJ337" s="36"/>
      <c r="AN337" s="36"/>
      <c r="BH337" s="102"/>
    </row>
    <row r="338">
      <c r="D338" s="36"/>
      <c r="P338" s="36"/>
      <c r="V338" s="36"/>
      <c r="AA338" s="36"/>
      <c r="AD338" s="36"/>
      <c r="AJ338" s="36"/>
      <c r="AN338" s="36"/>
      <c r="BH338" s="102"/>
    </row>
    <row r="339">
      <c r="D339" s="36"/>
      <c r="P339" s="36"/>
      <c r="V339" s="36"/>
      <c r="AA339" s="36"/>
      <c r="AD339" s="36"/>
      <c r="AJ339" s="36"/>
      <c r="AN339" s="36"/>
      <c r="BH339" s="102"/>
    </row>
    <row r="340">
      <c r="D340" s="36"/>
      <c r="P340" s="36"/>
      <c r="V340" s="36"/>
      <c r="AA340" s="36"/>
      <c r="AD340" s="36"/>
      <c r="AJ340" s="36"/>
      <c r="AN340" s="36"/>
      <c r="BH340" s="102"/>
    </row>
    <row r="341">
      <c r="D341" s="36"/>
      <c r="P341" s="36"/>
      <c r="V341" s="36"/>
      <c r="AA341" s="36"/>
      <c r="AD341" s="36"/>
      <c r="AJ341" s="36"/>
      <c r="AN341" s="36"/>
      <c r="BH341" s="102"/>
    </row>
    <row r="342">
      <c r="D342" s="36"/>
      <c r="P342" s="36"/>
      <c r="V342" s="36"/>
      <c r="AA342" s="36"/>
      <c r="AD342" s="36"/>
      <c r="AJ342" s="36"/>
      <c r="AN342" s="36"/>
      <c r="BH342" s="102"/>
    </row>
    <row r="343">
      <c r="D343" s="36"/>
      <c r="P343" s="36"/>
      <c r="V343" s="36"/>
      <c r="AA343" s="36"/>
      <c r="AD343" s="36"/>
      <c r="AJ343" s="36"/>
      <c r="AN343" s="36"/>
      <c r="BH343" s="102"/>
    </row>
    <row r="344">
      <c r="D344" s="36"/>
      <c r="P344" s="36"/>
      <c r="V344" s="36"/>
      <c r="AA344" s="36"/>
      <c r="AD344" s="36"/>
      <c r="AJ344" s="36"/>
      <c r="AN344" s="36"/>
      <c r="BH344" s="102"/>
    </row>
    <row r="345">
      <c r="D345" s="36"/>
      <c r="P345" s="36"/>
      <c r="V345" s="36"/>
      <c r="AA345" s="36"/>
      <c r="AD345" s="36"/>
      <c r="AJ345" s="36"/>
      <c r="AN345" s="36"/>
      <c r="BH345" s="102"/>
    </row>
    <row r="346">
      <c r="D346" s="36"/>
      <c r="P346" s="36"/>
      <c r="V346" s="36"/>
      <c r="AA346" s="36"/>
      <c r="AD346" s="36"/>
      <c r="AJ346" s="36"/>
      <c r="AN346" s="36"/>
      <c r="BH346" s="102"/>
    </row>
    <row r="347">
      <c r="D347" s="36"/>
      <c r="P347" s="36"/>
      <c r="V347" s="36"/>
      <c r="AA347" s="36"/>
      <c r="AD347" s="36"/>
      <c r="AJ347" s="36"/>
      <c r="AN347" s="36"/>
      <c r="BH347" s="102"/>
    </row>
    <row r="348">
      <c r="D348" s="36"/>
      <c r="P348" s="36"/>
      <c r="V348" s="36"/>
      <c r="AA348" s="36"/>
      <c r="AD348" s="36"/>
      <c r="AJ348" s="36"/>
      <c r="AN348" s="36"/>
      <c r="BH348" s="102"/>
    </row>
    <row r="349">
      <c r="D349" s="36"/>
      <c r="P349" s="36"/>
      <c r="V349" s="36"/>
      <c r="AA349" s="36"/>
      <c r="AD349" s="36"/>
      <c r="AJ349" s="36"/>
      <c r="AN349" s="36"/>
      <c r="BH349" s="102"/>
    </row>
    <row r="350">
      <c r="D350" s="36"/>
      <c r="P350" s="36"/>
      <c r="V350" s="36"/>
      <c r="AA350" s="36"/>
      <c r="AD350" s="36"/>
      <c r="AJ350" s="36"/>
      <c r="AN350" s="36"/>
      <c r="BH350" s="102"/>
    </row>
    <row r="351">
      <c r="D351" s="36"/>
      <c r="P351" s="36"/>
      <c r="V351" s="36"/>
      <c r="AA351" s="36"/>
      <c r="AD351" s="36"/>
      <c r="AJ351" s="36"/>
      <c r="AN351" s="36"/>
      <c r="BH351" s="102"/>
    </row>
    <row r="352">
      <c r="D352" s="36"/>
      <c r="P352" s="36"/>
      <c r="V352" s="36"/>
      <c r="AA352" s="36"/>
      <c r="AD352" s="36"/>
      <c r="AJ352" s="36"/>
      <c r="AN352" s="36"/>
      <c r="BH352" s="102"/>
    </row>
    <row r="353">
      <c r="D353" s="36"/>
      <c r="P353" s="36"/>
      <c r="V353" s="36"/>
      <c r="AA353" s="36"/>
      <c r="AD353" s="36"/>
      <c r="AJ353" s="36"/>
      <c r="AN353" s="36"/>
      <c r="BH353" s="102"/>
    </row>
    <row r="354">
      <c r="D354" s="36"/>
      <c r="P354" s="36"/>
      <c r="V354" s="36"/>
      <c r="AA354" s="36"/>
      <c r="AD354" s="36"/>
      <c r="AJ354" s="36"/>
      <c r="AN354" s="36"/>
      <c r="BH354" s="102"/>
    </row>
    <row r="355">
      <c r="D355" s="36"/>
      <c r="P355" s="36"/>
      <c r="V355" s="36"/>
      <c r="AA355" s="36"/>
      <c r="AD355" s="36"/>
      <c r="AJ355" s="36"/>
      <c r="AN355" s="36"/>
      <c r="BH355" s="102"/>
    </row>
    <row r="356">
      <c r="D356" s="36"/>
      <c r="P356" s="36"/>
      <c r="V356" s="36"/>
      <c r="AA356" s="36"/>
      <c r="AD356" s="36"/>
      <c r="AJ356" s="36"/>
      <c r="AN356" s="36"/>
      <c r="BH356" s="102"/>
    </row>
    <row r="357">
      <c r="D357" s="36"/>
      <c r="P357" s="36"/>
      <c r="V357" s="36"/>
      <c r="AA357" s="36"/>
      <c r="AD357" s="36"/>
      <c r="AJ357" s="36"/>
      <c r="AN357" s="36"/>
      <c r="BH357" s="102"/>
    </row>
    <row r="358">
      <c r="D358" s="36"/>
      <c r="P358" s="36"/>
      <c r="V358" s="36"/>
      <c r="AA358" s="36"/>
      <c r="AD358" s="36"/>
      <c r="AJ358" s="36"/>
      <c r="AN358" s="36"/>
      <c r="BH358" s="102"/>
    </row>
    <row r="359">
      <c r="D359" s="36"/>
      <c r="P359" s="36"/>
      <c r="V359" s="36"/>
      <c r="AA359" s="36"/>
      <c r="AD359" s="36"/>
      <c r="AJ359" s="36"/>
      <c r="AN359" s="36"/>
      <c r="BH359" s="102"/>
    </row>
    <row r="360">
      <c r="D360" s="36"/>
      <c r="P360" s="36"/>
      <c r="V360" s="36"/>
      <c r="AA360" s="36"/>
      <c r="AD360" s="36"/>
      <c r="AJ360" s="36"/>
      <c r="AN360" s="36"/>
      <c r="BH360" s="102"/>
    </row>
    <row r="361">
      <c r="D361" s="36"/>
      <c r="P361" s="36"/>
      <c r="V361" s="36"/>
      <c r="AA361" s="36"/>
      <c r="AD361" s="36"/>
      <c r="AJ361" s="36"/>
      <c r="AN361" s="36"/>
      <c r="BH361" s="102"/>
    </row>
    <row r="362">
      <c r="D362" s="36"/>
      <c r="P362" s="36"/>
      <c r="V362" s="36"/>
      <c r="AA362" s="36"/>
      <c r="AD362" s="36"/>
      <c r="AJ362" s="36"/>
      <c r="AN362" s="36"/>
      <c r="BH362" s="102"/>
    </row>
    <row r="363">
      <c r="D363" s="36"/>
      <c r="P363" s="36"/>
      <c r="V363" s="36"/>
      <c r="AA363" s="36"/>
      <c r="AD363" s="36"/>
      <c r="AJ363" s="36"/>
      <c r="AN363" s="36"/>
      <c r="BH363" s="102"/>
    </row>
    <row r="364">
      <c r="D364" s="36"/>
      <c r="P364" s="36"/>
      <c r="V364" s="36"/>
      <c r="AA364" s="36"/>
      <c r="AD364" s="36"/>
      <c r="AJ364" s="36"/>
      <c r="AN364" s="36"/>
      <c r="BH364" s="102"/>
    </row>
    <row r="365">
      <c r="D365" s="36"/>
      <c r="P365" s="36"/>
      <c r="V365" s="36"/>
      <c r="AA365" s="36"/>
      <c r="AD365" s="36"/>
      <c r="AJ365" s="36"/>
      <c r="AN365" s="36"/>
      <c r="BH365" s="102"/>
    </row>
    <row r="366">
      <c r="D366" s="36"/>
      <c r="P366" s="36"/>
      <c r="V366" s="36"/>
      <c r="AA366" s="36"/>
      <c r="AD366" s="36"/>
      <c r="AJ366" s="36"/>
      <c r="AN366" s="36"/>
      <c r="BH366" s="102"/>
    </row>
    <row r="367">
      <c r="D367" s="36"/>
      <c r="P367" s="36"/>
      <c r="V367" s="36"/>
      <c r="AA367" s="36"/>
      <c r="AD367" s="36"/>
      <c r="AJ367" s="36"/>
      <c r="AN367" s="36"/>
      <c r="BH367" s="102"/>
    </row>
    <row r="368">
      <c r="D368" s="36"/>
      <c r="P368" s="36"/>
      <c r="V368" s="36"/>
      <c r="AA368" s="36"/>
      <c r="AD368" s="36"/>
      <c r="AJ368" s="36"/>
      <c r="AN368" s="36"/>
      <c r="BH368" s="102"/>
    </row>
    <row r="369">
      <c r="D369" s="36"/>
      <c r="P369" s="36"/>
      <c r="V369" s="36"/>
      <c r="AA369" s="36"/>
      <c r="AD369" s="36"/>
      <c r="AJ369" s="36"/>
      <c r="AN369" s="36"/>
      <c r="BH369" s="102"/>
    </row>
    <row r="370">
      <c r="D370" s="36"/>
      <c r="P370" s="36"/>
      <c r="V370" s="36"/>
      <c r="AA370" s="36"/>
      <c r="AD370" s="36"/>
      <c r="AJ370" s="36"/>
      <c r="AN370" s="36"/>
      <c r="BH370" s="102"/>
    </row>
    <row r="371">
      <c r="D371" s="36"/>
      <c r="P371" s="36"/>
      <c r="V371" s="36"/>
      <c r="AA371" s="36"/>
      <c r="AD371" s="36"/>
      <c r="AJ371" s="36"/>
      <c r="AN371" s="36"/>
      <c r="BH371" s="102"/>
    </row>
    <row r="372">
      <c r="D372" s="36"/>
      <c r="P372" s="36"/>
      <c r="V372" s="36"/>
      <c r="AA372" s="36"/>
      <c r="AD372" s="36"/>
      <c r="AJ372" s="36"/>
      <c r="AN372" s="36"/>
      <c r="BH372" s="102"/>
    </row>
    <row r="373">
      <c r="D373" s="36"/>
      <c r="P373" s="36"/>
      <c r="V373" s="36"/>
      <c r="AA373" s="36"/>
      <c r="AD373" s="36"/>
      <c r="AJ373" s="36"/>
      <c r="AN373" s="36"/>
      <c r="BH373" s="102"/>
    </row>
    <row r="374">
      <c r="D374" s="36"/>
      <c r="P374" s="36"/>
      <c r="V374" s="36"/>
      <c r="AA374" s="36"/>
      <c r="AD374" s="36"/>
      <c r="AJ374" s="36"/>
      <c r="AN374" s="36"/>
      <c r="BH374" s="102"/>
    </row>
    <row r="375">
      <c r="D375" s="36"/>
      <c r="P375" s="36"/>
      <c r="V375" s="36"/>
      <c r="AA375" s="36"/>
      <c r="AD375" s="36"/>
      <c r="AJ375" s="36"/>
      <c r="AN375" s="36"/>
      <c r="BH375" s="102"/>
    </row>
    <row r="376">
      <c r="D376" s="36"/>
      <c r="P376" s="36"/>
      <c r="V376" s="36"/>
      <c r="AA376" s="36"/>
      <c r="AD376" s="36"/>
      <c r="AJ376" s="36"/>
      <c r="AN376" s="36"/>
      <c r="BH376" s="102"/>
    </row>
    <row r="377">
      <c r="D377" s="36"/>
      <c r="P377" s="36"/>
      <c r="V377" s="36"/>
      <c r="AA377" s="36"/>
      <c r="AD377" s="36"/>
      <c r="AJ377" s="36"/>
      <c r="AN377" s="36"/>
      <c r="BH377" s="102"/>
    </row>
    <row r="378">
      <c r="D378" s="36"/>
      <c r="P378" s="36"/>
      <c r="V378" s="36"/>
      <c r="AA378" s="36"/>
      <c r="AD378" s="36"/>
      <c r="AJ378" s="36"/>
      <c r="AN378" s="36"/>
      <c r="BH378" s="102"/>
    </row>
    <row r="379">
      <c r="D379" s="36"/>
      <c r="P379" s="36"/>
      <c r="V379" s="36"/>
      <c r="AA379" s="36"/>
      <c r="AD379" s="36"/>
      <c r="AJ379" s="36"/>
      <c r="AN379" s="36"/>
      <c r="BH379" s="102"/>
    </row>
    <row r="380">
      <c r="D380" s="36"/>
      <c r="P380" s="36"/>
      <c r="V380" s="36"/>
      <c r="AA380" s="36"/>
      <c r="AD380" s="36"/>
      <c r="AJ380" s="36"/>
      <c r="AN380" s="36"/>
      <c r="BH380" s="102"/>
    </row>
    <row r="381">
      <c r="D381" s="36"/>
      <c r="P381" s="36"/>
      <c r="V381" s="36"/>
      <c r="AA381" s="36"/>
      <c r="AD381" s="36"/>
      <c r="AJ381" s="36"/>
      <c r="AN381" s="36"/>
      <c r="BH381" s="102"/>
    </row>
    <row r="382">
      <c r="D382" s="36"/>
      <c r="P382" s="36"/>
      <c r="V382" s="36"/>
      <c r="AA382" s="36"/>
      <c r="AD382" s="36"/>
      <c r="AJ382" s="36"/>
      <c r="AN382" s="36"/>
      <c r="BH382" s="102"/>
    </row>
    <row r="383">
      <c r="D383" s="36"/>
      <c r="P383" s="36"/>
      <c r="V383" s="36"/>
      <c r="AA383" s="36"/>
      <c r="AD383" s="36"/>
      <c r="AJ383" s="36"/>
      <c r="AN383" s="36"/>
      <c r="BH383" s="102"/>
    </row>
    <row r="384">
      <c r="D384" s="36"/>
      <c r="P384" s="36"/>
      <c r="V384" s="36"/>
      <c r="AA384" s="36"/>
      <c r="AD384" s="36"/>
      <c r="AJ384" s="36"/>
      <c r="AN384" s="36"/>
      <c r="BH384" s="102"/>
    </row>
    <row r="385">
      <c r="D385" s="36"/>
      <c r="P385" s="36"/>
      <c r="V385" s="36"/>
      <c r="AA385" s="36"/>
      <c r="AD385" s="36"/>
      <c r="AJ385" s="36"/>
      <c r="AN385" s="36"/>
      <c r="BH385" s="102"/>
    </row>
    <row r="386">
      <c r="D386" s="36"/>
      <c r="P386" s="36"/>
      <c r="V386" s="36"/>
      <c r="AA386" s="36"/>
      <c r="AD386" s="36"/>
      <c r="AJ386" s="36"/>
      <c r="AN386" s="36"/>
      <c r="BH386" s="102"/>
    </row>
    <row r="387">
      <c r="D387" s="36"/>
      <c r="P387" s="36"/>
      <c r="V387" s="36"/>
      <c r="AA387" s="36"/>
      <c r="AD387" s="36"/>
      <c r="AJ387" s="36"/>
      <c r="AN387" s="36"/>
      <c r="BH387" s="102"/>
    </row>
    <row r="388">
      <c r="D388" s="36"/>
      <c r="P388" s="36"/>
      <c r="V388" s="36"/>
      <c r="AA388" s="36"/>
      <c r="AD388" s="36"/>
      <c r="AJ388" s="36"/>
      <c r="AN388" s="36"/>
      <c r="BH388" s="102"/>
    </row>
    <row r="389">
      <c r="D389" s="36"/>
      <c r="P389" s="36"/>
      <c r="V389" s="36"/>
      <c r="AA389" s="36"/>
      <c r="AD389" s="36"/>
      <c r="AJ389" s="36"/>
      <c r="AN389" s="36"/>
      <c r="BH389" s="102"/>
    </row>
    <row r="390">
      <c r="D390" s="36"/>
      <c r="P390" s="36"/>
      <c r="V390" s="36"/>
      <c r="AA390" s="36"/>
      <c r="AD390" s="36"/>
      <c r="AJ390" s="36"/>
      <c r="AN390" s="36"/>
      <c r="BH390" s="102"/>
    </row>
    <row r="391">
      <c r="D391" s="36"/>
      <c r="P391" s="36"/>
      <c r="V391" s="36"/>
      <c r="AA391" s="36"/>
      <c r="AD391" s="36"/>
      <c r="AJ391" s="36"/>
      <c r="AN391" s="36"/>
      <c r="BH391" s="102"/>
    </row>
    <row r="392">
      <c r="D392" s="36"/>
      <c r="P392" s="36"/>
      <c r="V392" s="36"/>
      <c r="AA392" s="36"/>
      <c r="AD392" s="36"/>
      <c r="AJ392" s="36"/>
      <c r="AN392" s="36"/>
      <c r="BH392" s="102"/>
    </row>
    <row r="393">
      <c r="D393" s="36"/>
      <c r="P393" s="36"/>
      <c r="V393" s="36"/>
      <c r="AA393" s="36"/>
      <c r="AD393" s="36"/>
      <c r="AJ393" s="36"/>
      <c r="AN393" s="36"/>
      <c r="BH393" s="102"/>
    </row>
    <row r="394">
      <c r="D394" s="36"/>
      <c r="P394" s="36"/>
      <c r="V394" s="36"/>
      <c r="AA394" s="36"/>
      <c r="AD394" s="36"/>
      <c r="AJ394" s="36"/>
      <c r="AN394" s="36"/>
      <c r="BH394" s="102"/>
    </row>
    <row r="395">
      <c r="D395" s="36"/>
      <c r="P395" s="36"/>
      <c r="V395" s="36"/>
      <c r="AA395" s="36"/>
      <c r="AD395" s="36"/>
      <c r="AJ395" s="36"/>
      <c r="AN395" s="36"/>
      <c r="BH395" s="102"/>
    </row>
    <row r="396">
      <c r="D396" s="36"/>
      <c r="P396" s="36"/>
      <c r="V396" s="36"/>
      <c r="AA396" s="36"/>
      <c r="AD396" s="36"/>
      <c r="AJ396" s="36"/>
      <c r="AN396" s="36"/>
      <c r="BH396" s="102"/>
    </row>
    <row r="397">
      <c r="D397" s="36"/>
      <c r="P397" s="36"/>
      <c r="V397" s="36"/>
      <c r="AA397" s="36"/>
      <c r="AD397" s="36"/>
      <c r="AJ397" s="36"/>
      <c r="AN397" s="36"/>
      <c r="BH397" s="102"/>
    </row>
    <row r="398">
      <c r="D398" s="36"/>
      <c r="P398" s="36"/>
      <c r="V398" s="36"/>
      <c r="AA398" s="36"/>
      <c r="AD398" s="36"/>
      <c r="AJ398" s="36"/>
      <c r="AN398" s="36"/>
      <c r="BH398" s="102"/>
    </row>
    <row r="399">
      <c r="D399" s="36"/>
      <c r="P399" s="36"/>
      <c r="V399" s="36"/>
      <c r="AA399" s="36"/>
      <c r="AD399" s="36"/>
      <c r="AJ399" s="36"/>
      <c r="AN399" s="36"/>
      <c r="BH399" s="102"/>
    </row>
    <row r="400">
      <c r="D400" s="36"/>
      <c r="P400" s="36"/>
      <c r="V400" s="36"/>
      <c r="AA400" s="36"/>
      <c r="AD400" s="36"/>
      <c r="AJ400" s="36"/>
      <c r="AN400" s="36"/>
      <c r="BH400" s="102"/>
    </row>
    <row r="401">
      <c r="D401" s="36"/>
      <c r="P401" s="36"/>
      <c r="V401" s="36"/>
      <c r="AA401" s="36"/>
      <c r="AD401" s="36"/>
      <c r="AJ401" s="36"/>
      <c r="AN401" s="36"/>
      <c r="BH401" s="102"/>
    </row>
    <row r="402">
      <c r="D402" s="36"/>
      <c r="P402" s="36"/>
      <c r="V402" s="36"/>
      <c r="AA402" s="36"/>
      <c r="AD402" s="36"/>
      <c r="AJ402" s="36"/>
      <c r="AN402" s="36"/>
      <c r="BH402" s="102"/>
    </row>
    <row r="403">
      <c r="D403" s="36"/>
      <c r="P403" s="36"/>
      <c r="V403" s="36"/>
      <c r="AA403" s="36"/>
      <c r="AD403" s="36"/>
      <c r="AJ403" s="36"/>
      <c r="AN403" s="36"/>
      <c r="BH403" s="102"/>
    </row>
    <row r="404">
      <c r="D404" s="36"/>
      <c r="P404" s="36"/>
      <c r="V404" s="36"/>
      <c r="AA404" s="36"/>
      <c r="AD404" s="36"/>
      <c r="AJ404" s="36"/>
      <c r="AN404" s="36"/>
      <c r="BH404" s="102"/>
    </row>
    <row r="405">
      <c r="D405" s="36"/>
      <c r="P405" s="36"/>
      <c r="V405" s="36"/>
      <c r="AA405" s="36"/>
      <c r="AD405" s="36"/>
      <c r="AJ405" s="36"/>
      <c r="AN405" s="36"/>
      <c r="BH405" s="102"/>
    </row>
    <row r="406">
      <c r="D406" s="36"/>
      <c r="P406" s="36"/>
      <c r="V406" s="36"/>
      <c r="AA406" s="36"/>
      <c r="AD406" s="36"/>
      <c r="AJ406" s="36"/>
      <c r="AN406" s="36"/>
      <c r="BH406" s="102"/>
    </row>
    <row r="407">
      <c r="D407" s="36"/>
      <c r="P407" s="36"/>
      <c r="V407" s="36"/>
      <c r="AA407" s="36"/>
      <c r="AD407" s="36"/>
      <c r="AJ407" s="36"/>
      <c r="AN407" s="36"/>
      <c r="BH407" s="102"/>
    </row>
    <row r="408">
      <c r="D408" s="36"/>
      <c r="P408" s="36"/>
      <c r="V408" s="36"/>
      <c r="AA408" s="36"/>
      <c r="AD408" s="36"/>
      <c r="AJ408" s="36"/>
      <c r="AN408" s="36"/>
      <c r="BH408" s="102"/>
    </row>
    <row r="409">
      <c r="D409" s="36"/>
      <c r="P409" s="36"/>
      <c r="V409" s="36"/>
      <c r="AA409" s="36"/>
      <c r="AD409" s="36"/>
      <c r="AJ409" s="36"/>
      <c r="AN409" s="36"/>
      <c r="BH409" s="102"/>
    </row>
    <row r="410">
      <c r="D410" s="36"/>
      <c r="P410" s="36"/>
      <c r="V410" s="36"/>
      <c r="AA410" s="36"/>
      <c r="AD410" s="36"/>
      <c r="AJ410" s="36"/>
      <c r="AN410" s="36"/>
      <c r="BH410" s="102"/>
    </row>
    <row r="411">
      <c r="D411" s="36"/>
      <c r="P411" s="36"/>
      <c r="V411" s="36"/>
      <c r="AA411" s="36"/>
      <c r="AD411" s="36"/>
      <c r="AJ411" s="36"/>
      <c r="AN411" s="36"/>
      <c r="BH411" s="102"/>
    </row>
    <row r="412">
      <c r="D412" s="36"/>
      <c r="P412" s="36"/>
      <c r="V412" s="36"/>
      <c r="AA412" s="36"/>
      <c r="AD412" s="36"/>
      <c r="AJ412" s="36"/>
      <c r="AN412" s="36"/>
      <c r="BH412" s="102"/>
    </row>
    <row r="413">
      <c r="D413" s="36"/>
      <c r="P413" s="36"/>
      <c r="V413" s="36"/>
      <c r="AA413" s="36"/>
      <c r="AD413" s="36"/>
      <c r="AJ413" s="36"/>
      <c r="AN413" s="36"/>
      <c r="BH413" s="102"/>
    </row>
    <row r="414">
      <c r="D414" s="36"/>
      <c r="P414" s="36"/>
      <c r="V414" s="36"/>
      <c r="AA414" s="36"/>
      <c r="AD414" s="36"/>
      <c r="AJ414" s="36"/>
      <c r="AN414" s="36"/>
      <c r="BH414" s="102"/>
    </row>
    <row r="415">
      <c r="D415" s="36"/>
      <c r="P415" s="36"/>
      <c r="V415" s="36"/>
      <c r="AA415" s="36"/>
      <c r="AD415" s="36"/>
      <c r="AJ415" s="36"/>
      <c r="AN415" s="36"/>
      <c r="BH415" s="102"/>
    </row>
    <row r="416">
      <c r="D416" s="36"/>
      <c r="P416" s="36"/>
      <c r="V416" s="36"/>
      <c r="AA416" s="36"/>
      <c r="AD416" s="36"/>
      <c r="AJ416" s="36"/>
      <c r="AN416" s="36"/>
      <c r="BH416" s="102"/>
    </row>
    <row r="417">
      <c r="D417" s="36"/>
      <c r="P417" s="36"/>
      <c r="V417" s="36"/>
      <c r="AA417" s="36"/>
      <c r="AD417" s="36"/>
      <c r="AJ417" s="36"/>
      <c r="AN417" s="36"/>
      <c r="BH417" s="102"/>
    </row>
    <row r="418">
      <c r="D418" s="36"/>
      <c r="P418" s="36"/>
      <c r="V418" s="36"/>
      <c r="AA418" s="36"/>
      <c r="AD418" s="36"/>
      <c r="AJ418" s="36"/>
      <c r="AN418" s="36"/>
      <c r="BH418" s="102"/>
    </row>
    <row r="419">
      <c r="D419" s="36"/>
      <c r="P419" s="36"/>
      <c r="V419" s="36"/>
      <c r="AA419" s="36"/>
      <c r="AD419" s="36"/>
      <c r="AJ419" s="36"/>
      <c r="AN419" s="36"/>
      <c r="BH419" s="102"/>
    </row>
    <row r="420">
      <c r="D420" s="36"/>
      <c r="P420" s="36"/>
      <c r="V420" s="36"/>
      <c r="AA420" s="36"/>
      <c r="AD420" s="36"/>
      <c r="AJ420" s="36"/>
      <c r="AN420" s="36"/>
      <c r="BH420" s="102"/>
    </row>
    <row r="421">
      <c r="D421" s="36"/>
      <c r="P421" s="36"/>
      <c r="V421" s="36"/>
      <c r="AA421" s="36"/>
      <c r="AD421" s="36"/>
      <c r="AJ421" s="36"/>
      <c r="AN421" s="36"/>
      <c r="BH421" s="102"/>
    </row>
    <row r="422">
      <c r="D422" s="36"/>
      <c r="P422" s="36"/>
      <c r="V422" s="36"/>
      <c r="AA422" s="36"/>
      <c r="AD422" s="36"/>
      <c r="AJ422" s="36"/>
      <c r="AN422" s="36"/>
      <c r="BH422" s="102"/>
    </row>
    <row r="423">
      <c r="D423" s="36"/>
      <c r="P423" s="36"/>
      <c r="V423" s="36"/>
      <c r="AA423" s="36"/>
      <c r="AD423" s="36"/>
      <c r="AJ423" s="36"/>
      <c r="AN423" s="36"/>
      <c r="BH423" s="102"/>
    </row>
    <row r="424">
      <c r="D424" s="36"/>
      <c r="P424" s="36"/>
      <c r="V424" s="36"/>
      <c r="AA424" s="36"/>
      <c r="AD424" s="36"/>
      <c r="AJ424" s="36"/>
      <c r="AN424" s="36"/>
      <c r="BH424" s="102"/>
    </row>
    <row r="425">
      <c r="D425" s="36"/>
      <c r="P425" s="36"/>
      <c r="V425" s="36"/>
      <c r="AA425" s="36"/>
      <c r="AD425" s="36"/>
      <c r="AJ425" s="36"/>
      <c r="AN425" s="36"/>
      <c r="BH425" s="102"/>
    </row>
    <row r="426">
      <c r="D426" s="36"/>
      <c r="P426" s="36"/>
      <c r="V426" s="36"/>
      <c r="AA426" s="36"/>
      <c r="AD426" s="36"/>
      <c r="AJ426" s="36"/>
      <c r="AN426" s="36"/>
      <c r="BH426" s="102"/>
    </row>
    <row r="427">
      <c r="D427" s="36"/>
      <c r="P427" s="36"/>
      <c r="V427" s="36"/>
      <c r="AA427" s="36"/>
      <c r="AD427" s="36"/>
      <c r="AJ427" s="36"/>
      <c r="AN427" s="36"/>
      <c r="BH427" s="102"/>
    </row>
    <row r="428">
      <c r="D428" s="36"/>
      <c r="P428" s="36"/>
      <c r="V428" s="36"/>
      <c r="AA428" s="36"/>
      <c r="AD428" s="36"/>
      <c r="AJ428" s="36"/>
      <c r="AN428" s="36"/>
      <c r="BH428" s="102"/>
    </row>
    <row r="429">
      <c r="D429" s="36"/>
      <c r="P429" s="36"/>
      <c r="V429" s="36"/>
      <c r="AA429" s="36"/>
      <c r="AD429" s="36"/>
      <c r="AJ429" s="36"/>
      <c r="AN429" s="36"/>
      <c r="BH429" s="102"/>
    </row>
    <row r="430">
      <c r="D430" s="36"/>
      <c r="P430" s="36"/>
      <c r="V430" s="36"/>
      <c r="AA430" s="36"/>
      <c r="AD430" s="36"/>
      <c r="AJ430" s="36"/>
      <c r="AN430" s="36"/>
      <c r="BH430" s="102"/>
    </row>
    <row r="431">
      <c r="D431" s="36"/>
      <c r="P431" s="36"/>
      <c r="V431" s="36"/>
      <c r="AA431" s="36"/>
      <c r="AD431" s="36"/>
      <c r="AJ431" s="36"/>
      <c r="AN431" s="36"/>
      <c r="BH431" s="102"/>
    </row>
    <row r="432">
      <c r="D432" s="36"/>
      <c r="P432" s="36"/>
      <c r="V432" s="36"/>
      <c r="AA432" s="36"/>
      <c r="AD432" s="36"/>
      <c r="AJ432" s="36"/>
      <c r="AN432" s="36"/>
      <c r="BH432" s="102"/>
    </row>
    <row r="433">
      <c r="D433" s="36"/>
      <c r="P433" s="36"/>
      <c r="V433" s="36"/>
      <c r="AA433" s="36"/>
      <c r="AD433" s="36"/>
      <c r="AJ433" s="36"/>
      <c r="AN433" s="36"/>
      <c r="BH433" s="102"/>
    </row>
    <row r="434">
      <c r="D434" s="36"/>
      <c r="P434" s="36"/>
      <c r="V434" s="36"/>
      <c r="AA434" s="36"/>
      <c r="AD434" s="36"/>
      <c r="AJ434" s="36"/>
      <c r="AN434" s="36"/>
      <c r="BH434" s="102"/>
    </row>
    <row r="435">
      <c r="D435" s="36"/>
      <c r="P435" s="36"/>
      <c r="V435" s="36"/>
      <c r="AA435" s="36"/>
      <c r="AD435" s="36"/>
      <c r="AJ435" s="36"/>
      <c r="AN435" s="36"/>
      <c r="BH435" s="102"/>
    </row>
    <row r="436">
      <c r="D436" s="36"/>
      <c r="P436" s="36"/>
      <c r="V436" s="36"/>
      <c r="AA436" s="36"/>
      <c r="AD436" s="36"/>
      <c r="AJ436" s="36"/>
      <c r="AN436" s="36"/>
      <c r="BH436" s="102"/>
    </row>
    <row r="437">
      <c r="D437" s="36"/>
      <c r="P437" s="36"/>
      <c r="V437" s="36"/>
      <c r="AA437" s="36"/>
      <c r="AD437" s="36"/>
      <c r="AJ437" s="36"/>
      <c r="AN437" s="36"/>
      <c r="BH437" s="102"/>
    </row>
    <row r="438">
      <c r="D438" s="36"/>
      <c r="P438" s="36"/>
      <c r="V438" s="36"/>
      <c r="AA438" s="36"/>
      <c r="AD438" s="36"/>
      <c r="AJ438" s="36"/>
      <c r="AN438" s="36"/>
      <c r="BH438" s="102"/>
    </row>
    <row r="439">
      <c r="D439" s="36"/>
      <c r="P439" s="36"/>
      <c r="V439" s="36"/>
      <c r="AA439" s="36"/>
      <c r="AD439" s="36"/>
      <c r="AJ439" s="36"/>
      <c r="AN439" s="36"/>
      <c r="BH439" s="102"/>
    </row>
    <row r="440">
      <c r="D440" s="36"/>
      <c r="P440" s="36"/>
      <c r="V440" s="36"/>
      <c r="AA440" s="36"/>
      <c r="AD440" s="36"/>
      <c r="AJ440" s="36"/>
      <c r="AN440" s="36"/>
      <c r="BH440" s="102"/>
    </row>
    <row r="441">
      <c r="D441" s="36"/>
      <c r="P441" s="36"/>
      <c r="V441" s="36"/>
      <c r="AA441" s="36"/>
      <c r="AD441" s="36"/>
      <c r="AJ441" s="36"/>
      <c r="AN441" s="36"/>
      <c r="BH441" s="102"/>
    </row>
    <row r="442">
      <c r="D442" s="36"/>
      <c r="P442" s="36"/>
      <c r="V442" s="36"/>
      <c r="AA442" s="36"/>
      <c r="AD442" s="36"/>
      <c r="AJ442" s="36"/>
      <c r="AN442" s="36"/>
      <c r="BH442" s="102"/>
    </row>
    <row r="443">
      <c r="D443" s="36"/>
      <c r="P443" s="36"/>
      <c r="V443" s="36"/>
      <c r="AA443" s="36"/>
      <c r="AD443" s="36"/>
      <c r="AJ443" s="36"/>
      <c r="AN443" s="36"/>
      <c r="BH443" s="102"/>
    </row>
    <row r="444">
      <c r="D444" s="36"/>
      <c r="P444" s="36"/>
      <c r="V444" s="36"/>
      <c r="AA444" s="36"/>
      <c r="AD444" s="36"/>
      <c r="AJ444" s="36"/>
      <c r="AN444" s="36"/>
      <c r="BH444" s="102"/>
    </row>
    <row r="445">
      <c r="D445" s="36"/>
      <c r="P445" s="36"/>
      <c r="V445" s="36"/>
      <c r="AA445" s="36"/>
      <c r="AD445" s="36"/>
      <c r="AJ445" s="36"/>
      <c r="AN445" s="36"/>
      <c r="BH445" s="102"/>
    </row>
    <row r="446">
      <c r="D446" s="36"/>
      <c r="P446" s="36"/>
      <c r="V446" s="36"/>
      <c r="AA446" s="36"/>
      <c r="AD446" s="36"/>
      <c r="AJ446" s="36"/>
      <c r="AN446" s="36"/>
      <c r="BH446" s="102"/>
    </row>
    <row r="447">
      <c r="D447" s="36"/>
      <c r="P447" s="36"/>
      <c r="V447" s="36"/>
      <c r="AA447" s="36"/>
      <c r="AD447" s="36"/>
      <c r="AJ447" s="36"/>
      <c r="AN447" s="36"/>
      <c r="BH447" s="102"/>
    </row>
    <row r="448">
      <c r="D448" s="36"/>
      <c r="P448" s="36"/>
      <c r="V448" s="36"/>
      <c r="AA448" s="36"/>
      <c r="AD448" s="36"/>
      <c r="AJ448" s="36"/>
      <c r="AN448" s="36"/>
      <c r="BH448" s="102"/>
    </row>
    <row r="449">
      <c r="D449" s="36"/>
      <c r="P449" s="36"/>
      <c r="V449" s="36"/>
      <c r="AA449" s="36"/>
      <c r="AD449" s="36"/>
      <c r="AJ449" s="36"/>
      <c r="AN449" s="36"/>
      <c r="BH449" s="102"/>
    </row>
    <row r="450">
      <c r="D450" s="36"/>
      <c r="P450" s="36"/>
      <c r="V450" s="36"/>
      <c r="AA450" s="36"/>
      <c r="AD450" s="36"/>
      <c r="AJ450" s="36"/>
      <c r="AN450" s="36"/>
      <c r="BH450" s="102"/>
    </row>
    <row r="451">
      <c r="D451" s="36"/>
      <c r="P451" s="36"/>
      <c r="V451" s="36"/>
      <c r="AA451" s="36"/>
      <c r="AD451" s="36"/>
      <c r="AJ451" s="36"/>
      <c r="AN451" s="36"/>
      <c r="BH451" s="102"/>
    </row>
    <row r="452">
      <c r="D452" s="36"/>
      <c r="P452" s="36"/>
      <c r="V452" s="36"/>
      <c r="AA452" s="36"/>
      <c r="AD452" s="36"/>
      <c r="AJ452" s="36"/>
      <c r="AN452" s="36"/>
      <c r="BH452" s="102"/>
    </row>
    <row r="453">
      <c r="D453" s="36"/>
      <c r="P453" s="36"/>
      <c r="V453" s="36"/>
      <c r="AA453" s="36"/>
      <c r="AD453" s="36"/>
      <c r="AJ453" s="36"/>
      <c r="AN453" s="36"/>
      <c r="BH453" s="102"/>
    </row>
    <row r="454">
      <c r="D454" s="36"/>
      <c r="P454" s="36"/>
      <c r="V454" s="36"/>
      <c r="AA454" s="36"/>
      <c r="AD454" s="36"/>
      <c r="AJ454" s="36"/>
      <c r="AN454" s="36"/>
      <c r="BH454" s="102"/>
    </row>
    <row r="455">
      <c r="D455" s="36"/>
      <c r="P455" s="36"/>
      <c r="V455" s="36"/>
      <c r="AA455" s="36"/>
      <c r="AD455" s="36"/>
      <c r="AJ455" s="36"/>
      <c r="AN455" s="36"/>
      <c r="BH455" s="102"/>
    </row>
    <row r="456">
      <c r="D456" s="36"/>
      <c r="P456" s="36"/>
      <c r="V456" s="36"/>
      <c r="AA456" s="36"/>
      <c r="AD456" s="36"/>
      <c r="AJ456" s="36"/>
      <c r="AN456" s="36"/>
      <c r="BH456" s="102"/>
    </row>
    <row r="457">
      <c r="D457" s="36"/>
      <c r="P457" s="36"/>
      <c r="V457" s="36"/>
      <c r="AA457" s="36"/>
      <c r="AD457" s="36"/>
      <c r="AJ457" s="36"/>
      <c r="AN457" s="36"/>
      <c r="BH457" s="102"/>
    </row>
    <row r="458">
      <c r="D458" s="36"/>
      <c r="P458" s="36"/>
      <c r="V458" s="36"/>
      <c r="AA458" s="36"/>
      <c r="AD458" s="36"/>
      <c r="AJ458" s="36"/>
      <c r="AN458" s="36"/>
      <c r="BH458" s="102"/>
    </row>
    <row r="459">
      <c r="D459" s="36"/>
      <c r="P459" s="36"/>
      <c r="V459" s="36"/>
      <c r="AA459" s="36"/>
      <c r="AD459" s="36"/>
      <c r="AJ459" s="36"/>
      <c r="AN459" s="36"/>
      <c r="BH459" s="102"/>
    </row>
    <row r="460">
      <c r="D460" s="36"/>
      <c r="P460" s="36"/>
      <c r="V460" s="36"/>
      <c r="AA460" s="36"/>
      <c r="AD460" s="36"/>
      <c r="AJ460" s="36"/>
      <c r="AN460" s="36"/>
      <c r="BH460" s="102"/>
    </row>
    <row r="461">
      <c r="D461" s="36"/>
      <c r="P461" s="36"/>
      <c r="V461" s="36"/>
      <c r="AA461" s="36"/>
      <c r="AD461" s="36"/>
      <c r="AJ461" s="36"/>
      <c r="AN461" s="36"/>
      <c r="BH461" s="102"/>
    </row>
    <row r="462">
      <c r="D462" s="36"/>
      <c r="P462" s="36"/>
      <c r="V462" s="36"/>
      <c r="AA462" s="36"/>
      <c r="AD462" s="36"/>
      <c r="AJ462" s="36"/>
      <c r="AN462" s="36"/>
      <c r="BH462" s="102"/>
    </row>
    <row r="463">
      <c r="D463" s="36"/>
      <c r="P463" s="36"/>
      <c r="V463" s="36"/>
      <c r="AA463" s="36"/>
      <c r="AD463" s="36"/>
      <c r="AJ463" s="36"/>
      <c r="AN463" s="36"/>
      <c r="BH463" s="102"/>
    </row>
    <row r="464">
      <c r="D464" s="36"/>
      <c r="P464" s="36"/>
      <c r="V464" s="36"/>
      <c r="AA464" s="36"/>
      <c r="AD464" s="36"/>
      <c r="AJ464" s="36"/>
      <c r="AN464" s="36"/>
      <c r="BH464" s="102"/>
    </row>
    <row r="465">
      <c r="D465" s="36"/>
      <c r="P465" s="36"/>
      <c r="V465" s="36"/>
      <c r="AA465" s="36"/>
      <c r="AD465" s="36"/>
      <c r="AJ465" s="36"/>
      <c r="AN465" s="36"/>
      <c r="BH465" s="102"/>
    </row>
    <row r="466">
      <c r="D466" s="36"/>
      <c r="P466" s="36"/>
      <c r="V466" s="36"/>
      <c r="AA466" s="36"/>
      <c r="AD466" s="36"/>
      <c r="AJ466" s="36"/>
      <c r="AN466" s="36"/>
      <c r="BH466" s="102"/>
    </row>
    <row r="467">
      <c r="D467" s="36"/>
      <c r="P467" s="36"/>
      <c r="V467" s="36"/>
      <c r="AA467" s="36"/>
      <c r="AD467" s="36"/>
      <c r="AJ467" s="36"/>
      <c r="AN467" s="36"/>
      <c r="BH467" s="102"/>
    </row>
    <row r="468">
      <c r="D468" s="36"/>
      <c r="P468" s="36"/>
      <c r="V468" s="36"/>
      <c r="AA468" s="36"/>
      <c r="AD468" s="36"/>
      <c r="AJ468" s="36"/>
      <c r="AN468" s="36"/>
      <c r="BH468" s="102"/>
    </row>
    <row r="469">
      <c r="D469" s="36"/>
      <c r="P469" s="36"/>
      <c r="V469" s="36"/>
      <c r="AA469" s="36"/>
      <c r="AD469" s="36"/>
      <c r="AJ469" s="36"/>
      <c r="AN469" s="36"/>
      <c r="BH469" s="102"/>
    </row>
    <row r="470">
      <c r="D470" s="36"/>
      <c r="P470" s="36"/>
      <c r="V470" s="36"/>
      <c r="AA470" s="36"/>
      <c r="AD470" s="36"/>
      <c r="AJ470" s="36"/>
      <c r="AN470" s="36"/>
      <c r="BH470" s="102"/>
    </row>
    <row r="471">
      <c r="D471" s="36"/>
      <c r="P471" s="36"/>
      <c r="V471" s="36"/>
      <c r="AA471" s="36"/>
      <c r="AD471" s="36"/>
      <c r="AJ471" s="36"/>
      <c r="AN471" s="36"/>
      <c r="BH471" s="102"/>
    </row>
    <row r="472">
      <c r="D472" s="36"/>
      <c r="P472" s="36"/>
      <c r="V472" s="36"/>
      <c r="AA472" s="36"/>
      <c r="AD472" s="36"/>
      <c r="AJ472" s="36"/>
      <c r="AN472" s="36"/>
      <c r="BH472" s="102"/>
    </row>
    <row r="473">
      <c r="D473" s="36"/>
      <c r="P473" s="36"/>
      <c r="V473" s="36"/>
      <c r="AA473" s="36"/>
      <c r="AD473" s="36"/>
      <c r="AJ473" s="36"/>
      <c r="AN473" s="36"/>
      <c r="BH473" s="102"/>
    </row>
    <row r="474">
      <c r="D474" s="36"/>
      <c r="P474" s="36"/>
      <c r="V474" s="36"/>
      <c r="AA474" s="36"/>
      <c r="AD474" s="36"/>
      <c r="AJ474" s="36"/>
      <c r="AN474" s="36"/>
      <c r="BH474" s="102"/>
    </row>
    <row r="475">
      <c r="D475" s="36"/>
      <c r="P475" s="36"/>
      <c r="V475" s="36"/>
      <c r="AA475" s="36"/>
      <c r="AD475" s="36"/>
      <c r="AJ475" s="36"/>
      <c r="AN475" s="36"/>
      <c r="BH475" s="102"/>
    </row>
    <row r="476">
      <c r="D476" s="36"/>
      <c r="P476" s="36"/>
      <c r="V476" s="36"/>
      <c r="AA476" s="36"/>
      <c r="AD476" s="36"/>
      <c r="AJ476" s="36"/>
      <c r="AN476" s="36"/>
      <c r="BH476" s="102"/>
    </row>
    <row r="477">
      <c r="D477" s="36"/>
      <c r="P477" s="36"/>
      <c r="V477" s="36"/>
      <c r="AA477" s="36"/>
      <c r="AD477" s="36"/>
      <c r="AJ477" s="36"/>
      <c r="AN477" s="36"/>
      <c r="BH477" s="102"/>
    </row>
    <row r="478">
      <c r="D478" s="36"/>
      <c r="P478" s="36"/>
      <c r="V478" s="36"/>
      <c r="AA478" s="36"/>
      <c r="AD478" s="36"/>
      <c r="AJ478" s="36"/>
      <c r="AN478" s="36"/>
      <c r="BH478" s="102"/>
    </row>
    <row r="479">
      <c r="D479" s="36"/>
      <c r="P479" s="36"/>
      <c r="V479" s="36"/>
      <c r="AA479" s="36"/>
      <c r="AD479" s="36"/>
      <c r="AJ479" s="36"/>
      <c r="AN479" s="36"/>
      <c r="BH479" s="102"/>
    </row>
    <row r="480">
      <c r="D480" s="36"/>
      <c r="P480" s="36"/>
      <c r="V480" s="36"/>
      <c r="AA480" s="36"/>
      <c r="AD480" s="36"/>
      <c r="AJ480" s="36"/>
      <c r="AN480" s="36"/>
      <c r="BH480" s="102"/>
    </row>
    <row r="481">
      <c r="D481" s="36"/>
      <c r="P481" s="36"/>
      <c r="V481" s="36"/>
      <c r="AA481" s="36"/>
      <c r="AD481" s="36"/>
      <c r="AJ481" s="36"/>
      <c r="AN481" s="36"/>
      <c r="BH481" s="102"/>
    </row>
    <row r="482">
      <c r="D482" s="36"/>
      <c r="P482" s="36"/>
      <c r="V482" s="36"/>
      <c r="AA482" s="36"/>
      <c r="AD482" s="36"/>
      <c r="AJ482" s="36"/>
      <c r="AN482" s="36"/>
      <c r="BH482" s="102"/>
    </row>
    <row r="483">
      <c r="D483" s="36"/>
      <c r="P483" s="36"/>
      <c r="V483" s="36"/>
      <c r="AA483" s="36"/>
      <c r="AD483" s="36"/>
      <c r="AJ483" s="36"/>
      <c r="AN483" s="36"/>
      <c r="BH483" s="102"/>
    </row>
    <row r="484">
      <c r="D484" s="36"/>
      <c r="P484" s="36"/>
      <c r="V484" s="36"/>
      <c r="AA484" s="36"/>
      <c r="AD484" s="36"/>
      <c r="AJ484" s="36"/>
      <c r="AN484" s="36"/>
      <c r="BH484" s="102"/>
    </row>
    <row r="485">
      <c r="D485" s="36"/>
      <c r="P485" s="36"/>
      <c r="V485" s="36"/>
      <c r="AA485" s="36"/>
      <c r="AD485" s="36"/>
      <c r="AJ485" s="36"/>
      <c r="AN485" s="36"/>
      <c r="BH485" s="102"/>
    </row>
    <row r="486">
      <c r="D486" s="36"/>
      <c r="P486" s="36"/>
      <c r="V486" s="36"/>
      <c r="AA486" s="36"/>
      <c r="AD486" s="36"/>
      <c r="AJ486" s="36"/>
      <c r="AN486" s="36"/>
      <c r="BH486" s="102"/>
    </row>
    <row r="487">
      <c r="D487" s="36"/>
      <c r="P487" s="36"/>
      <c r="V487" s="36"/>
      <c r="AA487" s="36"/>
      <c r="AD487" s="36"/>
      <c r="AJ487" s="36"/>
      <c r="AN487" s="36"/>
      <c r="BH487" s="102"/>
    </row>
    <row r="488">
      <c r="D488" s="36"/>
      <c r="P488" s="36"/>
      <c r="V488" s="36"/>
      <c r="AA488" s="36"/>
      <c r="AD488" s="36"/>
      <c r="AJ488" s="36"/>
      <c r="AN488" s="36"/>
      <c r="BH488" s="102"/>
    </row>
    <row r="489">
      <c r="D489" s="36"/>
      <c r="P489" s="36"/>
      <c r="V489" s="36"/>
      <c r="AA489" s="36"/>
      <c r="AD489" s="36"/>
      <c r="AJ489" s="36"/>
      <c r="AN489" s="36"/>
      <c r="BH489" s="102"/>
    </row>
    <row r="490">
      <c r="D490" s="36"/>
      <c r="P490" s="36"/>
      <c r="V490" s="36"/>
      <c r="AA490" s="36"/>
      <c r="AD490" s="36"/>
      <c r="AJ490" s="36"/>
      <c r="AN490" s="36"/>
      <c r="BH490" s="102"/>
    </row>
    <row r="491">
      <c r="D491" s="36"/>
      <c r="P491" s="36"/>
      <c r="V491" s="36"/>
      <c r="AA491" s="36"/>
      <c r="AD491" s="36"/>
      <c r="AJ491" s="36"/>
      <c r="AN491" s="36"/>
      <c r="BH491" s="102"/>
    </row>
    <row r="492">
      <c r="D492" s="36"/>
      <c r="P492" s="36"/>
      <c r="V492" s="36"/>
      <c r="AA492" s="36"/>
      <c r="AD492" s="36"/>
      <c r="AJ492" s="36"/>
      <c r="AN492" s="36"/>
      <c r="BH492" s="102"/>
    </row>
    <row r="493">
      <c r="D493" s="36"/>
      <c r="P493" s="36"/>
      <c r="V493" s="36"/>
      <c r="AA493" s="36"/>
      <c r="AD493" s="36"/>
      <c r="AJ493" s="36"/>
      <c r="AN493" s="36"/>
      <c r="BH493" s="102"/>
    </row>
    <row r="494">
      <c r="D494" s="36"/>
      <c r="P494" s="36"/>
      <c r="V494" s="36"/>
      <c r="AA494" s="36"/>
      <c r="AD494" s="36"/>
      <c r="AJ494" s="36"/>
      <c r="AN494" s="36"/>
      <c r="BH494" s="102"/>
    </row>
    <row r="495">
      <c r="D495" s="36"/>
      <c r="P495" s="36"/>
      <c r="V495" s="36"/>
      <c r="AA495" s="36"/>
      <c r="AD495" s="36"/>
      <c r="AJ495" s="36"/>
      <c r="AN495" s="36"/>
      <c r="BH495" s="102"/>
    </row>
    <row r="496">
      <c r="D496" s="36"/>
      <c r="P496" s="36"/>
      <c r="V496" s="36"/>
      <c r="AA496" s="36"/>
      <c r="AD496" s="36"/>
      <c r="AJ496" s="36"/>
      <c r="AN496" s="36"/>
      <c r="BH496" s="102"/>
    </row>
    <row r="497">
      <c r="D497" s="36"/>
      <c r="P497" s="36"/>
      <c r="V497" s="36"/>
      <c r="AA497" s="36"/>
      <c r="AD497" s="36"/>
      <c r="AJ497" s="36"/>
      <c r="AN497" s="36"/>
      <c r="BH497" s="102"/>
    </row>
    <row r="498">
      <c r="D498" s="36"/>
      <c r="P498" s="36"/>
      <c r="V498" s="36"/>
      <c r="AA498" s="36"/>
      <c r="AD498" s="36"/>
      <c r="AJ498" s="36"/>
      <c r="AN498" s="36"/>
      <c r="BH498" s="102"/>
    </row>
    <row r="499">
      <c r="D499" s="36"/>
      <c r="P499" s="36"/>
      <c r="V499" s="36"/>
      <c r="AA499" s="36"/>
      <c r="AD499" s="36"/>
      <c r="AJ499" s="36"/>
      <c r="AN499" s="36"/>
      <c r="BH499" s="102"/>
    </row>
    <row r="500">
      <c r="D500" s="36"/>
      <c r="P500" s="36"/>
      <c r="V500" s="36"/>
      <c r="AA500" s="36"/>
      <c r="AD500" s="36"/>
      <c r="AJ500" s="36"/>
      <c r="AN500" s="36"/>
      <c r="BH500" s="102"/>
    </row>
    <row r="501">
      <c r="D501" s="36"/>
      <c r="P501" s="36"/>
      <c r="V501" s="36"/>
      <c r="AA501" s="36"/>
      <c r="AD501" s="36"/>
      <c r="AJ501" s="36"/>
      <c r="AN501" s="36"/>
      <c r="BH501" s="102"/>
    </row>
    <row r="502">
      <c r="D502" s="36"/>
      <c r="P502" s="36"/>
      <c r="V502" s="36"/>
      <c r="AA502" s="36"/>
      <c r="AD502" s="36"/>
      <c r="AJ502" s="36"/>
      <c r="AN502" s="36"/>
      <c r="BH502" s="102"/>
    </row>
    <row r="503">
      <c r="D503" s="36"/>
      <c r="P503" s="36"/>
      <c r="V503" s="36"/>
      <c r="AA503" s="36"/>
      <c r="AD503" s="36"/>
      <c r="AJ503" s="36"/>
      <c r="AN503" s="36"/>
      <c r="BH503" s="102"/>
    </row>
    <row r="504">
      <c r="D504" s="36"/>
      <c r="P504" s="36"/>
      <c r="V504" s="36"/>
      <c r="AA504" s="36"/>
      <c r="AD504" s="36"/>
      <c r="AJ504" s="36"/>
      <c r="AN504" s="36"/>
      <c r="BH504" s="102"/>
    </row>
    <row r="505">
      <c r="D505" s="36"/>
      <c r="P505" s="36"/>
      <c r="V505" s="36"/>
      <c r="AA505" s="36"/>
      <c r="AD505" s="36"/>
      <c r="AJ505" s="36"/>
      <c r="AN505" s="36"/>
      <c r="BH505" s="102"/>
    </row>
    <row r="506">
      <c r="D506" s="36"/>
      <c r="P506" s="36"/>
      <c r="V506" s="36"/>
      <c r="AA506" s="36"/>
      <c r="AD506" s="36"/>
      <c r="AJ506" s="36"/>
      <c r="AN506" s="36"/>
      <c r="BH506" s="102"/>
    </row>
    <row r="507">
      <c r="D507" s="36"/>
      <c r="P507" s="36"/>
      <c r="V507" s="36"/>
      <c r="AA507" s="36"/>
      <c r="AD507" s="36"/>
      <c r="AJ507" s="36"/>
      <c r="AN507" s="36"/>
      <c r="BH507" s="102"/>
    </row>
    <row r="508">
      <c r="D508" s="36"/>
      <c r="P508" s="36"/>
      <c r="V508" s="36"/>
      <c r="AA508" s="36"/>
      <c r="AD508" s="36"/>
      <c r="AJ508" s="36"/>
      <c r="AN508" s="36"/>
      <c r="BH508" s="102"/>
    </row>
    <row r="509">
      <c r="D509" s="36"/>
      <c r="P509" s="36"/>
      <c r="V509" s="36"/>
      <c r="AA509" s="36"/>
      <c r="AD509" s="36"/>
      <c r="AJ509" s="36"/>
      <c r="AN509" s="36"/>
      <c r="BH509" s="102"/>
    </row>
    <row r="510">
      <c r="D510" s="36"/>
      <c r="P510" s="36"/>
      <c r="V510" s="36"/>
      <c r="AA510" s="36"/>
      <c r="AD510" s="36"/>
      <c r="AJ510" s="36"/>
      <c r="AN510" s="36"/>
      <c r="BH510" s="102"/>
    </row>
    <row r="511">
      <c r="D511" s="36"/>
      <c r="P511" s="36"/>
      <c r="V511" s="36"/>
      <c r="AA511" s="36"/>
      <c r="AD511" s="36"/>
      <c r="AJ511" s="36"/>
      <c r="AN511" s="36"/>
      <c r="BH511" s="102"/>
    </row>
    <row r="512">
      <c r="D512" s="36"/>
      <c r="P512" s="36"/>
      <c r="V512" s="36"/>
      <c r="AA512" s="36"/>
      <c r="AD512" s="36"/>
      <c r="AJ512" s="36"/>
      <c r="AN512" s="36"/>
      <c r="BH512" s="102"/>
    </row>
    <row r="513">
      <c r="D513" s="36"/>
      <c r="P513" s="36"/>
      <c r="V513" s="36"/>
      <c r="AA513" s="36"/>
      <c r="AD513" s="36"/>
      <c r="AJ513" s="36"/>
      <c r="AN513" s="36"/>
      <c r="BH513" s="102"/>
    </row>
    <row r="514">
      <c r="D514" s="36"/>
      <c r="P514" s="36"/>
      <c r="V514" s="36"/>
      <c r="AA514" s="36"/>
      <c r="AD514" s="36"/>
      <c r="AJ514" s="36"/>
      <c r="AN514" s="36"/>
      <c r="BH514" s="102"/>
    </row>
    <row r="515">
      <c r="D515" s="36"/>
      <c r="P515" s="36"/>
      <c r="V515" s="36"/>
      <c r="AA515" s="36"/>
      <c r="AD515" s="36"/>
      <c r="AJ515" s="36"/>
      <c r="AN515" s="36"/>
      <c r="BH515" s="102"/>
    </row>
    <row r="516">
      <c r="D516" s="36"/>
      <c r="P516" s="36"/>
      <c r="V516" s="36"/>
      <c r="AA516" s="36"/>
      <c r="AD516" s="36"/>
      <c r="AJ516" s="36"/>
      <c r="AN516" s="36"/>
      <c r="BH516" s="102"/>
    </row>
    <row r="517">
      <c r="D517" s="36"/>
      <c r="P517" s="36"/>
      <c r="V517" s="36"/>
      <c r="AA517" s="36"/>
      <c r="AD517" s="36"/>
      <c r="AJ517" s="36"/>
      <c r="AN517" s="36"/>
      <c r="BH517" s="102"/>
    </row>
    <row r="518">
      <c r="D518" s="36"/>
      <c r="P518" s="36"/>
      <c r="V518" s="36"/>
      <c r="AA518" s="36"/>
      <c r="AD518" s="36"/>
      <c r="AJ518" s="36"/>
      <c r="AN518" s="36"/>
      <c r="BH518" s="102"/>
    </row>
    <row r="519">
      <c r="D519" s="36"/>
      <c r="P519" s="36"/>
      <c r="V519" s="36"/>
      <c r="AA519" s="36"/>
      <c r="AD519" s="36"/>
      <c r="AJ519" s="36"/>
      <c r="AN519" s="36"/>
      <c r="BH519" s="102"/>
    </row>
    <row r="520">
      <c r="D520" s="36"/>
      <c r="P520" s="36"/>
      <c r="V520" s="36"/>
      <c r="AA520" s="36"/>
      <c r="AD520" s="36"/>
      <c r="AJ520" s="36"/>
      <c r="AN520" s="36"/>
      <c r="BH520" s="102"/>
    </row>
    <row r="521">
      <c r="D521" s="36"/>
      <c r="P521" s="36"/>
      <c r="V521" s="36"/>
      <c r="AA521" s="36"/>
      <c r="AD521" s="36"/>
      <c r="AJ521" s="36"/>
      <c r="AN521" s="36"/>
      <c r="BH521" s="102"/>
    </row>
    <row r="522">
      <c r="D522" s="36"/>
      <c r="P522" s="36"/>
      <c r="V522" s="36"/>
      <c r="AA522" s="36"/>
      <c r="AD522" s="36"/>
      <c r="AJ522" s="36"/>
      <c r="AN522" s="36"/>
      <c r="BH522" s="102"/>
    </row>
    <row r="523">
      <c r="D523" s="36"/>
      <c r="P523" s="36"/>
      <c r="V523" s="36"/>
      <c r="AA523" s="36"/>
      <c r="AD523" s="36"/>
      <c r="AJ523" s="36"/>
      <c r="AN523" s="36"/>
      <c r="BH523" s="102"/>
    </row>
    <row r="524">
      <c r="D524" s="36"/>
      <c r="P524" s="36"/>
      <c r="V524" s="36"/>
      <c r="AA524" s="36"/>
      <c r="AD524" s="36"/>
      <c r="AJ524" s="36"/>
      <c r="AN524" s="36"/>
      <c r="BH524" s="102"/>
    </row>
    <row r="525">
      <c r="D525" s="36"/>
      <c r="P525" s="36"/>
      <c r="V525" s="36"/>
      <c r="AA525" s="36"/>
      <c r="AD525" s="36"/>
      <c r="AJ525" s="36"/>
      <c r="AN525" s="36"/>
      <c r="BH525" s="102"/>
    </row>
    <row r="526">
      <c r="D526" s="36"/>
      <c r="P526" s="36"/>
      <c r="V526" s="36"/>
      <c r="AA526" s="36"/>
      <c r="AD526" s="36"/>
      <c r="AJ526" s="36"/>
      <c r="AN526" s="36"/>
      <c r="BH526" s="102"/>
    </row>
    <row r="527">
      <c r="D527" s="36"/>
      <c r="P527" s="36"/>
      <c r="V527" s="36"/>
      <c r="AA527" s="36"/>
      <c r="AD527" s="36"/>
      <c r="AJ527" s="36"/>
      <c r="AN527" s="36"/>
      <c r="BH527" s="102"/>
    </row>
    <row r="528">
      <c r="D528" s="36"/>
      <c r="P528" s="36"/>
      <c r="V528" s="36"/>
      <c r="AA528" s="36"/>
      <c r="AD528" s="36"/>
      <c r="AJ528" s="36"/>
      <c r="AN528" s="36"/>
      <c r="BH528" s="102"/>
    </row>
    <row r="529">
      <c r="D529" s="36"/>
      <c r="P529" s="36"/>
      <c r="V529" s="36"/>
      <c r="AA529" s="36"/>
      <c r="AD529" s="36"/>
      <c r="AJ529" s="36"/>
      <c r="AN529" s="36"/>
      <c r="BH529" s="102"/>
    </row>
    <row r="530">
      <c r="D530" s="36"/>
      <c r="P530" s="36"/>
      <c r="V530" s="36"/>
      <c r="AA530" s="36"/>
      <c r="AD530" s="36"/>
      <c r="AJ530" s="36"/>
      <c r="AN530" s="36"/>
      <c r="BH530" s="102"/>
    </row>
    <row r="531">
      <c r="D531" s="36"/>
      <c r="P531" s="36"/>
      <c r="V531" s="36"/>
      <c r="AA531" s="36"/>
      <c r="AD531" s="36"/>
      <c r="AJ531" s="36"/>
      <c r="AN531" s="36"/>
      <c r="BH531" s="102"/>
    </row>
    <row r="532">
      <c r="D532" s="36"/>
      <c r="P532" s="36"/>
      <c r="V532" s="36"/>
      <c r="AA532" s="36"/>
      <c r="AD532" s="36"/>
      <c r="AJ532" s="36"/>
      <c r="AN532" s="36"/>
      <c r="BH532" s="102"/>
    </row>
    <row r="533">
      <c r="D533" s="36"/>
      <c r="P533" s="36"/>
      <c r="V533" s="36"/>
      <c r="AA533" s="36"/>
      <c r="AD533" s="36"/>
      <c r="AJ533" s="36"/>
      <c r="AN533" s="36"/>
      <c r="BH533" s="102"/>
    </row>
    <row r="534">
      <c r="D534" s="36"/>
      <c r="P534" s="36"/>
      <c r="V534" s="36"/>
      <c r="AA534" s="36"/>
      <c r="AD534" s="36"/>
      <c r="AJ534" s="36"/>
      <c r="AN534" s="36"/>
      <c r="BH534" s="102"/>
    </row>
    <row r="535">
      <c r="D535" s="36"/>
      <c r="P535" s="36"/>
      <c r="V535" s="36"/>
      <c r="AA535" s="36"/>
      <c r="AD535" s="36"/>
      <c r="AJ535" s="36"/>
      <c r="AN535" s="36"/>
      <c r="BH535" s="102"/>
    </row>
    <row r="536">
      <c r="D536" s="36"/>
      <c r="P536" s="36"/>
      <c r="V536" s="36"/>
      <c r="AA536" s="36"/>
      <c r="AD536" s="36"/>
      <c r="AJ536" s="36"/>
      <c r="AN536" s="36"/>
      <c r="BH536" s="102"/>
    </row>
    <row r="537">
      <c r="D537" s="36"/>
      <c r="P537" s="36"/>
      <c r="V537" s="36"/>
      <c r="AA537" s="36"/>
      <c r="AD537" s="36"/>
      <c r="AJ537" s="36"/>
      <c r="AN537" s="36"/>
      <c r="BH537" s="102"/>
    </row>
    <row r="538">
      <c r="D538" s="36"/>
      <c r="P538" s="36"/>
      <c r="V538" s="36"/>
      <c r="AA538" s="36"/>
      <c r="AD538" s="36"/>
      <c r="AJ538" s="36"/>
      <c r="AN538" s="36"/>
      <c r="BH538" s="102"/>
    </row>
    <row r="539">
      <c r="D539" s="36"/>
      <c r="P539" s="36"/>
      <c r="V539" s="36"/>
      <c r="AA539" s="36"/>
      <c r="AD539" s="36"/>
      <c r="AJ539" s="36"/>
      <c r="AN539" s="36"/>
      <c r="BH539" s="102"/>
    </row>
    <row r="540">
      <c r="D540" s="36"/>
      <c r="P540" s="36"/>
      <c r="V540" s="36"/>
      <c r="AA540" s="36"/>
      <c r="AD540" s="36"/>
      <c r="AJ540" s="36"/>
      <c r="AN540" s="36"/>
      <c r="BH540" s="102"/>
    </row>
    <row r="541">
      <c r="D541" s="36"/>
      <c r="P541" s="36"/>
      <c r="V541" s="36"/>
      <c r="AA541" s="36"/>
      <c r="AD541" s="36"/>
      <c r="AJ541" s="36"/>
      <c r="AN541" s="36"/>
      <c r="BH541" s="102"/>
    </row>
    <row r="542">
      <c r="D542" s="36"/>
      <c r="P542" s="36"/>
      <c r="V542" s="36"/>
      <c r="AA542" s="36"/>
      <c r="AD542" s="36"/>
      <c r="AJ542" s="36"/>
      <c r="AN542" s="36"/>
      <c r="BH542" s="102"/>
    </row>
    <row r="543">
      <c r="D543" s="36"/>
      <c r="P543" s="36"/>
      <c r="V543" s="36"/>
      <c r="AA543" s="36"/>
      <c r="AD543" s="36"/>
      <c r="AJ543" s="36"/>
      <c r="AN543" s="36"/>
      <c r="BH543" s="102"/>
    </row>
    <row r="544">
      <c r="D544" s="36"/>
      <c r="P544" s="36"/>
      <c r="V544" s="36"/>
      <c r="AA544" s="36"/>
      <c r="AD544" s="36"/>
      <c r="AJ544" s="36"/>
      <c r="AN544" s="36"/>
      <c r="BH544" s="102"/>
    </row>
    <row r="545">
      <c r="D545" s="36"/>
      <c r="P545" s="36"/>
      <c r="V545" s="36"/>
      <c r="AA545" s="36"/>
      <c r="AD545" s="36"/>
      <c r="AJ545" s="36"/>
      <c r="AN545" s="36"/>
      <c r="BH545" s="102"/>
    </row>
    <row r="546">
      <c r="D546" s="36"/>
      <c r="P546" s="36"/>
      <c r="V546" s="36"/>
      <c r="AA546" s="36"/>
      <c r="AD546" s="36"/>
      <c r="AJ546" s="36"/>
      <c r="AN546" s="36"/>
      <c r="BH546" s="102"/>
    </row>
    <row r="547">
      <c r="D547" s="36"/>
      <c r="P547" s="36"/>
      <c r="V547" s="36"/>
      <c r="AA547" s="36"/>
      <c r="AD547" s="36"/>
      <c r="AJ547" s="36"/>
      <c r="AN547" s="36"/>
      <c r="BH547" s="102"/>
    </row>
    <row r="548">
      <c r="D548" s="36"/>
      <c r="P548" s="36"/>
      <c r="V548" s="36"/>
      <c r="AA548" s="36"/>
      <c r="AD548" s="36"/>
      <c r="AJ548" s="36"/>
      <c r="AN548" s="36"/>
      <c r="BH548" s="102"/>
    </row>
    <row r="549">
      <c r="D549" s="36"/>
      <c r="P549" s="36"/>
      <c r="V549" s="36"/>
      <c r="AA549" s="36"/>
      <c r="AD549" s="36"/>
      <c r="AJ549" s="36"/>
      <c r="AN549" s="36"/>
      <c r="BH549" s="102"/>
    </row>
    <row r="550">
      <c r="D550" s="36"/>
      <c r="P550" s="36"/>
      <c r="V550" s="36"/>
      <c r="AA550" s="36"/>
      <c r="AD550" s="36"/>
      <c r="AJ550" s="36"/>
      <c r="AN550" s="36"/>
      <c r="BH550" s="102"/>
    </row>
    <row r="551">
      <c r="D551" s="36"/>
      <c r="P551" s="36"/>
      <c r="V551" s="36"/>
      <c r="AA551" s="36"/>
      <c r="AD551" s="36"/>
      <c r="AJ551" s="36"/>
      <c r="AN551" s="36"/>
      <c r="BH551" s="102"/>
    </row>
    <row r="552">
      <c r="D552" s="36"/>
      <c r="P552" s="36"/>
      <c r="V552" s="36"/>
      <c r="AA552" s="36"/>
      <c r="AD552" s="36"/>
      <c r="AJ552" s="36"/>
      <c r="AN552" s="36"/>
      <c r="BH552" s="102"/>
    </row>
    <row r="553">
      <c r="D553" s="36"/>
      <c r="P553" s="36"/>
      <c r="V553" s="36"/>
      <c r="AA553" s="36"/>
      <c r="AD553" s="36"/>
      <c r="AJ553" s="36"/>
      <c r="AN553" s="36"/>
      <c r="BH553" s="102"/>
    </row>
    <row r="554">
      <c r="D554" s="36"/>
      <c r="P554" s="36"/>
      <c r="V554" s="36"/>
      <c r="AA554" s="36"/>
      <c r="AD554" s="36"/>
      <c r="AJ554" s="36"/>
      <c r="AN554" s="36"/>
      <c r="BH554" s="102"/>
    </row>
    <row r="555">
      <c r="D555" s="36"/>
      <c r="P555" s="36"/>
      <c r="V555" s="36"/>
      <c r="AA555" s="36"/>
      <c r="AD555" s="36"/>
      <c r="AJ555" s="36"/>
      <c r="AN555" s="36"/>
      <c r="BH555" s="102"/>
    </row>
    <row r="556">
      <c r="D556" s="36"/>
      <c r="P556" s="36"/>
      <c r="V556" s="36"/>
      <c r="AA556" s="36"/>
      <c r="AD556" s="36"/>
      <c r="AJ556" s="36"/>
      <c r="AN556" s="36"/>
      <c r="BH556" s="102"/>
    </row>
    <row r="557">
      <c r="D557" s="36"/>
      <c r="P557" s="36"/>
      <c r="V557" s="36"/>
      <c r="AA557" s="36"/>
      <c r="AD557" s="36"/>
      <c r="AJ557" s="36"/>
      <c r="AN557" s="36"/>
      <c r="BH557" s="102"/>
    </row>
    <row r="558">
      <c r="D558" s="36"/>
      <c r="P558" s="36"/>
      <c r="V558" s="36"/>
      <c r="AA558" s="36"/>
      <c r="AD558" s="36"/>
      <c r="AJ558" s="36"/>
      <c r="AN558" s="36"/>
      <c r="BH558" s="102"/>
    </row>
    <row r="559">
      <c r="D559" s="36"/>
      <c r="P559" s="36"/>
      <c r="V559" s="36"/>
      <c r="AA559" s="36"/>
      <c r="AD559" s="36"/>
      <c r="AJ559" s="36"/>
      <c r="AN559" s="36"/>
      <c r="BH559" s="102"/>
    </row>
    <row r="560">
      <c r="D560" s="36"/>
      <c r="P560" s="36"/>
      <c r="V560" s="36"/>
      <c r="AA560" s="36"/>
      <c r="AD560" s="36"/>
      <c r="AJ560" s="36"/>
      <c r="AN560" s="36"/>
      <c r="BH560" s="102"/>
    </row>
    <row r="561">
      <c r="D561" s="36"/>
      <c r="P561" s="36"/>
      <c r="V561" s="36"/>
      <c r="AA561" s="36"/>
      <c r="AD561" s="36"/>
      <c r="AJ561" s="36"/>
      <c r="AN561" s="36"/>
      <c r="BH561" s="102"/>
    </row>
    <row r="562">
      <c r="D562" s="36"/>
      <c r="P562" s="36"/>
      <c r="V562" s="36"/>
      <c r="AA562" s="36"/>
      <c r="AD562" s="36"/>
      <c r="AJ562" s="36"/>
      <c r="AN562" s="36"/>
      <c r="BH562" s="102"/>
    </row>
    <row r="563">
      <c r="D563" s="36"/>
      <c r="P563" s="36"/>
      <c r="V563" s="36"/>
      <c r="AA563" s="36"/>
      <c r="AD563" s="36"/>
      <c r="AJ563" s="36"/>
      <c r="AN563" s="36"/>
      <c r="BH563" s="102"/>
    </row>
    <row r="564">
      <c r="D564" s="36"/>
      <c r="P564" s="36"/>
      <c r="V564" s="36"/>
      <c r="AA564" s="36"/>
      <c r="AD564" s="36"/>
      <c r="AJ564" s="36"/>
      <c r="AN564" s="36"/>
      <c r="BH564" s="102"/>
    </row>
    <row r="565">
      <c r="D565" s="36"/>
      <c r="P565" s="36"/>
      <c r="V565" s="36"/>
      <c r="AA565" s="36"/>
      <c r="AD565" s="36"/>
      <c r="AJ565" s="36"/>
      <c r="AN565" s="36"/>
      <c r="BH565" s="102"/>
    </row>
    <row r="566">
      <c r="D566" s="36"/>
      <c r="P566" s="36"/>
      <c r="V566" s="36"/>
      <c r="AA566" s="36"/>
      <c r="AD566" s="36"/>
      <c r="AJ566" s="36"/>
      <c r="AN566" s="36"/>
      <c r="BH566" s="102"/>
    </row>
    <row r="567">
      <c r="D567" s="36"/>
      <c r="P567" s="36"/>
      <c r="V567" s="36"/>
      <c r="AA567" s="36"/>
      <c r="AD567" s="36"/>
      <c r="AJ567" s="36"/>
      <c r="AN567" s="36"/>
      <c r="BH567" s="102"/>
    </row>
    <row r="568">
      <c r="D568" s="36"/>
      <c r="P568" s="36"/>
      <c r="V568" s="36"/>
      <c r="AA568" s="36"/>
      <c r="AD568" s="36"/>
      <c r="AJ568" s="36"/>
      <c r="AN568" s="36"/>
      <c r="BH568" s="102"/>
    </row>
    <row r="569">
      <c r="D569" s="36"/>
      <c r="P569" s="36"/>
      <c r="V569" s="36"/>
      <c r="AA569" s="36"/>
      <c r="AD569" s="36"/>
      <c r="AJ569" s="36"/>
      <c r="AN569" s="36"/>
      <c r="BH569" s="102"/>
    </row>
    <row r="570">
      <c r="D570" s="36"/>
      <c r="P570" s="36"/>
      <c r="V570" s="36"/>
      <c r="AA570" s="36"/>
      <c r="AD570" s="36"/>
      <c r="AJ570" s="36"/>
      <c r="AN570" s="36"/>
      <c r="BH570" s="102"/>
    </row>
    <row r="571">
      <c r="D571" s="36"/>
      <c r="P571" s="36"/>
      <c r="V571" s="36"/>
      <c r="AA571" s="36"/>
      <c r="AD571" s="36"/>
      <c r="AJ571" s="36"/>
      <c r="AN571" s="36"/>
      <c r="BH571" s="102"/>
    </row>
    <row r="572">
      <c r="D572" s="36"/>
      <c r="P572" s="36"/>
      <c r="V572" s="36"/>
      <c r="AA572" s="36"/>
      <c r="AD572" s="36"/>
      <c r="AJ572" s="36"/>
      <c r="AN572" s="36"/>
      <c r="BH572" s="102"/>
    </row>
    <row r="573">
      <c r="D573" s="36"/>
      <c r="P573" s="36"/>
      <c r="V573" s="36"/>
      <c r="AA573" s="36"/>
      <c r="AD573" s="36"/>
      <c r="AJ573" s="36"/>
      <c r="AN573" s="36"/>
      <c r="BH573" s="102"/>
    </row>
    <row r="574">
      <c r="D574" s="36"/>
      <c r="P574" s="36"/>
      <c r="V574" s="36"/>
      <c r="AA574" s="36"/>
      <c r="AD574" s="36"/>
      <c r="AJ574" s="36"/>
      <c r="AN574" s="36"/>
      <c r="BH574" s="102"/>
    </row>
    <row r="575">
      <c r="D575" s="36"/>
      <c r="P575" s="36"/>
      <c r="V575" s="36"/>
      <c r="AA575" s="36"/>
      <c r="AD575" s="36"/>
      <c r="AJ575" s="36"/>
      <c r="AN575" s="36"/>
      <c r="BH575" s="102"/>
    </row>
    <row r="576">
      <c r="D576" s="36"/>
      <c r="P576" s="36"/>
      <c r="V576" s="36"/>
      <c r="AA576" s="36"/>
      <c r="AD576" s="36"/>
      <c r="AJ576" s="36"/>
      <c r="AN576" s="36"/>
      <c r="BH576" s="102"/>
    </row>
    <row r="577">
      <c r="D577" s="36"/>
      <c r="P577" s="36"/>
      <c r="V577" s="36"/>
      <c r="AA577" s="36"/>
      <c r="AD577" s="36"/>
      <c r="AJ577" s="36"/>
      <c r="AN577" s="36"/>
      <c r="BH577" s="102"/>
    </row>
    <row r="578">
      <c r="D578" s="36"/>
      <c r="P578" s="36"/>
      <c r="V578" s="36"/>
      <c r="AA578" s="36"/>
      <c r="AD578" s="36"/>
      <c r="AJ578" s="36"/>
      <c r="AN578" s="36"/>
      <c r="BH578" s="102"/>
    </row>
    <row r="579">
      <c r="D579" s="36"/>
      <c r="P579" s="36"/>
      <c r="V579" s="36"/>
      <c r="AA579" s="36"/>
      <c r="AD579" s="36"/>
      <c r="AJ579" s="36"/>
      <c r="AN579" s="36"/>
      <c r="BH579" s="102"/>
    </row>
    <row r="580">
      <c r="D580" s="36"/>
      <c r="P580" s="36"/>
      <c r="V580" s="36"/>
      <c r="AA580" s="36"/>
      <c r="AD580" s="36"/>
      <c r="AJ580" s="36"/>
      <c r="AN580" s="36"/>
      <c r="BH580" s="102"/>
    </row>
    <row r="581">
      <c r="D581" s="36"/>
      <c r="P581" s="36"/>
      <c r="V581" s="36"/>
      <c r="AA581" s="36"/>
      <c r="AD581" s="36"/>
      <c r="AJ581" s="36"/>
      <c r="AN581" s="36"/>
      <c r="BH581" s="102"/>
    </row>
    <row r="582">
      <c r="D582" s="36"/>
      <c r="P582" s="36"/>
      <c r="V582" s="36"/>
      <c r="AA582" s="36"/>
      <c r="AD582" s="36"/>
      <c r="AJ582" s="36"/>
      <c r="AN582" s="36"/>
      <c r="BH582" s="102"/>
    </row>
    <row r="583">
      <c r="D583" s="36"/>
      <c r="P583" s="36"/>
      <c r="V583" s="36"/>
      <c r="AA583" s="36"/>
      <c r="AD583" s="36"/>
      <c r="AJ583" s="36"/>
      <c r="AN583" s="36"/>
      <c r="BH583" s="102"/>
    </row>
    <row r="584">
      <c r="D584" s="36"/>
      <c r="P584" s="36"/>
      <c r="V584" s="36"/>
      <c r="AA584" s="36"/>
      <c r="AD584" s="36"/>
      <c r="AJ584" s="36"/>
      <c r="AN584" s="36"/>
      <c r="BH584" s="102"/>
    </row>
    <row r="585">
      <c r="D585" s="36"/>
      <c r="P585" s="36"/>
      <c r="V585" s="36"/>
      <c r="AA585" s="36"/>
      <c r="AD585" s="36"/>
      <c r="AJ585" s="36"/>
      <c r="AN585" s="36"/>
      <c r="BH585" s="102"/>
    </row>
    <row r="586">
      <c r="D586" s="36"/>
      <c r="P586" s="36"/>
      <c r="V586" s="36"/>
      <c r="AA586" s="36"/>
      <c r="AD586" s="36"/>
      <c r="AJ586" s="36"/>
      <c r="AN586" s="36"/>
      <c r="BH586" s="102"/>
    </row>
    <row r="587">
      <c r="D587" s="36"/>
      <c r="P587" s="36"/>
      <c r="V587" s="36"/>
      <c r="AA587" s="36"/>
      <c r="AD587" s="36"/>
      <c r="AJ587" s="36"/>
      <c r="AN587" s="36"/>
      <c r="BH587" s="102"/>
    </row>
    <row r="588">
      <c r="D588" s="36"/>
      <c r="P588" s="36"/>
      <c r="V588" s="36"/>
      <c r="AA588" s="36"/>
      <c r="AD588" s="36"/>
      <c r="AJ588" s="36"/>
      <c r="AN588" s="36"/>
      <c r="BH588" s="102"/>
    </row>
    <row r="589">
      <c r="D589" s="36"/>
      <c r="P589" s="36"/>
      <c r="V589" s="36"/>
      <c r="AA589" s="36"/>
      <c r="AD589" s="36"/>
      <c r="AJ589" s="36"/>
      <c r="AN589" s="36"/>
      <c r="BH589" s="102"/>
    </row>
    <row r="590">
      <c r="D590" s="36"/>
      <c r="P590" s="36"/>
      <c r="V590" s="36"/>
      <c r="AA590" s="36"/>
      <c r="AD590" s="36"/>
      <c r="AJ590" s="36"/>
      <c r="AN590" s="36"/>
      <c r="BH590" s="102"/>
    </row>
    <row r="591">
      <c r="D591" s="36"/>
      <c r="P591" s="36"/>
      <c r="V591" s="36"/>
      <c r="AA591" s="36"/>
      <c r="AD591" s="36"/>
      <c r="AJ591" s="36"/>
      <c r="AN591" s="36"/>
      <c r="BH591" s="102"/>
    </row>
    <row r="592">
      <c r="D592" s="36"/>
      <c r="P592" s="36"/>
      <c r="V592" s="36"/>
      <c r="AA592" s="36"/>
      <c r="AD592" s="36"/>
      <c r="AJ592" s="36"/>
      <c r="AN592" s="36"/>
      <c r="BH592" s="102"/>
    </row>
    <row r="593">
      <c r="D593" s="36"/>
      <c r="P593" s="36"/>
      <c r="V593" s="36"/>
      <c r="AA593" s="36"/>
      <c r="AD593" s="36"/>
      <c r="AJ593" s="36"/>
      <c r="AN593" s="36"/>
      <c r="BH593" s="102"/>
    </row>
    <row r="594">
      <c r="D594" s="36"/>
      <c r="P594" s="36"/>
      <c r="V594" s="36"/>
      <c r="AA594" s="36"/>
      <c r="AD594" s="36"/>
      <c r="AJ594" s="36"/>
      <c r="AN594" s="36"/>
      <c r="BH594" s="102"/>
    </row>
    <row r="595">
      <c r="D595" s="36"/>
      <c r="P595" s="36"/>
      <c r="V595" s="36"/>
      <c r="AA595" s="36"/>
      <c r="AD595" s="36"/>
      <c r="AJ595" s="36"/>
      <c r="AN595" s="36"/>
      <c r="BH595" s="102"/>
    </row>
    <row r="596">
      <c r="D596" s="36"/>
      <c r="P596" s="36"/>
      <c r="V596" s="36"/>
      <c r="AA596" s="36"/>
      <c r="AD596" s="36"/>
      <c r="AJ596" s="36"/>
      <c r="AN596" s="36"/>
      <c r="BH596" s="102"/>
    </row>
    <row r="597">
      <c r="D597" s="36"/>
      <c r="P597" s="36"/>
      <c r="V597" s="36"/>
      <c r="AA597" s="36"/>
      <c r="AD597" s="36"/>
      <c r="AJ597" s="36"/>
      <c r="AN597" s="36"/>
      <c r="BH597" s="102"/>
    </row>
    <row r="598">
      <c r="D598" s="36"/>
      <c r="P598" s="36"/>
      <c r="V598" s="36"/>
      <c r="AA598" s="36"/>
      <c r="AD598" s="36"/>
      <c r="AJ598" s="36"/>
      <c r="AN598" s="36"/>
      <c r="BH598" s="102"/>
    </row>
    <row r="599">
      <c r="D599" s="36"/>
      <c r="P599" s="36"/>
      <c r="V599" s="36"/>
      <c r="AA599" s="36"/>
      <c r="AD599" s="36"/>
      <c r="AJ599" s="36"/>
      <c r="AN599" s="36"/>
      <c r="BH599" s="102"/>
    </row>
    <row r="600">
      <c r="D600" s="36"/>
      <c r="P600" s="36"/>
      <c r="V600" s="36"/>
      <c r="AA600" s="36"/>
      <c r="AD600" s="36"/>
      <c r="AJ600" s="36"/>
      <c r="AN600" s="36"/>
      <c r="BH600" s="102"/>
    </row>
    <row r="601">
      <c r="D601" s="36"/>
      <c r="P601" s="36"/>
      <c r="V601" s="36"/>
      <c r="AA601" s="36"/>
      <c r="AD601" s="36"/>
      <c r="AJ601" s="36"/>
      <c r="AN601" s="36"/>
      <c r="BH601" s="102"/>
    </row>
    <row r="602">
      <c r="D602" s="36"/>
      <c r="P602" s="36"/>
      <c r="V602" s="36"/>
      <c r="AA602" s="36"/>
      <c r="AD602" s="36"/>
      <c r="AJ602" s="36"/>
      <c r="AN602" s="36"/>
      <c r="BH602" s="102"/>
    </row>
    <row r="603">
      <c r="D603" s="36"/>
      <c r="P603" s="36"/>
      <c r="V603" s="36"/>
      <c r="AA603" s="36"/>
      <c r="AD603" s="36"/>
      <c r="AJ603" s="36"/>
      <c r="AN603" s="36"/>
      <c r="BH603" s="102"/>
    </row>
    <row r="604">
      <c r="D604" s="36"/>
      <c r="P604" s="36"/>
      <c r="V604" s="36"/>
      <c r="AA604" s="36"/>
      <c r="AD604" s="36"/>
      <c r="AJ604" s="36"/>
      <c r="AN604" s="36"/>
      <c r="BH604" s="102"/>
    </row>
    <row r="605">
      <c r="D605" s="36"/>
      <c r="P605" s="36"/>
      <c r="V605" s="36"/>
      <c r="AA605" s="36"/>
      <c r="AD605" s="36"/>
      <c r="AJ605" s="36"/>
      <c r="AN605" s="36"/>
      <c r="BH605" s="102"/>
    </row>
    <row r="606">
      <c r="D606" s="36"/>
      <c r="P606" s="36"/>
      <c r="V606" s="36"/>
      <c r="AA606" s="36"/>
      <c r="AD606" s="36"/>
      <c r="AJ606" s="36"/>
      <c r="AN606" s="36"/>
      <c r="BH606" s="102"/>
    </row>
    <row r="607">
      <c r="D607" s="36"/>
      <c r="P607" s="36"/>
      <c r="V607" s="36"/>
      <c r="AA607" s="36"/>
      <c r="AD607" s="36"/>
      <c r="AJ607" s="36"/>
      <c r="AN607" s="36"/>
      <c r="BH607" s="102"/>
    </row>
    <row r="608">
      <c r="D608" s="36"/>
      <c r="P608" s="36"/>
      <c r="V608" s="36"/>
      <c r="AA608" s="36"/>
      <c r="AD608" s="36"/>
      <c r="AJ608" s="36"/>
      <c r="AN608" s="36"/>
      <c r="BH608" s="102"/>
    </row>
    <row r="609">
      <c r="D609" s="36"/>
      <c r="P609" s="36"/>
      <c r="V609" s="36"/>
      <c r="AA609" s="36"/>
      <c r="AD609" s="36"/>
      <c r="AJ609" s="36"/>
      <c r="AN609" s="36"/>
      <c r="BH609" s="102"/>
    </row>
    <row r="610">
      <c r="D610" s="36"/>
      <c r="P610" s="36"/>
      <c r="V610" s="36"/>
      <c r="AA610" s="36"/>
      <c r="AD610" s="36"/>
      <c r="AJ610" s="36"/>
      <c r="AN610" s="36"/>
      <c r="BH610" s="102"/>
    </row>
    <row r="611">
      <c r="D611" s="36"/>
      <c r="P611" s="36"/>
      <c r="V611" s="36"/>
      <c r="AA611" s="36"/>
      <c r="AD611" s="36"/>
      <c r="AJ611" s="36"/>
      <c r="AN611" s="36"/>
      <c r="BH611" s="102"/>
    </row>
    <row r="612">
      <c r="D612" s="36"/>
      <c r="P612" s="36"/>
      <c r="V612" s="36"/>
      <c r="AA612" s="36"/>
      <c r="AD612" s="36"/>
      <c r="AJ612" s="36"/>
      <c r="AN612" s="36"/>
      <c r="BH612" s="102"/>
    </row>
    <row r="613">
      <c r="D613" s="36"/>
      <c r="P613" s="36"/>
      <c r="V613" s="36"/>
      <c r="AA613" s="36"/>
      <c r="AD613" s="36"/>
      <c r="AJ613" s="36"/>
      <c r="AN613" s="36"/>
      <c r="BH613" s="102"/>
    </row>
    <row r="614">
      <c r="D614" s="36"/>
      <c r="P614" s="36"/>
      <c r="V614" s="36"/>
      <c r="AA614" s="36"/>
      <c r="AD614" s="36"/>
      <c r="AJ614" s="36"/>
      <c r="AN614" s="36"/>
      <c r="BH614" s="102"/>
    </row>
    <row r="615">
      <c r="D615" s="36"/>
      <c r="P615" s="36"/>
      <c r="V615" s="36"/>
      <c r="AA615" s="36"/>
      <c r="AD615" s="36"/>
      <c r="AJ615" s="36"/>
      <c r="AN615" s="36"/>
      <c r="BH615" s="102"/>
    </row>
    <row r="616">
      <c r="D616" s="36"/>
      <c r="P616" s="36"/>
      <c r="V616" s="36"/>
      <c r="AA616" s="36"/>
      <c r="AD616" s="36"/>
      <c r="AJ616" s="36"/>
      <c r="AN616" s="36"/>
      <c r="BH616" s="102"/>
    </row>
    <row r="617">
      <c r="D617" s="36"/>
      <c r="P617" s="36"/>
      <c r="V617" s="36"/>
      <c r="AA617" s="36"/>
      <c r="AD617" s="36"/>
      <c r="AJ617" s="36"/>
      <c r="AN617" s="36"/>
      <c r="BH617" s="102"/>
    </row>
    <row r="618">
      <c r="D618" s="36"/>
      <c r="P618" s="36"/>
      <c r="V618" s="36"/>
      <c r="AA618" s="36"/>
      <c r="AD618" s="36"/>
      <c r="AJ618" s="36"/>
      <c r="AN618" s="36"/>
      <c r="BH618" s="102"/>
    </row>
    <row r="619">
      <c r="D619" s="36"/>
      <c r="P619" s="36"/>
      <c r="V619" s="36"/>
      <c r="AA619" s="36"/>
      <c r="AD619" s="36"/>
      <c r="AJ619" s="36"/>
      <c r="AN619" s="36"/>
      <c r="BH619" s="102"/>
    </row>
    <row r="620">
      <c r="D620" s="36"/>
      <c r="P620" s="36"/>
      <c r="V620" s="36"/>
      <c r="AA620" s="36"/>
      <c r="AD620" s="36"/>
      <c r="AJ620" s="36"/>
      <c r="AN620" s="36"/>
      <c r="BH620" s="102"/>
    </row>
    <row r="621">
      <c r="D621" s="36"/>
      <c r="P621" s="36"/>
      <c r="V621" s="36"/>
      <c r="AA621" s="36"/>
      <c r="AD621" s="36"/>
      <c r="AJ621" s="36"/>
      <c r="AN621" s="36"/>
      <c r="BH621" s="102"/>
    </row>
    <row r="622">
      <c r="D622" s="36"/>
      <c r="P622" s="36"/>
      <c r="V622" s="36"/>
      <c r="AA622" s="36"/>
      <c r="AD622" s="36"/>
      <c r="AJ622" s="36"/>
      <c r="AN622" s="36"/>
      <c r="BH622" s="102"/>
    </row>
    <row r="623">
      <c r="D623" s="36"/>
      <c r="P623" s="36"/>
      <c r="V623" s="36"/>
      <c r="AA623" s="36"/>
      <c r="AD623" s="36"/>
      <c r="AJ623" s="36"/>
      <c r="AN623" s="36"/>
      <c r="BH623" s="102"/>
    </row>
    <row r="624">
      <c r="D624" s="36"/>
      <c r="P624" s="36"/>
      <c r="V624" s="36"/>
      <c r="AA624" s="36"/>
      <c r="AD624" s="36"/>
      <c r="AJ624" s="36"/>
      <c r="AN624" s="36"/>
      <c r="BH624" s="102"/>
    </row>
    <row r="625">
      <c r="D625" s="36"/>
      <c r="P625" s="36"/>
      <c r="V625" s="36"/>
      <c r="AA625" s="36"/>
      <c r="AD625" s="36"/>
      <c r="AJ625" s="36"/>
      <c r="AN625" s="36"/>
      <c r="BH625" s="102"/>
    </row>
    <row r="626">
      <c r="D626" s="36"/>
      <c r="P626" s="36"/>
      <c r="V626" s="36"/>
      <c r="AA626" s="36"/>
      <c r="AD626" s="36"/>
      <c r="AJ626" s="36"/>
      <c r="AN626" s="36"/>
      <c r="BH626" s="102"/>
    </row>
    <row r="627">
      <c r="D627" s="36"/>
      <c r="P627" s="36"/>
      <c r="V627" s="36"/>
      <c r="AA627" s="36"/>
      <c r="AD627" s="36"/>
      <c r="AJ627" s="36"/>
      <c r="AN627" s="36"/>
      <c r="BH627" s="102"/>
    </row>
    <row r="628">
      <c r="D628" s="36"/>
      <c r="P628" s="36"/>
      <c r="V628" s="36"/>
      <c r="AA628" s="36"/>
      <c r="AD628" s="36"/>
      <c r="AJ628" s="36"/>
      <c r="AN628" s="36"/>
      <c r="BH628" s="102"/>
    </row>
    <row r="629">
      <c r="D629" s="36"/>
      <c r="P629" s="36"/>
      <c r="V629" s="36"/>
      <c r="AA629" s="36"/>
      <c r="AD629" s="36"/>
      <c r="AJ629" s="36"/>
      <c r="AN629" s="36"/>
      <c r="BH629" s="102"/>
    </row>
    <row r="630">
      <c r="D630" s="36"/>
      <c r="P630" s="36"/>
      <c r="V630" s="36"/>
      <c r="AA630" s="36"/>
      <c r="AD630" s="36"/>
      <c r="AJ630" s="36"/>
      <c r="AN630" s="36"/>
      <c r="BH630" s="102"/>
    </row>
    <row r="631">
      <c r="D631" s="36"/>
      <c r="P631" s="36"/>
      <c r="V631" s="36"/>
      <c r="AA631" s="36"/>
      <c r="AD631" s="36"/>
      <c r="AJ631" s="36"/>
      <c r="AN631" s="36"/>
      <c r="BH631" s="102"/>
    </row>
    <row r="632">
      <c r="D632" s="36"/>
      <c r="P632" s="36"/>
      <c r="V632" s="36"/>
      <c r="AA632" s="36"/>
      <c r="AD632" s="36"/>
      <c r="AJ632" s="36"/>
      <c r="AN632" s="36"/>
      <c r="BH632" s="102"/>
    </row>
    <row r="633">
      <c r="D633" s="36"/>
      <c r="P633" s="36"/>
      <c r="V633" s="36"/>
      <c r="AA633" s="36"/>
      <c r="AD633" s="36"/>
      <c r="AJ633" s="36"/>
      <c r="AN633" s="36"/>
      <c r="BH633" s="102"/>
    </row>
    <row r="634">
      <c r="D634" s="36"/>
      <c r="P634" s="36"/>
      <c r="V634" s="36"/>
      <c r="AA634" s="36"/>
      <c r="AD634" s="36"/>
      <c r="AJ634" s="36"/>
      <c r="AN634" s="36"/>
      <c r="BH634" s="102"/>
    </row>
    <row r="635">
      <c r="D635" s="36"/>
      <c r="P635" s="36"/>
      <c r="V635" s="36"/>
      <c r="AA635" s="36"/>
      <c r="AD635" s="36"/>
      <c r="AJ635" s="36"/>
      <c r="AN635" s="36"/>
      <c r="BH635" s="102"/>
    </row>
    <row r="636">
      <c r="D636" s="36"/>
      <c r="P636" s="36"/>
      <c r="V636" s="36"/>
      <c r="AA636" s="36"/>
      <c r="AD636" s="36"/>
      <c r="AJ636" s="36"/>
      <c r="AN636" s="36"/>
      <c r="BH636" s="102"/>
    </row>
    <row r="637">
      <c r="D637" s="36"/>
      <c r="P637" s="36"/>
      <c r="V637" s="36"/>
      <c r="AA637" s="36"/>
      <c r="AD637" s="36"/>
      <c r="AJ637" s="36"/>
      <c r="AN637" s="36"/>
      <c r="BH637" s="102"/>
    </row>
    <row r="638">
      <c r="D638" s="36"/>
      <c r="P638" s="36"/>
      <c r="V638" s="36"/>
      <c r="AA638" s="36"/>
      <c r="AD638" s="36"/>
      <c r="AJ638" s="36"/>
      <c r="AN638" s="36"/>
      <c r="BH638" s="102"/>
    </row>
    <row r="639">
      <c r="D639" s="36"/>
      <c r="P639" s="36"/>
      <c r="V639" s="36"/>
      <c r="AA639" s="36"/>
      <c r="AD639" s="36"/>
      <c r="AJ639" s="36"/>
      <c r="AN639" s="36"/>
      <c r="BH639" s="102"/>
    </row>
    <row r="640">
      <c r="D640" s="36"/>
      <c r="P640" s="36"/>
      <c r="V640" s="36"/>
      <c r="AA640" s="36"/>
      <c r="AD640" s="36"/>
      <c r="AJ640" s="36"/>
      <c r="AN640" s="36"/>
      <c r="BH640" s="102"/>
    </row>
    <row r="641">
      <c r="D641" s="36"/>
      <c r="P641" s="36"/>
      <c r="V641" s="36"/>
      <c r="AA641" s="36"/>
      <c r="AD641" s="36"/>
      <c r="AJ641" s="36"/>
      <c r="AN641" s="36"/>
      <c r="BH641" s="102"/>
    </row>
    <row r="642">
      <c r="D642" s="36"/>
      <c r="P642" s="36"/>
      <c r="V642" s="36"/>
      <c r="AA642" s="36"/>
      <c r="AD642" s="36"/>
      <c r="AJ642" s="36"/>
      <c r="AN642" s="36"/>
      <c r="BH642" s="102"/>
    </row>
    <row r="643">
      <c r="D643" s="36"/>
      <c r="P643" s="36"/>
      <c r="V643" s="36"/>
      <c r="AA643" s="36"/>
      <c r="AD643" s="36"/>
      <c r="AJ643" s="36"/>
      <c r="AN643" s="36"/>
      <c r="BH643" s="102"/>
    </row>
    <row r="644">
      <c r="D644" s="36"/>
      <c r="P644" s="36"/>
      <c r="V644" s="36"/>
      <c r="AA644" s="36"/>
      <c r="AD644" s="36"/>
      <c r="AJ644" s="36"/>
      <c r="AN644" s="36"/>
      <c r="BH644" s="102"/>
    </row>
    <row r="645">
      <c r="D645" s="36"/>
      <c r="P645" s="36"/>
      <c r="V645" s="36"/>
      <c r="AA645" s="36"/>
      <c r="AD645" s="36"/>
      <c r="AJ645" s="36"/>
      <c r="AN645" s="36"/>
      <c r="BH645" s="102"/>
    </row>
    <row r="646">
      <c r="D646" s="36"/>
      <c r="P646" s="36"/>
      <c r="V646" s="36"/>
      <c r="AA646" s="36"/>
      <c r="AD646" s="36"/>
      <c r="AJ646" s="36"/>
      <c r="AN646" s="36"/>
      <c r="BH646" s="102"/>
    </row>
    <row r="647">
      <c r="D647" s="36"/>
      <c r="P647" s="36"/>
      <c r="V647" s="36"/>
      <c r="AA647" s="36"/>
      <c r="AD647" s="36"/>
      <c r="AJ647" s="36"/>
      <c r="AN647" s="36"/>
      <c r="BH647" s="102"/>
    </row>
    <row r="648">
      <c r="D648" s="36"/>
      <c r="P648" s="36"/>
      <c r="V648" s="36"/>
      <c r="AA648" s="36"/>
      <c r="AD648" s="36"/>
      <c r="AJ648" s="36"/>
      <c r="AN648" s="36"/>
      <c r="BH648" s="102"/>
    </row>
    <row r="649">
      <c r="D649" s="36"/>
      <c r="P649" s="36"/>
      <c r="V649" s="36"/>
      <c r="AA649" s="36"/>
      <c r="AD649" s="36"/>
      <c r="AJ649" s="36"/>
      <c r="AN649" s="36"/>
      <c r="BH649" s="102"/>
    </row>
    <row r="650">
      <c r="D650" s="36"/>
      <c r="P650" s="36"/>
      <c r="V650" s="36"/>
      <c r="AA650" s="36"/>
      <c r="AD650" s="36"/>
      <c r="AJ650" s="36"/>
      <c r="AN650" s="36"/>
      <c r="BH650" s="102"/>
    </row>
    <row r="651">
      <c r="D651" s="36"/>
      <c r="P651" s="36"/>
      <c r="V651" s="36"/>
      <c r="AA651" s="36"/>
      <c r="AD651" s="36"/>
      <c r="AJ651" s="36"/>
      <c r="AN651" s="36"/>
      <c r="BH651" s="102"/>
    </row>
    <row r="652">
      <c r="D652" s="36"/>
      <c r="P652" s="36"/>
      <c r="V652" s="36"/>
      <c r="AA652" s="36"/>
      <c r="AD652" s="36"/>
      <c r="AJ652" s="36"/>
      <c r="AN652" s="36"/>
      <c r="BH652" s="102"/>
    </row>
    <row r="653">
      <c r="D653" s="36"/>
      <c r="P653" s="36"/>
      <c r="V653" s="36"/>
      <c r="AA653" s="36"/>
      <c r="AD653" s="36"/>
      <c r="AJ653" s="36"/>
      <c r="AN653" s="36"/>
      <c r="BH653" s="102"/>
    </row>
    <row r="654">
      <c r="D654" s="36"/>
      <c r="P654" s="36"/>
      <c r="V654" s="36"/>
      <c r="AA654" s="36"/>
      <c r="AD654" s="36"/>
      <c r="AJ654" s="36"/>
      <c r="AN654" s="36"/>
      <c r="BH654" s="102"/>
    </row>
    <row r="655">
      <c r="D655" s="36"/>
      <c r="P655" s="36"/>
      <c r="V655" s="36"/>
      <c r="AA655" s="36"/>
      <c r="AD655" s="36"/>
      <c r="AJ655" s="36"/>
      <c r="AN655" s="36"/>
      <c r="BH655" s="102"/>
    </row>
    <row r="656">
      <c r="D656" s="36"/>
      <c r="P656" s="36"/>
      <c r="V656" s="36"/>
      <c r="AA656" s="36"/>
      <c r="AD656" s="36"/>
      <c r="AJ656" s="36"/>
      <c r="AN656" s="36"/>
      <c r="BH656" s="102"/>
    </row>
    <row r="657">
      <c r="D657" s="36"/>
      <c r="P657" s="36"/>
      <c r="V657" s="36"/>
      <c r="AA657" s="36"/>
      <c r="AD657" s="36"/>
      <c r="AJ657" s="36"/>
      <c r="AN657" s="36"/>
      <c r="BH657" s="102"/>
    </row>
    <row r="658">
      <c r="D658" s="36"/>
      <c r="P658" s="36"/>
      <c r="V658" s="36"/>
      <c r="AA658" s="36"/>
      <c r="AD658" s="36"/>
      <c r="AJ658" s="36"/>
      <c r="AN658" s="36"/>
      <c r="BH658" s="102"/>
    </row>
    <row r="659">
      <c r="D659" s="36"/>
      <c r="P659" s="36"/>
      <c r="V659" s="36"/>
      <c r="AA659" s="36"/>
      <c r="AD659" s="36"/>
      <c r="AJ659" s="36"/>
      <c r="AN659" s="36"/>
      <c r="BH659" s="102"/>
    </row>
    <row r="660">
      <c r="D660" s="36"/>
      <c r="P660" s="36"/>
      <c r="V660" s="36"/>
      <c r="AA660" s="36"/>
      <c r="AD660" s="36"/>
      <c r="AJ660" s="36"/>
      <c r="AN660" s="36"/>
      <c r="BH660" s="102"/>
    </row>
    <row r="661">
      <c r="D661" s="36"/>
      <c r="P661" s="36"/>
      <c r="V661" s="36"/>
      <c r="AA661" s="36"/>
      <c r="AD661" s="36"/>
      <c r="AJ661" s="36"/>
      <c r="AN661" s="36"/>
      <c r="BH661" s="102"/>
    </row>
    <row r="662">
      <c r="D662" s="36"/>
      <c r="P662" s="36"/>
      <c r="V662" s="36"/>
      <c r="AA662" s="36"/>
      <c r="AD662" s="36"/>
      <c r="AJ662" s="36"/>
      <c r="AN662" s="36"/>
      <c r="BH662" s="102"/>
    </row>
    <row r="663">
      <c r="D663" s="36"/>
      <c r="P663" s="36"/>
      <c r="V663" s="36"/>
      <c r="AA663" s="36"/>
      <c r="AD663" s="36"/>
      <c r="AJ663" s="36"/>
      <c r="AN663" s="36"/>
      <c r="BH663" s="102"/>
    </row>
    <row r="664">
      <c r="D664" s="36"/>
      <c r="P664" s="36"/>
      <c r="V664" s="36"/>
      <c r="AA664" s="36"/>
      <c r="AD664" s="36"/>
      <c r="AJ664" s="36"/>
      <c r="AN664" s="36"/>
      <c r="BH664" s="102"/>
    </row>
    <row r="665">
      <c r="D665" s="36"/>
      <c r="P665" s="36"/>
      <c r="V665" s="36"/>
      <c r="AA665" s="36"/>
      <c r="AD665" s="36"/>
      <c r="AJ665" s="36"/>
      <c r="AN665" s="36"/>
      <c r="BH665" s="102"/>
    </row>
    <row r="666">
      <c r="D666" s="36"/>
      <c r="P666" s="36"/>
      <c r="V666" s="36"/>
      <c r="AA666" s="36"/>
      <c r="AD666" s="36"/>
      <c r="AJ666" s="36"/>
      <c r="AN666" s="36"/>
      <c r="BH666" s="102"/>
    </row>
    <row r="667">
      <c r="D667" s="36"/>
      <c r="P667" s="36"/>
      <c r="V667" s="36"/>
      <c r="AA667" s="36"/>
      <c r="AD667" s="36"/>
      <c r="AJ667" s="36"/>
      <c r="AN667" s="36"/>
      <c r="BH667" s="102"/>
    </row>
    <row r="668">
      <c r="D668" s="36"/>
      <c r="P668" s="36"/>
      <c r="V668" s="36"/>
      <c r="AA668" s="36"/>
      <c r="AD668" s="36"/>
      <c r="AJ668" s="36"/>
      <c r="AN668" s="36"/>
      <c r="BH668" s="102"/>
    </row>
    <row r="669">
      <c r="D669" s="36"/>
      <c r="P669" s="36"/>
      <c r="V669" s="36"/>
      <c r="AA669" s="36"/>
      <c r="AD669" s="36"/>
      <c r="AJ669" s="36"/>
      <c r="AN669" s="36"/>
      <c r="BH669" s="102"/>
    </row>
    <row r="670">
      <c r="D670" s="36"/>
      <c r="P670" s="36"/>
      <c r="V670" s="36"/>
      <c r="AA670" s="36"/>
      <c r="AD670" s="36"/>
      <c r="AJ670" s="36"/>
      <c r="AN670" s="36"/>
      <c r="BH670" s="102"/>
    </row>
    <row r="671">
      <c r="D671" s="36"/>
      <c r="P671" s="36"/>
      <c r="V671" s="36"/>
      <c r="AA671" s="36"/>
      <c r="AD671" s="36"/>
      <c r="AJ671" s="36"/>
      <c r="AN671" s="36"/>
      <c r="BH671" s="102"/>
    </row>
    <row r="672">
      <c r="D672" s="36"/>
      <c r="P672" s="36"/>
      <c r="V672" s="36"/>
      <c r="AA672" s="36"/>
      <c r="AD672" s="36"/>
      <c r="AJ672" s="36"/>
      <c r="AN672" s="36"/>
      <c r="BH672" s="102"/>
    </row>
    <row r="673">
      <c r="D673" s="36"/>
      <c r="P673" s="36"/>
      <c r="V673" s="36"/>
      <c r="AA673" s="36"/>
      <c r="AD673" s="36"/>
      <c r="AJ673" s="36"/>
      <c r="AN673" s="36"/>
      <c r="BH673" s="102"/>
    </row>
    <row r="674">
      <c r="D674" s="36"/>
      <c r="P674" s="36"/>
      <c r="V674" s="36"/>
      <c r="AA674" s="36"/>
      <c r="AD674" s="36"/>
      <c r="AJ674" s="36"/>
      <c r="AN674" s="36"/>
      <c r="BH674" s="102"/>
    </row>
    <row r="675">
      <c r="D675" s="36"/>
      <c r="P675" s="36"/>
      <c r="V675" s="36"/>
      <c r="AA675" s="36"/>
      <c r="AD675" s="36"/>
      <c r="AJ675" s="36"/>
      <c r="AN675" s="36"/>
      <c r="BH675" s="102"/>
    </row>
    <row r="676">
      <c r="D676" s="36"/>
      <c r="P676" s="36"/>
      <c r="V676" s="36"/>
      <c r="AA676" s="36"/>
      <c r="AD676" s="36"/>
      <c r="AJ676" s="36"/>
      <c r="AN676" s="36"/>
      <c r="BH676" s="102"/>
    </row>
    <row r="677">
      <c r="D677" s="36"/>
      <c r="P677" s="36"/>
      <c r="V677" s="36"/>
      <c r="AA677" s="36"/>
      <c r="AD677" s="36"/>
      <c r="AJ677" s="36"/>
      <c r="AN677" s="36"/>
      <c r="BH677" s="102"/>
    </row>
    <row r="678">
      <c r="D678" s="36"/>
      <c r="P678" s="36"/>
      <c r="V678" s="36"/>
      <c r="AA678" s="36"/>
      <c r="AD678" s="36"/>
      <c r="AJ678" s="36"/>
      <c r="AN678" s="36"/>
      <c r="BH678" s="102"/>
    </row>
    <row r="679">
      <c r="D679" s="36"/>
      <c r="P679" s="36"/>
      <c r="V679" s="36"/>
      <c r="AA679" s="36"/>
      <c r="AD679" s="36"/>
      <c r="AJ679" s="36"/>
      <c r="AN679" s="36"/>
      <c r="BH679" s="102"/>
    </row>
    <row r="680">
      <c r="D680" s="36"/>
      <c r="P680" s="36"/>
      <c r="V680" s="36"/>
      <c r="AA680" s="36"/>
      <c r="AD680" s="36"/>
      <c r="AJ680" s="36"/>
      <c r="AN680" s="36"/>
      <c r="BH680" s="102"/>
    </row>
    <row r="681">
      <c r="D681" s="36"/>
      <c r="P681" s="36"/>
      <c r="V681" s="36"/>
      <c r="AA681" s="36"/>
      <c r="AD681" s="36"/>
      <c r="AJ681" s="36"/>
      <c r="AN681" s="36"/>
      <c r="BH681" s="102"/>
    </row>
    <row r="682">
      <c r="D682" s="36"/>
      <c r="P682" s="36"/>
      <c r="V682" s="36"/>
      <c r="AA682" s="36"/>
      <c r="AD682" s="36"/>
      <c r="AJ682" s="36"/>
      <c r="AN682" s="36"/>
      <c r="BH682" s="102"/>
    </row>
    <row r="683">
      <c r="D683" s="36"/>
      <c r="P683" s="36"/>
      <c r="V683" s="36"/>
      <c r="AA683" s="36"/>
      <c r="AD683" s="36"/>
      <c r="AJ683" s="36"/>
      <c r="AN683" s="36"/>
      <c r="BH683" s="102"/>
    </row>
    <row r="684">
      <c r="D684" s="36"/>
      <c r="P684" s="36"/>
      <c r="V684" s="36"/>
      <c r="AA684" s="36"/>
      <c r="AD684" s="36"/>
      <c r="AJ684" s="36"/>
      <c r="AN684" s="36"/>
      <c r="BH684" s="102"/>
    </row>
    <row r="685">
      <c r="D685" s="36"/>
      <c r="P685" s="36"/>
      <c r="V685" s="36"/>
      <c r="AA685" s="36"/>
      <c r="AD685" s="36"/>
      <c r="AJ685" s="36"/>
      <c r="AN685" s="36"/>
      <c r="BH685" s="102"/>
    </row>
    <row r="686">
      <c r="D686" s="36"/>
      <c r="P686" s="36"/>
      <c r="V686" s="36"/>
      <c r="AA686" s="36"/>
      <c r="AD686" s="36"/>
      <c r="AJ686" s="36"/>
      <c r="AN686" s="36"/>
      <c r="BH686" s="102"/>
    </row>
    <row r="687">
      <c r="D687" s="36"/>
      <c r="P687" s="36"/>
      <c r="V687" s="36"/>
      <c r="AA687" s="36"/>
      <c r="AD687" s="36"/>
      <c r="AJ687" s="36"/>
      <c r="AN687" s="36"/>
      <c r="BH687" s="102"/>
    </row>
    <row r="688">
      <c r="D688" s="36"/>
      <c r="P688" s="36"/>
      <c r="V688" s="36"/>
      <c r="AA688" s="36"/>
      <c r="AD688" s="36"/>
      <c r="AJ688" s="36"/>
      <c r="AN688" s="36"/>
      <c r="BH688" s="102"/>
    </row>
    <row r="689">
      <c r="D689" s="36"/>
      <c r="P689" s="36"/>
      <c r="V689" s="36"/>
      <c r="AA689" s="36"/>
      <c r="AD689" s="36"/>
      <c r="AJ689" s="36"/>
      <c r="AN689" s="36"/>
      <c r="BH689" s="102"/>
    </row>
    <row r="690">
      <c r="D690" s="36"/>
      <c r="P690" s="36"/>
      <c r="V690" s="36"/>
      <c r="AA690" s="36"/>
      <c r="AD690" s="36"/>
      <c r="AJ690" s="36"/>
      <c r="AN690" s="36"/>
      <c r="BH690" s="102"/>
    </row>
    <row r="691">
      <c r="D691" s="36"/>
      <c r="P691" s="36"/>
      <c r="V691" s="36"/>
      <c r="AA691" s="36"/>
      <c r="AD691" s="36"/>
      <c r="AJ691" s="36"/>
      <c r="AN691" s="36"/>
      <c r="BH691" s="102"/>
    </row>
    <row r="692">
      <c r="D692" s="36"/>
      <c r="P692" s="36"/>
      <c r="V692" s="36"/>
      <c r="AA692" s="36"/>
      <c r="AD692" s="36"/>
      <c r="AJ692" s="36"/>
      <c r="AN692" s="36"/>
      <c r="BH692" s="102"/>
    </row>
    <row r="693">
      <c r="D693" s="36"/>
      <c r="P693" s="36"/>
      <c r="V693" s="36"/>
      <c r="AA693" s="36"/>
      <c r="AD693" s="36"/>
      <c r="AJ693" s="36"/>
      <c r="AN693" s="36"/>
      <c r="BH693" s="102"/>
    </row>
    <row r="694">
      <c r="D694" s="36"/>
      <c r="P694" s="36"/>
      <c r="V694" s="36"/>
      <c r="AA694" s="36"/>
      <c r="AD694" s="36"/>
      <c r="AJ694" s="36"/>
      <c r="AN694" s="36"/>
      <c r="BH694" s="102"/>
    </row>
    <row r="695">
      <c r="D695" s="36"/>
      <c r="P695" s="36"/>
      <c r="V695" s="36"/>
      <c r="AA695" s="36"/>
      <c r="AD695" s="36"/>
      <c r="AJ695" s="36"/>
      <c r="AN695" s="36"/>
      <c r="BH695" s="102"/>
    </row>
    <row r="696">
      <c r="D696" s="36"/>
      <c r="P696" s="36"/>
      <c r="V696" s="36"/>
      <c r="AA696" s="36"/>
      <c r="AD696" s="36"/>
      <c r="AJ696" s="36"/>
      <c r="AN696" s="36"/>
      <c r="BH696" s="102"/>
    </row>
    <row r="697">
      <c r="D697" s="36"/>
      <c r="P697" s="36"/>
      <c r="V697" s="36"/>
      <c r="AA697" s="36"/>
      <c r="AD697" s="36"/>
      <c r="AJ697" s="36"/>
      <c r="AN697" s="36"/>
      <c r="BH697" s="102"/>
    </row>
    <row r="698">
      <c r="D698" s="36"/>
      <c r="P698" s="36"/>
      <c r="V698" s="36"/>
      <c r="AA698" s="36"/>
      <c r="AD698" s="36"/>
      <c r="AJ698" s="36"/>
      <c r="AN698" s="36"/>
      <c r="BH698" s="102"/>
    </row>
    <row r="699">
      <c r="D699" s="36"/>
      <c r="P699" s="36"/>
      <c r="V699" s="36"/>
      <c r="AA699" s="36"/>
      <c r="AD699" s="36"/>
      <c r="AJ699" s="36"/>
      <c r="AN699" s="36"/>
      <c r="BH699" s="102"/>
    </row>
    <row r="700">
      <c r="D700" s="36"/>
      <c r="P700" s="36"/>
      <c r="V700" s="36"/>
      <c r="AA700" s="36"/>
      <c r="AD700" s="36"/>
      <c r="AJ700" s="36"/>
      <c r="AN700" s="36"/>
      <c r="BH700" s="102"/>
    </row>
    <row r="701">
      <c r="D701" s="36"/>
      <c r="P701" s="36"/>
      <c r="V701" s="36"/>
      <c r="AA701" s="36"/>
      <c r="AD701" s="36"/>
      <c r="AJ701" s="36"/>
      <c r="AN701" s="36"/>
      <c r="BH701" s="102"/>
    </row>
    <row r="702">
      <c r="D702" s="36"/>
      <c r="P702" s="36"/>
      <c r="V702" s="36"/>
      <c r="AA702" s="36"/>
      <c r="AD702" s="36"/>
      <c r="AJ702" s="36"/>
      <c r="AN702" s="36"/>
      <c r="BH702" s="102"/>
    </row>
    <row r="703">
      <c r="D703" s="36"/>
      <c r="P703" s="36"/>
      <c r="V703" s="36"/>
      <c r="AA703" s="36"/>
      <c r="AD703" s="36"/>
      <c r="AJ703" s="36"/>
      <c r="AN703" s="36"/>
      <c r="BH703" s="102"/>
    </row>
    <row r="704">
      <c r="D704" s="36"/>
      <c r="P704" s="36"/>
      <c r="V704" s="36"/>
      <c r="AA704" s="36"/>
      <c r="AD704" s="36"/>
      <c r="AJ704" s="36"/>
      <c r="AN704" s="36"/>
      <c r="BH704" s="102"/>
    </row>
    <row r="705">
      <c r="D705" s="36"/>
      <c r="P705" s="36"/>
      <c r="V705" s="36"/>
      <c r="AA705" s="36"/>
      <c r="AD705" s="36"/>
      <c r="AJ705" s="36"/>
      <c r="AN705" s="36"/>
      <c r="BH705" s="102"/>
    </row>
    <row r="706">
      <c r="D706" s="36"/>
      <c r="P706" s="36"/>
      <c r="V706" s="36"/>
      <c r="AA706" s="36"/>
      <c r="AD706" s="36"/>
      <c r="AJ706" s="36"/>
      <c r="AN706" s="36"/>
      <c r="BH706" s="102"/>
    </row>
    <row r="707">
      <c r="D707" s="36"/>
      <c r="P707" s="36"/>
      <c r="V707" s="36"/>
      <c r="AA707" s="36"/>
      <c r="AD707" s="36"/>
      <c r="AJ707" s="36"/>
      <c r="AN707" s="36"/>
      <c r="BH707" s="102"/>
    </row>
    <row r="708">
      <c r="D708" s="36"/>
      <c r="P708" s="36"/>
      <c r="V708" s="36"/>
      <c r="AA708" s="36"/>
      <c r="AD708" s="36"/>
      <c r="AJ708" s="36"/>
      <c r="AN708" s="36"/>
      <c r="BH708" s="102"/>
    </row>
    <row r="709">
      <c r="D709" s="36"/>
      <c r="P709" s="36"/>
      <c r="V709" s="36"/>
      <c r="AA709" s="36"/>
      <c r="AD709" s="36"/>
      <c r="AJ709" s="36"/>
      <c r="AN709" s="36"/>
      <c r="BH709" s="102"/>
    </row>
    <row r="710">
      <c r="D710" s="36"/>
      <c r="P710" s="36"/>
      <c r="V710" s="36"/>
      <c r="AA710" s="36"/>
      <c r="AD710" s="36"/>
      <c r="AJ710" s="36"/>
      <c r="AN710" s="36"/>
      <c r="BH710" s="102"/>
    </row>
    <row r="711">
      <c r="D711" s="36"/>
      <c r="P711" s="36"/>
      <c r="V711" s="36"/>
      <c r="AA711" s="36"/>
      <c r="AD711" s="36"/>
      <c r="AJ711" s="36"/>
      <c r="AN711" s="36"/>
      <c r="BH711" s="102"/>
    </row>
    <row r="712">
      <c r="D712" s="36"/>
      <c r="P712" s="36"/>
      <c r="V712" s="36"/>
      <c r="AA712" s="36"/>
      <c r="AD712" s="36"/>
      <c r="AJ712" s="36"/>
      <c r="AN712" s="36"/>
      <c r="BH712" s="102"/>
    </row>
    <row r="713">
      <c r="D713" s="36"/>
      <c r="P713" s="36"/>
      <c r="V713" s="36"/>
      <c r="AA713" s="36"/>
      <c r="AD713" s="36"/>
      <c r="AJ713" s="36"/>
      <c r="AN713" s="36"/>
      <c r="BH713" s="102"/>
    </row>
    <row r="714">
      <c r="D714" s="36"/>
      <c r="P714" s="36"/>
      <c r="V714" s="36"/>
      <c r="AA714" s="36"/>
      <c r="AD714" s="36"/>
      <c r="AJ714" s="36"/>
      <c r="AN714" s="36"/>
      <c r="BH714" s="102"/>
    </row>
    <row r="715">
      <c r="D715" s="36"/>
      <c r="P715" s="36"/>
      <c r="V715" s="36"/>
      <c r="AA715" s="36"/>
      <c r="AD715" s="36"/>
      <c r="AJ715" s="36"/>
      <c r="AN715" s="36"/>
      <c r="BH715" s="102"/>
    </row>
    <row r="716">
      <c r="D716" s="36"/>
      <c r="P716" s="36"/>
      <c r="V716" s="36"/>
      <c r="AA716" s="36"/>
      <c r="AD716" s="36"/>
      <c r="AJ716" s="36"/>
      <c r="AN716" s="36"/>
      <c r="BH716" s="102"/>
    </row>
    <row r="717">
      <c r="D717" s="36"/>
      <c r="P717" s="36"/>
      <c r="V717" s="36"/>
      <c r="AA717" s="36"/>
      <c r="AD717" s="36"/>
      <c r="AJ717" s="36"/>
      <c r="AN717" s="36"/>
      <c r="BH717" s="102"/>
    </row>
    <row r="718">
      <c r="D718" s="36"/>
      <c r="P718" s="36"/>
      <c r="V718" s="36"/>
      <c r="AA718" s="36"/>
      <c r="AD718" s="36"/>
      <c r="AJ718" s="36"/>
      <c r="AN718" s="36"/>
      <c r="BH718" s="102"/>
    </row>
    <row r="719">
      <c r="D719" s="36"/>
      <c r="P719" s="36"/>
      <c r="V719" s="36"/>
      <c r="AA719" s="36"/>
      <c r="AD719" s="36"/>
      <c r="AJ719" s="36"/>
      <c r="AN719" s="36"/>
      <c r="BH719" s="102"/>
    </row>
    <row r="720">
      <c r="D720" s="36"/>
      <c r="P720" s="36"/>
      <c r="V720" s="36"/>
      <c r="AA720" s="36"/>
      <c r="AD720" s="36"/>
      <c r="AJ720" s="36"/>
      <c r="AN720" s="36"/>
      <c r="BH720" s="102"/>
    </row>
    <row r="721">
      <c r="D721" s="36"/>
      <c r="P721" s="36"/>
      <c r="V721" s="36"/>
      <c r="AA721" s="36"/>
      <c r="AD721" s="36"/>
      <c r="AJ721" s="36"/>
      <c r="AN721" s="36"/>
      <c r="BH721" s="102"/>
    </row>
    <row r="722">
      <c r="D722" s="36"/>
      <c r="P722" s="36"/>
      <c r="V722" s="36"/>
      <c r="AA722" s="36"/>
      <c r="AD722" s="36"/>
      <c r="AJ722" s="36"/>
      <c r="AN722" s="36"/>
      <c r="BH722" s="102"/>
    </row>
    <row r="723">
      <c r="D723" s="36"/>
      <c r="P723" s="36"/>
      <c r="V723" s="36"/>
      <c r="AA723" s="36"/>
      <c r="AD723" s="36"/>
      <c r="AJ723" s="36"/>
      <c r="AN723" s="36"/>
      <c r="BH723" s="102"/>
    </row>
    <row r="724">
      <c r="D724" s="36"/>
      <c r="P724" s="36"/>
      <c r="V724" s="36"/>
      <c r="AA724" s="36"/>
      <c r="AD724" s="36"/>
      <c r="AJ724" s="36"/>
      <c r="AN724" s="36"/>
      <c r="BH724" s="102"/>
    </row>
    <row r="725">
      <c r="D725" s="36"/>
      <c r="P725" s="36"/>
      <c r="V725" s="36"/>
      <c r="AA725" s="36"/>
      <c r="AD725" s="36"/>
      <c r="AJ725" s="36"/>
      <c r="AN725" s="36"/>
      <c r="BH725" s="102"/>
    </row>
    <row r="726">
      <c r="D726" s="36"/>
      <c r="P726" s="36"/>
      <c r="V726" s="36"/>
      <c r="AA726" s="36"/>
      <c r="AD726" s="36"/>
      <c r="AJ726" s="36"/>
      <c r="AN726" s="36"/>
      <c r="BH726" s="102"/>
    </row>
    <row r="727">
      <c r="D727" s="36"/>
      <c r="P727" s="36"/>
      <c r="V727" s="36"/>
      <c r="AA727" s="36"/>
      <c r="AD727" s="36"/>
      <c r="AJ727" s="36"/>
      <c r="AN727" s="36"/>
      <c r="BH727" s="102"/>
    </row>
    <row r="728">
      <c r="D728" s="36"/>
      <c r="P728" s="36"/>
      <c r="V728" s="36"/>
      <c r="AA728" s="36"/>
      <c r="AD728" s="36"/>
      <c r="AJ728" s="36"/>
      <c r="AN728" s="36"/>
      <c r="BH728" s="102"/>
    </row>
    <row r="729">
      <c r="D729" s="36"/>
      <c r="P729" s="36"/>
      <c r="V729" s="36"/>
      <c r="AA729" s="36"/>
      <c r="AD729" s="36"/>
      <c r="AJ729" s="36"/>
      <c r="AN729" s="36"/>
      <c r="BH729" s="102"/>
    </row>
    <row r="730">
      <c r="D730" s="36"/>
      <c r="P730" s="36"/>
      <c r="V730" s="36"/>
      <c r="AA730" s="36"/>
      <c r="AD730" s="36"/>
      <c r="AJ730" s="36"/>
      <c r="AN730" s="36"/>
      <c r="BH730" s="102"/>
    </row>
    <row r="731">
      <c r="D731" s="36"/>
      <c r="P731" s="36"/>
      <c r="V731" s="36"/>
      <c r="AA731" s="36"/>
      <c r="AD731" s="36"/>
      <c r="AJ731" s="36"/>
      <c r="AN731" s="36"/>
      <c r="BH731" s="102"/>
    </row>
    <row r="732">
      <c r="D732" s="36"/>
      <c r="P732" s="36"/>
      <c r="V732" s="36"/>
      <c r="AA732" s="36"/>
      <c r="AD732" s="36"/>
      <c r="AJ732" s="36"/>
      <c r="AN732" s="36"/>
      <c r="BH732" s="102"/>
    </row>
    <row r="733">
      <c r="D733" s="36"/>
      <c r="P733" s="36"/>
      <c r="V733" s="36"/>
      <c r="AA733" s="36"/>
      <c r="AD733" s="36"/>
      <c r="AJ733" s="36"/>
      <c r="AN733" s="36"/>
      <c r="BH733" s="102"/>
    </row>
    <row r="734">
      <c r="D734" s="36"/>
      <c r="P734" s="36"/>
      <c r="V734" s="36"/>
      <c r="AA734" s="36"/>
      <c r="AD734" s="36"/>
      <c r="AJ734" s="36"/>
      <c r="AN734" s="36"/>
      <c r="BH734" s="102"/>
    </row>
    <row r="735">
      <c r="D735" s="36"/>
      <c r="P735" s="36"/>
      <c r="V735" s="36"/>
      <c r="AA735" s="36"/>
      <c r="AD735" s="36"/>
      <c r="AJ735" s="36"/>
      <c r="AN735" s="36"/>
      <c r="BH735" s="102"/>
    </row>
    <row r="736">
      <c r="D736" s="36"/>
      <c r="P736" s="36"/>
      <c r="V736" s="36"/>
      <c r="AA736" s="36"/>
      <c r="AD736" s="36"/>
      <c r="AJ736" s="36"/>
      <c r="AN736" s="36"/>
      <c r="BH736" s="102"/>
    </row>
    <row r="737">
      <c r="D737" s="36"/>
      <c r="P737" s="36"/>
      <c r="V737" s="36"/>
      <c r="AA737" s="36"/>
      <c r="AD737" s="36"/>
      <c r="AJ737" s="36"/>
      <c r="AN737" s="36"/>
      <c r="BH737" s="102"/>
    </row>
    <row r="738">
      <c r="D738" s="36"/>
      <c r="P738" s="36"/>
      <c r="V738" s="36"/>
      <c r="AA738" s="36"/>
      <c r="AD738" s="36"/>
      <c r="AJ738" s="36"/>
      <c r="AN738" s="36"/>
      <c r="BH738" s="102"/>
    </row>
    <row r="739">
      <c r="D739" s="36"/>
      <c r="P739" s="36"/>
      <c r="V739" s="36"/>
      <c r="AA739" s="36"/>
      <c r="AD739" s="36"/>
      <c r="AJ739" s="36"/>
      <c r="AN739" s="36"/>
      <c r="BH739" s="102"/>
    </row>
    <row r="740">
      <c r="D740" s="36"/>
      <c r="P740" s="36"/>
      <c r="V740" s="36"/>
      <c r="AA740" s="36"/>
      <c r="AD740" s="36"/>
      <c r="AJ740" s="36"/>
      <c r="AN740" s="36"/>
      <c r="BH740" s="102"/>
    </row>
    <row r="741">
      <c r="D741" s="36"/>
      <c r="P741" s="36"/>
      <c r="V741" s="36"/>
      <c r="AA741" s="36"/>
      <c r="AD741" s="36"/>
      <c r="AJ741" s="36"/>
      <c r="AN741" s="36"/>
      <c r="BH741" s="102"/>
    </row>
    <row r="742">
      <c r="D742" s="36"/>
      <c r="P742" s="36"/>
      <c r="V742" s="36"/>
      <c r="AA742" s="36"/>
      <c r="AD742" s="36"/>
      <c r="AJ742" s="36"/>
      <c r="AN742" s="36"/>
      <c r="BH742" s="102"/>
    </row>
    <row r="743">
      <c r="D743" s="36"/>
      <c r="P743" s="36"/>
      <c r="V743" s="36"/>
      <c r="AA743" s="36"/>
      <c r="AD743" s="36"/>
      <c r="AJ743" s="36"/>
      <c r="AN743" s="36"/>
      <c r="BH743" s="102"/>
    </row>
    <row r="744">
      <c r="D744" s="36"/>
      <c r="P744" s="36"/>
      <c r="V744" s="36"/>
      <c r="AA744" s="36"/>
      <c r="AD744" s="36"/>
      <c r="AJ744" s="36"/>
      <c r="AN744" s="36"/>
      <c r="BH744" s="102"/>
    </row>
    <row r="745">
      <c r="D745" s="36"/>
      <c r="P745" s="36"/>
      <c r="V745" s="36"/>
      <c r="AA745" s="36"/>
      <c r="AD745" s="36"/>
      <c r="AJ745" s="36"/>
      <c r="AN745" s="36"/>
      <c r="BH745" s="102"/>
    </row>
    <row r="746">
      <c r="D746" s="36"/>
      <c r="P746" s="36"/>
      <c r="V746" s="36"/>
      <c r="AA746" s="36"/>
      <c r="AD746" s="36"/>
      <c r="AJ746" s="36"/>
      <c r="AN746" s="36"/>
      <c r="BH746" s="102"/>
    </row>
    <row r="747">
      <c r="D747" s="36"/>
      <c r="P747" s="36"/>
      <c r="V747" s="36"/>
      <c r="AA747" s="36"/>
      <c r="AD747" s="36"/>
      <c r="AJ747" s="36"/>
      <c r="AN747" s="36"/>
      <c r="BH747" s="102"/>
    </row>
    <row r="748">
      <c r="D748" s="36"/>
      <c r="P748" s="36"/>
      <c r="V748" s="36"/>
      <c r="AA748" s="36"/>
      <c r="AD748" s="36"/>
      <c r="AJ748" s="36"/>
      <c r="AN748" s="36"/>
      <c r="BH748" s="102"/>
    </row>
    <row r="749">
      <c r="D749" s="36"/>
      <c r="P749" s="36"/>
      <c r="V749" s="36"/>
      <c r="AA749" s="36"/>
      <c r="AD749" s="36"/>
      <c r="AJ749" s="36"/>
      <c r="AN749" s="36"/>
      <c r="BH749" s="102"/>
    </row>
    <row r="750">
      <c r="D750" s="36"/>
      <c r="P750" s="36"/>
      <c r="V750" s="36"/>
      <c r="AA750" s="36"/>
      <c r="AD750" s="36"/>
      <c r="AJ750" s="36"/>
      <c r="AN750" s="36"/>
      <c r="BH750" s="102"/>
    </row>
    <row r="751">
      <c r="D751" s="36"/>
      <c r="P751" s="36"/>
      <c r="V751" s="36"/>
      <c r="AA751" s="36"/>
      <c r="AD751" s="36"/>
      <c r="AJ751" s="36"/>
      <c r="AN751" s="36"/>
      <c r="BH751" s="102"/>
    </row>
    <row r="752">
      <c r="D752" s="36"/>
      <c r="P752" s="36"/>
      <c r="V752" s="36"/>
      <c r="AA752" s="36"/>
      <c r="AD752" s="36"/>
      <c r="AJ752" s="36"/>
      <c r="AN752" s="36"/>
      <c r="BH752" s="102"/>
    </row>
    <row r="753">
      <c r="D753" s="36"/>
      <c r="P753" s="36"/>
      <c r="V753" s="36"/>
      <c r="AA753" s="36"/>
      <c r="AD753" s="36"/>
      <c r="AJ753" s="36"/>
      <c r="AN753" s="36"/>
      <c r="BH753" s="102"/>
    </row>
    <row r="754">
      <c r="D754" s="36"/>
      <c r="P754" s="36"/>
      <c r="V754" s="36"/>
      <c r="AA754" s="36"/>
      <c r="AD754" s="36"/>
      <c r="AJ754" s="36"/>
      <c r="AN754" s="36"/>
      <c r="BH754" s="102"/>
    </row>
    <row r="755">
      <c r="D755" s="36"/>
      <c r="P755" s="36"/>
      <c r="V755" s="36"/>
      <c r="AA755" s="36"/>
      <c r="AD755" s="36"/>
      <c r="AJ755" s="36"/>
      <c r="AN755" s="36"/>
      <c r="BH755" s="102"/>
    </row>
    <row r="756">
      <c r="D756" s="36"/>
      <c r="P756" s="36"/>
      <c r="V756" s="36"/>
      <c r="AA756" s="36"/>
      <c r="AD756" s="36"/>
      <c r="AJ756" s="36"/>
      <c r="AN756" s="36"/>
      <c r="BH756" s="102"/>
    </row>
    <row r="757">
      <c r="D757" s="36"/>
      <c r="P757" s="36"/>
      <c r="V757" s="36"/>
      <c r="AA757" s="36"/>
      <c r="AD757" s="36"/>
      <c r="AJ757" s="36"/>
      <c r="AN757" s="36"/>
      <c r="BH757" s="102"/>
    </row>
    <row r="758">
      <c r="D758" s="36"/>
      <c r="P758" s="36"/>
      <c r="V758" s="36"/>
      <c r="AA758" s="36"/>
      <c r="AD758" s="36"/>
      <c r="AJ758" s="36"/>
      <c r="AN758" s="36"/>
      <c r="BH758" s="102"/>
    </row>
    <row r="759">
      <c r="D759" s="36"/>
      <c r="P759" s="36"/>
      <c r="V759" s="36"/>
      <c r="AA759" s="36"/>
      <c r="AD759" s="36"/>
      <c r="AJ759" s="36"/>
      <c r="AN759" s="36"/>
      <c r="BH759" s="102"/>
    </row>
    <row r="760">
      <c r="D760" s="36"/>
      <c r="P760" s="36"/>
      <c r="V760" s="36"/>
      <c r="AA760" s="36"/>
      <c r="AD760" s="36"/>
      <c r="AJ760" s="36"/>
      <c r="AN760" s="36"/>
      <c r="BH760" s="102"/>
    </row>
    <row r="761">
      <c r="D761" s="36"/>
      <c r="P761" s="36"/>
      <c r="V761" s="36"/>
      <c r="AA761" s="36"/>
      <c r="AD761" s="36"/>
      <c r="AJ761" s="36"/>
      <c r="AN761" s="36"/>
      <c r="BH761" s="102"/>
    </row>
    <row r="762">
      <c r="D762" s="36"/>
      <c r="P762" s="36"/>
      <c r="V762" s="36"/>
      <c r="AA762" s="36"/>
      <c r="AD762" s="36"/>
      <c r="AJ762" s="36"/>
      <c r="AN762" s="36"/>
      <c r="BH762" s="102"/>
    </row>
    <row r="763">
      <c r="D763" s="36"/>
      <c r="P763" s="36"/>
      <c r="V763" s="36"/>
      <c r="AA763" s="36"/>
      <c r="AD763" s="36"/>
      <c r="AJ763" s="36"/>
      <c r="AN763" s="36"/>
      <c r="BH763" s="102"/>
    </row>
    <row r="764">
      <c r="D764" s="36"/>
      <c r="P764" s="36"/>
      <c r="V764" s="36"/>
      <c r="AA764" s="36"/>
      <c r="AD764" s="36"/>
      <c r="AJ764" s="36"/>
      <c r="AN764" s="36"/>
      <c r="BH764" s="102"/>
    </row>
    <row r="765">
      <c r="D765" s="36"/>
      <c r="P765" s="36"/>
      <c r="V765" s="36"/>
      <c r="AA765" s="36"/>
      <c r="AD765" s="36"/>
      <c r="AJ765" s="36"/>
      <c r="AN765" s="36"/>
      <c r="BH765" s="102"/>
    </row>
    <row r="766">
      <c r="D766" s="36"/>
      <c r="P766" s="36"/>
      <c r="V766" s="36"/>
      <c r="AA766" s="36"/>
      <c r="AD766" s="36"/>
      <c r="AJ766" s="36"/>
      <c r="AN766" s="36"/>
      <c r="BH766" s="102"/>
    </row>
    <row r="767">
      <c r="D767" s="36"/>
      <c r="P767" s="36"/>
      <c r="V767" s="36"/>
      <c r="AA767" s="36"/>
      <c r="AD767" s="36"/>
      <c r="AJ767" s="36"/>
      <c r="AN767" s="36"/>
      <c r="BH767" s="102"/>
    </row>
    <row r="768">
      <c r="D768" s="36"/>
      <c r="P768" s="36"/>
      <c r="V768" s="36"/>
      <c r="AA768" s="36"/>
      <c r="AD768" s="36"/>
      <c r="AJ768" s="36"/>
      <c r="AN768" s="36"/>
      <c r="BH768" s="102"/>
    </row>
    <row r="769">
      <c r="D769" s="36"/>
      <c r="P769" s="36"/>
      <c r="V769" s="36"/>
      <c r="AA769" s="36"/>
      <c r="AD769" s="36"/>
      <c r="AJ769" s="36"/>
      <c r="AN769" s="36"/>
      <c r="BH769" s="102"/>
    </row>
    <row r="770">
      <c r="D770" s="36"/>
      <c r="P770" s="36"/>
      <c r="V770" s="36"/>
      <c r="AA770" s="36"/>
      <c r="AD770" s="36"/>
      <c r="AJ770" s="36"/>
      <c r="AN770" s="36"/>
      <c r="BH770" s="102"/>
    </row>
    <row r="771">
      <c r="D771" s="36"/>
      <c r="P771" s="36"/>
      <c r="V771" s="36"/>
      <c r="AA771" s="36"/>
      <c r="AD771" s="36"/>
      <c r="AJ771" s="36"/>
      <c r="AN771" s="36"/>
      <c r="BH771" s="102"/>
    </row>
    <row r="772">
      <c r="D772" s="36"/>
      <c r="P772" s="36"/>
      <c r="V772" s="36"/>
      <c r="AA772" s="36"/>
      <c r="AD772" s="36"/>
      <c r="AJ772" s="36"/>
      <c r="AN772" s="36"/>
      <c r="BH772" s="102"/>
    </row>
    <row r="773">
      <c r="D773" s="36"/>
      <c r="P773" s="36"/>
      <c r="V773" s="36"/>
      <c r="AA773" s="36"/>
      <c r="AD773" s="36"/>
      <c r="AJ773" s="36"/>
      <c r="AN773" s="36"/>
      <c r="BH773" s="102"/>
    </row>
    <row r="774">
      <c r="D774" s="36"/>
      <c r="P774" s="36"/>
      <c r="V774" s="36"/>
      <c r="AA774" s="36"/>
      <c r="AD774" s="36"/>
      <c r="AJ774" s="36"/>
      <c r="AN774" s="36"/>
      <c r="BH774" s="102"/>
    </row>
    <row r="775">
      <c r="D775" s="36"/>
      <c r="P775" s="36"/>
      <c r="V775" s="36"/>
      <c r="AA775" s="36"/>
      <c r="AD775" s="36"/>
      <c r="AJ775" s="36"/>
      <c r="AN775" s="36"/>
      <c r="BH775" s="102"/>
    </row>
    <row r="776">
      <c r="D776" s="36"/>
      <c r="P776" s="36"/>
      <c r="V776" s="36"/>
      <c r="AA776" s="36"/>
      <c r="AD776" s="36"/>
      <c r="AJ776" s="36"/>
      <c r="AN776" s="36"/>
      <c r="BH776" s="102"/>
    </row>
    <row r="777">
      <c r="D777" s="36"/>
      <c r="P777" s="36"/>
      <c r="V777" s="36"/>
      <c r="AA777" s="36"/>
      <c r="AD777" s="36"/>
      <c r="AJ777" s="36"/>
      <c r="AN777" s="36"/>
      <c r="BH777" s="102"/>
    </row>
    <row r="778">
      <c r="D778" s="36"/>
      <c r="P778" s="36"/>
      <c r="V778" s="36"/>
      <c r="AA778" s="36"/>
      <c r="AD778" s="36"/>
      <c r="AJ778" s="36"/>
      <c r="AN778" s="36"/>
      <c r="BH778" s="102"/>
    </row>
    <row r="779">
      <c r="D779" s="36"/>
      <c r="P779" s="36"/>
      <c r="V779" s="36"/>
      <c r="AA779" s="36"/>
      <c r="AD779" s="36"/>
      <c r="AJ779" s="36"/>
      <c r="AN779" s="36"/>
      <c r="BH779" s="102"/>
    </row>
    <row r="780">
      <c r="D780" s="36"/>
      <c r="P780" s="36"/>
      <c r="V780" s="36"/>
      <c r="AA780" s="36"/>
      <c r="AD780" s="36"/>
      <c r="AJ780" s="36"/>
      <c r="AN780" s="36"/>
      <c r="BH780" s="102"/>
    </row>
    <row r="781">
      <c r="D781" s="36"/>
      <c r="P781" s="36"/>
      <c r="V781" s="36"/>
      <c r="AA781" s="36"/>
      <c r="AD781" s="36"/>
      <c r="AJ781" s="36"/>
      <c r="AN781" s="36"/>
      <c r="BH781" s="102"/>
    </row>
    <row r="782">
      <c r="D782" s="36"/>
      <c r="P782" s="36"/>
      <c r="V782" s="36"/>
      <c r="AA782" s="36"/>
      <c r="AD782" s="36"/>
      <c r="AJ782" s="36"/>
      <c r="AN782" s="36"/>
      <c r="BH782" s="102"/>
    </row>
    <row r="783">
      <c r="D783" s="36"/>
      <c r="P783" s="36"/>
      <c r="V783" s="36"/>
      <c r="AA783" s="36"/>
      <c r="AD783" s="36"/>
      <c r="AJ783" s="36"/>
      <c r="AN783" s="36"/>
      <c r="BH783" s="102"/>
    </row>
    <row r="784">
      <c r="D784" s="36"/>
      <c r="P784" s="36"/>
      <c r="V784" s="36"/>
      <c r="AA784" s="36"/>
      <c r="AD784" s="36"/>
      <c r="AJ784" s="36"/>
      <c r="AN784" s="36"/>
      <c r="BH784" s="102"/>
    </row>
    <row r="785">
      <c r="D785" s="36"/>
      <c r="P785" s="36"/>
      <c r="V785" s="36"/>
      <c r="AA785" s="36"/>
      <c r="AD785" s="36"/>
      <c r="AJ785" s="36"/>
      <c r="AN785" s="36"/>
      <c r="BH785" s="102"/>
    </row>
    <row r="786">
      <c r="D786" s="36"/>
      <c r="P786" s="36"/>
      <c r="V786" s="36"/>
      <c r="AA786" s="36"/>
      <c r="AD786" s="36"/>
      <c r="AJ786" s="36"/>
      <c r="AN786" s="36"/>
      <c r="BH786" s="102"/>
    </row>
    <row r="787">
      <c r="D787" s="36"/>
      <c r="P787" s="36"/>
      <c r="V787" s="36"/>
      <c r="AA787" s="36"/>
      <c r="AD787" s="36"/>
      <c r="AJ787" s="36"/>
      <c r="AN787" s="36"/>
      <c r="BH787" s="102"/>
    </row>
    <row r="788">
      <c r="D788" s="36"/>
      <c r="P788" s="36"/>
      <c r="V788" s="36"/>
      <c r="AA788" s="36"/>
      <c r="AD788" s="36"/>
      <c r="AJ788" s="36"/>
      <c r="AN788" s="36"/>
      <c r="BH788" s="102"/>
    </row>
    <row r="789">
      <c r="D789" s="36"/>
      <c r="P789" s="36"/>
      <c r="V789" s="36"/>
      <c r="AA789" s="36"/>
      <c r="AD789" s="36"/>
      <c r="AJ789" s="36"/>
      <c r="AN789" s="36"/>
      <c r="BH789" s="102"/>
    </row>
    <row r="790">
      <c r="D790" s="36"/>
      <c r="P790" s="36"/>
      <c r="V790" s="36"/>
      <c r="AA790" s="36"/>
      <c r="AD790" s="36"/>
      <c r="AJ790" s="36"/>
      <c r="AN790" s="36"/>
      <c r="BH790" s="102"/>
    </row>
    <row r="791">
      <c r="D791" s="36"/>
      <c r="P791" s="36"/>
      <c r="V791" s="36"/>
      <c r="AA791" s="36"/>
      <c r="AD791" s="36"/>
      <c r="AJ791" s="36"/>
      <c r="AN791" s="36"/>
      <c r="BH791" s="102"/>
    </row>
    <row r="792">
      <c r="D792" s="36"/>
      <c r="P792" s="36"/>
      <c r="V792" s="36"/>
      <c r="AA792" s="36"/>
      <c r="AD792" s="36"/>
      <c r="AJ792" s="36"/>
      <c r="AN792" s="36"/>
      <c r="BH792" s="102"/>
    </row>
    <row r="793">
      <c r="D793" s="36"/>
      <c r="P793" s="36"/>
      <c r="V793" s="36"/>
      <c r="AA793" s="36"/>
      <c r="AD793" s="36"/>
      <c r="AJ793" s="36"/>
      <c r="AN793" s="36"/>
      <c r="BH793" s="102"/>
    </row>
    <row r="794">
      <c r="D794" s="36"/>
      <c r="P794" s="36"/>
      <c r="V794" s="36"/>
      <c r="AA794" s="36"/>
      <c r="AD794" s="36"/>
      <c r="AJ794" s="36"/>
      <c r="AN794" s="36"/>
      <c r="BH794" s="102"/>
    </row>
    <row r="795">
      <c r="D795" s="36"/>
      <c r="P795" s="36"/>
      <c r="V795" s="36"/>
      <c r="AA795" s="36"/>
      <c r="AD795" s="36"/>
      <c r="AJ795" s="36"/>
      <c r="AN795" s="36"/>
      <c r="BH795" s="102"/>
    </row>
    <row r="796">
      <c r="D796" s="36"/>
      <c r="P796" s="36"/>
      <c r="V796" s="36"/>
      <c r="AA796" s="36"/>
      <c r="AD796" s="36"/>
      <c r="AJ796" s="36"/>
      <c r="AN796" s="36"/>
      <c r="BH796" s="102"/>
    </row>
    <row r="797">
      <c r="D797" s="36"/>
      <c r="P797" s="36"/>
      <c r="V797" s="36"/>
      <c r="AA797" s="36"/>
      <c r="AD797" s="36"/>
      <c r="AJ797" s="36"/>
      <c r="AN797" s="36"/>
      <c r="BH797" s="102"/>
    </row>
    <row r="798">
      <c r="D798" s="36"/>
      <c r="P798" s="36"/>
      <c r="V798" s="36"/>
      <c r="AA798" s="36"/>
      <c r="AD798" s="36"/>
      <c r="AJ798" s="36"/>
      <c r="AN798" s="36"/>
      <c r="BH798" s="102"/>
    </row>
    <row r="799">
      <c r="D799" s="36"/>
      <c r="P799" s="36"/>
      <c r="V799" s="36"/>
      <c r="AA799" s="36"/>
      <c r="AD799" s="36"/>
      <c r="AJ799" s="36"/>
      <c r="AN799" s="36"/>
      <c r="BH799" s="102"/>
    </row>
    <row r="800">
      <c r="D800" s="36"/>
      <c r="P800" s="36"/>
      <c r="V800" s="36"/>
      <c r="AA800" s="36"/>
      <c r="AD800" s="36"/>
      <c r="AJ800" s="36"/>
      <c r="AN800" s="36"/>
      <c r="BH800" s="102"/>
    </row>
    <row r="801">
      <c r="D801" s="36"/>
      <c r="P801" s="36"/>
      <c r="V801" s="36"/>
      <c r="AA801" s="36"/>
      <c r="AD801" s="36"/>
      <c r="AJ801" s="36"/>
      <c r="AN801" s="36"/>
      <c r="BH801" s="102"/>
    </row>
    <row r="802">
      <c r="D802" s="36"/>
      <c r="P802" s="36"/>
      <c r="V802" s="36"/>
      <c r="AA802" s="36"/>
      <c r="AD802" s="36"/>
      <c r="AJ802" s="36"/>
      <c r="AN802" s="36"/>
      <c r="BH802" s="102"/>
    </row>
    <row r="803">
      <c r="D803" s="36"/>
      <c r="P803" s="36"/>
      <c r="V803" s="36"/>
      <c r="AA803" s="36"/>
      <c r="AD803" s="36"/>
      <c r="AJ803" s="36"/>
      <c r="AN803" s="36"/>
      <c r="BH803" s="102"/>
    </row>
    <row r="804">
      <c r="D804" s="36"/>
      <c r="P804" s="36"/>
      <c r="V804" s="36"/>
      <c r="AA804" s="36"/>
      <c r="AD804" s="36"/>
      <c r="AJ804" s="36"/>
      <c r="AN804" s="36"/>
      <c r="BH804" s="102"/>
    </row>
    <row r="805">
      <c r="D805" s="36"/>
      <c r="P805" s="36"/>
      <c r="V805" s="36"/>
      <c r="AA805" s="36"/>
      <c r="AD805" s="36"/>
      <c r="AJ805" s="36"/>
      <c r="AN805" s="36"/>
      <c r="BH805" s="102"/>
    </row>
    <row r="806">
      <c r="D806" s="36"/>
      <c r="P806" s="36"/>
      <c r="V806" s="36"/>
      <c r="AA806" s="36"/>
      <c r="AD806" s="36"/>
      <c r="AJ806" s="36"/>
      <c r="AN806" s="36"/>
      <c r="BH806" s="102"/>
    </row>
    <row r="807">
      <c r="D807" s="36"/>
      <c r="P807" s="36"/>
      <c r="V807" s="36"/>
      <c r="AA807" s="36"/>
      <c r="AD807" s="36"/>
      <c r="AJ807" s="36"/>
      <c r="AN807" s="36"/>
      <c r="BH807" s="102"/>
    </row>
    <row r="808">
      <c r="D808" s="36"/>
      <c r="P808" s="36"/>
      <c r="V808" s="36"/>
      <c r="AA808" s="36"/>
      <c r="AD808" s="36"/>
      <c r="AJ808" s="36"/>
      <c r="AN808" s="36"/>
      <c r="BH808" s="102"/>
    </row>
    <row r="809">
      <c r="D809" s="36"/>
      <c r="P809" s="36"/>
      <c r="V809" s="36"/>
      <c r="AA809" s="36"/>
      <c r="AD809" s="36"/>
      <c r="AJ809" s="36"/>
      <c r="AN809" s="36"/>
      <c r="BH809" s="102"/>
    </row>
    <row r="810">
      <c r="D810" s="36"/>
      <c r="P810" s="36"/>
      <c r="V810" s="36"/>
      <c r="AA810" s="36"/>
      <c r="AD810" s="36"/>
      <c r="AJ810" s="36"/>
      <c r="AN810" s="36"/>
      <c r="BH810" s="102"/>
    </row>
    <row r="811">
      <c r="D811" s="36"/>
      <c r="P811" s="36"/>
      <c r="V811" s="36"/>
      <c r="AA811" s="36"/>
      <c r="AD811" s="36"/>
      <c r="AJ811" s="36"/>
      <c r="AN811" s="36"/>
      <c r="BH811" s="102"/>
    </row>
    <row r="812">
      <c r="D812" s="36"/>
      <c r="P812" s="36"/>
      <c r="V812" s="36"/>
      <c r="AA812" s="36"/>
      <c r="AD812" s="36"/>
      <c r="AJ812" s="36"/>
      <c r="AN812" s="36"/>
      <c r="BH812" s="102"/>
    </row>
    <row r="813">
      <c r="D813" s="36"/>
      <c r="P813" s="36"/>
      <c r="V813" s="36"/>
      <c r="AA813" s="36"/>
      <c r="AD813" s="36"/>
      <c r="AJ813" s="36"/>
      <c r="AN813" s="36"/>
      <c r="BH813" s="102"/>
    </row>
    <row r="814">
      <c r="D814" s="36"/>
      <c r="P814" s="36"/>
      <c r="V814" s="36"/>
      <c r="AA814" s="36"/>
      <c r="AD814" s="36"/>
      <c r="AJ814" s="36"/>
      <c r="AN814" s="36"/>
      <c r="BH814" s="102"/>
    </row>
    <row r="815">
      <c r="D815" s="36"/>
      <c r="P815" s="36"/>
      <c r="V815" s="36"/>
      <c r="AA815" s="36"/>
      <c r="AD815" s="36"/>
      <c r="AJ815" s="36"/>
      <c r="AN815" s="36"/>
      <c r="BH815" s="102"/>
    </row>
    <row r="816">
      <c r="D816" s="36"/>
      <c r="P816" s="36"/>
      <c r="V816" s="36"/>
      <c r="AA816" s="36"/>
      <c r="AD816" s="36"/>
      <c r="AJ816" s="36"/>
      <c r="AN816" s="36"/>
      <c r="BH816" s="102"/>
    </row>
    <row r="817">
      <c r="D817" s="36"/>
      <c r="P817" s="36"/>
      <c r="V817" s="36"/>
      <c r="AA817" s="36"/>
      <c r="AD817" s="36"/>
      <c r="AJ817" s="36"/>
      <c r="AN817" s="36"/>
      <c r="BH817" s="102"/>
    </row>
    <row r="818">
      <c r="D818" s="36"/>
      <c r="P818" s="36"/>
      <c r="V818" s="36"/>
      <c r="AA818" s="36"/>
      <c r="AD818" s="36"/>
      <c r="AJ818" s="36"/>
      <c r="AN818" s="36"/>
      <c r="BH818" s="102"/>
    </row>
    <row r="819">
      <c r="D819" s="36"/>
      <c r="P819" s="36"/>
      <c r="V819" s="36"/>
      <c r="AA819" s="36"/>
      <c r="AD819" s="36"/>
      <c r="AJ819" s="36"/>
      <c r="AN819" s="36"/>
      <c r="BH819" s="102"/>
    </row>
    <row r="820">
      <c r="D820" s="36"/>
      <c r="P820" s="36"/>
      <c r="V820" s="36"/>
      <c r="AA820" s="36"/>
      <c r="AD820" s="36"/>
      <c r="AJ820" s="36"/>
      <c r="AN820" s="36"/>
      <c r="BH820" s="102"/>
    </row>
    <row r="821">
      <c r="D821" s="36"/>
      <c r="P821" s="36"/>
      <c r="V821" s="36"/>
      <c r="AA821" s="36"/>
      <c r="AD821" s="36"/>
      <c r="AJ821" s="36"/>
      <c r="AN821" s="36"/>
      <c r="BH821" s="102"/>
    </row>
    <row r="822">
      <c r="D822" s="36"/>
      <c r="P822" s="36"/>
      <c r="V822" s="36"/>
      <c r="AA822" s="36"/>
      <c r="AD822" s="36"/>
      <c r="AJ822" s="36"/>
      <c r="AN822" s="36"/>
      <c r="BH822" s="102"/>
    </row>
    <row r="823">
      <c r="D823" s="36"/>
      <c r="P823" s="36"/>
      <c r="V823" s="36"/>
      <c r="AA823" s="36"/>
      <c r="AD823" s="36"/>
      <c r="AJ823" s="36"/>
      <c r="AN823" s="36"/>
      <c r="BH823" s="102"/>
    </row>
    <row r="824">
      <c r="D824" s="36"/>
      <c r="P824" s="36"/>
      <c r="V824" s="36"/>
      <c r="AA824" s="36"/>
      <c r="AD824" s="36"/>
      <c r="AJ824" s="36"/>
      <c r="AN824" s="36"/>
      <c r="BH824" s="102"/>
    </row>
    <row r="825">
      <c r="D825" s="36"/>
      <c r="P825" s="36"/>
      <c r="V825" s="36"/>
      <c r="AA825" s="36"/>
      <c r="AD825" s="36"/>
      <c r="AJ825" s="36"/>
      <c r="AN825" s="36"/>
      <c r="BH825" s="102"/>
    </row>
    <row r="826">
      <c r="D826" s="36"/>
      <c r="P826" s="36"/>
      <c r="V826" s="36"/>
      <c r="AA826" s="36"/>
      <c r="AD826" s="36"/>
      <c r="AJ826" s="36"/>
      <c r="AN826" s="36"/>
      <c r="BH826" s="102"/>
    </row>
    <row r="827">
      <c r="D827" s="36"/>
      <c r="P827" s="36"/>
      <c r="V827" s="36"/>
      <c r="AA827" s="36"/>
      <c r="AD827" s="36"/>
      <c r="AJ827" s="36"/>
      <c r="AN827" s="36"/>
      <c r="BH827" s="102"/>
    </row>
    <row r="828">
      <c r="D828" s="36"/>
      <c r="P828" s="36"/>
      <c r="V828" s="36"/>
      <c r="AA828" s="36"/>
      <c r="AD828" s="36"/>
      <c r="AJ828" s="36"/>
      <c r="AN828" s="36"/>
      <c r="BH828" s="102"/>
    </row>
    <row r="829">
      <c r="D829" s="36"/>
      <c r="P829" s="36"/>
      <c r="V829" s="36"/>
      <c r="AA829" s="36"/>
      <c r="AD829" s="36"/>
      <c r="AJ829" s="36"/>
      <c r="AN829" s="36"/>
      <c r="BH829" s="102"/>
    </row>
    <row r="830">
      <c r="D830" s="36"/>
      <c r="P830" s="36"/>
      <c r="V830" s="36"/>
      <c r="AA830" s="36"/>
      <c r="AD830" s="36"/>
      <c r="AJ830" s="36"/>
      <c r="AN830" s="36"/>
      <c r="BH830" s="102"/>
    </row>
    <row r="831">
      <c r="D831" s="36"/>
      <c r="P831" s="36"/>
      <c r="V831" s="36"/>
      <c r="AA831" s="36"/>
      <c r="AD831" s="36"/>
      <c r="AJ831" s="36"/>
      <c r="AN831" s="36"/>
      <c r="BH831" s="102"/>
    </row>
    <row r="832">
      <c r="D832" s="36"/>
      <c r="P832" s="36"/>
      <c r="V832" s="36"/>
      <c r="AA832" s="36"/>
      <c r="AD832" s="36"/>
      <c r="AJ832" s="36"/>
      <c r="AN832" s="36"/>
      <c r="BH832" s="102"/>
    </row>
    <row r="833">
      <c r="D833" s="36"/>
      <c r="P833" s="36"/>
      <c r="V833" s="36"/>
      <c r="AA833" s="36"/>
      <c r="AD833" s="36"/>
      <c r="AJ833" s="36"/>
      <c r="AN833" s="36"/>
      <c r="BH833" s="102"/>
    </row>
    <row r="834">
      <c r="D834" s="36"/>
      <c r="P834" s="36"/>
      <c r="V834" s="36"/>
      <c r="AA834" s="36"/>
      <c r="AD834" s="36"/>
      <c r="AJ834" s="36"/>
      <c r="AN834" s="36"/>
      <c r="BH834" s="102"/>
    </row>
    <row r="835">
      <c r="D835" s="36"/>
      <c r="P835" s="36"/>
      <c r="V835" s="36"/>
      <c r="AA835" s="36"/>
      <c r="AD835" s="36"/>
      <c r="AJ835" s="36"/>
      <c r="AN835" s="36"/>
      <c r="BH835" s="102"/>
    </row>
    <row r="836">
      <c r="D836" s="36"/>
      <c r="P836" s="36"/>
      <c r="V836" s="36"/>
      <c r="AA836" s="36"/>
      <c r="AD836" s="36"/>
      <c r="AJ836" s="36"/>
      <c r="AN836" s="36"/>
      <c r="BH836" s="102"/>
    </row>
    <row r="837">
      <c r="D837" s="36"/>
      <c r="P837" s="36"/>
      <c r="V837" s="36"/>
      <c r="AA837" s="36"/>
      <c r="AD837" s="36"/>
      <c r="AJ837" s="36"/>
      <c r="AN837" s="36"/>
      <c r="BH837" s="102"/>
    </row>
    <row r="838">
      <c r="D838" s="36"/>
      <c r="P838" s="36"/>
      <c r="V838" s="36"/>
      <c r="AA838" s="36"/>
      <c r="AD838" s="36"/>
      <c r="AJ838" s="36"/>
      <c r="AN838" s="36"/>
      <c r="BH838" s="102"/>
    </row>
    <row r="839">
      <c r="D839" s="36"/>
      <c r="P839" s="36"/>
      <c r="V839" s="36"/>
      <c r="AA839" s="36"/>
      <c r="AD839" s="36"/>
      <c r="AJ839" s="36"/>
      <c r="AN839" s="36"/>
      <c r="BH839" s="102"/>
    </row>
    <row r="840">
      <c r="D840" s="36"/>
      <c r="P840" s="36"/>
      <c r="V840" s="36"/>
      <c r="AA840" s="36"/>
      <c r="AD840" s="36"/>
      <c r="AJ840" s="36"/>
      <c r="AN840" s="36"/>
      <c r="BH840" s="102"/>
    </row>
    <row r="841">
      <c r="D841" s="36"/>
      <c r="P841" s="36"/>
      <c r="V841" s="36"/>
      <c r="AA841" s="36"/>
      <c r="AD841" s="36"/>
      <c r="AJ841" s="36"/>
      <c r="AN841" s="36"/>
      <c r="BH841" s="102"/>
    </row>
    <row r="842">
      <c r="D842" s="36"/>
      <c r="P842" s="36"/>
      <c r="V842" s="36"/>
      <c r="AA842" s="36"/>
      <c r="AD842" s="36"/>
      <c r="AJ842" s="36"/>
      <c r="AN842" s="36"/>
      <c r="BH842" s="102"/>
    </row>
    <row r="843">
      <c r="D843" s="36"/>
      <c r="P843" s="36"/>
      <c r="V843" s="36"/>
      <c r="AA843" s="36"/>
      <c r="AD843" s="36"/>
      <c r="AJ843" s="36"/>
      <c r="AN843" s="36"/>
      <c r="BH843" s="102"/>
    </row>
    <row r="844">
      <c r="D844" s="36"/>
      <c r="P844" s="36"/>
      <c r="V844" s="36"/>
      <c r="AA844" s="36"/>
      <c r="AD844" s="36"/>
      <c r="AJ844" s="36"/>
      <c r="AN844" s="36"/>
      <c r="BH844" s="102"/>
    </row>
    <row r="845">
      <c r="D845" s="36"/>
      <c r="P845" s="36"/>
      <c r="V845" s="36"/>
      <c r="AA845" s="36"/>
      <c r="AD845" s="36"/>
      <c r="AJ845" s="36"/>
      <c r="AN845" s="36"/>
      <c r="BH845" s="102"/>
    </row>
    <row r="846">
      <c r="D846" s="36"/>
      <c r="P846" s="36"/>
      <c r="V846" s="36"/>
      <c r="AA846" s="36"/>
      <c r="AD846" s="36"/>
      <c r="AJ846" s="36"/>
      <c r="AN846" s="36"/>
      <c r="BH846" s="102"/>
    </row>
    <row r="847">
      <c r="D847" s="36"/>
      <c r="P847" s="36"/>
      <c r="V847" s="36"/>
      <c r="AA847" s="36"/>
      <c r="AD847" s="36"/>
      <c r="AJ847" s="36"/>
      <c r="AN847" s="36"/>
      <c r="BH847" s="102"/>
    </row>
    <row r="848">
      <c r="D848" s="36"/>
      <c r="P848" s="36"/>
      <c r="V848" s="36"/>
      <c r="AA848" s="36"/>
      <c r="AD848" s="36"/>
      <c r="AJ848" s="36"/>
      <c r="AN848" s="36"/>
      <c r="BH848" s="102"/>
    </row>
    <row r="849">
      <c r="D849" s="36"/>
      <c r="P849" s="36"/>
      <c r="V849" s="36"/>
      <c r="AA849" s="36"/>
      <c r="AD849" s="36"/>
      <c r="AJ849" s="36"/>
      <c r="AN849" s="36"/>
      <c r="BH849" s="102"/>
    </row>
    <row r="850">
      <c r="D850" s="36"/>
      <c r="P850" s="36"/>
      <c r="V850" s="36"/>
      <c r="AA850" s="36"/>
      <c r="AD850" s="36"/>
      <c r="AJ850" s="36"/>
      <c r="AN850" s="36"/>
      <c r="BH850" s="102"/>
    </row>
    <row r="851">
      <c r="D851" s="36"/>
      <c r="P851" s="36"/>
      <c r="V851" s="36"/>
      <c r="AA851" s="36"/>
      <c r="AD851" s="36"/>
      <c r="AJ851" s="36"/>
      <c r="AN851" s="36"/>
      <c r="BH851" s="102"/>
    </row>
    <row r="852">
      <c r="D852" s="36"/>
      <c r="P852" s="36"/>
      <c r="V852" s="36"/>
      <c r="AA852" s="36"/>
      <c r="AD852" s="36"/>
      <c r="AJ852" s="36"/>
      <c r="AN852" s="36"/>
      <c r="BH852" s="102"/>
    </row>
    <row r="853">
      <c r="D853" s="36"/>
      <c r="P853" s="36"/>
      <c r="V853" s="36"/>
      <c r="AA853" s="36"/>
      <c r="AD853" s="36"/>
      <c r="AJ853" s="36"/>
      <c r="AN853" s="36"/>
      <c r="BH853" s="102"/>
    </row>
    <row r="854">
      <c r="D854" s="36"/>
      <c r="P854" s="36"/>
      <c r="V854" s="36"/>
      <c r="AA854" s="36"/>
      <c r="AD854" s="36"/>
      <c r="AJ854" s="36"/>
      <c r="AN854" s="36"/>
      <c r="BH854" s="102"/>
    </row>
    <row r="855">
      <c r="D855" s="36"/>
      <c r="P855" s="36"/>
      <c r="V855" s="36"/>
      <c r="AA855" s="36"/>
      <c r="AD855" s="36"/>
      <c r="AJ855" s="36"/>
      <c r="AN855" s="36"/>
      <c r="BH855" s="102"/>
    </row>
    <row r="856">
      <c r="D856" s="36"/>
      <c r="P856" s="36"/>
      <c r="V856" s="36"/>
      <c r="AA856" s="36"/>
      <c r="AD856" s="36"/>
      <c r="AJ856" s="36"/>
      <c r="AN856" s="36"/>
      <c r="BH856" s="102"/>
    </row>
    <row r="857">
      <c r="D857" s="36"/>
      <c r="P857" s="36"/>
      <c r="V857" s="36"/>
      <c r="AA857" s="36"/>
      <c r="AD857" s="36"/>
      <c r="AJ857" s="36"/>
      <c r="AN857" s="36"/>
      <c r="BH857" s="102"/>
    </row>
    <row r="858">
      <c r="D858" s="36"/>
      <c r="P858" s="36"/>
      <c r="V858" s="36"/>
      <c r="AA858" s="36"/>
      <c r="AD858" s="36"/>
      <c r="AJ858" s="36"/>
      <c r="AN858" s="36"/>
      <c r="BH858" s="102"/>
    </row>
    <row r="859">
      <c r="D859" s="36"/>
      <c r="P859" s="36"/>
      <c r="V859" s="36"/>
      <c r="AA859" s="36"/>
      <c r="AD859" s="36"/>
      <c r="AJ859" s="36"/>
      <c r="AN859" s="36"/>
      <c r="BH859" s="102"/>
    </row>
    <row r="860">
      <c r="D860" s="36"/>
      <c r="P860" s="36"/>
      <c r="V860" s="36"/>
      <c r="AA860" s="36"/>
      <c r="AD860" s="36"/>
      <c r="AJ860" s="36"/>
      <c r="AN860" s="36"/>
      <c r="BH860" s="102"/>
    </row>
    <row r="861">
      <c r="D861" s="36"/>
      <c r="P861" s="36"/>
      <c r="V861" s="36"/>
      <c r="AA861" s="36"/>
      <c r="AD861" s="36"/>
      <c r="AJ861" s="36"/>
      <c r="AN861" s="36"/>
      <c r="BH861" s="102"/>
    </row>
    <row r="862">
      <c r="D862" s="36"/>
      <c r="P862" s="36"/>
      <c r="V862" s="36"/>
      <c r="AA862" s="36"/>
      <c r="AD862" s="36"/>
      <c r="AJ862" s="36"/>
      <c r="AN862" s="36"/>
      <c r="BH862" s="102"/>
    </row>
    <row r="863">
      <c r="D863" s="36"/>
      <c r="P863" s="36"/>
      <c r="V863" s="36"/>
      <c r="AA863" s="36"/>
      <c r="AD863" s="36"/>
      <c r="AJ863" s="36"/>
      <c r="AN863" s="36"/>
      <c r="BH863" s="102"/>
    </row>
    <row r="864">
      <c r="D864" s="36"/>
      <c r="P864" s="36"/>
      <c r="V864" s="36"/>
      <c r="AA864" s="36"/>
      <c r="AD864" s="36"/>
      <c r="AJ864" s="36"/>
      <c r="AN864" s="36"/>
      <c r="BH864" s="102"/>
    </row>
    <row r="865">
      <c r="D865" s="36"/>
      <c r="P865" s="36"/>
      <c r="V865" s="36"/>
      <c r="AA865" s="36"/>
      <c r="AD865" s="36"/>
      <c r="AJ865" s="36"/>
      <c r="AN865" s="36"/>
      <c r="BH865" s="102"/>
    </row>
    <row r="866">
      <c r="D866" s="36"/>
      <c r="P866" s="36"/>
      <c r="V866" s="36"/>
      <c r="AA866" s="36"/>
      <c r="AD866" s="36"/>
      <c r="AJ866" s="36"/>
      <c r="AN866" s="36"/>
      <c r="BH866" s="102"/>
    </row>
    <row r="867">
      <c r="D867" s="36"/>
      <c r="P867" s="36"/>
      <c r="V867" s="36"/>
      <c r="AA867" s="36"/>
      <c r="AD867" s="36"/>
      <c r="AJ867" s="36"/>
      <c r="AN867" s="36"/>
      <c r="BH867" s="102"/>
    </row>
    <row r="868">
      <c r="D868" s="36"/>
      <c r="P868" s="36"/>
      <c r="V868" s="36"/>
      <c r="AA868" s="36"/>
      <c r="AD868" s="36"/>
      <c r="AJ868" s="36"/>
      <c r="AN868" s="36"/>
      <c r="BH868" s="102"/>
    </row>
    <row r="869">
      <c r="D869" s="36"/>
      <c r="P869" s="36"/>
      <c r="V869" s="36"/>
      <c r="AA869" s="36"/>
      <c r="AD869" s="36"/>
      <c r="AJ869" s="36"/>
      <c r="AN869" s="36"/>
      <c r="BH869" s="102"/>
    </row>
    <row r="870">
      <c r="D870" s="36"/>
      <c r="P870" s="36"/>
      <c r="V870" s="36"/>
      <c r="AA870" s="36"/>
      <c r="AD870" s="36"/>
      <c r="AJ870" s="36"/>
      <c r="AN870" s="36"/>
      <c r="BH870" s="102"/>
    </row>
    <row r="871">
      <c r="D871" s="36"/>
      <c r="P871" s="36"/>
      <c r="V871" s="36"/>
      <c r="AA871" s="36"/>
      <c r="AD871" s="36"/>
      <c r="AJ871" s="36"/>
      <c r="AN871" s="36"/>
      <c r="BH871" s="102"/>
    </row>
    <row r="872">
      <c r="D872" s="36"/>
      <c r="P872" s="36"/>
      <c r="V872" s="36"/>
      <c r="AA872" s="36"/>
      <c r="AD872" s="36"/>
      <c r="AJ872" s="36"/>
      <c r="AN872" s="36"/>
      <c r="BH872" s="102"/>
    </row>
    <row r="873">
      <c r="D873" s="36"/>
      <c r="P873" s="36"/>
      <c r="V873" s="36"/>
      <c r="AA873" s="36"/>
      <c r="AD873" s="36"/>
      <c r="AJ873" s="36"/>
      <c r="AN873" s="36"/>
      <c r="BH873" s="102"/>
    </row>
    <row r="874">
      <c r="D874" s="36"/>
      <c r="P874" s="36"/>
      <c r="V874" s="36"/>
      <c r="AA874" s="36"/>
      <c r="AD874" s="36"/>
      <c r="AJ874" s="36"/>
      <c r="AN874" s="36"/>
      <c r="BH874" s="102"/>
    </row>
    <row r="875">
      <c r="D875" s="36"/>
      <c r="P875" s="36"/>
      <c r="V875" s="36"/>
      <c r="AA875" s="36"/>
      <c r="AD875" s="36"/>
      <c r="AJ875" s="36"/>
      <c r="AN875" s="36"/>
      <c r="BH875" s="102"/>
    </row>
    <row r="876">
      <c r="D876" s="36"/>
      <c r="P876" s="36"/>
      <c r="V876" s="36"/>
      <c r="AA876" s="36"/>
      <c r="AD876" s="36"/>
      <c r="AJ876" s="36"/>
      <c r="AN876" s="36"/>
      <c r="BH876" s="102"/>
    </row>
    <row r="877">
      <c r="D877" s="36"/>
      <c r="P877" s="36"/>
      <c r="V877" s="36"/>
      <c r="AA877" s="36"/>
      <c r="AD877" s="36"/>
      <c r="AJ877" s="36"/>
      <c r="AN877" s="36"/>
      <c r="BH877" s="102"/>
    </row>
    <row r="878">
      <c r="D878" s="36"/>
      <c r="P878" s="36"/>
      <c r="V878" s="36"/>
      <c r="AA878" s="36"/>
      <c r="AD878" s="36"/>
      <c r="AJ878" s="36"/>
      <c r="AN878" s="36"/>
      <c r="BH878" s="102"/>
    </row>
    <row r="879">
      <c r="D879" s="36"/>
      <c r="P879" s="36"/>
      <c r="V879" s="36"/>
      <c r="AA879" s="36"/>
      <c r="AD879" s="36"/>
      <c r="AJ879" s="36"/>
      <c r="AN879" s="36"/>
      <c r="BH879" s="102"/>
    </row>
    <row r="880">
      <c r="D880" s="36"/>
      <c r="P880" s="36"/>
      <c r="V880" s="36"/>
      <c r="AA880" s="36"/>
      <c r="AD880" s="36"/>
      <c r="AJ880" s="36"/>
      <c r="AN880" s="36"/>
      <c r="BH880" s="102"/>
    </row>
    <row r="881">
      <c r="D881" s="36"/>
      <c r="P881" s="36"/>
      <c r="V881" s="36"/>
      <c r="AA881" s="36"/>
      <c r="AD881" s="36"/>
      <c r="AJ881" s="36"/>
      <c r="AN881" s="36"/>
      <c r="BH881" s="102"/>
    </row>
    <row r="882">
      <c r="D882" s="36"/>
      <c r="P882" s="36"/>
      <c r="V882" s="36"/>
      <c r="AA882" s="36"/>
      <c r="AD882" s="36"/>
      <c r="AJ882" s="36"/>
      <c r="AN882" s="36"/>
      <c r="BH882" s="102"/>
    </row>
    <row r="883">
      <c r="D883" s="36"/>
      <c r="P883" s="36"/>
      <c r="V883" s="36"/>
      <c r="AA883" s="36"/>
      <c r="AD883" s="36"/>
      <c r="AJ883" s="36"/>
      <c r="AN883" s="36"/>
      <c r="BH883" s="102"/>
    </row>
    <row r="884">
      <c r="D884" s="36"/>
      <c r="P884" s="36"/>
      <c r="V884" s="36"/>
      <c r="AA884" s="36"/>
      <c r="AD884" s="36"/>
      <c r="AJ884" s="36"/>
      <c r="AN884" s="36"/>
      <c r="BH884" s="102"/>
    </row>
    <row r="885">
      <c r="D885" s="36"/>
      <c r="P885" s="36"/>
      <c r="V885" s="36"/>
      <c r="AA885" s="36"/>
      <c r="AD885" s="36"/>
      <c r="AJ885" s="36"/>
      <c r="AN885" s="36"/>
      <c r="BH885" s="102"/>
    </row>
    <row r="886">
      <c r="D886" s="36"/>
      <c r="P886" s="36"/>
      <c r="V886" s="36"/>
      <c r="AA886" s="36"/>
      <c r="AD886" s="36"/>
      <c r="AJ886" s="36"/>
      <c r="AN886" s="36"/>
      <c r="BH886" s="102"/>
    </row>
    <row r="887">
      <c r="D887" s="36"/>
      <c r="P887" s="36"/>
      <c r="V887" s="36"/>
      <c r="AA887" s="36"/>
      <c r="AD887" s="36"/>
      <c r="AJ887" s="36"/>
      <c r="AN887" s="36"/>
      <c r="BH887" s="102"/>
    </row>
    <row r="888">
      <c r="D888" s="36"/>
      <c r="P888" s="36"/>
      <c r="V888" s="36"/>
      <c r="AA888" s="36"/>
      <c r="AD888" s="36"/>
      <c r="AJ888" s="36"/>
      <c r="AN888" s="36"/>
      <c r="BH888" s="102"/>
    </row>
    <row r="889">
      <c r="D889" s="36"/>
      <c r="P889" s="36"/>
      <c r="V889" s="36"/>
      <c r="AA889" s="36"/>
      <c r="AD889" s="36"/>
      <c r="AJ889" s="36"/>
      <c r="AN889" s="36"/>
      <c r="BH889" s="102"/>
    </row>
    <row r="890">
      <c r="D890" s="36"/>
      <c r="P890" s="36"/>
      <c r="V890" s="36"/>
      <c r="AA890" s="36"/>
      <c r="AD890" s="36"/>
      <c r="AJ890" s="36"/>
      <c r="AN890" s="36"/>
      <c r="BH890" s="102"/>
    </row>
    <row r="891">
      <c r="D891" s="36"/>
      <c r="P891" s="36"/>
      <c r="V891" s="36"/>
      <c r="AA891" s="36"/>
      <c r="AD891" s="36"/>
      <c r="AJ891" s="36"/>
      <c r="AN891" s="36"/>
      <c r="BH891" s="102"/>
    </row>
    <row r="892">
      <c r="D892" s="36"/>
      <c r="P892" s="36"/>
      <c r="V892" s="36"/>
      <c r="AA892" s="36"/>
      <c r="AD892" s="36"/>
      <c r="AJ892" s="36"/>
      <c r="AN892" s="36"/>
      <c r="BH892" s="102"/>
    </row>
    <row r="893">
      <c r="D893" s="36"/>
      <c r="P893" s="36"/>
      <c r="V893" s="36"/>
      <c r="AA893" s="36"/>
      <c r="AD893" s="36"/>
      <c r="AJ893" s="36"/>
      <c r="AN893" s="36"/>
      <c r="BH893" s="102"/>
    </row>
    <row r="894">
      <c r="D894" s="36"/>
      <c r="P894" s="36"/>
      <c r="V894" s="36"/>
      <c r="AA894" s="36"/>
      <c r="AD894" s="36"/>
      <c r="AJ894" s="36"/>
      <c r="AN894" s="36"/>
      <c r="BH894" s="102"/>
    </row>
    <row r="895">
      <c r="D895" s="36"/>
      <c r="P895" s="36"/>
      <c r="V895" s="36"/>
      <c r="AA895" s="36"/>
      <c r="AD895" s="36"/>
      <c r="AJ895" s="36"/>
      <c r="AN895" s="36"/>
      <c r="BH895" s="102"/>
    </row>
    <row r="896">
      <c r="D896" s="36"/>
      <c r="P896" s="36"/>
      <c r="V896" s="36"/>
      <c r="AA896" s="36"/>
      <c r="AD896" s="36"/>
      <c r="AJ896" s="36"/>
      <c r="AN896" s="36"/>
      <c r="BH896" s="102"/>
    </row>
    <row r="897">
      <c r="D897" s="36"/>
      <c r="P897" s="36"/>
      <c r="V897" s="36"/>
      <c r="AA897" s="36"/>
      <c r="AD897" s="36"/>
      <c r="AJ897" s="36"/>
      <c r="AN897" s="36"/>
      <c r="BH897" s="102"/>
    </row>
    <row r="898">
      <c r="D898" s="36"/>
      <c r="P898" s="36"/>
      <c r="V898" s="36"/>
      <c r="AA898" s="36"/>
      <c r="AD898" s="36"/>
      <c r="AJ898" s="36"/>
      <c r="AN898" s="36"/>
      <c r="BH898" s="102"/>
    </row>
    <row r="899">
      <c r="D899" s="36"/>
      <c r="P899" s="36"/>
      <c r="V899" s="36"/>
      <c r="AA899" s="36"/>
      <c r="AD899" s="36"/>
      <c r="AJ899" s="36"/>
      <c r="AN899" s="36"/>
      <c r="BH899" s="102"/>
    </row>
    <row r="900">
      <c r="D900" s="36"/>
      <c r="P900" s="36"/>
      <c r="V900" s="36"/>
      <c r="AA900" s="36"/>
      <c r="AD900" s="36"/>
      <c r="AJ900" s="36"/>
      <c r="AN900" s="36"/>
      <c r="BH900" s="102"/>
    </row>
    <row r="901">
      <c r="D901" s="36"/>
      <c r="P901" s="36"/>
      <c r="V901" s="36"/>
      <c r="AA901" s="36"/>
      <c r="AD901" s="36"/>
      <c r="AJ901" s="36"/>
      <c r="AN901" s="36"/>
      <c r="BH901" s="102"/>
    </row>
    <row r="902">
      <c r="D902" s="36"/>
      <c r="P902" s="36"/>
      <c r="V902" s="36"/>
      <c r="AA902" s="36"/>
      <c r="AD902" s="36"/>
      <c r="AJ902" s="36"/>
      <c r="AN902" s="36"/>
      <c r="BH902" s="102"/>
    </row>
    <row r="903">
      <c r="D903" s="36"/>
      <c r="P903" s="36"/>
      <c r="V903" s="36"/>
      <c r="AA903" s="36"/>
      <c r="AD903" s="36"/>
      <c r="AJ903" s="36"/>
      <c r="AN903" s="36"/>
      <c r="BH903" s="102"/>
    </row>
    <row r="904">
      <c r="D904" s="36"/>
      <c r="P904" s="36"/>
      <c r="V904" s="36"/>
      <c r="AA904" s="36"/>
      <c r="AD904" s="36"/>
      <c r="AJ904" s="36"/>
      <c r="AN904" s="36"/>
      <c r="BH904" s="102"/>
    </row>
    <row r="905">
      <c r="D905" s="36"/>
      <c r="P905" s="36"/>
      <c r="V905" s="36"/>
      <c r="AA905" s="36"/>
      <c r="AD905" s="36"/>
      <c r="AJ905" s="36"/>
      <c r="AN905" s="36"/>
      <c r="BH905" s="102"/>
    </row>
    <row r="906">
      <c r="D906" s="36"/>
      <c r="P906" s="36"/>
      <c r="V906" s="36"/>
      <c r="AA906" s="36"/>
      <c r="AD906" s="36"/>
      <c r="AJ906" s="36"/>
      <c r="AN906" s="36"/>
      <c r="BH906" s="102"/>
    </row>
    <row r="907">
      <c r="D907" s="36"/>
      <c r="P907" s="36"/>
      <c r="V907" s="36"/>
      <c r="AA907" s="36"/>
      <c r="AD907" s="36"/>
      <c r="AJ907" s="36"/>
      <c r="AN907" s="36"/>
      <c r="BH907" s="102"/>
    </row>
    <row r="908">
      <c r="D908" s="36"/>
      <c r="P908" s="36"/>
      <c r="V908" s="36"/>
      <c r="AA908" s="36"/>
      <c r="AD908" s="36"/>
      <c r="AJ908" s="36"/>
      <c r="AN908" s="36"/>
      <c r="BH908" s="102"/>
    </row>
    <row r="909">
      <c r="D909" s="36"/>
      <c r="P909" s="36"/>
      <c r="V909" s="36"/>
      <c r="AA909" s="36"/>
      <c r="AD909" s="36"/>
      <c r="AJ909" s="36"/>
      <c r="AN909" s="36"/>
      <c r="BH909" s="102"/>
    </row>
    <row r="910">
      <c r="D910" s="36"/>
      <c r="P910" s="36"/>
      <c r="V910" s="36"/>
      <c r="AA910" s="36"/>
      <c r="AD910" s="36"/>
      <c r="AJ910" s="36"/>
      <c r="AN910" s="36"/>
      <c r="BH910" s="102"/>
    </row>
    <row r="911">
      <c r="D911" s="36"/>
      <c r="P911" s="36"/>
      <c r="V911" s="36"/>
      <c r="AA911" s="36"/>
      <c r="AD911" s="36"/>
      <c r="AJ911" s="36"/>
      <c r="AN911" s="36"/>
      <c r="BH911" s="102"/>
    </row>
    <row r="912">
      <c r="D912" s="36"/>
      <c r="P912" s="36"/>
      <c r="V912" s="36"/>
      <c r="AA912" s="36"/>
      <c r="AD912" s="36"/>
      <c r="AJ912" s="36"/>
      <c r="AN912" s="36"/>
      <c r="BH912" s="102"/>
    </row>
    <row r="913">
      <c r="D913" s="36"/>
      <c r="P913" s="36"/>
      <c r="V913" s="36"/>
      <c r="AA913" s="36"/>
      <c r="AD913" s="36"/>
      <c r="AJ913" s="36"/>
      <c r="AN913" s="36"/>
      <c r="BH913" s="102"/>
    </row>
    <row r="914">
      <c r="D914" s="36"/>
      <c r="P914" s="36"/>
      <c r="V914" s="36"/>
      <c r="AA914" s="36"/>
      <c r="AD914" s="36"/>
      <c r="AJ914" s="36"/>
      <c r="AN914" s="36"/>
      <c r="BH914" s="102"/>
    </row>
    <row r="915">
      <c r="D915" s="36"/>
      <c r="P915" s="36"/>
      <c r="V915" s="36"/>
      <c r="AA915" s="36"/>
      <c r="AD915" s="36"/>
      <c r="AJ915" s="36"/>
      <c r="AN915" s="36"/>
      <c r="BH915" s="102"/>
    </row>
    <row r="916">
      <c r="D916" s="36"/>
      <c r="P916" s="36"/>
      <c r="V916" s="36"/>
      <c r="AA916" s="36"/>
      <c r="AD916" s="36"/>
      <c r="AJ916" s="36"/>
      <c r="AN916" s="36"/>
      <c r="BH916" s="102"/>
    </row>
    <row r="917">
      <c r="D917" s="36"/>
      <c r="P917" s="36"/>
      <c r="V917" s="36"/>
      <c r="AA917" s="36"/>
      <c r="AD917" s="36"/>
      <c r="AJ917" s="36"/>
      <c r="AN917" s="36"/>
      <c r="BH917" s="102"/>
    </row>
    <row r="918">
      <c r="D918" s="36"/>
      <c r="P918" s="36"/>
      <c r="V918" s="36"/>
      <c r="AA918" s="36"/>
      <c r="AD918" s="36"/>
      <c r="AJ918" s="36"/>
      <c r="AN918" s="36"/>
      <c r="BH918" s="102"/>
    </row>
    <row r="919">
      <c r="D919" s="36"/>
      <c r="P919" s="36"/>
      <c r="V919" s="36"/>
      <c r="AA919" s="36"/>
      <c r="AD919" s="36"/>
      <c r="AJ919" s="36"/>
      <c r="AN919" s="36"/>
      <c r="BH919" s="102"/>
    </row>
    <row r="920">
      <c r="D920" s="36"/>
      <c r="P920" s="36"/>
      <c r="V920" s="36"/>
      <c r="AA920" s="36"/>
      <c r="AD920" s="36"/>
      <c r="AJ920" s="36"/>
      <c r="AN920" s="36"/>
      <c r="BH920" s="102"/>
    </row>
    <row r="921">
      <c r="D921" s="36"/>
      <c r="P921" s="36"/>
      <c r="V921" s="36"/>
      <c r="AA921" s="36"/>
      <c r="AD921" s="36"/>
      <c r="AJ921" s="36"/>
      <c r="AN921" s="36"/>
      <c r="BH921" s="102"/>
    </row>
    <row r="922">
      <c r="D922" s="36"/>
      <c r="P922" s="36"/>
      <c r="V922" s="36"/>
      <c r="AA922" s="36"/>
      <c r="AD922" s="36"/>
      <c r="AJ922" s="36"/>
      <c r="AN922" s="36"/>
      <c r="BH922" s="102"/>
    </row>
    <row r="923">
      <c r="D923" s="36"/>
      <c r="P923" s="36"/>
      <c r="V923" s="36"/>
      <c r="AA923" s="36"/>
      <c r="AD923" s="36"/>
      <c r="AJ923" s="36"/>
      <c r="AN923" s="36"/>
      <c r="BH923" s="102"/>
    </row>
    <row r="924">
      <c r="D924" s="36"/>
      <c r="P924" s="36"/>
      <c r="V924" s="36"/>
      <c r="AA924" s="36"/>
      <c r="AD924" s="36"/>
      <c r="AJ924" s="36"/>
      <c r="AN924" s="36"/>
      <c r="BH924" s="102"/>
    </row>
    <row r="925">
      <c r="D925" s="36"/>
      <c r="P925" s="36"/>
      <c r="V925" s="36"/>
      <c r="AA925" s="36"/>
      <c r="AD925" s="36"/>
      <c r="AJ925" s="36"/>
      <c r="AN925" s="36"/>
      <c r="BH925" s="102"/>
    </row>
    <row r="926">
      <c r="D926" s="36"/>
      <c r="P926" s="36"/>
      <c r="V926" s="36"/>
      <c r="AA926" s="36"/>
      <c r="AD926" s="36"/>
      <c r="AJ926" s="36"/>
      <c r="AN926" s="36"/>
      <c r="BH926" s="102"/>
    </row>
    <row r="927">
      <c r="D927" s="36"/>
      <c r="P927" s="36"/>
      <c r="V927" s="36"/>
      <c r="AA927" s="36"/>
      <c r="AD927" s="36"/>
      <c r="AJ927" s="36"/>
      <c r="AN927" s="36"/>
      <c r="BH927" s="102"/>
    </row>
    <row r="928">
      <c r="D928" s="36"/>
      <c r="P928" s="36"/>
      <c r="V928" s="36"/>
      <c r="AA928" s="36"/>
      <c r="AD928" s="36"/>
      <c r="AJ928" s="36"/>
      <c r="AN928" s="36"/>
      <c r="BH928" s="102"/>
    </row>
    <row r="929">
      <c r="D929" s="36"/>
      <c r="P929" s="36"/>
      <c r="V929" s="36"/>
      <c r="AA929" s="36"/>
      <c r="AD929" s="36"/>
      <c r="AJ929" s="36"/>
      <c r="AN929" s="36"/>
      <c r="BH929" s="102"/>
    </row>
    <row r="930">
      <c r="D930" s="36"/>
      <c r="P930" s="36"/>
      <c r="V930" s="36"/>
      <c r="AA930" s="36"/>
      <c r="AD930" s="36"/>
      <c r="AJ930" s="36"/>
      <c r="AN930" s="36"/>
      <c r="BH930" s="102"/>
    </row>
    <row r="931">
      <c r="D931" s="36"/>
      <c r="P931" s="36"/>
      <c r="V931" s="36"/>
      <c r="AA931" s="36"/>
      <c r="AD931" s="36"/>
      <c r="AJ931" s="36"/>
      <c r="AN931" s="36"/>
      <c r="BH931" s="102"/>
    </row>
    <row r="932">
      <c r="D932" s="36"/>
      <c r="P932" s="36"/>
      <c r="V932" s="36"/>
      <c r="AA932" s="36"/>
      <c r="AD932" s="36"/>
      <c r="AJ932" s="36"/>
      <c r="AN932" s="36"/>
      <c r="BH932" s="102"/>
    </row>
    <row r="933">
      <c r="D933" s="36"/>
      <c r="P933" s="36"/>
      <c r="V933" s="36"/>
      <c r="AA933" s="36"/>
      <c r="AD933" s="36"/>
      <c r="AJ933" s="36"/>
      <c r="AN933" s="36"/>
      <c r="BH933" s="102"/>
    </row>
    <row r="934">
      <c r="D934" s="36"/>
      <c r="P934" s="36"/>
      <c r="V934" s="36"/>
      <c r="AA934" s="36"/>
      <c r="AD934" s="36"/>
      <c r="AJ934" s="36"/>
      <c r="AN934" s="36"/>
      <c r="BH934" s="102"/>
    </row>
    <row r="935">
      <c r="D935" s="36"/>
      <c r="P935" s="36"/>
      <c r="V935" s="36"/>
      <c r="AA935" s="36"/>
      <c r="AD935" s="36"/>
      <c r="AJ935" s="36"/>
      <c r="AN935" s="36"/>
      <c r="BH935" s="102"/>
    </row>
    <row r="936">
      <c r="D936" s="36"/>
      <c r="P936" s="36"/>
      <c r="V936" s="36"/>
      <c r="AA936" s="36"/>
      <c r="AD936" s="36"/>
      <c r="AJ936" s="36"/>
      <c r="AN936" s="36"/>
      <c r="BH936" s="102"/>
    </row>
    <row r="937">
      <c r="D937" s="36"/>
      <c r="P937" s="36"/>
      <c r="V937" s="36"/>
      <c r="AA937" s="36"/>
      <c r="AD937" s="36"/>
      <c r="AJ937" s="36"/>
      <c r="AN937" s="36"/>
      <c r="BH937" s="102"/>
    </row>
    <row r="938">
      <c r="D938" s="36"/>
      <c r="P938" s="36"/>
      <c r="V938" s="36"/>
      <c r="AA938" s="36"/>
      <c r="AD938" s="36"/>
      <c r="AJ938" s="36"/>
      <c r="AN938" s="36"/>
      <c r="BH938" s="102"/>
    </row>
    <row r="939">
      <c r="D939" s="36"/>
      <c r="P939" s="36"/>
      <c r="V939" s="36"/>
      <c r="AA939" s="36"/>
      <c r="AD939" s="36"/>
      <c r="AJ939" s="36"/>
      <c r="AN939" s="36"/>
      <c r="BH939" s="102"/>
    </row>
    <row r="940">
      <c r="D940" s="36"/>
      <c r="P940" s="36"/>
      <c r="V940" s="36"/>
      <c r="AA940" s="36"/>
      <c r="AD940" s="36"/>
      <c r="AJ940" s="36"/>
      <c r="AN940" s="36"/>
      <c r="BH940" s="102"/>
    </row>
    <row r="941">
      <c r="D941" s="36"/>
      <c r="P941" s="36"/>
      <c r="V941" s="36"/>
      <c r="AA941" s="36"/>
      <c r="AD941" s="36"/>
      <c r="AJ941" s="36"/>
      <c r="AN941" s="36"/>
      <c r="BH941" s="102"/>
    </row>
    <row r="942">
      <c r="D942" s="36"/>
      <c r="P942" s="36"/>
      <c r="V942" s="36"/>
      <c r="AA942" s="36"/>
      <c r="AD942" s="36"/>
      <c r="AJ942" s="36"/>
      <c r="AN942" s="36"/>
      <c r="BH942" s="102"/>
    </row>
    <row r="943">
      <c r="D943" s="36"/>
      <c r="P943" s="36"/>
      <c r="V943" s="36"/>
      <c r="AA943" s="36"/>
      <c r="AD943" s="36"/>
      <c r="AJ943" s="36"/>
      <c r="AN943" s="36"/>
      <c r="BH943" s="102"/>
    </row>
    <row r="944">
      <c r="D944" s="36"/>
      <c r="P944" s="36"/>
      <c r="V944" s="36"/>
      <c r="AA944" s="36"/>
      <c r="AD944" s="36"/>
      <c r="AJ944" s="36"/>
      <c r="AN944" s="36"/>
      <c r="BH944" s="102"/>
    </row>
    <row r="945">
      <c r="D945" s="36"/>
      <c r="P945" s="36"/>
      <c r="V945" s="36"/>
      <c r="AA945" s="36"/>
      <c r="AD945" s="36"/>
      <c r="AJ945" s="36"/>
      <c r="AN945" s="36"/>
      <c r="BH945" s="102"/>
    </row>
    <row r="946">
      <c r="D946" s="36"/>
      <c r="P946" s="36"/>
      <c r="V946" s="36"/>
      <c r="AA946" s="36"/>
      <c r="AD946" s="36"/>
      <c r="AJ946" s="36"/>
      <c r="AN946" s="36"/>
      <c r="BH946" s="102"/>
    </row>
    <row r="947">
      <c r="D947" s="36"/>
      <c r="P947" s="36"/>
      <c r="V947" s="36"/>
      <c r="AA947" s="36"/>
      <c r="AD947" s="36"/>
      <c r="AJ947" s="36"/>
      <c r="AN947" s="36"/>
      <c r="BH947" s="102"/>
    </row>
    <row r="948">
      <c r="D948" s="36"/>
      <c r="P948" s="36"/>
      <c r="V948" s="36"/>
      <c r="AA948" s="36"/>
      <c r="AD948" s="36"/>
      <c r="AJ948" s="36"/>
      <c r="AN948" s="36"/>
      <c r="BH948" s="102"/>
    </row>
    <row r="949">
      <c r="D949" s="36"/>
      <c r="P949" s="36"/>
      <c r="V949" s="36"/>
      <c r="AA949" s="36"/>
      <c r="AD949" s="36"/>
      <c r="AJ949" s="36"/>
      <c r="AN949" s="36"/>
      <c r="BH949" s="102"/>
    </row>
    <row r="950">
      <c r="D950" s="36"/>
      <c r="P950" s="36"/>
      <c r="V950" s="36"/>
      <c r="AA950" s="36"/>
      <c r="AD950" s="36"/>
      <c r="AJ950" s="36"/>
      <c r="AN950" s="36"/>
      <c r="BH950" s="102"/>
    </row>
    <row r="951">
      <c r="D951" s="36"/>
      <c r="P951" s="36"/>
      <c r="V951" s="36"/>
      <c r="AA951" s="36"/>
      <c r="AD951" s="36"/>
      <c r="AJ951" s="36"/>
      <c r="AN951" s="36"/>
      <c r="BH951" s="102"/>
    </row>
    <row r="952">
      <c r="D952" s="36"/>
      <c r="P952" s="36"/>
      <c r="V952" s="36"/>
      <c r="AA952" s="36"/>
      <c r="AD952" s="36"/>
      <c r="AJ952" s="36"/>
      <c r="AN952" s="36"/>
      <c r="BH952" s="102"/>
    </row>
    <row r="953">
      <c r="D953" s="36"/>
      <c r="P953" s="36"/>
      <c r="V953" s="36"/>
      <c r="AA953" s="36"/>
      <c r="AD953" s="36"/>
      <c r="AJ953" s="36"/>
      <c r="AN953" s="36"/>
      <c r="BH953" s="102"/>
    </row>
    <row r="954">
      <c r="D954" s="36"/>
      <c r="P954" s="36"/>
      <c r="V954" s="36"/>
      <c r="AA954" s="36"/>
      <c r="AD954" s="36"/>
      <c r="AJ954" s="36"/>
      <c r="AN954" s="36"/>
      <c r="BH954" s="102"/>
    </row>
    <row r="955">
      <c r="D955" s="36"/>
      <c r="P955" s="36"/>
      <c r="V955" s="36"/>
      <c r="AA955" s="36"/>
      <c r="AD955" s="36"/>
      <c r="AJ955" s="36"/>
      <c r="AN955" s="36"/>
      <c r="BH955" s="102"/>
    </row>
    <row r="956">
      <c r="D956" s="36"/>
      <c r="P956" s="36"/>
      <c r="V956" s="36"/>
      <c r="AA956" s="36"/>
      <c r="AD956" s="36"/>
      <c r="AJ956" s="36"/>
      <c r="AN956" s="36"/>
      <c r="BH956" s="102"/>
    </row>
    <row r="957">
      <c r="D957" s="36"/>
      <c r="P957" s="36"/>
      <c r="V957" s="36"/>
      <c r="AA957" s="36"/>
      <c r="AD957" s="36"/>
      <c r="AJ957" s="36"/>
      <c r="AN957" s="36"/>
      <c r="BH957" s="102"/>
    </row>
    <row r="958">
      <c r="D958" s="36"/>
      <c r="P958" s="36"/>
      <c r="V958" s="36"/>
      <c r="AA958" s="36"/>
      <c r="AD958" s="36"/>
      <c r="AJ958" s="36"/>
      <c r="AN958" s="36"/>
      <c r="BH958" s="102"/>
    </row>
    <row r="959">
      <c r="D959" s="36"/>
      <c r="P959" s="36"/>
      <c r="V959" s="36"/>
      <c r="AA959" s="36"/>
      <c r="AD959" s="36"/>
      <c r="AJ959" s="36"/>
      <c r="AN959" s="36"/>
      <c r="BH959" s="102"/>
    </row>
    <row r="960">
      <c r="D960" s="36"/>
      <c r="P960" s="36"/>
      <c r="V960" s="36"/>
      <c r="AA960" s="36"/>
      <c r="AD960" s="36"/>
      <c r="AJ960" s="36"/>
      <c r="AN960" s="36"/>
      <c r="BH960" s="102"/>
    </row>
    <row r="961">
      <c r="D961" s="36"/>
      <c r="P961" s="36"/>
      <c r="V961" s="36"/>
      <c r="AA961" s="36"/>
      <c r="AD961" s="36"/>
      <c r="AJ961" s="36"/>
      <c r="AN961" s="36"/>
      <c r="BH961" s="102"/>
    </row>
    <row r="962">
      <c r="D962" s="36"/>
      <c r="P962" s="36"/>
      <c r="V962" s="36"/>
      <c r="AA962" s="36"/>
      <c r="AD962" s="36"/>
      <c r="AJ962" s="36"/>
      <c r="AN962" s="36"/>
      <c r="BH962" s="102"/>
    </row>
    <row r="963">
      <c r="D963" s="36"/>
      <c r="P963" s="36"/>
      <c r="V963" s="36"/>
      <c r="AA963" s="36"/>
      <c r="AD963" s="36"/>
      <c r="AJ963" s="36"/>
      <c r="AN963" s="36"/>
      <c r="BH963" s="102"/>
    </row>
    <row r="964">
      <c r="D964" s="36"/>
      <c r="P964" s="36"/>
      <c r="V964" s="36"/>
      <c r="AA964" s="36"/>
      <c r="AD964" s="36"/>
      <c r="AJ964" s="36"/>
      <c r="AN964" s="36"/>
      <c r="BH964" s="102"/>
    </row>
    <row r="965">
      <c r="D965" s="36"/>
      <c r="P965" s="36"/>
      <c r="V965" s="36"/>
      <c r="AA965" s="36"/>
      <c r="AD965" s="36"/>
      <c r="AJ965" s="36"/>
      <c r="AN965" s="36"/>
      <c r="BH965" s="102"/>
    </row>
    <row r="966">
      <c r="D966" s="36"/>
      <c r="P966" s="36"/>
      <c r="V966" s="36"/>
      <c r="AA966" s="36"/>
      <c r="AD966" s="36"/>
      <c r="AJ966" s="36"/>
      <c r="AN966" s="36"/>
      <c r="BH966" s="102"/>
    </row>
    <row r="967">
      <c r="D967" s="36"/>
      <c r="P967" s="36"/>
      <c r="V967" s="36"/>
      <c r="AA967" s="36"/>
      <c r="AD967" s="36"/>
      <c r="AJ967" s="36"/>
      <c r="AN967" s="36"/>
      <c r="BH967" s="102"/>
    </row>
    <row r="968">
      <c r="D968" s="36"/>
      <c r="P968" s="36"/>
      <c r="V968" s="36"/>
      <c r="AA968" s="36"/>
      <c r="AD968" s="36"/>
      <c r="AJ968" s="36"/>
      <c r="AN968" s="36"/>
      <c r="BH968" s="102"/>
    </row>
    <row r="969">
      <c r="D969" s="36"/>
      <c r="P969" s="36"/>
      <c r="V969" s="36"/>
      <c r="AA969" s="36"/>
      <c r="AD969" s="36"/>
      <c r="AJ969" s="36"/>
      <c r="AN969" s="36"/>
      <c r="BH969" s="102"/>
    </row>
    <row r="970">
      <c r="D970" s="36"/>
      <c r="P970" s="36"/>
      <c r="V970" s="36"/>
      <c r="AA970" s="36"/>
      <c r="AD970" s="36"/>
      <c r="AJ970" s="36"/>
      <c r="AN970" s="36"/>
      <c r="BH970" s="102"/>
    </row>
    <row r="971">
      <c r="D971" s="36"/>
      <c r="P971" s="36"/>
      <c r="V971" s="36"/>
      <c r="AA971" s="36"/>
      <c r="AD971" s="36"/>
      <c r="AJ971" s="36"/>
      <c r="AN971" s="36"/>
      <c r="BH971" s="102"/>
    </row>
    <row r="972">
      <c r="D972" s="36"/>
      <c r="P972" s="36"/>
      <c r="V972" s="36"/>
      <c r="AA972" s="36"/>
      <c r="AD972" s="36"/>
      <c r="AJ972" s="36"/>
      <c r="AN972" s="36"/>
      <c r="BH972" s="102"/>
    </row>
    <row r="973">
      <c r="D973" s="36"/>
      <c r="P973" s="36"/>
      <c r="V973" s="36"/>
      <c r="AA973" s="36"/>
      <c r="AD973" s="36"/>
      <c r="AJ973" s="36"/>
      <c r="AN973" s="36"/>
      <c r="BH973" s="102"/>
    </row>
    <row r="974">
      <c r="D974" s="36"/>
      <c r="P974" s="36"/>
      <c r="V974" s="36"/>
      <c r="AA974" s="36"/>
      <c r="AD974" s="36"/>
      <c r="AJ974" s="36"/>
      <c r="AN974" s="36"/>
      <c r="BH974" s="102"/>
    </row>
    <row r="975">
      <c r="D975" s="36"/>
      <c r="P975" s="36"/>
      <c r="V975" s="36"/>
      <c r="AA975" s="36"/>
      <c r="AD975" s="36"/>
      <c r="AJ975" s="36"/>
      <c r="AN975" s="36"/>
      <c r="BH975" s="102"/>
    </row>
    <row r="976">
      <c r="D976" s="36"/>
      <c r="P976" s="36"/>
      <c r="V976" s="36"/>
      <c r="AA976" s="36"/>
      <c r="AD976" s="36"/>
      <c r="AJ976" s="36"/>
      <c r="AN976" s="36"/>
      <c r="BH976" s="102"/>
    </row>
    <row r="977">
      <c r="D977" s="36"/>
      <c r="P977" s="36"/>
      <c r="V977" s="36"/>
      <c r="AA977" s="36"/>
      <c r="AD977" s="36"/>
      <c r="AJ977" s="36"/>
      <c r="AN977" s="36"/>
      <c r="BH977" s="102"/>
    </row>
    <row r="978">
      <c r="D978" s="36"/>
      <c r="P978" s="36"/>
      <c r="V978" s="36"/>
      <c r="AA978" s="36"/>
      <c r="AD978" s="36"/>
      <c r="AJ978" s="36"/>
      <c r="AN978" s="36"/>
      <c r="BH978" s="102"/>
    </row>
    <row r="979">
      <c r="D979" s="36"/>
      <c r="P979" s="36"/>
      <c r="V979" s="36"/>
      <c r="AA979" s="36"/>
      <c r="AD979" s="36"/>
      <c r="AJ979" s="36"/>
      <c r="AN979" s="36"/>
      <c r="BH979" s="102"/>
    </row>
    <row r="980">
      <c r="D980" s="36"/>
      <c r="P980" s="36"/>
      <c r="V980" s="36"/>
      <c r="AA980" s="36"/>
      <c r="AD980" s="36"/>
      <c r="AJ980" s="36"/>
      <c r="AN980" s="36"/>
      <c r="BH980" s="102"/>
    </row>
    <row r="981">
      <c r="D981" s="36"/>
      <c r="P981" s="36"/>
      <c r="V981" s="36"/>
      <c r="AA981" s="36"/>
      <c r="AD981" s="36"/>
      <c r="AJ981" s="36"/>
      <c r="AN981" s="36"/>
      <c r="BH981" s="102"/>
    </row>
    <row r="982">
      <c r="D982" s="36"/>
      <c r="P982" s="36"/>
      <c r="V982" s="36"/>
      <c r="AA982" s="36"/>
      <c r="AD982" s="36"/>
      <c r="AJ982" s="36"/>
      <c r="AN982" s="36"/>
      <c r="BH982" s="102"/>
    </row>
    <row r="983">
      <c r="D983" s="36"/>
      <c r="P983" s="36"/>
      <c r="V983" s="36"/>
      <c r="AA983" s="36"/>
      <c r="AD983" s="36"/>
      <c r="AJ983" s="36"/>
      <c r="AN983" s="36"/>
      <c r="BH983" s="102"/>
    </row>
    <row r="984">
      <c r="D984" s="36"/>
      <c r="P984" s="36"/>
      <c r="V984" s="36"/>
      <c r="AA984" s="36"/>
      <c r="AD984" s="36"/>
      <c r="AJ984" s="36"/>
      <c r="AN984" s="36"/>
      <c r="BH984" s="102"/>
    </row>
    <row r="985">
      <c r="D985" s="36"/>
      <c r="P985" s="36"/>
      <c r="V985" s="36"/>
      <c r="AA985" s="36"/>
      <c r="AD985" s="36"/>
      <c r="AJ985" s="36"/>
      <c r="AN985" s="36"/>
      <c r="BH985" s="102"/>
    </row>
    <row r="986">
      <c r="D986" s="36"/>
      <c r="P986" s="36"/>
      <c r="V986" s="36"/>
      <c r="AA986" s="36"/>
      <c r="AD986" s="36"/>
      <c r="AJ986" s="36"/>
      <c r="AN986" s="36"/>
      <c r="BH986" s="102"/>
    </row>
    <row r="987">
      <c r="D987" s="36"/>
      <c r="P987" s="36"/>
      <c r="V987" s="36"/>
      <c r="AA987" s="36"/>
      <c r="AD987" s="36"/>
      <c r="AJ987" s="36"/>
      <c r="AN987" s="36"/>
      <c r="BH987" s="102"/>
    </row>
    <row r="988">
      <c r="D988" s="36"/>
      <c r="P988" s="36"/>
      <c r="V988" s="36"/>
      <c r="AA988" s="36"/>
      <c r="AD988" s="36"/>
      <c r="AJ988" s="36"/>
      <c r="AN988" s="36"/>
      <c r="BH988" s="102"/>
    </row>
    <row r="989">
      <c r="D989" s="36"/>
      <c r="P989" s="36"/>
      <c r="V989" s="36"/>
      <c r="AA989" s="36"/>
      <c r="AD989" s="36"/>
      <c r="AJ989" s="36"/>
      <c r="AN989" s="36"/>
      <c r="BH989" s="102"/>
    </row>
    <row r="990">
      <c r="D990" s="36"/>
      <c r="P990" s="36"/>
      <c r="V990" s="36"/>
      <c r="AA990" s="36"/>
      <c r="AD990" s="36"/>
      <c r="AJ990" s="36"/>
      <c r="AN990" s="36"/>
      <c r="BH990" s="102"/>
    </row>
    <row r="991">
      <c r="D991" s="36"/>
      <c r="P991" s="36"/>
      <c r="V991" s="36"/>
      <c r="AA991" s="36"/>
      <c r="AD991" s="36"/>
      <c r="AJ991" s="36"/>
      <c r="AN991" s="36"/>
      <c r="BH991" s="102"/>
    </row>
    <row r="992">
      <c r="D992" s="36"/>
      <c r="P992" s="36"/>
      <c r="V992" s="36"/>
      <c r="AA992" s="36"/>
      <c r="AD992" s="36"/>
      <c r="AJ992" s="36"/>
      <c r="AN992" s="36"/>
      <c r="BH992" s="102"/>
    </row>
    <row r="993">
      <c r="D993" s="36"/>
      <c r="P993" s="36"/>
      <c r="V993" s="36"/>
      <c r="AA993" s="36"/>
      <c r="AD993" s="36"/>
      <c r="AJ993" s="36"/>
      <c r="AN993" s="36"/>
      <c r="BH993" s="102"/>
    </row>
    <row r="994">
      <c r="D994" s="36"/>
      <c r="P994" s="36"/>
      <c r="V994" s="36"/>
      <c r="AA994" s="36"/>
      <c r="AD994" s="36"/>
      <c r="AJ994" s="36"/>
      <c r="AN994" s="36"/>
      <c r="BH994" s="102"/>
    </row>
    <row r="995">
      <c r="D995" s="36"/>
      <c r="P995" s="36"/>
      <c r="V995" s="36"/>
      <c r="AA995" s="36"/>
      <c r="AD995" s="36"/>
      <c r="AJ995" s="36"/>
      <c r="AN995" s="36"/>
      <c r="BH995" s="102"/>
    </row>
    <row r="996">
      <c r="D996" s="36"/>
      <c r="P996" s="36"/>
      <c r="V996" s="36"/>
      <c r="AA996" s="36"/>
      <c r="AD996" s="36"/>
      <c r="AJ996" s="36"/>
      <c r="AN996" s="36"/>
      <c r="BH996" s="102"/>
    </row>
    <row r="997">
      <c r="D997" s="36"/>
      <c r="P997" s="36"/>
      <c r="V997" s="36"/>
      <c r="AA997" s="36"/>
      <c r="AD997" s="36"/>
      <c r="AJ997" s="36"/>
      <c r="AN997" s="36"/>
      <c r="BH997" s="102"/>
    </row>
    <row r="998">
      <c r="D998" s="36"/>
      <c r="P998" s="36"/>
      <c r="V998" s="36"/>
      <c r="AA998" s="36"/>
      <c r="AD998" s="36"/>
      <c r="AJ998" s="36"/>
      <c r="AN998" s="36"/>
      <c r="BH998" s="102"/>
    </row>
    <row r="999">
      <c r="D999" s="36"/>
      <c r="P999" s="36"/>
      <c r="V999" s="36"/>
      <c r="AA999" s="36"/>
      <c r="AD999" s="36"/>
      <c r="AJ999" s="36"/>
      <c r="AN999" s="36"/>
      <c r="BH999" s="102"/>
    </row>
    <row r="1000">
      <c r="D1000" s="36"/>
      <c r="P1000" s="36"/>
      <c r="V1000" s="36"/>
      <c r="AA1000" s="36"/>
      <c r="AD1000" s="36"/>
      <c r="AJ1000" s="36"/>
      <c r="AN1000" s="36"/>
      <c r="BH1000" s="102"/>
    </row>
  </sheetData>
  <drawing r:id="rId1"/>
</worksheet>
</file>