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yeccion" sheetId="1" r:id="rId4"/>
    <sheet state="visible" name="Resultados" sheetId="2" r:id="rId5"/>
  </sheets>
  <definedNames/>
  <calcPr/>
</workbook>
</file>

<file path=xl/sharedStrings.xml><?xml version="1.0" encoding="utf-8"?>
<sst xmlns="http://schemas.openxmlformats.org/spreadsheetml/2006/main" count="860" uniqueCount="191">
  <si>
    <t>Año</t>
  </si>
  <si>
    <t>Mes</t>
  </si>
  <si>
    <t>Fecha</t>
  </si>
  <si>
    <t>Cantidad de pagos</t>
  </si>
  <si>
    <t>Capital a la fecha</t>
  </si>
  <si>
    <t>Monto cuotas</t>
  </si>
  <si>
    <t>Seguro</t>
  </si>
  <si>
    <t>GPS</t>
  </si>
  <si>
    <t>Membresia</t>
  </si>
  <si>
    <t>Mora</t>
  </si>
  <si>
    <t>Capital</t>
  </si>
  <si>
    <t>Interes</t>
  </si>
  <si>
    <t>Créditos proyectados</t>
  </si>
  <si>
    <t>Monto</t>
  </si>
  <si>
    <t>Royalti</t>
  </si>
  <si>
    <t>Interes anticipado</t>
  </si>
  <si>
    <t>Otros</t>
  </si>
  <si>
    <t>Interes cobros</t>
  </si>
  <si>
    <t>Interes ventas</t>
  </si>
  <si>
    <t>Facturacion total</t>
  </si>
  <si>
    <t>Pagos recibidos</t>
  </si>
  <si>
    <t>Capital vigente</t>
  </si>
  <si>
    <t>Monto cuotas recuperado</t>
  </si>
  <si>
    <t>Seguro_P</t>
  </si>
  <si>
    <t>GPS_p</t>
  </si>
  <si>
    <t>Membresia_P</t>
  </si>
  <si>
    <t>Mora_p</t>
  </si>
  <si>
    <t>Capital_P</t>
  </si>
  <si>
    <t>Interes_P</t>
  </si>
  <si>
    <t>Créditos otorgados</t>
  </si>
  <si>
    <t>Monto_C</t>
  </si>
  <si>
    <t>Royalti_C</t>
  </si>
  <si>
    <t>Interes anticipado_C</t>
  </si>
  <si>
    <t>Otros_C</t>
  </si>
  <si>
    <t>Membresia_C</t>
  </si>
  <si>
    <t>Seguro_C</t>
  </si>
  <si>
    <t>GPS_C</t>
  </si>
  <si>
    <t>Interes cobros_R</t>
  </si>
  <si>
    <t>Interes ventas_R</t>
  </si>
  <si>
    <t>Membresia_R</t>
  </si>
  <si>
    <t>Mora_R</t>
  </si>
  <si>
    <t>Royalti_R</t>
  </si>
  <si>
    <t>Otros_R</t>
  </si>
  <si>
    <t>Facturacion total Real</t>
  </si>
  <si>
    <t>Demandas proyectadas</t>
  </si>
  <si>
    <t>Oficios</t>
  </si>
  <si>
    <t>Demandas ingresadas</t>
  </si>
  <si>
    <t>Oficios recibidos</t>
  </si>
  <si>
    <t>Junio</t>
  </si>
  <si>
    <t>Total</t>
  </si>
  <si>
    <t>408,312,60</t>
  </si>
  <si>
    <t>4024,449,00</t>
  </si>
  <si>
    <t>,1,724,892,04</t>
  </si>
  <si>
    <t>Agosto</t>
  </si>
  <si>
    <t>Septiembre</t>
  </si>
  <si>
    <t>07-sep-2024</t>
  </si>
  <si>
    <t xml:space="preserve"> </t>
  </si>
  <si>
    <t>Octubre</t>
  </si>
  <si>
    <t>249,807,65</t>
  </si>
  <si>
    <t>Noviembre</t>
  </si>
  <si>
    <t>Q289.081,63</t>
  </si>
  <si>
    <t>Q273.214,97</t>
  </si>
  <si>
    <t>Diciembre</t>
  </si>
  <si>
    <t>Q283.982,20</t>
  </si>
  <si>
    <t>Q338.433,53</t>
  </si>
  <si>
    <t>Q326.487,39</t>
  </si>
  <si>
    <t>Q231.485,51</t>
  </si>
  <si>
    <t>Q12.498,94</t>
  </si>
  <si>
    <t>Q1.830,11</t>
  </si>
  <si>
    <t>Q828,00</t>
  </si>
  <si>
    <t>Q863,13</t>
  </si>
  <si>
    <t>Q4.724,21</t>
  </si>
  <si>
    <t>Q4.253,49</t>
  </si>
  <si>
    <t>Q616.521,84</t>
  </si>
  <si>
    <t>Q28.556,04</t>
  </si>
  <si>
    <t>Q3.169,32</t>
  </si>
  <si>
    <t>Q1.104,00</t>
  </si>
  <si>
    <t>Q1.395,84</t>
  </si>
  <si>
    <t>Q12.417,10</t>
  </si>
  <si>
    <t>Q10.469,78</t>
  </si>
  <si>
    <t>Q375.654,82</t>
  </si>
  <si>
    <t>Q21.474,28</t>
  </si>
  <si>
    <t>Q2.657,74</t>
  </si>
  <si>
    <t>Q966,00</t>
  </si>
  <si>
    <t>Q998,61</t>
  </si>
  <si>
    <t>Q11.231,94</t>
  </si>
  <si>
    <t>Q5.619,99</t>
  </si>
  <si>
    <t>Q318.993,05</t>
  </si>
  <si>
    <t>Q16.297,39</t>
  </si>
  <si>
    <t>Q1.942,95</t>
  </si>
  <si>
    <t>Q414,00</t>
  </si>
  <si>
    <t>Q639,42</t>
  </si>
  <si>
    <t>Q7.941,94</t>
  </si>
  <si>
    <t>Q5.359,08</t>
  </si>
  <si>
    <t>Q115.336,27</t>
  </si>
  <si>
    <t>Q6.901,04</t>
  </si>
  <si>
    <t>Q1.000,10</t>
  </si>
  <si>
    <t>Q366,37</t>
  </si>
  <si>
    <t>Q3.182,92</t>
  </si>
  <si>
    <t>Q1.937,65</t>
  </si>
  <si>
    <t>Q218.443,56</t>
  </si>
  <si>
    <t>Enero</t>
  </si>
  <si>
    <t>Q135.913,95</t>
  </si>
  <si>
    <t>Q70.325,37</t>
  </si>
  <si>
    <t>Q4.969,21</t>
  </si>
  <si>
    <t>Q794,85</t>
  </si>
  <si>
    <t>Q276,00</t>
  </si>
  <si>
    <t>Q385,17</t>
  </si>
  <si>
    <t>Q1.386,64</t>
  </si>
  <si>
    <t>Q2.126,55</t>
  </si>
  <si>
    <t>Q502.061,26</t>
  </si>
  <si>
    <t>Q425.666,12</t>
  </si>
  <si>
    <t>Q22.233,57</t>
  </si>
  <si>
    <t>Q2.594,01</t>
  </si>
  <si>
    <t>Q552,00</t>
  </si>
  <si>
    <t>Q632,31</t>
  </si>
  <si>
    <t>Q11.304,06</t>
  </si>
  <si>
    <t>Q7.151,19</t>
  </si>
  <si>
    <t>Q450.781,36</t>
  </si>
  <si>
    <t>Febrero</t>
  </si>
  <si>
    <t>Q688.518,46</t>
  </si>
  <si>
    <t>Q428.398,16</t>
  </si>
  <si>
    <t>Q394.227,16</t>
  </si>
  <si>
    <t>Q281.891,55</t>
  </si>
  <si>
    <t>Marzo</t>
  </si>
  <si>
    <t>Q448.882,57</t>
  </si>
  <si>
    <t>Q335.097,61</t>
  </si>
  <si>
    <t>Q297.991,66</t>
  </si>
  <si>
    <t>Q296.995,16</t>
  </si>
  <si>
    <t>Abril</t>
  </si>
  <si>
    <t>Q297.066,68</t>
  </si>
  <si>
    <t>Q372.066,00</t>
  </si>
  <si>
    <t>Q314.810,11</t>
  </si>
  <si>
    <t>Q317.148,37</t>
  </si>
  <si>
    <t>Q182.555,27</t>
  </si>
  <si>
    <t>Mayo</t>
  </si>
  <si>
    <t>Q356.089,65</t>
  </si>
  <si>
    <t>Q436.580,10</t>
  </si>
  <si>
    <t>Q339.440,02</t>
  </si>
  <si>
    <t>Q326.007,41</t>
  </si>
  <si>
    <t>Q290.244,27</t>
  </si>
  <si>
    <t>Q283.729,42</t>
  </si>
  <si>
    <t>Q345.608,38</t>
  </si>
  <si>
    <t>Q82800</t>
  </si>
  <si>
    <t>Q41400</t>
  </si>
  <si>
    <t>Q27600</t>
  </si>
  <si>
    <t>Q357,942.03</t>
  </si>
  <si>
    <t>Q20,506.59</t>
  </si>
  <si>
    <t>Q2,406.77</t>
  </si>
  <si>
    <t>Q1,242</t>
  </si>
  <si>
    <t>Q1,699.95</t>
  </si>
  <si>
    <t>Q0.00</t>
  </si>
  <si>
    <t>Q8,744.02</t>
  </si>
  <si>
    <t>Q6,413.85</t>
  </si>
  <si>
    <t>Q350,758.43</t>
  </si>
  <si>
    <t>Q18,686.24</t>
  </si>
  <si>
    <t>Q2,371.03</t>
  </si>
  <si>
    <t>Q1,104</t>
  </si>
  <si>
    <t>Q1,434.81</t>
  </si>
  <si>
    <t>Q7,681.45</t>
  </si>
  <si>
    <t>Q6,094.95</t>
  </si>
  <si>
    <t>Q25,705,344.54</t>
  </si>
  <si>
    <t>Q1,449,566.36</t>
  </si>
  <si>
    <t>Q134,269.60</t>
  </si>
  <si>
    <t>Q9,195.40</t>
  </si>
  <si>
    <t>Q125,041.93</t>
  </si>
  <si>
    <t>Q12,675.99</t>
  </si>
  <si>
    <t>Q721,976.56</t>
  </si>
  <si>
    <t>Q459,082.88</t>
  </si>
  <si>
    <t>Q92,681.70</t>
  </si>
  <si>
    <t>Q4,949.24</t>
  </si>
  <si>
    <t>Q556.81</t>
  </si>
  <si>
    <t>Q276</t>
  </si>
  <si>
    <t>Q661.95</t>
  </si>
  <si>
    <t>Q1,866.08</t>
  </si>
  <si>
    <t>Q1,588.40</t>
  </si>
  <si>
    <t>Q55,589.60</t>
  </si>
  <si>
    <t>Q2,700.75</t>
  </si>
  <si>
    <t>Q263.01</t>
  </si>
  <si>
    <t>Q138</t>
  </si>
  <si>
    <t>Q269.60</t>
  </si>
  <si>
    <t>Q1,078.12</t>
  </si>
  <si>
    <t>Q952.02</t>
  </si>
  <si>
    <t>Q61,367.60</t>
  </si>
  <si>
    <t>Q3,827.40</t>
  </si>
  <si>
    <t>Q542.47</t>
  </si>
  <si>
    <t>Q224.60</t>
  </si>
  <si>
    <t>Q832.41</t>
  </si>
  <si>
    <t>Q2,089.92</t>
  </si>
  <si>
    <t>agosto</t>
  </si>
  <si>
    <t>Créditos confirmados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</si>
</sst>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Q]#,##0.00"/>
    <numFmt numFmtId="165" formatCode="dd-mmm-yyyy"/>
    <numFmt numFmtId="166" formatCode="dd/mm/yyyy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b/>
      <color rgb="FF000000"/>
      <name val="Arial"/>
      <scheme val="minor"/>
    </font>
    <font>
      <color rgb="FFFF0000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b/>
      <color rgb="FFFF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A2C4C9"/>
        <bgColor rgb="FFA2C4C9"/>
      </patternFill>
    </fill>
  </fills>
  <borders count="4">
    <border/>
    <border>
      <left style="thin">
        <color rgb="FFFFFFFF"/>
      </left>
      <top style="thick">
        <color rgb="FF666666"/>
      </top>
    </border>
    <border>
      <top style="thick">
        <color rgb="FF666666"/>
      </top>
    </border>
    <border>
      <left style="thin">
        <color rgb="FFFFFFFF"/>
      </left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readingOrder="0"/>
    </xf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164" xfId="0" applyAlignment="1" applyFont="1" applyNumberFormat="1">
      <alignment readingOrder="0"/>
    </xf>
    <xf borderId="0" fillId="6" fontId="2" numFmtId="164" xfId="0" applyAlignment="1" applyFill="1" applyFont="1" applyNumberFormat="1">
      <alignment horizontal="center" readingOrder="0"/>
    </xf>
    <xf borderId="0" fillId="6" fontId="2" numFmtId="0" xfId="0" applyAlignment="1" applyFont="1">
      <alignment horizontal="center" readingOrder="0"/>
    </xf>
    <xf borderId="0" fillId="7" fontId="2" numFmtId="164" xfId="0" applyAlignment="1" applyFill="1" applyFont="1" applyNumberFormat="1">
      <alignment horizontal="center" readingOrder="0"/>
    </xf>
    <xf borderId="0" fillId="2" fontId="2" numFmtId="0" xfId="0" applyAlignment="1" applyFont="1">
      <alignment readingOrder="0"/>
    </xf>
    <xf borderId="0" fillId="2" fontId="2" numFmtId="165" xfId="0" applyAlignment="1" applyFont="1" applyNumberFormat="1">
      <alignment readingOrder="0"/>
    </xf>
    <xf borderId="1" fillId="3" fontId="3" numFmtId="0" xfId="0" applyAlignment="1" applyBorder="1" applyFont="1">
      <alignment horizontal="center" shrinkToFit="0" vertical="center" wrapText="1"/>
    </xf>
    <xf borderId="2" fillId="3" fontId="3" numFmtId="164" xfId="0" applyAlignment="1" applyBorder="1" applyFont="1" applyNumberFormat="1">
      <alignment horizontal="center" readingOrder="0" shrinkToFit="0" vertical="center" wrapText="1"/>
    </xf>
    <xf borderId="0" fillId="4" fontId="4" numFmtId="0" xfId="0" applyAlignment="1" applyFont="1">
      <alignment horizontal="center" readingOrder="0"/>
    </xf>
    <xf borderId="0" fillId="4" fontId="4" numFmtId="164" xfId="0" applyAlignment="1" applyFont="1" applyNumberFormat="1">
      <alignment readingOrder="0"/>
    </xf>
    <xf borderId="0" fillId="4" fontId="4" numFmtId="164" xfId="0" applyFont="1" applyNumberFormat="1"/>
    <xf borderId="0" fillId="5" fontId="2" numFmtId="164" xfId="0" applyFont="1" applyNumberFormat="1"/>
    <xf borderId="0" fillId="4" fontId="4" numFmtId="0" xfId="0" applyAlignment="1" applyFont="1">
      <alignment readingOrder="0"/>
    </xf>
    <xf borderId="0" fillId="6" fontId="2" numFmtId="164" xfId="0" applyAlignment="1" applyFont="1" applyNumberFormat="1">
      <alignment horizontal="center"/>
    </xf>
    <xf borderId="0" fillId="6" fontId="2" numFmtId="0" xfId="0" applyAlignment="1" applyFont="1">
      <alignment horizontal="center"/>
    </xf>
    <xf borderId="0" fillId="7" fontId="2" numFmtId="164" xfId="0" applyAlignment="1" applyFont="1" applyNumberFormat="1">
      <alignment horizontal="center"/>
    </xf>
    <xf borderId="3" fillId="3" fontId="3" numFmtId="0" xfId="0" applyAlignment="1" applyBorder="1" applyFont="1">
      <alignment horizontal="center" shrinkToFit="0" vertical="center" wrapText="1"/>
    </xf>
    <xf borderId="0" fillId="3" fontId="3" numFmtId="164" xfId="0" applyAlignment="1" applyFont="1" applyNumberFormat="1">
      <alignment horizontal="center" readingOrder="0" shrinkToFit="0" vertical="center" wrapText="1"/>
    </xf>
    <xf borderId="3" fillId="3" fontId="3" numFmtId="0" xfId="0" applyAlignment="1" applyBorder="1" applyFont="1">
      <alignment horizontal="center" vertical="bottom"/>
    </xf>
    <xf borderId="0" fillId="3" fontId="3" numFmtId="164" xfId="0" applyAlignment="1" applyFont="1" applyNumberFormat="1">
      <alignment horizontal="center" readingOrder="0" vertical="bottom"/>
    </xf>
    <xf borderId="0" fillId="4" fontId="5" numFmtId="0" xfId="0" applyAlignment="1" applyFont="1">
      <alignment horizontal="center" readingOrder="0"/>
    </xf>
    <xf borderId="0" fillId="4" fontId="5" numFmtId="164" xfId="0" applyAlignment="1" applyFont="1" applyNumberFormat="1">
      <alignment readingOrder="0"/>
    </xf>
    <xf borderId="0" fillId="4" fontId="5" numFmtId="0" xfId="0" applyAlignment="1" applyFont="1">
      <alignment readingOrder="0"/>
    </xf>
    <xf borderId="0" fillId="4" fontId="5" numFmtId="164" xfId="0" applyFont="1" applyNumberFormat="1"/>
    <xf borderId="0" fillId="4" fontId="4" numFmtId="0" xfId="0" applyFont="1"/>
    <xf borderId="0" fillId="5" fontId="2" numFmtId="0" xfId="0" applyFont="1"/>
    <xf borderId="0" fillId="3" fontId="1" numFmtId="0" xfId="0" applyAlignment="1" applyFont="1">
      <alignment horizontal="center"/>
    </xf>
    <xf borderId="0" fillId="3" fontId="1" numFmtId="164" xfId="0" applyAlignment="1" applyFont="1" applyNumberFormat="1">
      <alignment horizontal="center"/>
    </xf>
    <xf borderId="0" fillId="4" fontId="1" numFmtId="0" xfId="0" applyAlignment="1" applyFont="1">
      <alignment horizontal="center"/>
    </xf>
    <xf borderId="0" fillId="4" fontId="1" numFmtId="164" xfId="0" applyAlignment="1" applyFont="1" applyNumberFormat="1">
      <alignment horizontal="center"/>
    </xf>
    <xf borderId="0" fillId="5" fontId="1" numFmtId="164" xfId="0" applyAlignment="1" applyFont="1" applyNumberFormat="1">
      <alignment horizontal="center"/>
    </xf>
    <xf borderId="0" fillId="6" fontId="1" numFmtId="0" xfId="0" applyAlignment="1" applyFont="1">
      <alignment horizontal="center"/>
    </xf>
    <xf borderId="0" fillId="6" fontId="1" numFmtId="0" xfId="0" applyAlignment="1" applyFont="1">
      <alignment horizontal="center"/>
    </xf>
    <xf borderId="0" fillId="7" fontId="1" numFmtId="0" xfId="0" applyAlignment="1" applyFont="1">
      <alignment horizontal="center"/>
    </xf>
    <xf borderId="1" fillId="3" fontId="3" numFmtId="0" xfId="0" applyAlignment="1" applyBorder="1" applyFont="1">
      <alignment horizontal="center" readingOrder="0" shrinkToFit="0" vertical="center" wrapText="1"/>
    </xf>
    <xf borderId="3" fillId="3" fontId="3" numFmtId="0" xfId="0" applyAlignment="1" applyBorder="1" applyFont="1">
      <alignment horizontal="center" readingOrder="0" shrinkToFit="0" vertical="center" wrapText="1"/>
    </xf>
    <xf borderId="0" fillId="4" fontId="4" numFmtId="0" xfId="0" applyAlignment="1" applyFont="1">
      <alignment horizontal="right" readingOrder="0"/>
    </xf>
    <xf borderId="3" fillId="3" fontId="3" numFmtId="0" xfId="0" applyAlignment="1" applyBorder="1" applyFont="1">
      <alignment horizontal="center" readingOrder="0" vertical="bottom"/>
    </xf>
    <xf borderId="0" fillId="5" fontId="6" numFmtId="164" xfId="0" applyAlignment="1" applyFont="1" applyNumberFormat="1">
      <alignment readingOrder="0"/>
    </xf>
    <xf borderId="0" fillId="5" fontId="6" numFmtId="0" xfId="0" applyAlignment="1" applyFont="1">
      <alignment readingOrder="0"/>
    </xf>
    <xf borderId="0" fillId="5" fontId="6" numFmtId="0" xfId="0" applyFont="1"/>
    <xf borderId="0" fillId="5" fontId="1" numFmtId="0" xfId="0" applyAlignment="1" applyFont="1">
      <alignment horizontal="center"/>
    </xf>
    <xf borderId="3" fillId="3" fontId="3" numFmtId="0" xfId="0" applyAlignment="1" applyBorder="1" applyFont="1">
      <alignment horizontal="center" vertical="bottom"/>
    </xf>
    <xf borderId="0" fillId="3" fontId="1" numFmtId="164" xfId="0" applyAlignment="1" applyFont="1" applyNumberFormat="1">
      <alignment horizontal="center" readingOrder="0"/>
    </xf>
    <xf borderId="0" fillId="4" fontId="1" numFmtId="164" xfId="0" applyAlignment="1" applyFont="1" applyNumberFormat="1">
      <alignment horizontal="center" readingOrder="0"/>
    </xf>
    <xf borderId="1" fillId="3" fontId="3" numFmtId="4" xfId="0" applyAlignment="1" applyBorder="1" applyFont="1" applyNumberFormat="1">
      <alignment horizontal="center" readingOrder="0" shrinkToFit="0" vertical="center" wrapText="1"/>
    </xf>
    <xf borderId="0" fillId="3" fontId="3" numFmtId="0" xfId="0" applyAlignment="1" applyFont="1">
      <alignment horizontal="center" readingOrder="0" vertical="bottom"/>
    </xf>
    <xf borderId="3" fillId="3" fontId="3" numFmtId="4" xfId="0" applyAlignment="1" applyBorder="1" applyFont="1" applyNumberFormat="1">
      <alignment horizontal="center" readingOrder="0" shrinkToFit="0" vertical="center" wrapText="1"/>
    </xf>
    <xf borderId="0" fillId="3" fontId="1" numFmtId="4" xfId="0" applyAlignment="1" applyFont="1" applyNumberFormat="1">
      <alignment horizontal="center"/>
    </xf>
    <xf borderId="0" fillId="3" fontId="3" numFmtId="0" xfId="0" applyAlignment="1" applyFont="1">
      <alignment horizontal="center" readingOrder="0" shrinkToFit="0" vertical="center" wrapText="1"/>
    </xf>
    <xf borderId="0" fillId="3" fontId="3" numFmtId="4" xfId="0" applyAlignment="1" applyFont="1" applyNumberFormat="1">
      <alignment horizontal="center" readingOrder="0" shrinkToFit="0" vertical="center" wrapText="1"/>
    </xf>
    <xf borderId="3" fillId="3" fontId="3" numFmtId="164" xfId="0" applyAlignment="1" applyBorder="1" applyFont="1" applyNumberFormat="1">
      <alignment horizontal="center" readingOrder="0" shrinkToFit="0" vertical="center" wrapText="1"/>
    </xf>
    <xf borderId="0" fillId="3" fontId="1" numFmtId="4" xfId="0" applyAlignment="1" applyFont="1" applyNumberFormat="1">
      <alignment horizontal="center" readingOrder="0"/>
    </xf>
    <xf borderId="1" fillId="3" fontId="3" numFmtId="164" xfId="0" applyAlignment="1" applyBorder="1" applyFont="1" applyNumberFormat="1">
      <alignment horizontal="center" readingOrder="0" shrinkToFit="0" vertical="center" wrapText="1"/>
    </xf>
    <xf borderId="3" fillId="4" fontId="7" numFmtId="0" xfId="0" applyAlignment="1" applyBorder="1" applyFont="1">
      <alignment horizontal="center" vertical="bottom"/>
    </xf>
    <xf borderId="0" fillId="4" fontId="7" numFmtId="164" xfId="0" applyAlignment="1" applyFont="1" applyNumberFormat="1">
      <alignment horizontal="center" readingOrder="0" vertical="bottom"/>
    </xf>
    <xf borderId="0" fillId="4" fontId="7" numFmtId="0" xfId="0" applyAlignment="1" applyFont="1">
      <alignment horizontal="center" vertical="bottom"/>
    </xf>
    <xf borderId="0" fillId="4" fontId="7" numFmtId="164" xfId="0" applyAlignment="1" applyFont="1" applyNumberFormat="1">
      <alignment horizontal="right" readingOrder="0" vertical="bottom"/>
    </xf>
    <xf borderId="0" fillId="4" fontId="7" numFmtId="164" xfId="0" applyAlignment="1" applyFont="1" applyNumberFormat="1">
      <alignment readingOrder="0" vertical="bottom"/>
    </xf>
    <xf borderId="0" fillId="3" fontId="3" numFmtId="4" xfId="0" applyAlignment="1" applyFont="1" applyNumberFormat="1">
      <alignment horizontal="center" readingOrder="0" vertical="bottom"/>
    </xf>
    <xf borderId="0" fillId="4" fontId="4" numFmtId="4" xfId="0" applyAlignment="1" applyFont="1" applyNumberFormat="1">
      <alignment readingOrder="0"/>
    </xf>
    <xf borderId="0" fillId="5" fontId="2" numFmtId="4" xfId="0" applyAlignment="1" applyFont="1" applyNumberFormat="1">
      <alignment readingOrder="0"/>
    </xf>
    <xf borderId="0" fillId="5" fontId="2" numFmtId="164" xfId="0" applyAlignment="1" applyFont="1" applyNumberFormat="1">
      <alignment horizontal="right" readingOrder="0"/>
    </xf>
    <xf borderId="0" fillId="4" fontId="1" numFmtId="4" xfId="0" applyAlignment="1" applyFont="1" applyNumberFormat="1">
      <alignment horizontal="center"/>
    </xf>
    <xf borderId="0" fillId="5" fontId="1" numFmtId="4" xfId="0" applyAlignment="1" applyFont="1" applyNumberFormat="1">
      <alignment horizontal="center"/>
    </xf>
    <xf borderId="0" fillId="3" fontId="2" numFmtId="0" xfId="0" applyAlignment="1" applyFont="1">
      <alignment horizontal="center" readingOrder="0"/>
    </xf>
    <xf borderId="0" fillId="3" fontId="2" numFmtId="4" xfId="0" applyAlignment="1" applyFont="1" applyNumberFormat="1">
      <alignment readingOrder="0"/>
    </xf>
    <xf borderId="0" fillId="4" fontId="2" numFmtId="0" xfId="0" applyAlignment="1" applyFont="1">
      <alignment horizontal="center" readingOrder="0"/>
    </xf>
    <xf borderId="0" fillId="4" fontId="2" numFmtId="164" xfId="0" applyAlignment="1" applyFont="1" applyNumberFormat="1">
      <alignment readingOrder="0"/>
    </xf>
    <xf borderId="0" fillId="4" fontId="2" numFmtId="4" xfId="0" applyAlignment="1" applyFont="1" applyNumberFormat="1">
      <alignment readingOrder="0"/>
    </xf>
    <xf borderId="0" fillId="4" fontId="2" numFmtId="164" xfId="0" applyFont="1" applyNumberFormat="1"/>
    <xf borderId="0" fillId="2" fontId="7" numFmtId="0" xfId="0" applyAlignment="1" applyFont="1">
      <alignment horizontal="right" vertical="bottom"/>
    </xf>
    <xf borderId="0" fillId="2" fontId="7" numFmtId="0" xfId="0" applyAlignment="1" applyFont="1">
      <alignment vertical="bottom"/>
    </xf>
    <xf borderId="0" fillId="3" fontId="2" numFmtId="0" xfId="0" applyAlignment="1" applyFont="1">
      <alignment readingOrder="0"/>
    </xf>
    <xf borderId="0" fillId="2" fontId="2" numFmtId="166" xfId="0" applyAlignment="1" applyFont="1" applyNumberFormat="1">
      <alignment readingOrder="0"/>
    </xf>
    <xf borderId="0" fillId="3" fontId="2" numFmtId="0" xfId="0" applyFont="1"/>
    <xf borderId="0" fillId="4" fontId="2" numFmtId="0" xfId="0" applyFont="1"/>
    <xf borderId="0" fillId="7" fontId="2" numFmtId="0" xfId="0" applyAlignment="1" applyFont="1">
      <alignment horizontal="center" readingOrder="0"/>
    </xf>
    <xf borderId="0" fillId="7" fontId="1" numFmtId="0" xfId="0" applyAlignment="1" applyFont="1">
      <alignment horizontal="center"/>
    </xf>
    <xf borderId="0" fillId="5" fontId="8" numFmtId="164" xfId="0" applyAlignment="1" applyFont="1" applyNumberFormat="1">
      <alignment readingOrder="0"/>
    </xf>
    <xf borderId="0" fillId="3" fontId="3" numFmtId="164" xfId="0" applyAlignment="1" applyFont="1" applyNumberFormat="1">
      <alignment horizontal="center" shrinkToFit="0" vertical="center" wrapText="1"/>
    </xf>
    <xf borderId="0" fillId="7" fontId="1" numFmtId="0" xfId="0" applyAlignment="1" applyFont="1">
      <alignment horizontal="center" readingOrder="0"/>
    </xf>
    <xf borderId="0" fillId="2" fontId="2" numFmtId="0" xfId="0" applyFont="1"/>
    <xf borderId="0" fillId="3" fontId="2" numFmtId="0" xfId="0" applyAlignment="1" applyFont="1">
      <alignment horizontal="center"/>
    </xf>
    <xf borderId="0" fillId="4" fontId="2" numFmtId="0" xfId="0" applyAlignment="1" applyFont="1">
      <alignment horizontal="center"/>
    </xf>
    <xf borderId="0" fillId="6" fontId="2" numFmtId="0" xfId="0" applyAlignment="1" applyFont="1">
      <alignment horizontal="center"/>
    </xf>
    <xf borderId="0" fillId="7" fontId="2" numFmtId="0" xfId="0" applyAlignment="1" applyFont="1">
      <alignment horizontal="center"/>
    </xf>
    <xf borderId="0" fillId="4" fontId="3" numFmtId="0" xfId="0" applyAlignment="1" applyFont="1">
      <alignment horizontal="center" vertical="bottom"/>
    </xf>
    <xf borderId="0" fillId="4" fontId="3" numFmtId="164" xfId="0" applyAlignment="1" applyFont="1" applyNumberFormat="1">
      <alignment horizontal="right" readingOrder="0" vertical="bottom"/>
    </xf>
    <xf borderId="0" fillId="3" fontId="6" numFmtId="0" xfId="0" applyAlignment="1" applyFont="1">
      <alignment readingOrder="0"/>
    </xf>
    <xf borderId="0" fillId="3" fontId="6" numFmtId="164" xfId="0" applyAlignment="1" applyFont="1" applyNumberFormat="1">
      <alignment readingOrder="0"/>
    </xf>
    <xf borderId="0" fillId="3" fontId="6" numFmtId="164" xfId="0" applyFont="1" applyNumberFormat="1"/>
    <xf borderId="0" fillId="2" fontId="1" numFmtId="165" xfId="0" applyAlignment="1" applyFont="1" applyNumberFormat="1">
      <alignment readingOrder="0"/>
    </xf>
    <xf borderId="0" fillId="4" fontId="1" numFmtId="164" xfId="0" applyFont="1" applyNumberFormat="1"/>
    <xf borderId="0" fillId="3" fontId="9" numFmtId="0" xfId="0" applyFont="1"/>
    <xf borderId="0" fillId="3" fontId="9" numFmtId="164" xfId="0" applyFont="1" applyNumberFormat="1"/>
    <xf borderId="0" fillId="5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75"/>
    <col customWidth="1" min="2" max="2" width="10.0"/>
    <col customWidth="1" min="3" max="3" width="10.88"/>
    <col customWidth="1" min="4" max="4" width="15.88"/>
    <col customWidth="1" min="5" max="5" width="14.13"/>
    <col customWidth="1" min="6" max="6" width="13.75"/>
    <col customWidth="1" min="13" max="13" width="18.13"/>
    <col customWidth="1" min="14" max="14" width="15.0"/>
    <col customWidth="1" min="15" max="15" width="15.5"/>
    <col customWidth="1" min="16" max="16" width="15.25"/>
    <col customWidth="1" min="19" max="19" width="14.75"/>
    <col customWidth="1" min="20" max="21" width="14.25"/>
    <col customWidth="1" min="28" max="28" width="15.88"/>
    <col customWidth="1" min="29" max="29" width="14.75"/>
    <col customWidth="1" min="30" max="30" width="21.38"/>
    <col customWidth="1" min="37" max="37" width="16.38"/>
    <col customWidth="1" min="52" max="52" width="20.75"/>
    <col customWidth="1" min="54" max="54" width="17.63"/>
    <col customWidth="1" min="55" max="55" width="13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8</v>
      </c>
      <c r="S1" s="5" t="s">
        <v>6</v>
      </c>
      <c r="T1" s="5" t="s">
        <v>7</v>
      </c>
      <c r="U1" s="6" t="s">
        <v>17</v>
      </c>
      <c r="V1" s="6" t="s">
        <v>18</v>
      </c>
      <c r="W1" s="6" t="s">
        <v>8</v>
      </c>
      <c r="X1" s="6" t="s">
        <v>9</v>
      </c>
      <c r="Y1" s="6" t="s">
        <v>14</v>
      </c>
      <c r="Z1" s="7" t="s">
        <v>16</v>
      </c>
      <c r="AA1" s="7" t="s">
        <v>19</v>
      </c>
      <c r="AB1" s="2" t="s">
        <v>20</v>
      </c>
      <c r="AC1" s="3" t="s">
        <v>21</v>
      </c>
      <c r="AD1" s="3" t="s">
        <v>22</v>
      </c>
      <c r="AE1" s="3" t="s">
        <v>23</v>
      </c>
      <c r="AF1" s="3" t="s">
        <v>24</v>
      </c>
      <c r="AG1" s="3" t="s">
        <v>25</v>
      </c>
      <c r="AH1" s="3" t="s">
        <v>26</v>
      </c>
      <c r="AI1" s="3" t="s">
        <v>27</v>
      </c>
      <c r="AJ1" s="3" t="s">
        <v>28</v>
      </c>
      <c r="AK1" s="5" t="s">
        <v>29</v>
      </c>
      <c r="AL1" s="5" t="s">
        <v>30</v>
      </c>
      <c r="AM1" s="5" t="s">
        <v>31</v>
      </c>
      <c r="AN1" s="5" t="s">
        <v>32</v>
      </c>
      <c r="AO1" s="5" t="s">
        <v>33</v>
      </c>
      <c r="AP1" s="5" t="s">
        <v>34</v>
      </c>
      <c r="AQ1" s="5" t="s">
        <v>35</v>
      </c>
      <c r="AR1" s="5" t="s">
        <v>36</v>
      </c>
      <c r="AS1" s="6" t="s">
        <v>37</v>
      </c>
      <c r="AT1" s="6" t="s">
        <v>38</v>
      </c>
      <c r="AU1" s="6" t="s">
        <v>39</v>
      </c>
      <c r="AV1" s="6" t="s">
        <v>40</v>
      </c>
      <c r="AW1" s="6" t="s">
        <v>41</v>
      </c>
      <c r="AX1" s="7" t="s">
        <v>42</v>
      </c>
      <c r="AY1" s="7" t="s">
        <v>43</v>
      </c>
      <c r="AZ1" s="8" t="s">
        <v>44</v>
      </c>
      <c r="BA1" s="9" t="s">
        <v>45</v>
      </c>
      <c r="BB1" s="10" t="s">
        <v>46</v>
      </c>
      <c r="BC1" s="10" t="s">
        <v>47</v>
      </c>
    </row>
    <row r="2">
      <c r="A2" s="11">
        <v>2024.0</v>
      </c>
      <c r="B2" s="11" t="s">
        <v>48</v>
      </c>
      <c r="C2" s="12">
        <v>45444.0</v>
      </c>
      <c r="D2" s="13">
        <v>9.0</v>
      </c>
      <c r="E2" s="14">
        <v>439041.02</v>
      </c>
      <c r="F2" s="14">
        <v>22395.89</v>
      </c>
      <c r="G2" s="14">
        <v>3009.91</v>
      </c>
      <c r="H2" s="14">
        <v>1242.0</v>
      </c>
      <c r="I2" s="14">
        <v>1088.9</v>
      </c>
      <c r="J2" s="14">
        <v>0.0</v>
      </c>
      <c r="K2" s="14">
        <v>7094.44</v>
      </c>
      <c r="L2" s="14">
        <v>9213.72</v>
      </c>
      <c r="M2" s="15">
        <v>0.0</v>
      </c>
      <c r="N2" s="16">
        <v>0.0</v>
      </c>
      <c r="O2" s="16">
        <f t="shared" ref="O2:O8" si="1">N2*4%</f>
        <v>0</v>
      </c>
      <c r="P2" s="16">
        <f t="shared" ref="P2:P8" si="2">N2*1.68%</f>
        <v>0</v>
      </c>
      <c r="Q2" s="16">
        <f t="shared" ref="Q2:Q8" si="3">M2*(250+300+2)</f>
        <v>0</v>
      </c>
      <c r="R2" s="16">
        <f t="shared" ref="R2:R8" si="4">M2*239.19</f>
        <v>0</v>
      </c>
      <c r="S2" s="17">
        <f t="shared" ref="S2:S8" si="5">M2*393.42</f>
        <v>0</v>
      </c>
      <c r="T2" s="17">
        <f t="shared" ref="T2:T8" si="6">M2*138</f>
        <v>0</v>
      </c>
      <c r="U2" s="7">
        <v>12520.65</v>
      </c>
      <c r="V2" s="18">
        <f t="shared" ref="V2:V8" si="7">P2</f>
        <v>0</v>
      </c>
      <c r="W2" s="18">
        <f t="shared" ref="W2:W8" si="8">R2+I2</f>
        <v>1088.9</v>
      </c>
      <c r="X2" s="18">
        <f t="shared" ref="X2:X8" si="9">J2</f>
        <v>0</v>
      </c>
      <c r="Y2" s="18">
        <f t="shared" ref="Y2:Y8" si="10">O2</f>
        <v>0</v>
      </c>
      <c r="Z2" s="18">
        <f t="shared" ref="Z2:Z8" si="11">Q2</f>
        <v>0</v>
      </c>
      <c r="AA2" s="18">
        <f t="shared" ref="AA2:AA8" si="12">SUM(U2:Z2)</f>
        <v>13609.55</v>
      </c>
      <c r="AB2" s="13">
        <v>9.0</v>
      </c>
      <c r="AC2" s="14">
        <v>439041.02</v>
      </c>
      <c r="AD2" s="14">
        <v>22395.89</v>
      </c>
      <c r="AE2" s="14">
        <v>3009.91</v>
      </c>
      <c r="AF2" s="14">
        <v>1242.0</v>
      </c>
      <c r="AG2" s="14">
        <v>1088.9</v>
      </c>
      <c r="AH2" s="14">
        <v>0.0</v>
      </c>
      <c r="AI2" s="14">
        <v>7094.44</v>
      </c>
      <c r="AJ2" s="14">
        <v>9213.72</v>
      </c>
      <c r="AK2" s="19">
        <v>0.0</v>
      </c>
      <c r="AL2" s="16">
        <v>100000.0</v>
      </c>
      <c r="AM2" s="16">
        <f t="shared" ref="AM2:AM6" si="13">AL2*4%</f>
        <v>4000</v>
      </c>
      <c r="AN2" s="16">
        <f t="shared" ref="AN2:AN6" si="14">AL2*1.68%</f>
        <v>1680</v>
      </c>
      <c r="AO2" s="16">
        <f t="shared" ref="AO2:AO6" si="15">AK2*(250+300+2)</f>
        <v>0</v>
      </c>
      <c r="AP2" s="16">
        <f t="shared" ref="AP2:AP6" si="16">AK2*239.19</f>
        <v>0</v>
      </c>
      <c r="AQ2" s="17">
        <f t="shared" ref="AQ2:AQ6" si="17">AK2*393.42</f>
        <v>0</v>
      </c>
      <c r="AR2" s="17">
        <f t="shared" ref="AR2:AR6" si="18">AK2*138</f>
        <v>0</v>
      </c>
      <c r="AS2" s="7">
        <v>12520.65</v>
      </c>
      <c r="AT2" s="18">
        <f t="shared" ref="AT2:AT8" si="19">AN2</f>
        <v>1680</v>
      </c>
      <c r="AU2" s="18">
        <f t="shared" ref="AU2:AU8" si="20">AP2+AG2</f>
        <v>1088.9</v>
      </c>
      <c r="AV2" s="18">
        <f t="shared" ref="AV2:AV8" si="21">AH2</f>
        <v>0</v>
      </c>
      <c r="AW2" s="18">
        <f t="shared" ref="AW2:AW8" si="22">AM2</f>
        <v>4000</v>
      </c>
      <c r="AX2" s="18">
        <f t="shared" ref="AX2:AX8" si="23">AO2</f>
        <v>0</v>
      </c>
      <c r="AY2" s="18">
        <f t="shared" ref="AY2:AY8" si="24">SUM(AS2:AX2)</f>
        <v>19289.55</v>
      </c>
      <c r="AZ2" s="20"/>
      <c r="BA2" s="21"/>
      <c r="BB2" s="22"/>
      <c r="BC2" s="22"/>
    </row>
    <row r="3">
      <c r="A3" s="11">
        <v>2024.0</v>
      </c>
      <c r="B3" s="11" t="s">
        <v>48</v>
      </c>
      <c r="C3" s="12">
        <v>45445.0</v>
      </c>
      <c r="D3" s="23">
        <v>6.0</v>
      </c>
      <c r="E3" s="24">
        <v>457631.88</v>
      </c>
      <c r="F3" s="24">
        <v>21224.67</v>
      </c>
      <c r="G3" s="24">
        <v>2238.67</v>
      </c>
      <c r="H3" s="24">
        <v>828.0</v>
      </c>
      <c r="I3" s="24">
        <v>1352.01</v>
      </c>
      <c r="J3" s="24">
        <v>0.0</v>
      </c>
      <c r="K3" s="24">
        <v>8580.88</v>
      </c>
      <c r="L3" s="24">
        <v>8225.11</v>
      </c>
      <c r="M3" s="15">
        <v>0.0</v>
      </c>
      <c r="N3" s="16">
        <v>0.0</v>
      </c>
      <c r="O3" s="16">
        <f t="shared" si="1"/>
        <v>0</v>
      </c>
      <c r="P3" s="16">
        <f t="shared" si="2"/>
        <v>0</v>
      </c>
      <c r="Q3" s="16">
        <f t="shared" si="3"/>
        <v>0</v>
      </c>
      <c r="R3" s="16">
        <f t="shared" si="4"/>
        <v>0</v>
      </c>
      <c r="S3" s="17">
        <f t="shared" si="5"/>
        <v>0</v>
      </c>
      <c r="T3" s="17">
        <f t="shared" si="6"/>
        <v>0</v>
      </c>
      <c r="U3" s="7">
        <v>11141.39</v>
      </c>
      <c r="V3" s="18">
        <f t="shared" si="7"/>
        <v>0</v>
      </c>
      <c r="W3" s="18">
        <f t="shared" si="8"/>
        <v>1352.01</v>
      </c>
      <c r="X3" s="18">
        <f t="shared" si="9"/>
        <v>0</v>
      </c>
      <c r="Y3" s="18">
        <f t="shared" si="10"/>
        <v>0</v>
      </c>
      <c r="Z3" s="18">
        <f t="shared" si="11"/>
        <v>0</v>
      </c>
      <c r="AA3" s="18">
        <f t="shared" si="12"/>
        <v>12493.4</v>
      </c>
      <c r="AB3" s="23">
        <v>6.0</v>
      </c>
      <c r="AC3" s="24">
        <v>457631.88</v>
      </c>
      <c r="AD3" s="24">
        <v>21224.67</v>
      </c>
      <c r="AE3" s="24">
        <v>2238.67</v>
      </c>
      <c r="AF3" s="24">
        <v>828.0</v>
      </c>
      <c r="AG3" s="24">
        <v>1352.01</v>
      </c>
      <c r="AH3" s="24">
        <v>0.0</v>
      </c>
      <c r="AI3" s="24">
        <v>8580.88</v>
      </c>
      <c r="AJ3" s="24">
        <v>8225.11</v>
      </c>
      <c r="AK3" s="19">
        <v>0.0</v>
      </c>
      <c r="AL3" s="16">
        <v>250000.0</v>
      </c>
      <c r="AM3" s="16">
        <f t="shared" si="13"/>
        <v>10000</v>
      </c>
      <c r="AN3" s="16">
        <f t="shared" si="14"/>
        <v>4200</v>
      </c>
      <c r="AO3" s="16">
        <f t="shared" si="15"/>
        <v>0</v>
      </c>
      <c r="AP3" s="16">
        <f t="shared" si="16"/>
        <v>0</v>
      </c>
      <c r="AQ3" s="17">
        <f t="shared" si="17"/>
        <v>0</v>
      </c>
      <c r="AR3" s="17">
        <f t="shared" si="18"/>
        <v>0</v>
      </c>
      <c r="AS3" s="7">
        <v>11141.39</v>
      </c>
      <c r="AT3" s="18">
        <f t="shared" si="19"/>
        <v>4200</v>
      </c>
      <c r="AU3" s="18">
        <f t="shared" si="20"/>
        <v>1352.01</v>
      </c>
      <c r="AV3" s="18">
        <f t="shared" si="21"/>
        <v>0</v>
      </c>
      <c r="AW3" s="18">
        <f t="shared" si="22"/>
        <v>10000</v>
      </c>
      <c r="AX3" s="18">
        <f t="shared" si="23"/>
        <v>0</v>
      </c>
      <c r="AY3" s="18">
        <f t="shared" si="24"/>
        <v>26693.4</v>
      </c>
      <c r="AZ3" s="20"/>
      <c r="BA3" s="21"/>
      <c r="BB3" s="22"/>
      <c r="BC3" s="22"/>
    </row>
    <row r="4">
      <c r="A4" s="11">
        <v>2024.0</v>
      </c>
      <c r="B4" s="11" t="s">
        <v>48</v>
      </c>
      <c r="C4" s="12">
        <v>45446.0</v>
      </c>
      <c r="D4" s="23">
        <v>9.0</v>
      </c>
      <c r="E4" s="24">
        <v>696256.78</v>
      </c>
      <c r="F4" s="24">
        <v>32454.08</v>
      </c>
      <c r="G4" s="24">
        <v>2532.75</v>
      </c>
      <c r="H4" s="24">
        <v>966.0</v>
      </c>
      <c r="I4" s="24">
        <v>1288.62</v>
      </c>
      <c r="J4" s="24">
        <v>888.62</v>
      </c>
      <c r="K4" s="24">
        <v>12617.36</v>
      </c>
      <c r="L4" s="24">
        <v>11610.73</v>
      </c>
      <c r="M4" s="15">
        <v>5.0</v>
      </c>
      <c r="N4" s="16">
        <v>345000.0</v>
      </c>
      <c r="O4" s="16">
        <f t="shared" si="1"/>
        <v>13800</v>
      </c>
      <c r="P4" s="16">
        <f t="shared" si="2"/>
        <v>5796</v>
      </c>
      <c r="Q4" s="16">
        <f t="shared" si="3"/>
        <v>2760</v>
      </c>
      <c r="R4" s="16">
        <f t="shared" si="4"/>
        <v>1195.95</v>
      </c>
      <c r="S4" s="17">
        <f t="shared" si="5"/>
        <v>1967.1</v>
      </c>
      <c r="T4" s="17">
        <f t="shared" si="6"/>
        <v>690</v>
      </c>
      <c r="U4" s="7">
        <v>20351.93</v>
      </c>
      <c r="V4" s="18">
        <f t="shared" si="7"/>
        <v>5796</v>
      </c>
      <c r="W4" s="18">
        <f t="shared" si="8"/>
        <v>2484.57</v>
      </c>
      <c r="X4" s="18">
        <f t="shared" si="9"/>
        <v>888.62</v>
      </c>
      <c r="Y4" s="18">
        <f t="shared" si="10"/>
        <v>13800</v>
      </c>
      <c r="Z4" s="18">
        <f t="shared" si="11"/>
        <v>2760</v>
      </c>
      <c r="AA4" s="18">
        <f t="shared" si="12"/>
        <v>46081.12</v>
      </c>
      <c r="AB4" s="23">
        <v>9.0</v>
      </c>
      <c r="AC4" s="24">
        <v>696256.78</v>
      </c>
      <c r="AD4" s="24">
        <v>32454.08</v>
      </c>
      <c r="AE4" s="24">
        <v>2532.75</v>
      </c>
      <c r="AF4" s="24">
        <v>966.0</v>
      </c>
      <c r="AG4" s="24">
        <v>1288.62</v>
      </c>
      <c r="AH4" s="24">
        <v>888.62</v>
      </c>
      <c r="AI4" s="24">
        <v>12617.36</v>
      </c>
      <c r="AJ4" s="24">
        <v>11610.73</v>
      </c>
      <c r="AK4" s="19">
        <v>2.0</v>
      </c>
      <c r="AL4" s="16">
        <v>73000.0</v>
      </c>
      <c r="AM4" s="16">
        <f t="shared" si="13"/>
        <v>2920</v>
      </c>
      <c r="AN4" s="16">
        <f t="shared" si="14"/>
        <v>1226.4</v>
      </c>
      <c r="AO4" s="16">
        <f t="shared" si="15"/>
        <v>1104</v>
      </c>
      <c r="AP4" s="16">
        <f t="shared" si="16"/>
        <v>478.38</v>
      </c>
      <c r="AQ4" s="17">
        <f t="shared" si="17"/>
        <v>786.84</v>
      </c>
      <c r="AR4" s="17">
        <f t="shared" si="18"/>
        <v>276</v>
      </c>
      <c r="AS4" s="7">
        <v>20351.93</v>
      </c>
      <c r="AT4" s="18">
        <f t="shared" si="19"/>
        <v>1226.4</v>
      </c>
      <c r="AU4" s="18">
        <f t="shared" si="20"/>
        <v>1767</v>
      </c>
      <c r="AV4" s="18">
        <f t="shared" si="21"/>
        <v>888.62</v>
      </c>
      <c r="AW4" s="18">
        <f t="shared" si="22"/>
        <v>2920</v>
      </c>
      <c r="AX4" s="18">
        <f t="shared" si="23"/>
        <v>1104</v>
      </c>
      <c r="AY4" s="18">
        <f t="shared" si="24"/>
        <v>28257.95</v>
      </c>
      <c r="AZ4" s="20"/>
      <c r="BA4" s="21"/>
      <c r="BB4" s="22"/>
      <c r="BC4" s="22"/>
    </row>
    <row r="5">
      <c r="A5" s="11">
        <v>2024.0</v>
      </c>
      <c r="B5" s="11" t="s">
        <v>48</v>
      </c>
      <c r="C5" s="12">
        <v>45447.0</v>
      </c>
      <c r="D5" s="23">
        <v>13.0</v>
      </c>
      <c r="E5" s="24">
        <v>544303.42</v>
      </c>
      <c r="F5" s="24">
        <v>35122.96</v>
      </c>
      <c r="G5" s="24">
        <v>4300.33</v>
      </c>
      <c r="H5" s="24">
        <v>1518.0</v>
      </c>
      <c r="I5" s="24">
        <v>1376.38</v>
      </c>
      <c r="J5" s="24">
        <v>3939.5</v>
      </c>
      <c r="K5" s="24">
        <v>12200.35</v>
      </c>
      <c r="L5" s="24">
        <v>10954.99</v>
      </c>
      <c r="M5" s="15">
        <v>4.0</v>
      </c>
      <c r="N5" s="16">
        <v>260000.0</v>
      </c>
      <c r="O5" s="16">
        <f t="shared" si="1"/>
        <v>10400</v>
      </c>
      <c r="P5" s="16">
        <f t="shared" si="2"/>
        <v>4368</v>
      </c>
      <c r="Q5" s="16">
        <f t="shared" si="3"/>
        <v>2208</v>
      </c>
      <c r="R5" s="16">
        <f t="shared" si="4"/>
        <v>956.76</v>
      </c>
      <c r="S5" s="17">
        <f t="shared" si="5"/>
        <v>1573.68</v>
      </c>
      <c r="T5" s="17">
        <f t="shared" si="6"/>
        <v>552</v>
      </c>
      <c r="U5" s="7">
        <v>13241.12</v>
      </c>
      <c r="V5" s="18">
        <f t="shared" si="7"/>
        <v>4368</v>
      </c>
      <c r="W5" s="18">
        <f t="shared" si="8"/>
        <v>2333.14</v>
      </c>
      <c r="X5" s="18">
        <f t="shared" si="9"/>
        <v>3939.5</v>
      </c>
      <c r="Y5" s="18">
        <f t="shared" si="10"/>
        <v>10400</v>
      </c>
      <c r="Z5" s="18">
        <f t="shared" si="11"/>
        <v>2208</v>
      </c>
      <c r="AA5" s="18">
        <f t="shared" si="12"/>
        <v>36489.76</v>
      </c>
      <c r="AB5" s="23">
        <v>13.0</v>
      </c>
      <c r="AC5" s="24">
        <v>544303.42</v>
      </c>
      <c r="AD5" s="24">
        <v>35122.96</v>
      </c>
      <c r="AE5" s="24">
        <v>4300.33</v>
      </c>
      <c r="AF5" s="24">
        <v>1518.0</v>
      </c>
      <c r="AG5" s="24">
        <v>1376.38</v>
      </c>
      <c r="AH5" s="24">
        <v>3939.5</v>
      </c>
      <c r="AI5" s="24">
        <v>12200.35</v>
      </c>
      <c r="AJ5" s="24">
        <v>10954.99</v>
      </c>
      <c r="AK5" s="19">
        <v>2.0</v>
      </c>
      <c r="AL5" s="16">
        <v>0.0</v>
      </c>
      <c r="AM5" s="16">
        <f t="shared" si="13"/>
        <v>0</v>
      </c>
      <c r="AN5" s="16">
        <f t="shared" si="14"/>
        <v>0</v>
      </c>
      <c r="AO5" s="16">
        <f t="shared" si="15"/>
        <v>1104</v>
      </c>
      <c r="AP5" s="16">
        <f t="shared" si="16"/>
        <v>478.38</v>
      </c>
      <c r="AQ5" s="17">
        <f t="shared" si="17"/>
        <v>786.84</v>
      </c>
      <c r="AR5" s="17">
        <f t="shared" si="18"/>
        <v>276</v>
      </c>
      <c r="AS5" s="7">
        <v>13241.12</v>
      </c>
      <c r="AT5" s="18">
        <f t="shared" si="19"/>
        <v>0</v>
      </c>
      <c r="AU5" s="18">
        <f t="shared" si="20"/>
        <v>1854.76</v>
      </c>
      <c r="AV5" s="18">
        <f t="shared" si="21"/>
        <v>3939.5</v>
      </c>
      <c r="AW5" s="18">
        <f t="shared" si="22"/>
        <v>0</v>
      </c>
      <c r="AX5" s="18">
        <f t="shared" si="23"/>
        <v>1104</v>
      </c>
      <c r="AY5" s="18">
        <f t="shared" si="24"/>
        <v>20139.38</v>
      </c>
      <c r="AZ5" s="20"/>
      <c r="BA5" s="21"/>
      <c r="BB5" s="22"/>
      <c r="BC5" s="22"/>
    </row>
    <row r="6">
      <c r="A6" s="11">
        <v>2024.0</v>
      </c>
      <c r="B6" s="11" t="s">
        <v>48</v>
      </c>
      <c r="C6" s="12">
        <v>45448.0</v>
      </c>
      <c r="D6" s="25">
        <v>10.0</v>
      </c>
      <c r="E6" s="26">
        <v>796040.4</v>
      </c>
      <c r="F6" s="26">
        <v>54364.51</v>
      </c>
      <c r="G6" s="26">
        <v>4059.6</v>
      </c>
      <c r="H6" s="26">
        <v>1380.0</v>
      </c>
      <c r="I6" s="26">
        <v>1361.19</v>
      </c>
      <c r="J6" s="26">
        <v>8214.17</v>
      </c>
      <c r="K6" s="26">
        <v>25530.1</v>
      </c>
      <c r="L6" s="26">
        <v>12810.6</v>
      </c>
      <c r="M6" s="15">
        <v>3.0</v>
      </c>
      <c r="N6" s="16">
        <v>202000.0</v>
      </c>
      <c r="O6" s="16">
        <f t="shared" si="1"/>
        <v>8080</v>
      </c>
      <c r="P6" s="16">
        <f t="shared" si="2"/>
        <v>3393.6</v>
      </c>
      <c r="Q6" s="16">
        <f t="shared" si="3"/>
        <v>1656</v>
      </c>
      <c r="R6" s="16">
        <f t="shared" si="4"/>
        <v>717.57</v>
      </c>
      <c r="S6" s="17">
        <f t="shared" si="5"/>
        <v>1180.26</v>
      </c>
      <c r="T6" s="17">
        <f t="shared" si="6"/>
        <v>414</v>
      </c>
      <c r="U6" s="7">
        <v>18434.02</v>
      </c>
      <c r="V6" s="18">
        <f t="shared" si="7"/>
        <v>3393.6</v>
      </c>
      <c r="W6" s="18">
        <f t="shared" si="8"/>
        <v>2078.76</v>
      </c>
      <c r="X6" s="18">
        <f t="shared" si="9"/>
        <v>8214.17</v>
      </c>
      <c r="Y6" s="18">
        <f t="shared" si="10"/>
        <v>8080</v>
      </c>
      <c r="Z6" s="18">
        <f t="shared" si="11"/>
        <v>1656</v>
      </c>
      <c r="AA6" s="18">
        <f t="shared" si="12"/>
        <v>41856.55</v>
      </c>
      <c r="AB6" s="23">
        <v>11.0</v>
      </c>
      <c r="AC6" s="24">
        <v>833329.85</v>
      </c>
      <c r="AD6" s="24">
        <v>54396.14</v>
      </c>
      <c r="AE6" s="24">
        <v>4473.14</v>
      </c>
      <c r="AF6" s="24">
        <v>1518.0</v>
      </c>
      <c r="AG6" s="24">
        <v>1371.39</v>
      </c>
      <c r="AH6" s="24">
        <v>8469.18</v>
      </c>
      <c r="AI6" s="24">
        <v>22713.2</v>
      </c>
      <c r="AJ6" s="24">
        <v>15330.45</v>
      </c>
      <c r="AK6" s="19">
        <v>2.0</v>
      </c>
      <c r="AL6" s="16">
        <v>0.0</v>
      </c>
      <c r="AM6" s="16">
        <f t="shared" si="13"/>
        <v>0</v>
      </c>
      <c r="AN6" s="16">
        <f t="shared" si="14"/>
        <v>0</v>
      </c>
      <c r="AO6" s="16">
        <f t="shared" si="15"/>
        <v>1104</v>
      </c>
      <c r="AP6" s="16">
        <f t="shared" si="16"/>
        <v>478.38</v>
      </c>
      <c r="AQ6" s="17">
        <f t="shared" si="17"/>
        <v>786.84</v>
      </c>
      <c r="AR6" s="17">
        <f t="shared" si="18"/>
        <v>276</v>
      </c>
      <c r="AS6" s="7">
        <v>18434.02</v>
      </c>
      <c r="AT6" s="18">
        <f t="shared" si="19"/>
        <v>0</v>
      </c>
      <c r="AU6" s="18">
        <f t="shared" si="20"/>
        <v>1849.77</v>
      </c>
      <c r="AV6" s="18">
        <f t="shared" si="21"/>
        <v>8469.18</v>
      </c>
      <c r="AW6" s="18">
        <f t="shared" si="22"/>
        <v>0</v>
      </c>
      <c r="AX6" s="18">
        <f t="shared" si="23"/>
        <v>1104</v>
      </c>
      <c r="AY6" s="18">
        <f t="shared" si="24"/>
        <v>29856.97</v>
      </c>
      <c r="AZ6" s="20"/>
      <c r="BA6" s="21"/>
      <c r="BB6" s="22"/>
      <c r="BC6" s="22"/>
    </row>
    <row r="7">
      <c r="A7" s="11">
        <v>2024.0</v>
      </c>
      <c r="B7" s="11" t="s">
        <v>48</v>
      </c>
      <c r="C7" s="12">
        <v>45449.0</v>
      </c>
      <c r="D7" s="23">
        <v>16.0</v>
      </c>
      <c r="E7" s="24">
        <v>615043.55</v>
      </c>
      <c r="F7" s="24">
        <v>43421.84</v>
      </c>
      <c r="G7" s="24">
        <v>3952.06</v>
      </c>
      <c r="H7" s="24">
        <v>1932.0</v>
      </c>
      <c r="I7" s="24">
        <v>1699.04</v>
      </c>
      <c r="J7" s="24">
        <v>4268.28</v>
      </c>
      <c r="K7" s="24">
        <v>21014.91</v>
      </c>
      <c r="L7" s="24">
        <v>10555.55</v>
      </c>
      <c r="M7" s="27">
        <v>5.0</v>
      </c>
      <c r="N7" s="28">
        <v>340807.0</v>
      </c>
      <c r="O7" s="16">
        <f t="shared" si="1"/>
        <v>13632.28</v>
      </c>
      <c r="P7" s="16">
        <f t="shared" si="2"/>
        <v>5725.5576</v>
      </c>
      <c r="Q7" s="16">
        <f t="shared" si="3"/>
        <v>2760</v>
      </c>
      <c r="R7" s="16">
        <f t="shared" si="4"/>
        <v>1195.95</v>
      </c>
      <c r="S7" s="17">
        <f t="shared" si="5"/>
        <v>1967.1</v>
      </c>
      <c r="T7" s="17">
        <f t="shared" si="6"/>
        <v>690</v>
      </c>
      <c r="U7" s="7">
        <v>28253.76</v>
      </c>
      <c r="V7" s="18">
        <f t="shared" si="7"/>
        <v>5725.5576</v>
      </c>
      <c r="W7" s="18">
        <f t="shared" si="8"/>
        <v>2894.99</v>
      </c>
      <c r="X7" s="18">
        <f t="shared" si="9"/>
        <v>4268.28</v>
      </c>
      <c r="Y7" s="18">
        <f t="shared" si="10"/>
        <v>13632.28</v>
      </c>
      <c r="Z7" s="18">
        <f t="shared" si="11"/>
        <v>2760</v>
      </c>
      <c r="AA7" s="18">
        <f t="shared" si="12"/>
        <v>57534.8676</v>
      </c>
      <c r="AB7" s="23">
        <v>16.0</v>
      </c>
      <c r="AC7" s="24">
        <v>615043.55</v>
      </c>
      <c r="AD7" s="24">
        <v>43421.84</v>
      </c>
      <c r="AE7" s="24">
        <v>3952.06</v>
      </c>
      <c r="AF7" s="24">
        <v>1932.0</v>
      </c>
      <c r="AG7" s="24">
        <v>1699.04</v>
      </c>
      <c r="AH7" s="24">
        <v>4268.28</v>
      </c>
      <c r="AI7" s="24">
        <v>21014.91</v>
      </c>
      <c r="AJ7" s="24">
        <v>10555.55</v>
      </c>
      <c r="AK7" s="29">
        <v>3.0</v>
      </c>
      <c r="AL7" s="30"/>
      <c r="AM7" s="30"/>
      <c r="AN7" s="30"/>
      <c r="AO7" s="30"/>
      <c r="AP7" s="30"/>
      <c r="AQ7" s="30"/>
      <c r="AR7" s="30"/>
      <c r="AS7" s="7">
        <v>28253.76</v>
      </c>
      <c r="AT7" s="18" t="str">
        <f t="shared" si="19"/>
        <v/>
      </c>
      <c r="AU7" s="18">
        <f t="shared" si="20"/>
        <v>1699.04</v>
      </c>
      <c r="AV7" s="18">
        <f t="shared" si="21"/>
        <v>4268.28</v>
      </c>
      <c r="AW7" s="18" t="str">
        <f t="shared" si="22"/>
        <v/>
      </c>
      <c r="AX7" s="18" t="str">
        <f t="shared" si="23"/>
        <v/>
      </c>
      <c r="AY7" s="18">
        <f t="shared" si="24"/>
        <v>34221.08</v>
      </c>
      <c r="AZ7" s="20"/>
      <c r="BA7" s="21"/>
      <c r="BB7" s="22"/>
      <c r="BC7" s="22"/>
    </row>
    <row r="8">
      <c r="A8" s="11">
        <v>2024.0</v>
      </c>
      <c r="B8" s="11" t="s">
        <v>48</v>
      </c>
      <c r="C8" s="12">
        <v>45450.0</v>
      </c>
      <c r="D8" s="23">
        <v>18.0</v>
      </c>
      <c r="E8" s="24">
        <v>825403.68</v>
      </c>
      <c r="F8" s="24">
        <v>52247.17</v>
      </c>
      <c r="G8" s="24">
        <v>5937.22</v>
      </c>
      <c r="H8" s="24">
        <v>2484.0</v>
      </c>
      <c r="I8" s="24">
        <v>2655.98</v>
      </c>
      <c r="J8" s="24">
        <v>4557.5</v>
      </c>
      <c r="K8" s="24">
        <v>19290.07</v>
      </c>
      <c r="L8" s="24">
        <v>17052.0</v>
      </c>
      <c r="M8" s="15">
        <v>5.0</v>
      </c>
      <c r="N8" s="28">
        <v>175000.0</v>
      </c>
      <c r="O8" s="16">
        <f t="shared" si="1"/>
        <v>7000</v>
      </c>
      <c r="P8" s="16">
        <f t="shared" si="2"/>
        <v>2940</v>
      </c>
      <c r="Q8" s="16">
        <f t="shared" si="3"/>
        <v>2760</v>
      </c>
      <c r="R8" s="16">
        <f t="shared" si="4"/>
        <v>1195.95</v>
      </c>
      <c r="S8" s="17">
        <f t="shared" si="5"/>
        <v>1967.1</v>
      </c>
      <c r="T8" s="17">
        <f t="shared" si="6"/>
        <v>690</v>
      </c>
      <c r="U8" s="7">
        <v>35623.74</v>
      </c>
      <c r="V8" s="18">
        <f t="shared" si="7"/>
        <v>2940</v>
      </c>
      <c r="W8" s="18">
        <f t="shared" si="8"/>
        <v>3851.93</v>
      </c>
      <c r="X8" s="18">
        <f t="shared" si="9"/>
        <v>4557.5</v>
      </c>
      <c r="Y8" s="18">
        <f t="shared" si="10"/>
        <v>7000</v>
      </c>
      <c r="Z8" s="18">
        <f t="shared" si="11"/>
        <v>2760</v>
      </c>
      <c r="AA8" s="18">
        <f t="shared" si="12"/>
        <v>56733.17</v>
      </c>
      <c r="AB8" s="23">
        <v>18.0</v>
      </c>
      <c r="AC8" s="24">
        <v>825403.68</v>
      </c>
      <c r="AD8" s="24">
        <v>52247.17</v>
      </c>
      <c r="AE8" s="24">
        <v>5937.22</v>
      </c>
      <c r="AF8" s="24">
        <v>2484.0</v>
      </c>
      <c r="AG8" s="24">
        <v>2655.98</v>
      </c>
      <c r="AH8" s="24">
        <v>4557.5</v>
      </c>
      <c r="AI8" s="24">
        <v>19290.07</v>
      </c>
      <c r="AJ8" s="24">
        <v>17052.0</v>
      </c>
      <c r="AK8" s="19">
        <v>3.0</v>
      </c>
      <c r="AL8" s="31"/>
      <c r="AM8" s="31"/>
      <c r="AN8" s="31"/>
      <c r="AO8" s="31"/>
      <c r="AP8" s="31"/>
      <c r="AQ8" s="31"/>
      <c r="AR8" s="31"/>
      <c r="AS8" s="7">
        <v>35623.74</v>
      </c>
      <c r="AT8" s="32" t="str">
        <f t="shared" si="19"/>
        <v/>
      </c>
      <c r="AU8" s="18">
        <f t="shared" si="20"/>
        <v>2655.98</v>
      </c>
      <c r="AV8" s="18">
        <f t="shared" si="21"/>
        <v>4557.5</v>
      </c>
      <c r="AW8" s="32" t="str">
        <f t="shared" si="22"/>
        <v/>
      </c>
      <c r="AX8" s="18" t="str">
        <f t="shared" si="23"/>
        <v/>
      </c>
      <c r="AY8" s="18">
        <f t="shared" si="24"/>
        <v>42837.22</v>
      </c>
      <c r="AZ8" s="20"/>
      <c r="BA8" s="21"/>
      <c r="BB8" s="22"/>
      <c r="BC8" s="22"/>
    </row>
    <row r="9">
      <c r="A9" s="1">
        <v>2024.0</v>
      </c>
      <c r="B9" s="1" t="s">
        <v>48</v>
      </c>
      <c r="C9" s="1" t="s">
        <v>49</v>
      </c>
      <c r="D9" s="33">
        <f t="shared" ref="D9:AY9" si="25">SUM(D2:D8)</f>
        <v>81</v>
      </c>
      <c r="E9" s="34">
        <f t="shared" si="25"/>
        <v>4373720.73</v>
      </c>
      <c r="F9" s="34">
        <f t="shared" si="25"/>
        <v>261231.12</v>
      </c>
      <c r="G9" s="34">
        <f t="shared" si="25"/>
        <v>26030.54</v>
      </c>
      <c r="H9" s="34">
        <f t="shared" si="25"/>
        <v>10350</v>
      </c>
      <c r="I9" s="34">
        <f t="shared" si="25"/>
        <v>10822.12</v>
      </c>
      <c r="J9" s="34">
        <f t="shared" si="25"/>
        <v>21868.07</v>
      </c>
      <c r="K9" s="34">
        <f t="shared" si="25"/>
        <v>106328.11</v>
      </c>
      <c r="L9" s="34">
        <f t="shared" si="25"/>
        <v>80422.7</v>
      </c>
      <c r="M9" s="35">
        <f t="shared" si="25"/>
        <v>22</v>
      </c>
      <c r="N9" s="36">
        <f t="shared" si="25"/>
        <v>1322807</v>
      </c>
      <c r="O9" s="36">
        <f t="shared" si="25"/>
        <v>52912.28</v>
      </c>
      <c r="P9" s="36">
        <f t="shared" si="25"/>
        <v>22223.1576</v>
      </c>
      <c r="Q9" s="36">
        <f t="shared" si="25"/>
        <v>12144</v>
      </c>
      <c r="R9" s="36">
        <f t="shared" si="25"/>
        <v>5262.18</v>
      </c>
      <c r="S9" s="36">
        <f t="shared" si="25"/>
        <v>8655.24</v>
      </c>
      <c r="T9" s="36">
        <f t="shared" si="25"/>
        <v>3036</v>
      </c>
      <c r="U9" s="37">
        <f t="shared" si="25"/>
        <v>139566.61</v>
      </c>
      <c r="V9" s="37">
        <f t="shared" si="25"/>
        <v>22223.1576</v>
      </c>
      <c r="W9" s="37">
        <f t="shared" si="25"/>
        <v>16084.3</v>
      </c>
      <c r="X9" s="37">
        <f t="shared" si="25"/>
        <v>21868.07</v>
      </c>
      <c r="Y9" s="37">
        <f t="shared" si="25"/>
        <v>52912.28</v>
      </c>
      <c r="Z9" s="37">
        <f t="shared" si="25"/>
        <v>12144</v>
      </c>
      <c r="AA9" s="37">
        <f t="shared" si="25"/>
        <v>264798.4176</v>
      </c>
      <c r="AB9" s="33">
        <f t="shared" si="25"/>
        <v>82</v>
      </c>
      <c r="AC9" s="34">
        <f t="shared" si="25"/>
        <v>4411010.18</v>
      </c>
      <c r="AD9" s="34">
        <f t="shared" si="25"/>
        <v>261262.75</v>
      </c>
      <c r="AE9" s="34">
        <f t="shared" si="25"/>
        <v>26444.08</v>
      </c>
      <c r="AF9" s="34">
        <f t="shared" si="25"/>
        <v>10488</v>
      </c>
      <c r="AG9" s="34">
        <f t="shared" si="25"/>
        <v>10832.32</v>
      </c>
      <c r="AH9" s="34">
        <f t="shared" si="25"/>
        <v>22123.08</v>
      </c>
      <c r="AI9" s="34">
        <f t="shared" si="25"/>
        <v>103511.21</v>
      </c>
      <c r="AJ9" s="34">
        <f t="shared" si="25"/>
        <v>82942.55</v>
      </c>
      <c r="AK9" s="35">
        <f t="shared" si="25"/>
        <v>12</v>
      </c>
      <c r="AL9" s="36">
        <f t="shared" si="25"/>
        <v>423000</v>
      </c>
      <c r="AM9" s="36">
        <f t="shared" si="25"/>
        <v>16920</v>
      </c>
      <c r="AN9" s="36">
        <f t="shared" si="25"/>
        <v>7106.4</v>
      </c>
      <c r="AO9" s="36">
        <f t="shared" si="25"/>
        <v>3312</v>
      </c>
      <c r="AP9" s="36">
        <f t="shared" si="25"/>
        <v>1435.14</v>
      </c>
      <c r="AQ9" s="36">
        <f t="shared" si="25"/>
        <v>2360.52</v>
      </c>
      <c r="AR9" s="36">
        <f t="shared" si="25"/>
        <v>828</v>
      </c>
      <c r="AS9" s="37">
        <f t="shared" si="25"/>
        <v>139566.61</v>
      </c>
      <c r="AT9" s="37">
        <f t="shared" si="25"/>
        <v>7106.4</v>
      </c>
      <c r="AU9" s="37">
        <f t="shared" si="25"/>
        <v>12267.46</v>
      </c>
      <c r="AV9" s="37">
        <f t="shared" si="25"/>
        <v>22123.08</v>
      </c>
      <c r="AW9" s="37">
        <f t="shared" si="25"/>
        <v>16920</v>
      </c>
      <c r="AX9" s="37">
        <f t="shared" si="25"/>
        <v>3312</v>
      </c>
      <c r="AY9" s="37">
        <f t="shared" si="25"/>
        <v>201295.55</v>
      </c>
      <c r="AZ9" s="38"/>
      <c r="BA9" s="39"/>
      <c r="BB9" s="40"/>
      <c r="BC9" s="40"/>
    </row>
    <row r="10">
      <c r="A10" s="11">
        <v>2024.0</v>
      </c>
      <c r="B10" s="11" t="s">
        <v>48</v>
      </c>
      <c r="C10" s="12">
        <v>45451.0</v>
      </c>
      <c r="D10" s="41">
        <v>12.0</v>
      </c>
      <c r="E10" s="14">
        <v>527672.88</v>
      </c>
      <c r="F10" s="14">
        <v>26667.53</v>
      </c>
      <c r="G10" s="14">
        <v>3941.64</v>
      </c>
      <c r="H10" s="14">
        <v>1656.0</v>
      </c>
      <c r="I10" s="14">
        <v>1699.05</v>
      </c>
      <c r="J10" s="14">
        <v>12.62</v>
      </c>
      <c r="K10" s="14">
        <v>9984.27</v>
      </c>
      <c r="L10" s="14">
        <v>9373.95</v>
      </c>
      <c r="M10" s="15">
        <v>0.0</v>
      </c>
      <c r="N10" s="16">
        <v>0.0</v>
      </c>
      <c r="O10" s="16">
        <f t="shared" ref="O10:O16" si="26">N10*4%</f>
        <v>0</v>
      </c>
      <c r="P10" s="16">
        <f t="shared" ref="P10:P16" si="27">N10*1.68%</f>
        <v>0</v>
      </c>
      <c r="Q10" s="16">
        <f t="shared" ref="Q10:Q16" si="28">M10*(250+300+2)</f>
        <v>0</v>
      </c>
      <c r="R10" s="16">
        <f t="shared" ref="R10:R16" si="29">M10*239.19</f>
        <v>0</v>
      </c>
      <c r="S10" s="17">
        <f t="shared" ref="S10:S16" si="30">M10*393.42</f>
        <v>0</v>
      </c>
      <c r="T10" s="17">
        <f t="shared" ref="T10:T16" si="31">M10*138</f>
        <v>0</v>
      </c>
      <c r="U10" s="7">
        <v>4079.06</v>
      </c>
      <c r="V10" s="18">
        <f t="shared" ref="V10:V16" si="32">P10</f>
        <v>0</v>
      </c>
      <c r="W10" s="18">
        <f t="shared" ref="W10:W16" si="33">R10+I10</f>
        <v>1699.05</v>
      </c>
      <c r="X10" s="18">
        <f t="shared" ref="X10:X16" si="34">J10</f>
        <v>12.62</v>
      </c>
      <c r="Y10" s="18">
        <f t="shared" ref="Y10:Y16" si="35">O10</f>
        <v>0</v>
      </c>
      <c r="Z10" s="18">
        <f t="shared" ref="Z10:Z16" si="36">Q10</f>
        <v>0</v>
      </c>
      <c r="AA10" s="18">
        <f t="shared" ref="AA10:AA16" si="37">SUM(U10:Z10)</f>
        <v>5790.73</v>
      </c>
      <c r="AB10" s="41">
        <v>7.0</v>
      </c>
      <c r="AC10" s="14">
        <v>364822.71</v>
      </c>
      <c r="AD10" s="14">
        <v>17729.31</v>
      </c>
      <c r="AE10" s="14">
        <v>2472.86</v>
      </c>
      <c r="AF10" s="14">
        <v>966.0</v>
      </c>
      <c r="AG10" s="14">
        <v>940.46</v>
      </c>
      <c r="AH10" s="14">
        <v>0.0</v>
      </c>
      <c r="AI10" s="14">
        <v>6122.45</v>
      </c>
      <c r="AJ10" s="14">
        <v>5357.03</v>
      </c>
      <c r="AK10" s="19">
        <v>0.0</v>
      </c>
      <c r="AL10" s="16">
        <v>0.0</v>
      </c>
      <c r="AM10" s="19">
        <v>0.0</v>
      </c>
      <c r="AN10" s="19">
        <v>0.0</v>
      </c>
      <c r="AO10" s="16">
        <v>0.0</v>
      </c>
      <c r="AP10" s="16">
        <v>0.0</v>
      </c>
      <c r="AQ10" s="16">
        <v>0.0</v>
      </c>
      <c r="AR10" s="16">
        <v>0.0</v>
      </c>
      <c r="AS10" s="7">
        <v>0.0</v>
      </c>
      <c r="AT10" s="32">
        <f t="shared" ref="AT10:AT11" si="38">AN10</f>
        <v>0</v>
      </c>
      <c r="AU10" s="6">
        <v>0.0</v>
      </c>
      <c r="AV10" s="18">
        <f t="shared" ref="AV10:AV11" si="39">AH10</f>
        <v>0</v>
      </c>
      <c r="AW10" s="32">
        <f t="shared" ref="AW10:AW11" si="40">AM10</f>
        <v>0</v>
      </c>
      <c r="AX10" s="18">
        <f t="shared" ref="AX10:AX11" si="41">AO10</f>
        <v>0</v>
      </c>
      <c r="AY10" s="18">
        <f t="shared" ref="AY10:AY16" si="42">SUM(AS10:AX10)</f>
        <v>0</v>
      </c>
      <c r="AZ10" s="20"/>
      <c r="BA10" s="21"/>
      <c r="BB10" s="22"/>
      <c r="BC10" s="22"/>
    </row>
    <row r="11">
      <c r="A11" s="11">
        <v>2024.0</v>
      </c>
      <c r="B11" s="11" t="s">
        <v>48</v>
      </c>
      <c r="C11" s="12">
        <v>45452.0</v>
      </c>
      <c r="D11" s="42">
        <v>10.0</v>
      </c>
      <c r="E11" s="24">
        <v>646573.18</v>
      </c>
      <c r="F11" s="24">
        <v>43755.63</v>
      </c>
      <c r="G11" s="24">
        <v>4143.16</v>
      </c>
      <c r="H11" s="24">
        <v>1104.0</v>
      </c>
      <c r="I11" s="24">
        <v>1419.05</v>
      </c>
      <c r="J11" s="24">
        <v>1664.97</v>
      </c>
      <c r="K11" s="24">
        <v>21596.05</v>
      </c>
      <c r="L11" s="24">
        <v>13828.4</v>
      </c>
      <c r="M11" s="15">
        <v>0.0</v>
      </c>
      <c r="N11" s="16">
        <v>0.0</v>
      </c>
      <c r="O11" s="16">
        <f t="shared" si="26"/>
        <v>0</v>
      </c>
      <c r="P11" s="16">
        <f t="shared" si="27"/>
        <v>0</v>
      </c>
      <c r="Q11" s="16">
        <f t="shared" si="28"/>
        <v>0</v>
      </c>
      <c r="R11" s="16">
        <f t="shared" si="29"/>
        <v>0</v>
      </c>
      <c r="S11" s="17">
        <f t="shared" si="30"/>
        <v>0</v>
      </c>
      <c r="T11" s="17">
        <f t="shared" si="31"/>
        <v>0</v>
      </c>
      <c r="U11" s="7">
        <v>11736.01</v>
      </c>
      <c r="V11" s="18">
        <f t="shared" si="32"/>
        <v>0</v>
      </c>
      <c r="W11" s="18">
        <f t="shared" si="33"/>
        <v>1419.05</v>
      </c>
      <c r="X11" s="18">
        <f t="shared" si="34"/>
        <v>1664.97</v>
      </c>
      <c r="Y11" s="18">
        <f t="shared" si="35"/>
        <v>0</v>
      </c>
      <c r="Z11" s="18">
        <f t="shared" si="36"/>
        <v>0</v>
      </c>
      <c r="AA11" s="18">
        <f t="shared" si="37"/>
        <v>14820.03</v>
      </c>
      <c r="AB11" s="42">
        <v>3.0</v>
      </c>
      <c r="AC11" s="24">
        <v>232800.7</v>
      </c>
      <c r="AD11" s="24">
        <v>10079.49</v>
      </c>
      <c r="AE11" s="24">
        <v>1274.22</v>
      </c>
      <c r="AF11" s="24">
        <v>276.0</v>
      </c>
      <c r="AG11" s="24">
        <v>343.45</v>
      </c>
      <c r="AH11" s="24">
        <v>0.0</v>
      </c>
      <c r="AI11" s="24">
        <v>4274.78</v>
      </c>
      <c r="AJ11" s="24">
        <v>3911.05</v>
      </c>
      <c r="AK11" s="19">
        <v>0.0</v>
      </c>
      <c r="AL11" s="16">
        <v>0.0</v>
      </c>
      <c r="AM11" s="16">
        <f>AL11*4%</f>
        <v>0</v>
      </c>
      <c r="AN11" s="16">
        <f>AL11*1.68%</f>
        <v>0</v>
      </c>
      <c r="AO11" s="16">
        <f>AK11*(250+300+2)</f>
        <v>0</v>
      </c>
      <c r="AP11" s="16">
        <f>AK11*239.19</f>
        <v>0</v>
      </c>
      <c r="AQ11" s="17">
        <f>AK11*393.42</f>
        <v>0</v>
      </c>
      <c r="AR11" s="17">
        <f>AK11*138</f>
        <v>0</v>
      </c>
      <c r="AS11" s="7">
        <v>0.0</v>
      </c>
      <c r="AT11" s="18">
        <f t="shared" si="38"/>
        <v>0</v>
      </c>
      <c r="AU11" s="6">
        <v>0.0</v>
      </c>
      <c r="AV11" s="18">
        <f t="shared" si="39"/>
        <v>0</v>
      </c>
      <c r="AW11" s="18">
        <f t="shared" si="40"/>
        <v>0</v>
      </c>
      <c r="AX11" s="18">
        <f t="shared" si="41"/>
        <v>0</v>
      </c>
      <c r="AY11" s="18">
        <f t="shared" si="42"/>
        <v>0</v>
      </c>
      <c r="AZ11" s="20"/>
      <c r="BA11" s="21"/>
      <c r="BB11" s="22"/>
      <c r="BC11" s="22"/>
    </row>
    <row r="12">
      <c r="A12" s="11">
        <v>2024.0</v>
      </c>
      <c r="B12" s="11" t="s">
        <v>48</v>
      </c>
      <c r="C12" s="12">
        <v>45453.0</v>
      </c>
      <c r="D12" s="42">
        <v>8.0</v>
      </c>
      <c r="E12" s="24">
        <v>548009.99</v>
      </c>
      <c r="F12" s="24">
        <v>31064.25</v>
      </c>
      <c r="G12" s="24">
        <v>3340.99</v>
      </c>
      <c r="H12" s="24">
        <v>1104.0</v>
      </c>
      <c r="I12" s="24">
        <v>1279.58</v>
      </c>
      <c r="J12" s="24">
        <v>2319.04</v>
      </c>
      <c r="K12" s="24">
        <v>10949.92</v>
      </c>
      <c r="L12" s="24">
        <v>10201.89</v>
      </c>
      <c r="M12" s="15">
        <v>2.0</v>
      </c>
      <c r="N12" s="16">
        <v>132000.0</v>
      </c>
      <c r="O12" s="16">
        <f t="shared" si="26"/>
        <v>5280</v>
      </c>
      <c r="P12" s="16">
        <f t="shared" si="27"/>
        <v>2217.6</v>
      </c>
      <c r="Q12" s="16">
        <f t="shared" si="28"/>
        <v>1104</v>
      </c>
      <c r="R12" s="16">
        <f t="shared" si="29"/>
        <v>478.38</v>
      </c>
      <c r="S12" s="17">
        <f t="shared" si="30"/>
        <v>786.84</v>
      </c>
      <c r="T12" s="17">
        <f t="shared" si="31"/>
        <v>276</v>
      </c>
      <c r="U12" s="7">
        <v>1899.08</v>
      </c>
      <c r="V12" s="18">
        <f t="shared" si="32"/>
        <v>2217.6</v>
      </c>
      <c r="W12" s="18">
        <f t="shared" si="33"/>
        <v>1757.96</v>
      </c>
      <c r="X12" s="18">
        <f t="shared" si="34"/>
        <v>2319.04</v>
      </c>
      <c r="Y12" s="18">
        <f t="shared" si="35"/>
        <v>5280</v>
      </c>
      <c r="Z12" s="18">
        <f t="shared" si="36"/>
        <v>1104</v>
      </c>
      <c r="AA12" s="18">
        <f t="shared" si="37"/>
        <v>14577.68</v>
      </c>
      <c r="AB12" s="42">
        <v>4.0</v>
      </c>
      <c r="AC12" s="24">
        <v>159838.0</v>
      </c>
      <c r="AD12" s="24">
        <v>8893.89</v>
      </c>
      <c r="AE12" s="24">
        <v>1468.07</v>
      </c>
      <c r="AF12" s="24">
        <v>552.0</v>
      </c>
      <c r="AG12" s="24">
        <v>623.28</v>
      </c>
      <c r="AH12" s="24">
        <v>0.0</v>
      </c>
      <c r="AI12" s="24">
        <v>2173.41</v>
      </c>
      <c r="AJ12" s="24">
        <v>1700.24</v>
      </c>
      <c r="AK12" s="19">
        <v>1.0</v>
      </c>
      <c r="AL12" s="16">
        <v>46585.0</v>
      </c>
      <c r="AM12" s="19">
        <v>0.0</v>
      </c>
      <c r="AN12" s="19">
        <v>782.63</v>
      </c>
      <c r="AO12" s="16">
        <v>250.0</v>
      </c>
      <c r="AP12" s="16">
        <v>0.0</v>
      </c>
      <c r="AQ12" s="16">
        <v>0.0</v>
      </c>
      <c r="AR12" s="16">
        <v>0.0</v>
      </c>
      <c r="AS12" s="7">
        <v>14085.47</v>
      </c>
      <c r="AT12" s="6">
        <v>0.0</v>
      </c>
      <c r="AU12" s="18">
        <f>AP12+AG12+2709.54</f>
        <v>3332.82</v>
      </c>
      <c r="AV12" s="6">
        <v>8819.25</v>
      </c>
      <c r="AW12" s="6">
        <v>0.0</v>
      </c>
      <c r="AX12" s="7">
        <v>0.0</v>
      </c>
      <c r="AY12" s="18">
        <f t="shared" si="42"/>
        <v>26237.54</v>
      </c>
      <c r="AZ12" s="20"/>
      <c r="BA12" s="21"/>
      <c r="BB12" s="22"/>
      <c r="BC12" s="22"/>
    </row>
    <row r="13">
      <c r="A13" s="11">
        <v>2024.0</v>
      </c>
      <c r="B13" s="11" t="s">
        <v>48</v>
      </c>
      <c r="C13" s="12">
        <v>45454.0</v>
      </c>
      <c r="D13" s="42">
        <v>1.0</v>
      </c>
      <c r="E13" s="24">
        <v>55111.48</v>
      </c>
      <c r="F13" s="24">
        <v>2197.14</v>
      </c>
      <c r="G13" s="24">
        <v>302.56</v>
      </c>
      <c r="H13" s="24">
        <v>138.0</v>
      </c>
      <c r="I13" s="24">
        <v>139.19</v>
      </c>
      <c r="J13" s="24">
        <v>0.0</v>
      </c>
      <c r="K13" s="24">
        <v>691.52</v>
      </c>
      <c r="L13" s="24">
        <v>925.87</v>
      </c>
      <c r="M13" s="15">
        <v>1.0</v>
      </c>
      <c r="N13" s="16">
        <v>50000.0</v>
      </c>
      <c r="O13" s="16">
        <f t="shared" si="26"/>
        <v>2000</v>
      </c>
      <c r="P13" s="16">
        <f t="shared" si="27"/>
        <v>840</v>
      </c>
      <c r="Q13" s="16">
        <f t="shared" si="28"/>
        <v>552</v>
      </c>
      <c r="R13" s="16">
        <f t="shared" si="29"/>
        <v>239.19</v>
      </c>
      <c r="S13" s="17">
        <f t="shared" si="30"/>
        <v>393.42</v>
      </c>
      <c r="T13" s="17">
        <f t="shared" si="31"/>
        <v>138</v>
      </c>
      <c r="U13" s="7">
        <f>L13</f>
        <v>925.87</v>
      </c>
      <c r="V13" s="18">
        <f t="shared" si="32"/>
        <v>840</v>
      </c>
      <c r="W13" s="18">
        <f t="shared" si="33"/>
        <v>378.38</v>
      </c>
      <c r="X13" s="18">
        <f t="shared" si="34"/>
        <v>0</v>
      </c>
      <c r="Y13" s="18">
        <f t="shared" si="35"/>
        <v>2000</v>
      </c>
      <c r="Z13" s="18">
        <f t="shared" si="36"/>
        <v>552</v>
      </c>
      <c r="AA13" s="18">
        <f t="shared" si="37"/>
        <v>4696.25</v>
      </c>
      <c r="AB13" s="42">
        <v>1.0</v>
      </c>
      <c r="AC13" s="24">
        <v>55111.48</v>
      </c>
      <c r="AD13" s="24">
        <v>2197.14</v>
      </c>
      <c r="AE13" s="24">
        <v>302.56</v>
      </c>
      <c r="AF13" s="24">
        <v>138.0</v>
      </c>
      <c r="AG13" s="24">
        <v>139.19</v>
      </c>
      <c r="AH13" s="24">
        <v>0.0</v>
      </c>
      <c r="AI13" s="24">
        <v>691.52</v>
      </c>
      <c r="AJ13" s="24">
        <v>925.87</v>
      </c>
      <c r="AK13" s="19">
        <v>3.0</v>
      </c>
      <c r="AL13" s="16">
        <v>159173.78</v>
      </c>
      <c r="AM13" s="43">
        <v>6020.0</v>
      </c>
      <c r="AN13" s="19">
        <v>2680.0</v>
      </c>
      <c r="AO13" s="16">
        <f t="shared" ref="AO13:AO14" si="43">AK13*(250+300)</f>
        <v>1650</v>
      </c>
      <c r="AP13" s="16">
        <v>673.42</v>
      </c>
      <c r="AQ13" s="16">
        <v>886.36</v>
      </c>
      <c r="AR13" s="17">
        <f t="shared" ref="AR13:AR16" si="44">AK13*138</f>
        <v>414</v>
      </c>
      <c r="AS13" s="7">
        <v>18689.33</v>
      </c>
      <c r="AT13" s="32">
        <f t="shared" ref="AT13:AT14" si="45">AN13</f>
        <v>2680</v>
      </c>
      <c r="AU13" s="18">
        <f>AP13+AG13+714.12</f>
        <v>1526.73</v>
      </c>
      <c r="AV13" s="6">
        <v>2549.27</v>
      </c>
      <c r="AW13" s="32">
        <f>AM13+1591</f>
        <v>7611</v>
      </c>
      <c r="AX13" s="18">
        <f>AO13+3204.2</f>
        <v>4854.2</v>
      </c>
      <c r="AY13" s="18">
        <f t="shared" si="42"/>
        <v>37910.53</v>
      </c>
      <c r="AZ13" s="20"/>
      <c r="BA13" s="21"/>
      <c r="BB13" s="22"/>
      <c r="BC13" s="22"/>
    </row>
    <row r="14">
      <c r="A14" s="11">
        <v>2024.0</v>
      </c>
      <c r="B14" s="11" t="s">
        <v>48</v>
      </c>
      <c r="C14" s="12">
        <v>45455.0</v>
      </c>
      <c r="D14" s="44">
        <v>4.0</v>
      </c>
      <c r="E14" s="26">
        <v>95287.94</v>
      </c>
      <c r="F14" s="26">
        <v>6876.43</v>
      </c>
      <c r="G14" s="26">
        <v>1282.96</v>
      </c>
      <c r="H14" s="26">
        <v>552.0</v>
      </c>
      <c r="I14" s="26">
        <v>562.5</v>
      </c>
      <c r="J14" s="26">
        <v>0.0</v>
      </c>
      <c r="K14" s="26">
        <v>2878.13</v>
      </c>
      <c r="L14" s="26">
        <v>1600.84</v>
      </c>
      <c r="M14" s="15">
        <v>2.0</v>
      </c>
      <c r="N14" s="16">
        <v>120000.0</v>
      </c>
      <c r="O14" s="16">
        <f t="shared" si="26"/>
        <v>4800</v>
      </c>
      <c r="P14" s="16">
        <f t="shared" si="27"/>
        <v>2016</v>
      </c>
      <c r="Q14" s="16">
        <f t="shared" si="28"/>
        <v>1104</v>
      </c>
      <c r="R14" s="16">
        <f t="shared" si="29"/>
        <v>478.38</v>
      </c>
      <c r="S14" s="17">
        <f t="shared" si="30"/>
        <v>786.84</v>
      </c>
      <c r="T14" s="17">
        <f t="shared" si="31"/>
        <v>276</v>
      </c>
      <c r="U14" s="7">
        <v>1466.07</v>
      </c>
      <c r="V14" s="18">
        <f t="shared" si="32"/>
        <v>2016</v>
      </c>
      <c r="W14" s="18">
        <f t="shared" si="33"/>
        <v>1040.88</v>
      </c>
      <c r="X14" s="18">
        <f t="shared" si="34"/>
        <v>0</v>
      </c>
      <c r="Y14" s="18">
        <f t="shared" si="35"/>
        <v>4800</v>
      </c>
      <c r="Z14" s="18">
        <f t="shared" si="36"/>
        <v>1104</v>
      </c>
      <c r="AA14" s="18">
        <f t="shared" si="37"/>
        <v>10426.95</v>
      </c>
      <c r="AB14" s="42">
        <v>4.0</v>
      </c>
      <c r="AC14" s="24">
        <v>94783.07</v>
      </c>
      <c r="AD14" s="24">
        <v>6876.43</v>
      </c>
      <c r="AE14" s="24">
        <v>1282.96</v>
      </c>
      <c r="AF14" s="24">
        <v>552.0</v>
      </c>
      <c r="AG14" s="24">
        <v>562.5</v>
      </c>
      <c r="AH14" s="24">
        <v>0.0</v>
      </c>
      <c r="AI14" s="24">
        <v>1583.44</v>
      </c>
      <c r="AJ14" s="24">
        <v>1304.36</v>
      </c>
      <c r="AK14" s="19">
        <v>3.0</v>
      </c>
      <c r="AL14" s="16">
        <v>310943.45</v>
      </c>
      <c r="AM14" s="19">
        <v>11760.0</v>
      </c>
      <c r="AN14" s="19">
        <v>5234.0</v>
      </c>
      <c r="AO14" s="16">
        <f t="shared" si="43"/>
        <v>1650</v>
      </c>
      <c r="AP14" s="16">
        <v>834.43</v>
      </c>
      <c r="AQ14" s="16">
        <v>1201.02</v>
      </c>
      <c r="AR14" s="17">
        <f t="shared" si="44"/>
        <v>414</v>
      </c>
      <c r="AS14" s="45">
        <v>17716.97</v>
      </c>
      <c r="AT14" s="32">
        <f t="shared" si="45"/>
        <v>5234</v>
      </c>
      <c r="AU14" s="18">
        <f>AP14+AG14+596.67</f>
        <v>1993.6</v>
      </c>
      <c r="AV14" s="46">
        <v>9858.62</v>
      </c>
      <c r="AW14" s="47">
        <f>AM14</f>
        <v>11760</v>
      </c>
      <c r="AX14" s="18">
        <f>AO14</f>
        <v>1650</v>
      </c>
      <c r="AY14" s="18">
        <f t="shared" si="42"/>
        <v>48213.19</v>
      </c>
      <c r="AZ14" s="20"/>
      <c r="BA14" s="21"/>
      <c r="BB14" s="22"/>
      <c r="BC14" s="22"/>
    </row>
    <row r="15">
      <c r="A15" s="11">
        <v>2024.0</v>
      </c>
      <c r="B15" s="11" t="s">
        <v>48</v>
      </c>
      <c r="C15" s="12">
        <v>45456.0</v>
      </c>
      <c r="D15" s="42">
        <v>4.0</v>
      </c>
      <c r="E15" s="24">
        <v>268422.14</v>
      </c>
      <c r="F15" s="24">
        <v>15198.48</v>
      </c>
      <c r="G15" s="24">
        <v>1457.38</v>
      </c>
      <c r="H15" s="24">
        <v>414.0</v>
      </c>
      <c r="I15" s="24">
        <v>564.26</v>
      </c>
      <c r="J15" s="24">
        <v>407.92</v>
      </c>
      <c r="K15" s="24">
        <v>6817.96</v>
      </c>
      <c r="L15" s="24">
        <v>5536.96</v>
      </c>
      <c r="M15" s="27">
        <v>2.0</v>
      </c>
      <c r="N15" s="28">
        <v>150000.0</v>
      </c>
      <c r="O15" s="16">
        <f t="shared" si="26"/>
        <v>6000</v>
      </c>
      <c r="P15" s="16">
        <f t="shared" si="27"/>
        <v>2520</v>
      </c>
      <c r="Q15" s="16">
        <f t="shared" si="28"/>
        <v>1104</v>
      </c>
      <c r="R15" s="16">
        <f t="shared" si="29"/>
        <v>478.38</v>
      </c>
      <c r="S15" s="17">
        <f t="shared" si="30"/>
        <v>786.84</v>
      </c>
      <c r="T15" s="17">
        <f t="shared" si="31"/>
        <v>276</v>
      </c>
      <c r="U15" s="7">
        <f>L15*0.2</f>
        <v>1107.392</v>
      </c>
      <c r="V15" s="18">
        <f t="shared" si="32"/>
        <v>2520</v>
      </c>
      <c r="W15" s="18">
        <f t="shared" si="33"/>
        <v>1042.64</v>
      </c>
      <c r="X15" s="18">
        <f t="shared" si="34"/>
        <v>407.92</v>
      </c>
      <c r="Y15" s="18">
        <f t="shared" si="35"/>
        <v>6000</v>
      </c>
      <c r="Z15" s="18">
        <f t="shared" si="36"/>
        <v>1104</v>
      </c>
      <c r="AA15" s="18">
        <f t="shared" si="37"/>
        <v>12181.952</v>
      </c>
      <c r="AB15" s="42">
        <v>1.0</v>
      </c>
      <c r="AC15" s="24">
        <v>77602.85</v>
      </c>
      <c r="AD15" s="24">
        <v>2596.09</v>
      </c>
      <c r="AE15" s="24">
        <v>0.0</v>
      </c>
      <c r="AF15" s="24">
        <v>0.0</v>
      </c>
      <c r="AG15" s="24">
        <v>0.0</v>
      </c>
      <c r="AH15" s="24">
        <v>0.0</v>
      </c>
      <c r="AI15" s="24">
        <v>0.0</v>
      </c>
      <c r="AJ15" s="24">
        <v>0.0</v>
      </c>
      <c r="AK15" s="19">
        <v>1.0</v>
      </c>
      <c r="AL15" s="16">
        <v>117886.25</v>
      </c>
      <c r="AM15" s="19">
        <v>4458.0</v>
      </c>
      <c r="AN15" s="19">
        <v>1984.0</v>
      </c>
      <c r="AO15" s="16">
        <v>550.0</v>
      </c>
      <c r="AP15" s="16">
        <v>297.62</v>
      </c>
      <c r="AQ15" s="16">
        <v>508.63</v>
      </c>
      <c r="AR15" s="17">
        <f t="shared" si="44"/>
        <v>138</v>
      </c>
      <c r="AS15" s="7">
        <v>37680.82</v>
      </c>
      <c r="AT15" s="6">
        <v>0.0</v>
      </c>
      <c r="AU15" s="6">
        <v>1018.2</v>
      </c>
      <c r="AV15" s="6">
        <v>1255.68</v>
      </c>
      <c r="AW15" s="6">
        <v>0.0</v>
      </c>
      <c r="AX15" s="7">
        <v>0.0</v>
      </c>
      <c r="AY15" s="18">
        <f t="shared" si="42"/>
        <v>39954.7</v>
      </c>
      <c r="AZ15" s="20"/>
      <c r="BA15" s="21"/>
      <c r="BB15" s="22"/>
      <c r="BC15" s="22"/>
    </row>
    <row r="16">
      <c r="A16" s="11">
        <v>2024.0</v>
      </c>
      <c r="B16" s="11" t="s">
        <v>48</v>
      </c>
      <c r="C16" s="12">
        <v>45457.0</v>
      </c>
      <c r="D16" s="42">
        <v>18.0</v>
      </c>
      <c r="E16" s="24">
        <v>2776105.03</v>
      </c>
      <c r="F16" s="24">
        <v>315078.63</v>
      </c>
      <c r="G16" s="24">
        <v>5241.42</v>
      </c>
      <c r="H16" s="24">
        <v>2208.0</v>
      </c>
      <c r="I16" s="24">
        <v>2211.69</v>
      </c>
      <c r="J16" s="24">
        <v>99137.36</v>
      </c>
      <c r="K16" s="24">
        <v>152683.56</v>
      </c>
      <c r="L16" s="24">
        <v>53524.6</v>
      </c>
      <c r="M16" s="15">
        <v>1.0</v>
      </c>
      <c r="N16" s="28">
        <v>87000.0</v>
      </c>
      <c r="O16" s="16">
        <f t="shared" si="26"/>
        <v>3480</v>
      </c>
      <c r="P16" s="16">
        <f t="shared" si="27"/>
        <v>1461.6</v>
      </c>
      <c r="Q16" s="16">
        <f t="shared" si="28"/>
        <v>552</v>
      </c>
      <c r="R16" s="16">
        <f t="shared" si="29"/>
        <v>239.19</v>
      </c>
      <c r="S16" s="17">
        <f t="shared" si="30"/>
        <v>393.42</v>
      </c>
      <c r="T16" s="17">
        <f t="shared" si="31"/>
        <v>138</v>
      </c>
      <c r="U16" s="7">
        <v>19260.35</v>
      </c>
      <c r="V16" s="18">
        <f t="shared" si="32"/>
        <v>1461.6</v>
      </c>
      <c r="W16" s="18">
        <f t="shared" si="33"/>
        <v>2450.88</v>
      </c>
      <c r="X16" s="18">
        <f t="shared" si="34"/>
        <v>99137.36</v>
      </c>
      <c r="Y16" s="18">
        <f t="shared" si="35"/>
        <v>3480</v>
      </c>
      <c r="Z16" s="18">
        <f t="shared" si="36"/>
        <v>552</v>
      </c>
      <c r="AA16" s="18">
        <f t="shared" si="37"/>
        <v>126342.19</v>
      </c>
      <c r="AB16" s="42">
        <v>7.0</v>
      </c>
      <c r="AC16" s="24">
        <v>329630.27</v>
      </c>
      <c r="AD16" s="24">
        <v>14617.73</v>
      </c>
      <c r="AE16" s="24">
        <v>2669.96</v>
      </c>
      <c r="AF16" s="24">
        <v>966.0</v>
      </c>
      <c r="AG16" s="24">
        <v>1151.03</v>
      </c>
      <c r="AH16" s="24">
        <v>0.0</v>
      </c>
      <c r="AI16" s="24">
        <v>4344.22</v>
      </c>
      <c r="AJ16" s="24">
        <v>6231.4</v>
      </c>
      <c r="AK16" s="19">
        <v>1.0</v>
      </c>
      <c r="AL16" s="16">
        <v>103908.78</v>
      </c>
      <c r="AM16" s="16">
        <v>3930.0</v>
      </c>
      <c r="AN16" s="19">
        <v>1749.0</v>
      </c>
      <c r="AO16" s="16">
        <v>550.0</v>
      </c>
      <c r="AP16" s="16">
        <v>297.62</v>
      </c>
      <c r="AQ16" s="16">
        <v>399.16</v>
      </c>
      <c r="AR16" s="17">
        <f t="shared" si="44"/>
        <v>138</v>
      </c>
      <c r="AS16" s="7">
        <v>5779.59</v>
      </c>
      <c r="AT16" s="32">
        <f>AN16</f>
        <v>1749</v>
      </c>
      <c r="AU16" s="6">
        <v>2423.83</v>
      </c>
      <c r="AV16" s="6">
        <v>2383.48</v>
      </c>
      <c r="AW16" s="6">
        <v>8388.0</v>
      </c>
      <c r="AX16" s="18">
        <f>5428.24-1749</f>
        <v>3679.24</v>
      </c>
      <c r="AY16" s="18">
        <f t="shared" si="42"/>
        <v>24403.14</v>
      </c>
      <c r="AZ16" s="20"/>
      <c r="BA16" s="21"/>
      <c r="BB16" s="22"/>
      <c r="BC16" s="22"/>
    </row>
    <row r="17">
      <c r="A17" s="11">
        <v>2024.0</v>
      </c>
      <c r="B17" s="11" t="s">
        <v>48</v>
      </c>
      <c r="C17" s="1"/>
      <c r="D17" s="33"/>
      <c r="E17" s="33"/>
      <c r="F17" s="33"/>
      <c r="G17" s="33"/>
      <c r="H17" s="33"/>
      <c r="I17" s="33"/>
      <c r="J17" s="33"/>
      <c r="K17" s="33"/>
      <c r="L17" s="33"/>
      <c r="M17" s="35"/>
      <c r="N17" s="35"/>
      <c r="O17" s="35"/>
      <c r="P17" s="35"/>
      <c r="Q17" s="35"/>
      <c r="R17" s="35"/>
      <c r="S17" s="35"/>
      <c r="T17" s="35"/>
      <c r="U17" s="37"/>
      <c r="V17" s="48"/>
      <c r="W17" s="48"/>
      <c r="X17" s="48"/>
      <c r="Y17" s="48"/>
      <c r="Z17" s="48"/>
      <c r="AA17" s="48"/>
      <c r="AB17" s="33"/>
      <c r="AC17" s="33"/>
      <c r="AD17" s="33"/>
      <c r="AE17" s="33"/>
      <c r="AF17" s="33"/>
      <c r="AG17" s="33"/>
      <c r="AH17" s="33"/>
      <c r="AI17" s="33"/>
      <c r="AJ17" s="33"/>
      <c r="AK17" s="35"/>
      <c r="AL17" s="35"/>
      <c r="AM17" s="35"/>
      <c r="AN17" s="35"/>
      <c r="AO17" s="35"/>
      <c r="AP17" s="35"/>
      <c r="AQ17" s="35"/>
      <c r="AR17" s="35"/>
      <c r="AS17" s="37"/>
      <c r="AT17" s="48"/>
      <c r="AU17" s="48"/>
      <c r="AV17" s="48"/>
      <c r="AW17" s="48"/>
      <c r="AX17" s="48"/>
      <c r="AY17" s="48"/>
      <c r="AZ17" s="38"/>
      <c r="BA17" s="39"/>
      <c r="BB17" s="40"/>
      <c r="BC17" s="40"/>
    </row>
    <row r="18">
      <c r="A18" s="1">
        <v>2024.0</v>
      </c>
      <c r="B18" s="1" t="s">
        <v>48</v>
      </c>
      <c r="C18" s="1" t="s">
        <v>49</v>
      </c>
      <c r="D18" s="33">
        <f t="shared" ref="D18:AY18" si="46">SUM(D10:D16)</f>
        <v>57</v>
      </c>
      <c r="E18" s="34">
        <f t="shared" si="46"/>
        <v>4917182.64</v>
      </c>
      <c r="F18" s="34">
        <f t="shared" si="46"/>
        <v>440838.09</v>
      </c>
      <c r="G18" s="34">
        <f t="shared" si="46"/>
        <v>19710.11</v>
      </c>
      <c r="H18" s="34">
        <f t="shared" si="46"/>
        <v>7176</v>
      </c>
      <c r="I18" s="34">
        <f t="shared" si="46"/>
        <v>7875.32</v>
      </c>
      <c r="J18" s="34">
        <f t="shared" si="46"/>
        <v>103541.91</v>
      </c>
      <c r="K18" s="34">
        <f t="shared" si="46"/>
        <v>205601.41</v>
      </c>
      <c r="L18" s="34">
        <f t="shared" si="46"/>
        <v>94992.51</v>
      </c>
      <c r="M18" s="35">
        <f t="shared" si="46"/>
        <v>8</v>
      </c>
      <c r="N18" s="36">
        <f t="shared" si="46"/>
        <v>539000</v>
      </c>
      <c r="O18" s="36">
        <f t="shared" si="46"/>
        <v>21560</v>
      </c>
      <c r="P18" s="36">
        <f t="shared" si="46"/>
        <v>9055.2</v>
      </c>
      <c r="Q18" s="36">
        <f t="shared" si="46"/>
        <v>4416</v>
      </c>
      <c r="R18" s="36">
        <f t="shared" si="46"/>
        <v>1913.52</v>
      </c>
      <c r="S18" s="36">
        <f t="shared" si="46"/>
        <v>3147.36</v>
      </c>
      <c r="T18" s="36">
        <f t="shared" si="46"/>
        <v>1104</v>
      </c>
      <c r="U18" s="37">
        <f t="shared" si="46"/>
        <v>40473.832</v>
      </c>
      <c r="V18" s="37">
        <f t="shared" si="46"/>
        <v>9055.2</v>
      </c>
      <c r="W18" s="37">
        <f t="shared" si="46"/>
        <v>9788.84</v>
      </c>
      <c r="X18" s="37">
        <f t="shared" si="46"/>
        <v>103541.91</v>
      </c>
      <c r="Y18" s="37">
        <f t="shared" si="46"/>
        <v>21560</v>
      </c>
      <c r="Z18" s="37">
        <f t="shared" si="46"/>
        <v>4416</v>
      </c>
      <c r="AA18" s="37">
        <f t="shared" si="46"/>
        <v>188835.782</v>
      </c>
      <c r="AB18" s="33">
        <f t="shared" si="46"/>
        <v>27</v>
      </c>
      <c r="AC18" s="34">
        <f t="shared" si="46"/>
        <v>1314589.08</v>
      </c>
      <c r="AD18" s="34">
        <f t="shared" si="46"/>
        <v>62990.08</v>
      </c>
      <c r="AE18" s="34">
        <f t="shared" si="46"/>
        <v>9470.63</v>
      </c>
      <c r="AF18" s="34">
        <f t="shared" si="46"/>
        <v>3450</v>
      </c>
      <c r="AG18" s="34">
        <f t="shared" si="46"/>
        <v>3759.91</v>
      </c>
      <c r="AH18" s="34">
        <f t="shared" si="46"/>
        <v>0</v>
      </c>
      <c r="AI18" s="34">
        <f t="shared" si="46"/>
        <v>19189.82</v>
      </c>
      <c r="AJ18" s="34">
        <f t="shared" si="46"/>
        <v>19429.95</v>
      </c>
      <c r="AK18" s="35">
        <f t="shared" si="46"/>
        <v>9</v>
      </c>
      <c r="AL18" s="36">
        <f t="shared" si="46"/>
        <v>738497.26</v>
      </c>
      <c r="AM18" s="35">
        <f t="shared" si="46"/>
        <v>26168</v>
      </c>
      <c r="AN18" s="35">
        <f t="shared" si="46"/>
        <v>12429.63</v>
      </c>
      <c r="AO18" s="36">
        <f t="shared" si="46"/>
        <v>4650</v>
      </c>
      <c r="AP18" s="36">
        <f t="shared" si="46"/>
        <v>2103.09</v>
      </c>
      <c r="AQ18" s="36">
        <f t="shared" si="46"/>
        <v>2995.17</v>
      </c>
      <c r="AR18" s="36">
        <f t="shared" si="46"/>
        <v>1104</v>
      </c>
      <c r="AS18" s="37">
        <f t="shared" si="46"/>
        <v>93952.18</v>
      </c>
      <c r="AT18" s="48">
        <f t="shared" si="46"/>
        <v>9663</v>
      </c>
      <c r="AU18" s="48">
        <f t="shared" si="46"/>
        <v>10295.18</v>
      </c>
      <c r="AV18" s="37">
        <f t="shared" si="46"/>
        <v>24866.3</v>
      </c>
      <c r="AW18" s="48">
        <f t="shared" si="46"/>
        <v>27759</v>
      </c>
      <c r="AX18" s="37">
        <f t="shared" si="46"/>
        <v>10183.44</v>
      </c>
      <c r="AY18" s="37">
        <f t="shared" si="46"/>
        <v>176719.1</v>
      </c>
      <c r="AZ18" s="38"/>
      <c r="BA18" s="39"/>
      <c r="BB18" s="40"/>
      <c r="BC18" s="40"/>
    </row>
    <row r="19">
      <c r="A19" s="11">
        <v>2024.0</v>
      </c>
      <c r="B19" s="11" t="s">
        <v>48</v>
      </c>
      <c r="C19" s="12">
        <v>45458.0</v>
      </c>
      <c r="D19" s="49">
        <v>34.0</v>
      </c>
      <c r="E19" s="26">
        <v>1693685.73</v>
      </c>
      <c r="F19" s="26">
        <v>71659.19</v>
      </c>
      <c r="G19" s="26">
        <v>10396.2</v>
      </c>
      <c r="H19" s="26">
        <v>4416.0</v>
      </c>
      <c r="I19" s="26">
        <v>3966.11</v>
      </c>
      <c r="J19" s="26">
        <v>3655.3</v>
      </c>
      <c r="K19" s="26">
        <v>18465.03</v>
      </c>
      <c r="L19" s="26">
        <v>30760.55</v>
      </c>
      <c r="M19" s="15">
        <v>0.0</v>
      </c>
      <c r="N19" s="16">
        <v>0.0</v>
      </c>
      <c r="O19" s="16">
        <f t="shared" ref="O19:O25" si="47">N19*4%</f>
        <v>0</v>
      </c>
      <c r="P19" s="16">
        <f t="shared" ref="P19:P25" si="48">N19*1.68%</f>
        <v>0</v>
      </c>
      <c r="Q19" s="16">
        <f t="shared" ref="Q19:Q25" si="49">M19*(250+300+2)</f>
        <v>0</v>
      </c>
      <c r="R19" s="16">
        <f t="shared" ref="R19:R25" si="50">M19*239.19</f>
        <v>0</v>
      </c>
      <c r="S19" s="17">
        <f t="shared" ref="S19:S25" si="51">M19*393.42</f>
        <v>0</v>
      </c>
      <c r="T19" s="17">
        <f t="shared" ref="T19:T25" si="52">M19*138</f>
        <v>0</v>
      </c>
      <c r="U19" s="7">
        <v>24973.27</v>
      </c>
      <c r="V19" s="18">
        <f t="shared" ref="V19:V25" si="53">P19</f>
        <v>0</v>
      </c>
      <c r="W19" s="18">
        <f t="shared" ref="W19:W25" si="54">R19+I19</f>
        <v>3966.11</v>
      </c>
      <c r="X19" s="7">
        <v>3655.3</v>
      </c>
      <c r="Y19" s="18">
        <f t="shared" ref="Y19:Y25" si="55">O19</f>
        <v>0</v>
      </c>
      <c r="Z19" s="18">
        <f t="shared" ref="Z19:Z25" si="56">Q19</f>
        <v>0</v>
      </c>
      <c r="AA19" s="18">
        <f t="shared" ref="AA19:AA25" si="57">SUM(U19:Z19)</f>
        <v>32594.68</v>
      </c>
      <c r="AB19" s="41">
        <v>18.0</v>
      </c>
      <c r="AC19" s="14">
        <v>756747.72</v>
      </c>
      <c r="AD19" s="14">
        <v>36823.51</v>
      </c>
      <c r="AE19" s="14">
        <v>5937.39</v>
      </c>
      <c r="AF19" s="14">
        <v>2346.0</v>
      </c>
      <c r="AG19" s="14">
        <v>2301.95</v>
      </c>
      <c r="AH19" s="14">
        <v>0.0</v>
      </c>
      <c r="AI19" s="14">
        <v>11967.14</v>
      </c>
      <c r="AJ19" s="14">
        <v>0.0</v>
      </c>
      <c r="AK19" s="19">
        <v>0.0</v>
      </c>
      <c r="AL19" s="16">
        <v>0.0</v>
      </c>
      <c r="AM19" s="19">
        <v>0.0</v>
      </c>
      <c r="AN19" s="19">
        <v>0.0</v>
      </c>
      <c r="AO19" s="16">
        <v>0.0</v>
      </c>
      <c r="AP19" s="16">
        <v>0.0</v>
      </c>
      <c r="AQ19" s="16">
        <v>0.0</v>
      </c>
      <c r="AR19" s="16">
        <v>0.0</v>
      </c>
      <c r="AS19" s="7">
        <v>0.0</v>
      </c>
      <c r="AT19" s="7">
        <v>0.0</v>
      </c>
      <c r="AU19" s="7">
        <v>0.0</v>
      </c>
      <c r="AV19" s="6">
        <v>0.0</v>
      </c>
      <c r="AW19" s="7">
        <v>0.0</v>
      </c>
      <c r="AX19" s="7">
        <v>0.0</v>
      </c>
      <c r="AY19" s="7">
        <v>0.0</v>
      </c>
      <c r="AZ19" s="8"/>
      <c r="BA19" s="9"/>
      <c r="BB19" s="10"/>
      <c r="BC19" s="10"/>
    </row>
    <row r="20">
      <c r="A20" s="11">
        <v>2024.0</v>
      </c>
      <c r="B20" s="11" t="s">
        <v>48</v>
      </c>
      <c r="C20" s="12">
        <v>45459.0</v>
      </c>
      <c r="D20" s="49">
        <v>15.0</v>
      </c>
      <c r="E20" s="26">
        <v>1459937.49</v>
      </c>
      <c r="F20" s="26">
        <v>59059.85</v>
      </c>
      <c r="G20" s="26">
        <v>4728.55</v>
      </c>
      <c r="H20" s="26">
        <v>1794.0</v>
      </c>
      <c r="I20" s="26">
        <v>2292.59</v>
      </c>
      <c r="J20" s="26">
        <v>3922.07</v>
      </c>
      <c r="K20" s="26">
        <v>21092.76</v>
      </c>
      <c r="L20" s="26">
        <v>25229.88</v>
      </c>
      <c r="M20" s="15">
        <v>0.0</v>
      </c>
      <c r="N20" s="16">
        <v>0.0</v>
      </c>
      <c r="O20" s="16">
        <f t="shared" si="47"/>
        <v>0</v>
      </c>
      <c r="P20" s="16">
        <f t="shared" si="48"/>
        <v>0</v>
      </c>
      <c r="Q20" s="16">
        <f t="shared" si="49"/>
        <v>0</v>
      </c>
      <c r="R20" s="16">
        <f t="shared" si="50"/>
        <v>0</v>
      </c>
      <c r="S20" s="17">
        <f t="shared" si="51"/>
        <v>0</v>
      </c>
      <c r="T20" s="17">
        <f t="shared" si="52"/>
        <v>0</v>
      </c>
      <c r="U20" s="7">
        <v>23026.84</v>
      </c>
      <c r="V20" s="18">
        <f t="shared" si="53"/>
        <v>0</v>
      </c>
      <c r="W20" s="18">
        <f t="shared" si="54"/>
        <v>2292.59</v>
      </c>
      <c r="X20" s="7">
        <v>3922.07</v>
      </c>
      <c r="Y20" s="18">
        <f t="shared" si="55"/>
        <v>0</v>
      </c>
      <c r="Z20" s="18">
        <f t="shared" si="56"/>
        <v>0</v>
      </c>
      <c r="AA20" s="18">
        <f t="shared" si="57"/>
        <v>29241.5</v>
      </c>
      <c r="AB20" s="42">
        <v>9.0</v>
      </c>
      <c r="AC20" s="24">
        <v>431667.73</v>
      </c>
      <c r="AD20" s="24">
        <v>19338.91</v>
      </c>
      <c r="AE20" s="24">
        <v>2858.06</v>
      </c>
      <c r="AF20" s="24">
        <v>1242.0</v>
      </c>
      <c r="AG20" s="24">
        <v>1634.2</v>
      </c>
      <c r="AH20" s="24">
        <v>0.0</v>
      </c>
      <c r="AI20" s="24">
        <v>5563.58</v>
      </c>
      <c r="AJ20" s="24">
        <v>7240.72</v>
      </c>
      <c r="AK20" s="19">
        <v>0.0</v>
      </c>
      <c r="AL20" s="16">
        <v>0.0</v>
      </c>
      <c r="AM20" s="16">
        <v>0.0</v>
      </c>
      <c r="AN20" s="16">
        <v>0.0</v>
      </c>
      <c r="AO20" s="16">
        <v>0.0</v>
      </c>
      <c r="AP20" s="16">
        <v>0.0</v>
      </c>
      <c r="AQ20" s="16">
        <v>0.0</v>
      </c>
      <c r="AR20" s="16">
        <v>0.0</v>
      </c>
      <c r="AS20" s="7">
        <v>0.0</v>
      </c>
      <c r="AT20" s="7">
        <v>0.0</v>
      </c>
      <c r="AU20" s="7">
        <v>0.0</v>
      </c>
      <c r="AV20" s="7">
        <v>0.0</v>
      </c>
      <c r="AW20" s="7">
        <v>0.0</v>
      </c>
      <c r="AX20" s="7">
        <v>0.0</v>
      </c>
      <c r="AY20" s="7">
        <v>0.0</v>
      </c>
      <c r="AZ20" s="8"/>
      <c r="BA20" s="9"/>
      <c r="BB20" s="10"/>
      <c r="BC20" s="10"/>
    </row>
    <row r="21">
      <c r="A21" s="11">
        <v>2024.0</v>
      </c>
      <c r="B21" s="11" t="s">
        <v>48</v>
      </c>
      <c r="C21" s="12">
        <v>45460.0</v>
      </c>
      <c r="D21" s="49">
        <v>14.0</v>
      </c>
      <c r="E21" s="26">
        <v>1753891.52</v>
      </c>
      <c r="F21" s="26">
        <v>146275.29</v>
      </c>
      <c r="G21" s="26">
        <v>4219.71</v>
      </c>
      <c r="H21" s="26">
        <v>1518.0</v>
      </c>
      <c r="I21" s="26">
        <v>1815.92</v>
      </c>
      <c r="J21" s="26">
        <v>14407.63</v>
      </c>
      <c r="K21" s="26">
        <v>58762.81</v>
      </c>
      <c r="L21" s="26">
        <v>33067.57</v>
      </c>
      <c r="M21" s="15">
        <v>1.0</v>
      </c>
      <c r="N21" s="16">
        <v>60000.0</v>
      </c>
      <c r="O21" s="16">
        <f t="shared" si="47"/>
        <v>2400</v>
      </c>
      <c r="P21" s="16">
        <f t="shared" si="48"/>
        <v>1008</v>
      </c>
      <c r="Q21" s="16">
        <f t="shared" si="49"/>
        <v>552</v>
      </c>
      <c r="R21" s="16">
        <f t="shared" si="50"/>
        <v>239.19</v>
      </c>
      <c r="S21" s="17">
        <f t="shared" si="51"/>
        <v>393.42</v>
      </c>
      <c r="T21" s="17">
        <f t="shared" si="52"/>
        <v>138</v>
      </c>
      <c r="U21" s="7">
        <v>40048.97</v>
      </c>
      <c r="V21" s="18">
        <f t="shared" si="53"/>
        <v>1008</v>
      </c>
      <c r="W21" s="18">
        <f t="shared" si="54"/>
        <v>2055.11</v>
      </c>
      <c r="X21" s="7">
        <v>14407.63</v>
      </c>
      <c r="Y21" s="18">
        <f t="shared" si="55"/>
        <v>2400</v>
      </c>
      <c r="Z21" s="18">
        <f t="shared" si="56"/>
        <v>552</v>
      </c>
      <c r="AA21" s="18">
        <f t="shared" si="57"/>
        <v>60471.71</v>
      </c>
      <c r="AB21" s="42">
        <v>1.0</v>
      </c>
      <c r="AC21" s="24">
        <v>30172.45</v>
      </c>
      <c r="AD21" s="24">
        <v>3000.0</v>
      </c>
      <c r="AE21" s="24">
        <v>0.0</v>
      </c>
      <c r="AF21" s="24">
        <v>0.0</v>
      </c>
      <c r="AG21" s="24">
        <v>0.0</v>
      </c>
      <c r="AH21" s="24">
        <v>0.0</v>
      </c>
      <c r="AI21" s="24">
        <v>0.0</v>
      </c>
      <c r="AJ21" s="24">
        <v>0.0</v>
      </c>
      <c r="AK21" s="19">
        <v>3.0</v>
      </c>
      <c r="AL21" s="16">
        <v>183069.5</v>
      </c>
      <c r="AM21" s="16">
        <v>6932.0</v>
      </c>
      <c r="AN21" s="16">
        <v>3086.0</v>
      </c>
      <c r="AO21" s="16">
        <v>1650.0</v>
      </c>
      <c r="AP21" s="16">
        <v>776.0</v>
      </c>
      <c r="AQ21" s="16">
        <v>1041.77</v>
      </c>
      <c r="AR21" s="16">
        <v>414.0</v>
      </c>
      <c r="AS21" s="7">
        <v>11500.0</v>
      </c>
      <c r="AT21" s="7">
        <v>4736.0</v>
      </c>
      <c r="AU21" s="7">
        <v>1901.0</v>
      </c>
      <c r="AV21" s="6">
        <v>7730.0</v>
      </c>
      <c r="AW21" s="7">
        <v>6932.0</v>
      </c>
      <c r="AX21" s="7">
        <v>2626.0</v>
      </c>
      <c r="AY21" s="18">
        <f t="shared" ref="AY21:AY24" si="58">SUM(AS21:AX21)</f>
        <v>35425</v>
      </c>
      <c r="AZ21" s="20"/>
      <c r="BA21" s="21"/>
      <c r="BB21" s="22"/>
      <c r="BC21" s="22"/>
    </row>
    <row r="22">
      <c r="A22" s="11">
        <v>2024.0</v>
      </c>
      <c r="B22" s="11" t="s">
        <v>48</v>
      </c>
      <c r="C22" s="12">
        <v>45461.0</v>
      </c>
      <c r="D22" s="49">
        <v>10.0</v>
      </c>
      <c r="E22" s="26">
        <v>595653.56</v>
      </c>
      <c r="F22" s="26">
        <v>49747.3</v>
      </c>
      <c r="G22" s="26">
        <v>3743.95</v>
      </c>
      <c r="H22" s="26">
        <v>1380.0</v>
      </c>
      <c r="I22" s="26">
        <v>1315.28</v>
      </c>
      <c r="J22" s="26">
        <v>8772.7</v>
      </c>
      <c r="K22" s="26">
        <v>23799.15</v>
      </c>
      <c r="L22" s="26">
        <v>10736.22</v>
      </c>
      <c r="M22" s="15">
        <v>2.0</v>
      </c>
      <c r="N22" s="16">
        <v>116000.0</v>
      </c>
      <c r="O22" s="16">
        <f t="shared" si="47"/>
        <v>4640</v>
      </c>
      <c r="P22" s="16">
        <f t="shared" si="48"/>
        <v>1948.8</v>
      </c>
      <c r="Q22" s="16">
        <f t="shared" si="49"/>
        <v>1104</v>
      </c>
      <c r="R22" s="16">
        <f t="shared" si="50"/>
        <v>478.38</v>
      </c>
      <c r="S22" s="17">
        <f t="shared" si="51"/>
        <v>786.84</v>
      </c>
      <c r="T22" s="17">
        <f t="shared" si="52"/>
        <v>276</v>
      </c>
      <c r="U22" s="7">
        <v>13667.35</v>
      </c>
      <c r="V22" s="18">
        <f t="shared" si="53"/>
        <v>1948.8</v>
      </c>
      <c r="W22" s="18">
        <f t="shared" si="54"/>
        <v>1793.66</v>
      </c>
      <c r="X22" s="7">
        <v>2360.25</v>
      </c>
      <c r="Y22" s="18">
        <f t="shared" si="55"/>
        <v>4640</v>
      </c>
      <c r="Z22" s="18">
        <f t="shared" si="56"/>
        <v>1104</v>
      </c>
      <c r="AA22" s="18">
        <f t="shared" si="57"/>
        <v>25514.06</v>
      </c>
      <c r="AB22" s="42">
        <v>3.0</v>
      </c>
      <c r="AC22" s="24">
        <v>161743.0</v>
      </c>
      <c r="AD22" s="24">
        <v>6921.87</v>
      </c>
      <c r="AE22" s="24">
        <v>1001.57</v>
      </c>
      <c r="AF22" s="24">
        <v>414.0</v>
      </c>
      <c r="AG22" s="24">
        <v>427.28</v>
      </c>
      <c r="AH22" s="24">
        <v>0.0</v>
      </c>
      <c r="AI22" s="24">
        <v>2361.73</v>
      </c>
      <c r="AJ22" s="24">
        <v>2717.29</v>
      </c>
      <c r="AK22" s="19">
        <v>4.0</v>
      </c>
      <c r="AL22" s="16">
        <v>320438.57</v>
      </c>
      <c r="AM22" s="16">
        <v>12119.0</v>
      </c>
      <c r="AN22" s="16">
        <v>5394.0</v>
      </c>
      <c r="AO22" s="16">
        <v>2200.0</v>
      </c>
      <c r="AP22" s="16">
        <v>1015.19</v>
      </c>
      <c r="AQ22" s="16">
        <v>1558.38</v>
      </c>
      <c r="AR22" s="16">
        <v>552.0</v>
      </c>
      <c r="AS22" s="7">
        <v>13931.33</v>
      </c>
      <c r="AT22" s="7">
        <v>5394.0</v>
      </c>
      <c r="AU22" s="7">
        <v>3458.34</v>
      </c>
      <c r="AV22" s="7">
        <v>3290.7</v>
      </c>
      <c r="AW22" s="7">
        <v>11170.19</v>
      </c>
      <c r="AX22" s="7">
        <f>11129.2-5394</f>
        <v>5735.2</v>
      </c>
      <c r="AY22" s="7">
        <f t="shared" si="58"/>
        <v>42979.76</v>
      </c>
      <c r="AZ22" s="8"/>
      <c r="BA22" s="9"/>
      <c r="BB22" s="10"/>
      <c r="BC22" s="10"/>
    </row>
    <row r="23">
      <c r="A23" s="11">
        <v>2024.0</v>
      </c>
      <c r="B23" s="11" t="s">
        <v>48</v>
      </c>
      <c r="C23" s="12">
        <v>45462.0</v>
      </c>
      <c r="D23" s="49">
        <v>18.0</v>
      </c>
      <c r="E23" s="26">
        <v>1432803.86</v>
      </c>
      <c r="F23" s="26">
        <v>45569.69</v>
      </c>
      <c r="G23" s="26">
        <v>5043.16</v>
      </c>
      <c r="H23" s="26">
        <v>1794.0</v>
      </c>
      <c r="I23" s="26">
        <v>1730.08</v>
      </c>
      <c r="J23" s="26">
        <v>617.23</v>
      </c>
      <c r="K23" s="26">
        <v>11188.4</v>
      </c>
      <c r="L23" s="26">
        <v>25196.82</v>
      </c>
      <c r="M23" s="15">
        <v>1.0</v>
      </c>
      <c r="N23" s="16">
        <v>45000.0</v>
      </c>
      <c r="O23" s="16">
        <f t="shared" si="47"/>
        <v>1800</v>
      </c>
      <c r="P23" s="16">
        <f t="shared" si="48"/>
        <v>756</v>
      </c>
      <c r="Q23" s="16">
        <f t="shared" si="49"/>
        <v>552</v>
      </c>
      <c r="R23" s="16">
        <f t="shared" si="50"/>
        <v>239.19</v>
      </c>
      <c r="S23" s="17">
        <f t="shared" si="51"/>
        <v>393.42</v>
      </c>
      <c r="T23" s="17">
        <f t="shared" si="52"/>
        <v>138</v>
      </c>
      <c r="U23" s="7">
        <v>9983.93</v>
      </c>
      <c r="V23" s="18">
        <f t="shared" si="53"/>
        <v>756</v>
      </c>
      <c r="W23" s="18">
        <f t="shared" si="54"/>
        <v>1969.27</v>
      </c>
      <c r="X23" s="7">
        <v>617.23</v>
      </c>
      <c r="Y23" s="18">
        <f t="shared" si="55"/>
        <v>1800</v>
      </c>
      <c r="Z23" s="18">
        <f t="shared" si="56"/>
        <v>552</v>
      </c>
      <c r="AA23" s="18">
        <f t="shared" si="57"/>
        <v>15678.43</v>
      </c>
      <c r="AB23" s="42">
        <v>10.0</v>
      </c>
      <c r="AC23" s="24">
        <v>763735.99</v>
      </c>
      <c r="AD23" s="24">
        <v>29125.28</v>
      </c>
      <c r="AE23" s="24">
        <v>3990.22</v>
      </c>
      <c r="AF23" s="24">
        <v>1380.0</v>
      </c>
      <c r="AG23" s="24">
        <v>1274.82</v>
      </c>
      <c r="AH23" s="24">
        <v>0.0</v>
      </c>
      <c r="AI23" s="24">
        <v>9234.3</v>
      </c>
      <c r="AJ23" s="24">
        <v>13245.94</v>
      </c>
      <c r="AK23" s="19">
        <v>1.0</v>
      </c>
      <c r="AL23" s="16">
        <v>69995.61</v>
      </c>
      <c r="AM23" s="16">
        <v>2647.0</v>
      </c>
      <c r="AN23" s="16">
        <v>1178.0</v>
      </c>
      <c r="AO23" s="16">
        <v>550.0</v>
      </c>
      <c r="AP23" s="16">
        <v>239.19</v>
      </c>
      <c r="AQ23" s="16">
        <v>393.42</v>
      </c>
      <c r="AR23" s="16">
        <v>138.0</v>
      </c>
      <c r="AS23" s="7">
        <v>15002.21</v>
      </c>
      <c r="AT23" s="7">
        <v>1178.0</v>
      </c>
      <c r="AU23" s="7">
        <v>2306.65</v>
      </c>
      <c r="AV23" s="7">
        <v>1238.76</v>
      </c>
      <c r="AW23" s="7">
        <v>2647.0</v>
      </c>
      <c r="AX23" s="7">
        <f>1967.19-1178</f>
        <v>789.19</v>
      </c>
      <c r="AY23" s="7">
        <f t="shared" si="58"/>
        <v>23161.81</v>
      </c>
      <c r="AZ23" s="8"/>
      <c r="BA23" s="9"/>
      <c r="BB23" s="10"/>
      <c r="BC23" s="10"/>
    </row>
    <row r="24">
      <c r="A24" s="11">
        <v>2024.0</v>
      </c>
      <c r="B24" s="11" t="s">
        <v>48</v>
      </c>
      <c r="C24" s="12">
        <v>45463.0</v>
      </c>
      <c r="D24" s="49">
        <v>13.0</v>
      </c>
      <c r="E24" s="26">
        <v>857403.48</v>
      </c>
      <c r="F24" s="26">
        <v>42321.82</v>
      </c>
      <c r="G24" s="26">
        <v>5012.27</v>
      </c>
      <c r="H24" s="26">
        <v>1794.0</v>
      </c>
      <c r="I24" s="26">
        <v>1878.29</v>
      </c>
      <c r="J24" s="26">
        <v>4322.25</v>
      </c>
      <c r="K24" s="26">
        <v>13420.47</v>
      </c>
      <c r="L24" s="26">
        <v>15495.57</v>
      </c>
      <c r="M24" s="27">
        <v>2.0</v>
      </c>
      <c r="N24" s="28">
        <v>185000.0</v>
      </c>
      <c r="O24" s="16">
        <f t="shared" si="47"/>
        <v>7400</v>
      </c>
      <c r="P24" s="16">
        <f t="shared" si="48"/>
        <v>3108</v>
      </c>
      <c r="Q24" s="16">
        <f t="shared" si="49"/>
        <v>1104</v>
      </c>
      <c r="R24" s="16">
        <f t="shared" si="50"/>
        <v>478.38</v>
      </c>
      <c r="S24" s="17">
        <f t="shared" si="51"/>
        <v>786.84</v>
      </c>
      <c r="T24" s="17">
        <f t="shared" si="52"/>
        <v>276</v>
      </c>
      <c r="U24" s="7">
        <v>18660.58</v>
      </c>
      <c r="V24" s="18">
        <f t="shared" si="53"/>
        <v>3108</v>
      </c>
      <c r="W24" s="18">
        <f t="shared" si="54"/>
        <v>2356.67</v>
      </c>
      <c r="X24" s="7">
        <v>2867.33</v>
      </c>
      <c r="Y24" s="18">
        <f t="shared" si="55"/>
        <v>7400</v>
      </c>
      <c r="Z24" s="18">
        <f t="shared" si="56"/>
        <v>1104</v>
      </c>
      <c r="AA24" s="18">
        <f t="shared" si="57"/>
        <v>35496.58</v>
      </c>
      <c r="AB24" s="42">
        <v>4.0</v>
      </c>
      <c r="AC24" s="24">
        <v>282513.37</v>
      </c>
      <c r="AD24" s="24">
        <v>12059.58</v>
      </c>
      <c r="AE24" s="24">
        <v>1411.6</v>
      </c>
      <c r="AF24" s="24">
        <v>552.0</v>
      </c>
      <c r="AG24" s="24">
        <v>637.23</v>
      </c>
      <c r="AH24" s="24">
        <v>0.0</v>
      </c>
      <c r="AI24" s="24">
        <v>5923.83</v>
      </c>
      <c r="AJ24" s="24">
        <v>4746.22</v>
      </c>
      <c r="AK24" s="19">
        <v>3.0</v>
      </c>
      <c r="AL24" s="16">
        <v>229395.08</v>
      </c>
      <c r="AM24" s="16">
        <v>8784.0</v>
      </c>
      <c r="AN24" s="16">
        <v>4700.0</v>
      </c>
      <c r="AO24" s="16">
        <v>1650.0</v>
      </c>
      <c r="AP24" s="16">
        <v>974.74</v>
      </c>
      <c r="AQ24" s="16">
        <v>1868.16</v>
      </c>
      <c r="AR24" s="16">
        <v>414.0</v>
      </c>
      <c r="AS24" s="7">
        <v>9179.48</v>
      </c>
      <c r="AT24" s="7">
        <v>4700.0</v>
      </c>
      <c r="AU24" s="7">
        <v>2239.72</v>
      </c>
      <c r="AV24" s="7">
        <v>717.92</v>
      </c>
      <c r="AW24" s="7">
        <v>5895.0</v>
      </c>
      <c r="AX24" s="7">
        <f>5191.12-4700</f>
        <v>491.12</v>
      </c>
      <c r="AY24" s="7">
        <f t="shared" si="58"/>
        <v>23223.24</v>
      </c>
      <c r="AZ24" s="8"/>
      <c r="BA24" s="9"/>
      <c r="BB24" s="10"/>
      <c r="BC24" s="10"/>
    </row>
    <row r="25">
      <c r="A25" s="11">
        <v>2024.0</v>
      </c>
      <c r="B25" s="11" t="s">
        <v>48</v>
      </c>
      <c r="C25" s="12">
        <v>45464.0</v>
      </c>
      <c r="D25" s="49">
        <v>8.0</v>
      </c>
      <c r="E25" s="26">
        <v>465959.46</v>
      </c>
      <c r="F25" s="26">
        <v>19296.03</v>
      </c>
      <c r="G25" s="26">
        <v>2553.53</v>
      </c>
      <c r="H25" s="26">
        <v>1104.0</v>
      </c>
      <c r="I25" s="26">
        <v>1322.49</v>
      </c>
      <c r="J25" s="26">
        <v>585.11</v>
      </c>
      <c r="K25" s="26">
        <v>5902.78</v>
      </c>
      <c r="L25" s="26">
        <v>7828.12</v>
      </c>
      <c r="M25" s="15">
        <v>1.0</v>
      </c>
      <c r="N25" s="28">
        <v>100000.0</v>
      </c>
      <c r="O25" s="16">
        <f t="shared" si="47"/>
        <v>4000</v>
      </c>
      <c r="P25" s="16">
        <f t="shared" si="48"/>
        <v>1680</v>
      </c>
      <c r="Q25" s="16">
        <f t="shared" si="49"/>
        <v>552</v>
      </c>
      <c r="R25" s="16">
        <f t="shared" si="50"/>
        <v>239.19</v>
      </c>
      <c r="S25" s="17">
        <f t="shared" si="51"/>
        <v>393.42</v>
      </c>
      <c r="T25" s="17">
        <f t="shared" si="52"/>
        <v>138</v>
      </c>
      <c r="U25" s="7">
        <v>5347.77</v>
      </c>
      <c r="V25" s="18">
        <f t="shared" si="53"/>
        <v>1680</v>
      </c>
      <c r="W25" s="18">
        <f t="shared" si="54"/>
        <v>1561.68</v>
      </c>
      <c r="X25" s="7">
        <v>585.11</v>
      </c>
      <c r="Y25" s="18">
        <f t="shared" si="55"/>
        <v>4000</v>
      </c>
      <c r="Z25" s="18">
        <f t="shared" si="56"/>
        <v>552</v>
      </c>
      <c r="AA25" s="18">
        <f t="shared" si="57"/>
        <v>13726.56</v>
      </c>
      <c r="AB25" s="42">
        <v>0.0</v>
      </c>
      <c r="AC25" s="24">
        <v>0.0</v>
      </c>
      <c r="AD25" s="24">
        <v>0.0</v>
      </c>
      <c r="AE25" s="24">
        <v>0.0</v>
      </c>
      <c r="AF25" s="24">
        <v>0.0</v>
      </c>
      <c r="AG25" s="24">
        <v>0.0</v>
      </c>
      <c r="AH25" s="24">
        <v>0.0</v>
      </c>
      <c r="AI25" s="24">
        <v>0.0</v>
      </c>
      <c r="AJ25" s="24">
        <v>0.0</v>
      </c>
      <c r="AK25" s="19">
        <v>3.0</v>
      </c>
      <c r="AL25" s="16">
        <v>118914.39</v>
      </c>
      <c r="AM25" s="19">
        <v>4498.0</v>
      </c>
      <c r="AN25" s="19">
        <v>2002.0</v>
      </c>
      <c r="AO25" s="16">
        <v>1650.0</v>
      </c>
      <c r="AP25" s="16">
        <v>717.57</v>
      </c>
      <c r="AQ25" s="16">
        <v>809.39</v>
      </c>
      <c r="AR25" s="17">
        <f>AK25*138</f>
        <v>414</v>
      </c>
      <c r="AS25" s="7">
        <v>4687.46</v>
      </c>
      <c r="AT25" s="7">
        <v>2002.0</v>
      </c>
      <c r="AU25" s="18">
        <f>AP25+AG25</f>
        <v>717.57</v>
      </c>
      <c r="AV25" s="7">
        <v>956.4</v>
      </c>
      <c r="AW25" s="7">
        <v>5793.0</v>
      </c>
      <c r="AX25" s="7">
        <v>6353.19</v>
      </c>
      <c r="AY25" s="7">
        <v>19608.5</v>
      </c>
      <c r="AZ25" s="8"/>
      <c r="BA25" s="9"/>
      <c r="BB25" s="10"/>
      <c r="BC25" s="10"/>
    </row>
    <row r="26">
      <c r="A26" s="11">
        <v>2024.0</v>
      </c>
      <c r="B26" s="11" t="s">
        <v>48</v>
      </c>
      <c r="C26" s="1"/>
      <c r="D26" s="2">
        <v>99.0</v>
      </c>
      <c r="E26" s="33"/>
      <c r="F26" s="50">
        <v>7848502.07</v>
      </c>
      <c r="G26" s="33"/>
      <c r="H26" s="33"/>
      <c r="I26" s="33"/>
      <c r="J26" s="33"/>
      <c r="K26" s="33"/>
      <c r="L26" s="33"/>
      <c r="M26" s="4">
        <v>4.0</v>
      </c>
      <c r="N26" s="4">
        <v>315795.45</v>
      </c>
      <c r="O26" s="35"/>
      <c r="P26" s="35"/>
      <c r="Q26" s="35"/>
      <c r="R26" s="35"/>
      <c r="S26" s="35"/>
      <c r="T26" s="35"/>
      <c r="U26" s="37"/>
      <c r="V26" s="48"/>
      <c r="W26" s="48"/>
      <c r="X26" s="37"/>
      <c r="Y26" s="48"/>
      <c r="Z26" s="48"/>
      <c r="AA26" s="48"/>
      <c r="AB26" s="2"/>
      <c r="AC26" s="33"/>
      <c r="AD26" s="2"/>
      <c r="AE26" s="33"/>
      <c r="AF26" s="33"/>
      <c r="AG26" s="33"/>
      <c r="AH26" s="33"/>
      <c r="AI26" s="33"/>
      <c r="AJ26" s="33"/>
      <c r="AK26" s="35"/>
      <c r="AL26" s="35"/>
      <c r="AM26" s="35"/>
      <c r="AN26" s="35"/>
      <c r="AO26" s="35"/>
      <c r="AP26" s="35"/>
      <c r="AQ26" s="35"/>
      <c r="AR26" s="35"/>
      <c r="AS26" s="37"/>
      <c r="AT26" s="48"/>
      <c r="AU26" s="48"/>
      <c r="AV26" s="48"/>
      <c r="AW26" s="48"/>
      <c r="AX26" s="48"/>
      <c r="AY26" s="48"/>
      <c r="AZ26" s="38"/>
      <c r="BA26" s="39"/>
      <c r="BB26" s="40"/>
      <c r="BC26" s="40"/>
    </row>
    <row r="27">
      <c r="A27" s="1">
        <v>2024.0</v>
      </c>
      <c r="B27" s="1" t="s">
        <v>48</v>
      </c>
      <c r="C27" s="1" t="s">
        <v>49</v>
      </c>
      <c r="D27" s="33">
        <f t="shared" ref="D27:L27" si="59">SUM(D19:D25)</f>
        <v>112</v>
      </c>
      <c r="E27" s="34">
        <f t="shared" si="59"/>
        <v>8259335.1</v>
      </c>
      <c r="F27" s="34">
        <f t="shared" si="59"/>
        <v>433929.17</v>
      </c>
      <c r="G27" s="34">
        <f t="shared" si="59"/>
        <v>35697.37</v>
      </c>
      <c r="H27" s="34">
        <f t="shared" si="59"/>
        <v>13800</v>
      </c>
      <c r="I27" s="34">
        <f t="shared" si="59"/>
        <v>14320.76</v>
      </c>
      <c r="J27" s="34">
        <f t="shared" si="59"/>
        <v>36282.29</v>
      </c>
      <c r="K27" s="34">
        <f t="shared" si="59"/>
        <v>152631.4</v>
      </c>
      <c r="L27" s="34">
        <f t="shared" si="59"/>
        <v>148314.73</v>
      </c>
      <c r="M27" s="35">
        <f t="shared" ref="M27:N27" si="60">SUM(M19:M26)</f>
        <v>11</v>
      </c>
      <c r="N27" s="36">
        <f t="shared" si="60"/>
        <v>821795.45</v>
      </c>
      <c r="O27" s="36">
        <f t="shared" ref="O27:AY27" si="61">SUM(O19:O25)</f>
        <v>20240</v>
      </c>
      <c r="P27" s="36">
        <f t="shared" si="61"/>
        <v>8500.8</v>
      </c>
      <c r="Q27" s="36">
        <f t="shared" si="61"/>
        <v>3864</v>
      </c>
      <c r="R27" s="36">
        <f t="shared" si="61"/>
        <v>1674.33</v>
      </c>
      <c r="S27" s="36">
        <f t="shared" si="61"/>
        <v>2753.94</v>
      </c>
      <c r="T27" s="36">
        <f t="shared" si="61"/>
        <v>966</v>
      </c>
      <c r="U27" s="37">
        <f t="shared" si="61"/>
        <v>135708.71</v>
      </c>
      <c r="V27" s="37">
        <f t="shared" si="61"/>
        <v>8500.8</v>
      </c>
      <c r="W27" s="37">
        <f t="shared" si="61"/>
        <v>15995.09</v>
      </c>
      <c r="X27" s="37">
        <f t="shared" si="61"/>
        <v>28414.92</v>
      </c>
      <c r="Y27" s="37">
        <f t="shared" si="61"/>
        <v>20240</v>
      </c>
      <c r="Z27" s="37">
        <f t="shared" si="61"/>
        <v>3864</v>
      </c>
      <c r="AA27" s="37">
        <f t="shared" si="61"/>
        <v>212723.52</v>
      </c>
      <c r="AB27" s="33">
        <f t="shared" si="61"/>
        <v>45</v>
      </c>
      <c r="AC27" s="34">
        <f t="shared" si="61"/>
        <v>2426580.26</v>
      </c>
      <c r="AD27" s="34">
        <f t="shared" si="61"/>
        <v>107269.15</v>
      </c>
      <c r="AE27" s="34">
        <f t="shared" si="61"/>
        <v>15198.84</v>
      </c>
      <c r="AF27" s="34">
        <f t="shared" si="61"/>
        <v>5934</v>
      </c>
      <c r="AG27" s="34">
        <f t="shared" si="61"/>
        <v>6275.48</v>
      </c>
      <c r="AH27" s="34">
        <f t="shared" si="61"/>
        <v>0</v>
      </c>
      <c r="AI27" s="34">
        <f t="shared" si="61"/>
        <v>35050.58</v>
      </c>
      <c r="AJ27" s="34">
        <f t="shared" si="61"/>
        <v>27950.17</v>
      </c>
      <c r="AK27" s="35">
        <f t="shared" si="61"/>
        <v>14</v>
      </c>
      <c r="AL27" s="36">
        <f t="shared" si="61"/>
        <v>921813.15</v>
      </c>
      <c r="AM27" s="35">
        <f t="shared" si="61"/>
        <v>34980</v>
      </c>
      <c r="AN27" s="35">
        <f t="shared" si="61"/>
        <v>16360</v>
      </c>
      <c r="AO27" s="36">
        <f t="shared" si="61"/>
        <v>7700</v>
      </c>
      <c r="AP27" s="36">
        <f t="shared" si="61"/>
        <v>3722.69</v>
      </c>
      <c r="AQ27" s="36">
        <f t="shared" si="61"/>
        <v>5671.12</v>
      </c>
      <c r="AR27" s="36">
        <f t="shared" si="61"/>
        <v>1932</v>
      </c>
      <c r="AS27" s="37">
        <f t="shared" si="61"/>
        <v>54300.48</v>
      </c>
      <c r="AT27" s="37">
        <f t="shared" si="61"/>
        <v>18010</v>
      </c>
      <c r="AU27" s="37">
        <f t="shared" si="61"/>
        <v>10623.28</v>
      </c>
      <c r="AV27" s="48">
        <f t="shared" si="61"/>
        <v>13933.78</v>
      </c>
      <c r="AW27" s="37">
        <f t="shared" si="61"/>
        <v>32437.19</v>
      </c>
      <c r="AX27" s="37">
        <f t="shared" si="61"/>
        <v>15994.7</v>
      </c>
      <c r="AY27" s="37">
        <f t="shared" si="61"/>
        <v>144398.31</v>
      </c>
      <c r="AZ27" s="38"/>
      <c r="BA27" s="39"/>
      <c r="BB27" s="40"/>
      <c r="BC27" s="40"/>
    </row>
    <row r="28">
      <c r="A28" s="11">
        <v>2024.0</v>
      </c>
      <c r="B28" s="11" t="s">
        <v>48</v>
      </c>
      <c r="C28" s="12">
        <v>45465.0</v>
      </c>
      <c r="D28" s="44">
        <v>12.0</v>
      </c>
      <c r="E28" s="26">
        <v>698749.51</v>
      </c>
      <c r="F28" s="26">
        <v>34980.36</v>
      </c>
      <c r="G28" s="26">
        <v>4258.45</v>
      </c>
      <c r="H28" s="26">
        <v>1656.0</v>
      </c>
      <c r="I28" s="26">
        <v>1682.64</v>
      </c>
      <c r="J28" s="26">
        <v>3984.85</v>
      </c>
      <c r="K28" s="26">
        <v>10561.9</v>
      </c>
      <c r="L28" s="26">
        <v>12115.66</v>
      </c>
      <c r="M28" s="15"/>
      <c r="N28" s="16"/>
      <c r="O28" s="16">
        <f t="shared" ref="O28:O34" si="62">N28*4%</f>
        <v>0</v>
      </c>
      <c r="P28" s="16">
        <f t="shared" ref="P28:P34" si="63">N28*1.68%</f>
        <v>0</v>
      </c>
      <c r="Q28" s="16">
        <f t="shared" ref="Q28:Q34" si="64">M28*(250+300+2)</f>
        <v>0</v>
      </c>
      <c r="R28" s="16">
        <f t="shared" ref="R28:R34" si="65">M28*239.19</f>
        <v>0</v>
      </c>
      <c r="S28" s="17">
        <f t="shared" ref="S28:S34" si="66">M28*393.42</f>
        <v>0</v>
      </c>
      <c r="T28" s="17">
        <f t="shared" ref="T28:T34" si="67">M28*138</f>
        <v>0</v>
      </c>
      <c r="U28" s="7">
        <f t="shared" ref="U28:U34" si="68">L28*30%</f>
        <v>3634.698</v>
      </c>
      <c r="V28" s="18">
        <f t="shared" ref="V28:V34" si="69">P28</f>
        <v>0</v>
      </c>
      <c r="W28" s="18">
        <f t="shared" ref="W28:W34" si="70">R28+I28</f>
        <v>1682.64</v>
      </c>
      <c r="X28" s="18">
        <f t="shared" ref="X28:X34" si="71">J28</f>
        <v>3984.85</v>
      </c>
      <c r="Y28" s="18">
        <f t="shared" ref="Y28:Y34" si="72">O28</f>
        <v>0</v>
      </c>
      <c r="Z28" s="18">
        <f t="shared" ref="Z28:Z34" si="73">Q28</f>
        <v>0</v>
      </c>
      <c r="AA28" s="18">
        <f t="shared" ref="AA28:AA34" si="74">SUM(U28:Z28)</f>
        <v>9302.188</v>
      </c>
      <c r="AB28" s="41">
        <v>6.0</v>
      </c>
      <c r="AC28" s="14">
        <v>238893.86</v>
      </c>
      <c r="AD28" s="14">
        <v>12021.87</v>
      </c>
      <c r="AE28" s="14">
        <v>1799.6</v>
      </c>
      <c r="AF28" s="14">
        <v>828.0</v>
      </c>
      <c r="AG28" s="14">
        <v>863.13</v>
      </c>
      <c r="AH28" s="14">
        <v>0.0</v>
      </c>
      <c r="AI28" s="14">
        <v>4141.06</v>
      </c>
      <c r="AJ28" s="14">
        <v>4390.08</v>
      </c>
      <c r="AK28" s="19">
        <v>0.0</v>
      </c>
      <c r="AL28" s="16">
        <v>0.0</v>
      </c>
      <c r="AM28" s="19">
        <v>0.0</v>
      </c>
      <c r="AN28" s="19">
        <v>0.0</v>
      </c>
      <c r="AO28" s="16">
        <v>0.0</v>
      </c>
      <c r="AP28" s="16">
        <v>0.0</v>
      </c>
      <c r="AQ28" s="16">
        <v>0.0</v>
      </c>
      <c r="AR28" s="16">
        <v>0.0</v>
      </c>
      <c r="AS28" s="7">
        <v>0.0</v>
      </c>
      <c r="AT28" s="7">
        <v>0.0</v>
      </c>
      <c r="AU28" s="7">
        <v>0.0</v>
      </c>
      <c r="AV28" s="7">
        <v>0.0</v>
      </c>
      <c r="AW28" s="7">
        <v>0.0</v>
      </c>
      <c r="AX28" s="7">
        <v>0.0</v>
      </c>
      <c r="AY28" s="7">
        <v>0.0</v>
      </c>
      <c r="AZ28" s="8"/>
      <c r="BA28" s="9"/>
      <c r="BB28" s="10"/>
      <c r="BC28" s="10"/>
    </row>
    <row r="29">
      <c r="A29" s="11">
        <v>2024.0</v>
      </c>
      <c r="B29" s="11" t="s">
        <v>48</v>
      </c>
      <c r="C29" s="12">
        <v>45466.0</v>
      </c>
      <c r="D29" s="44">
        <v>13.0</v>
      </c>
      <c r="E29" s="26">
        <v>992452.65</v>
      </c>
      <c r="F29" s="26">
        <v>47670.97</v>
      </c>
      <c r="G29" s="26">
        <v>5063.38</v>
      </c>
      <c r="H29" s="26">
        <v>1656.0</v>
      </c>
      <c r="I29" s="26">
        <v>2104.35</v>
      </c>
      <c r="J29" s="26">
        <v>2087.49</v>
      </c>
      <c r="K29" s="26">
        <v>19531.68</v>
      </c>
      <c r="L29" s="26">
        <v>17228.07</v>
      </c>
      <c r="M29" s="15"/>
      <c r="N29" s="16"/>
      <c r="O29" s="16">
        <f t="shared" si="62"/>
        <v>0</v>
      </c>
      <c r="P29" s="16">
        <f t="shared" si="63"/>
        <v>0</v>
      </c>
      <c r="Q29" s="16">
        <f t="shared" si="64"/>
        <v>0</v>
      </c>
      <c r="R29" s="16">
        <f t="shared" si="65"/>
        <v>0</v>
      </c>
      <c r="S29" s="17">
        <f t="shared" si="66"/>
        <v>0</v>
      </c>
      <c r="T29" s="17">
        <f t="shared" si="67"/>
        <v>0</v>
      </c>
      <c r="U29" s="7">
        <f t="shared" si="68"/>
        <v>5168.421</v>
      </c>
      <c r="V29" s="18">
        <f t="shared" si="69"/>
        <v>0</v>
      </c>
      <c r="W29" s="18">
        <f t="shared" si="70"/>
        <v>2104.35</v>
      </c>
      <c r="X29" s="18">
        <f t="shared" si="71"/>
        <v>2087.49</v>
      </c>
      <c r="Y29" s="18">
        <f t="shared" si="72"/>
        <v>0</v>
      </c>
      <c r="Z29" s="18">
        <f t="shared" si="73"/>
        <v>0</v>
      </c>
      <c r="AA29" s="18">
        <f t="shared" si="74"/>
        <v>9360.261</v>
      </c>
      <c r="AB29" s="42">
        <v>11.0</v>
      </c>
      <c r="AC29" s="24">
        <v>925213.29</v>
      </c>
      <c r="AD29" s="24">
        <v>34715.2</v>
      </c>
      <c r="AE29" s="24">
        <v>2969.82</v>
      </c>
      <c r="AF29" s="24">
        <v>1380.0</v>
      </c>
      <c r="AG29" s="24">
        <v>1732.65</v>
      </c>
      <c r="AH29" s="24">
        <v>0.0</v>
      </c>
      <c r="AI29" s="24">
        <v>13999.29</v>
      </c>
      <c r="AJ29" s="24">
        <v>13633.44</v>
      </c>
      <c r="AK29" s="19">
        <v>0.0</v>
      </c>
      <c r="AL29" s="16">
        <v>0.0</v>
      </c>
      <c r="AM29" s="16">
        <v>0.0</v>
      </c>
      <c r="AN29" s="16">
        <v>0.0</v>
      </c>
      <c r="AO29" s="16">
        <v>0.0</v>
      </c>
      <c r="AP29" s="16">
        <v>0.0</v>
      </c>
      <c r="AQ29" s="16">
        <v>0.0</v>
      </c>
      <c r="AR29" s="16">
        <v>0.0</v>
      </c>
      <c r="AS29" s="7">
        <v>0.0</v>
      </c>
      <c r="AT29" s="7">
        <v>0.0</v>
      </c>
      <c r="AU29" s="7">
        <v>0.0</v>
      </c>
      <c r="AV29" s="7">
        <v>0.0</v>
      </c>
      <c r="AW29" s="7">
        <v>0.0</v>
      </c>
      <c r="AX29" s="7">
        <v>0.0</v>
      </c>
      <c r="AY29" s="7">
        <v>0.0</v>
      </c>
      <c r="AZ29" s="8"/>
      <c r="BA29" s="9"/>
      <c r="BB29" s="10"/>
      <c r="BC29" s="10"/>
    </row>
    <row r="30">
      <c r="A30" s="11">
        <v>2024.0</v>
      </c>
      <c r="B30" s="11" t="s">
        <v>48</v>
      </c>
      <c r="C30" s="12">
        <v>45467.0</v>
      </c>
      <c r="D30" s="44">
        <v>10.0</v>
      </c>
      <c r="E30" s="26">
        <v>774166.27</v>
      </c>
      <c r="F30" s="26">
        <v>69692.02</v>
      </c>
      <c r="G30" s="26">
        <v>4686.57</v>
      </c>
      <c r="H30" s="26">
        <v>1380.0</v>
      </c>
      <c r="I30" s="26">
        <v>1456.63</v>
      </c>
      <c r="J30" s="26">
        <v>11261.1</v>
      </c>
      <c r="K30" s="26">
        <v>34822.3</v>
      </c>
      <c r="L30" s="26">
        <v>12269.8</v>
      </c>
      <c r="M30" s="15">
        <v>1.0</v>
      </c>
      <c r="N30" s="16">
        <v>40000.0</v>
      </c>
      <c r="O30" s="16">
        <f t="shared" si="62"/>
        <v>1600</v>
      </c>
      <c r="P30" s="16">
        <f t="shared" si="63"/>
        <v>672</v>
      </c>
      <c r="Q30" s="16">
        <f t="shared" si="64"/>
        <v>552</v>
      </c>
      <c r="R30" s="16">
        <f t="shared" si="65"/>
        <v>239.19</v>
      </c>
      <c r="S30" s="17">
        <f t="shared" si="66"/>
        <v>393.42</v>
      </c>
      <c r="T30" s="17">
        <f t="shared" si="67"/>
        <v>138</v>
      </c>
      <c r="U30" s="7">
        <f t="shared" si="68"/>
        <v>3680.94</v>
      </c>
      <c r="V30" s="18">
        <f t="shared" si="69"/>
        <v>672</v>
      </c>
      <c r="W30" s="18">
        <f t="shared" si="70"/>
        <v>1695.82</v>
      </c>
      <c r="X30" s="18">
        <f t="shared" si="71"/>
        <v>11261.1</v>
      </c>
      <c r="Y30" s="18">
        <f t="shared" si="72"/>
        <v>1600</v>
      </c>
      <c r="Z30" s="18">
        <f t="shared" si="73"/>
        <v>552</v>
      </c>
      <c r="AA30" s="18">
        <f t="shared" si="74"/>
        <v>19461.86</v>
      </c>
      <c r="AB30" s="42">
        <v>6.0</v>
      </c>
      <c r="AC30" s="24" t="s">
        <v>50</v>
      </c>
      <c r="AD30" s="24">
        <v>19625.16</v>
      </c>
      <c r="AE30" s="24">
        <v>2376.68</v>
      </c>
      <c r="AF30" s="24">
        <v>828.0</v>
      </c>
      <c r="AG30" s="24">
        <v>859.42</v>
      </c>
      <c r="AH30" s="24">
        <v>0.0</v>
      </c>
      <c r="AI30" s="24">
        <v>8701.41</v>
      </c>
      <c r="AJ30" s="24">
        <v>6859.65</v>
      </c>
      <c r="AK30" s="19">
        <v>3.0</v>
      </c>
      <c r="AL30" s="16">
        <v>123870.69</v>
      </c>
      <c r="AM30" s="16">
        <v>4686.0</v>
      </c>
      <c r="AN30" s="16">
        <v>2086.0</v>
      </c>
      <c r="AO30" s="16">
        <v>1650.0</v>
      </c>
      <c r="AP30" s="16">
        <v>629.27</v>
      </c>
      <c r="AQ30" s="16">
        <v>731.86</v>
      </c>
      <c r="AR30" s="16">
        <v>414.0</v>
      </c>
      <c r="AS30" s="7">
        <f>11997.95-AT30</f>
        <v>9911.95</v>
      </c>
      <c r="AT30" s="7">
        <v>2086.0</v>
      </c>
      <c r="AU30" s="6">
        <v>3262.97</v>
      </c>
      <c r="AV30" s="7">
        <v>3605.84</v>
      </c>
      <c r="AW30" s="7">
        <v>2723.0</v>
      </c>
      <c r="AX30" s="7">
        <v>2802.28</v>
      </c>
      <c r="AY30" s="18">
        <f t="shared" ref="AY30:AY32" si="75">SUM(AS30:AX30)</f>
        <v>24392.04</v>
      </c>
      <c r="AZ30" s="20"/>
      <c r="BA30" s="21"/>
      <c r="BB30" s="22"/>
      <c r="BC30" s="22"/>
    </row>
    <row r="31">
      <c r="A31" s="11">
        <v>2024.0</v>
      </c>
      <c r="B31" s="11" t="s">
        <v>48</v>
      </c>
      <c r="C31" s="12">
        <v>45468.0</v>
      </c>
      <c r="D31" s="44">
        <v>8.0</v>
      </c>
      <c r="E31" s="26">
        <v>668618.57</v>
      </c>
      <c r="F31" s="26">
        <v>31783.88</v>
      </c>
      <c r="G31" s="26">
        <v>3965.53</v>
      </c>
      <c r="H31" s="26">
        <v>966.0</v>
      </c>
      <c r="I31" s="26">
        <v>1247.23</v>
      </c>
      <c r="J31" s="26">
        <v>759.94</v>
      </c>
      <c r="K31" s="26">
        <v>12947.35</v>
      </c>
      <c r="L31" s="26">
        <v>11897.83</v>
      </c>
      <c r="M31" s="15">
        <v>1.0</v>
      </c>
      <c r="N31" s="16">
        <v>65000.0</v>
      </c>
      <c r="O31" s="16">
        <f t="shared" si="62"/>
        <v>2600</v>
      </c>
      <c r="P31" s="16">
        <f t="shared" si="63"/>
        <v>1092</v>
      </c>
      <c r="Q31" s="16">
        <f t="shared" si="64"/>
        <v>552</v>
      </c>
      <c r="R31" s="16">
        <f t="shared" si="65"/>
        <v>239.19</v>
      </c>
      <c r="S31" s="17">
        <f t="shared" si="66"/>
        <v>393.42</v>
      </c>
      <c r="T31" s="17">
        <f t="shared" si="67"/>
        <v>138</v>
      </c>
      <c r="U31" s="7">
        <f t="shared" si="68"/>
        <v>3569.349</v>
      </c>
      <c r="V31" s="18">
        <f t="shared" si="69"/>
        <v>1092</v>
      </c>
      <c r="W31" s="18">
        <f t="shared" si="70"/>
        <v>1486.42</v>
      </c>
      <c r="X31" s="18">
        <f t="shared" si="71"/>
        <v>759.94</v>
      </c>
      <c r="Y31" s="18">
        <f t="shared" si="72"/>
        <v>2600</v>
      </c>
      <c r="Z31" s="18">
        <f t="shared" si="73"/>
        <v>552</v>
      </c>
      <c r="AA31" s="18">
        <f t="shared" si="74"/>
        <v>10059.709</v>
      </c>
      <c r="AB31" s="42">
        <v>4.0</v>
      </c>
      <c r="AC31" s="24">
        <v>441420.96</v>
      </c>
      <c r="AD31" s="24">
        <v>20662.82</v>
      </c>
      <c r="AE31" s="24">
        <v>2207.01</v>
      </c>
      <c r="AF31" s="24">
        <v>414.0</v>
      </c>
      <c r="AG31" s="24">
        <v>594.46</v>
      </c>
      <c r="AH31" s="24">
        <v>0.0</v>
      </c>
      <c r="AI31" s="24">
        <v>10010.51</v>
      </c>
      <c r="AJ31" s="24">
        <v>7436.84</v>
      </c>
      <c r="AK31" s="19">
        <v>0.0</v>
      </c>
      <c r="AL31" s="16">
        <v>0.0</v>
      </c>
      <c r="AM31" s="16">
        <v>0.0</v>
      </c>
      <c r="AN31" s="16">
        <v>0.0</v>
      </c>
      <c r="AO31" s="16">
        <v>0.0</v>
      </c>
      <c r="AP31" s="16">
        <v>0.0</v>
      </c>
      <c r="AQ31" s="16">
        <v>0.0</v>
      </c>
      <c r="AR31" s="16">
        <v>0.0</v>
      </c>
      <c r="AS31" s="7">
        <v>10306.45</v>
      </c>
      <c r="AT31" s="7">
        <v>0.0</v>
      </c>
      <c r="AU31" s="7">
        <v>1935.93</v>
      </c>
      <c r="AV31" s="7">
        <v>3882.3</v>
      </c>
      <c r="AW31" s="7">
        <v>1963.0</v>
      </c>
      <c r="AX31" s="7">
        <v>2763.19</v>
      </c>
      <c r="AY31" s="7">
        <f t="shared" si="75"/>
        <v>20850.87</v>
      </c>
      <c r="AZ31" s="8"/>
      <c r="BA31" s="9"/>
      <c r="BB31" s="10"/>
      <c r="BC31" s="10"/>
    </row>
    <row r="32">
      <c r="A32" s="11">
        <v>2024.0</v>
      </c>
      <c r="B32" s="11" t="s">
        <v>48</v>
      </c>
      <c r="C32" s="12">
        <v>45469.0</v>
      </c>
      <c r="D32" s="44">
        <v>11.0</v>
      </c>
      <c r="E32" s="26">
        <v>502310.32</v>
      </c>
      <c r="F32" s="26">
        <v>36699.5</v>
      </c>
      <c r="G32" s="26">
        <v>4744.4</v>
      </c>
      <c r="H32" s="26">
        <v>1380.0</v>
      </c>
      <c r="I32" s="26">
        <v>1925.56</v>
      </c>
      <c r="J32" s="26">
        <v>3499.17</v>
      </c>
      <c r="K32" s="26">
        <v>15025.71</v>
      </c>
      <c r="L32" s="26">
        <v>10124.66</v>
      </c>
      <c r="M32" s="15">
        <v>2.0</v>
      </c>
      <c r="N32" s="16">
        <v>80000.0</v>
      </c>
      <c r="O32" s="16">
        <f t="shared" si="62"/>
        <v>3200</v>
      </c>
      <c r="P32" s="16">
        <f t="shared" si="63"/>
        <v>1344</v>
      </c>
      <c r="Q32" s="16">
        <f t="shared" si="64"/>
        <v>1104</v>
      </c>
      <c r="R32" s="16">
        <f t="shared" si="65"/>
        <v>478.38</v>
      </c>
      <c r="S32" s="17">
        <f t="shared" si="66"/>
        <v>786.84</v>
      </c>
      <c r="T32" s="17">
        <f t="shared" si="67"/>
        <v>276</v>
      </c>
      <c r="U32" s="7">
        <f t="shared" si="68"/>
        <v>3037.398</v>
      </c>
      <c r="V32" s="18">
        <f t="shared" si="69"/>
        <v>1344</v>
      </c>
      <c r="W32" s="18">
        <f t="shared" si="70"/>
        <v>2403.94</v>
      </c>
      <c r="X32" s="18">
        <f t="shared" si="71"/>
        <v>3499.17</v>
      </c>
      <c r="Y32" s="18">
        <f t="shared" si="72"/>
        <v>3200</v>
      </c>
      <c r="Z32" s="18">
        <f t="shared" si="73"/>
        <v>1104</v>
      </c>
      <c r="AA32" s="18">
        <f t="shared" si="74"/>
        <v>14588.508</v>
      </c>
      <c r="AB32" s="42">
        <v>3.0</v>
      </c>
      <c r="AC32" s="24">
        <v>205112.36</v>
      </c>
      <c r="AD32" s="24">
        <v>8743.0</v>
      </c>
      <c r="AE32" s="24">
        <v>1145.36</v>
      </c>
      <c r="AF32" s="24">
        <v>414.0</v>
      </c>
      <c r="AG32" s="24">
        <v>361.66</v>
      </c>
      <c r="AH32" s="24">
        <v>408.23</v>
      </c>
      <c r="AI32" s="24">
        <v>2967.86</v>
      </c>
      <c r="AJ32" s="24">
        <v>3445.89</v>
      </c>
      <c r="AK32" s="19">
        <v>3.0</v>
      </c>
      <c r="AL32" s="16">
        <v>153924.81</v>
      </c>
      <c r="AM32" s="16">
        <v>5822.0</v>
      </c>
      <c r="AN32" s="16">
        <v>2592.0</v>
      </c>
      <c r="AO32" s="16">
        <v>1650.0</v>
      </c>
      <c r="AP32" s="16">
        <v>731.85</v>
      </c>
      <c r="AQ32" s="16">
        <v>914.96</v>
      </c>
      <c r="AR32" s="16">
        <v>414.0</v>
      </c>
      <c r="AS32" s="7">
        <v>2527.18</v>
      </c>
      <c r="AT32" s="7">
        <v>2592.0</v>
      </c>
      <c r="AU32" s="7">
        <v>968.95</v>
      </c>
      <c r="AV32" s="7">
        <v>403.35</v>
      </c>
      <c r="AW32" s="7">
        <v>5875.04</v>
      </c>
      <c r="AX32" s="7">
        <v>4920.81</v>
      </c>
      <c r="AY32" s="7">
        <f t="shared" si="75"/>
        <v>17287.33</v>
      </c>
      <c r="AZ32" s="8"/>
      <c r="BA32" s="9"/>
      <c r="BB32" s="10"/>
      <c r="BC32" s="10"/>
    </row>
    <row r="33">
      <c r="A33" s="11">
        <v>2024.0</v>
      </c>
      <c r="B33" s="11" t="s">
        <v>48</v>
      </c>
      <c r="C33" s="12">
        <v>45470.0</v>
      </c>
      <c r="D33" s="44">
        <v>7.0</v>
      </c>
      <c r="E33" s="26">
        <v>552189.04</v>
      </c>
      <c r="F33" s="26">
        <v>27451.59</v>
      </c>
      <c r="G33" s="26">
        <v>3261.24</v>
      </c>
      <c r="H33" s="26">
        <v>966.0</v>
      </c>
      <c r="I33" s="26">
        <v>854.9</v>
      </c>
      <c r="J33" s="26">
        <v>2083.67</v>
      </c>
      <c r="K33" s="26">
        <v>10249.32</v>
      </c>
      <c r="L33" s="26">
        <v>10036.46</v>
      </c>
      <c r="M33" s="27">
        <v>1.0</v>
      </c>
      <c r="N33" s="28">
        <v>265000.0</v>
      </c>
      <c r="O33" s="16">
        <f t="shared" si="62"/>
        <v>10600</v>
      </c>
      <c r="P33" s="16">
        <f t="shared" si="63"/>
        <v>4452</v>
      </c>
      <c r="Q33" s="16">
        <f t="shared" si="64"/>
        <v>552</v>
      </c>
      <c r="R33" s="16">
        <f t="shared" si="65"/>
        <v>239.19</v>
      </c>
      <c r="S33" s="17">
        <f t="shared" si="66"/>
        <v>393.42</v>
      </c>
      <c r="T33" s="17">
        <f t="shared" si="67"/>
        <v>138</v>
      </c>
      <c r="U33" s="7">
        <f t="shared" si="68"/>
        <v>3010.938</v>
      </c>
      <c r="V33" s="18">
        <f t="shared" si="69"/>
        <v>4452</v>
      </c>
      <c r="W33" s="18">
        <f t="shared" si="70"/>
        <v>1094.09</v>
      </c>
      <c r="X33" s="18">
        <f t="shared" si="71"/>
        <v>2083.67</v>
      </c>
      <c r="Y33" s="18">
        <f t="shared" si="72"/>
        <v>10600</v>
      </c>
      <c r="Z33" s="18">
        <f t="shared" si="73"/>
        <v>552</v>
      </c>
      <c r="AA33" s="18">
        <f t="shared" si="74"/>
        <v>21792.698</v>
      </c>
      <c r="AB33" s="42">
        <v>5.0</v>
      </c>
      <c r="AC33" s="24">
        <v>244960.52</v>
      </c>
      <c r="AD33" s="24">
        <v>13332.35</v>
      </c>
      <c r="AE33" s="24">
        <v>1903.41</v>
      </c>
      <c r="AF33" s="24">
        <v>690.0</v>
      </c>
      <c r="AG33" s="24">
        <v>658.7</v>
      </c>
      <c r="AH33" s="24">
        <v>1234.51</v>
      </c>
      <c r="AI33" s="24">
        <v>31647.9</v>
      </c>
      <c r="AJ33" s="24">
        <v>7791.78</v>
      </c>
      <c r="AK33" s="19">
        <v>2.0</v>
      </c>
      <c r="AL33" s="16">
        <v>110255.79</v>
      </c>
      <c r="AM33" s="16">
        <v>4170.0</v>
      </c>
      <c r="AN33" s="16">
        <v>1856.0</v>
      </c>
      <c r="AO33" s="16">
        <v>1100.0</v>
      </c>
      <c r="AP33" s="16">
        <v>434.23</v>
      </c>
      <c r="AQ33" s="16">
        <v>603.56</v>
      </c>
      <c r="AR33" s="16">
        <v>276.0</v>
      </c>
      <c r="AS33" s="7">
        <v>10608.53</v>
      </c>
      <c r="AT33" s="7">
        <f>AN33</f>
        <v>1856</v>
      </c>
      <c r="AU33" s="7">
        <v>2838.03</v>
      </c>
      <c r="AV33" s="7">
        <v>2754.93</v>
      </c>
      <c r="AW33" s="7">
        <v>4286.04</v>
      </c>
      <c r="AX33" s="7">
        <v>3274.68</v>
      </c>
      <c r="AY33" s="7">
        <v>23762.21</v>
      </c>
      <c r="AZ33" s="8"/>
      <c r="BA33" s="9"/>
      <c r="BB33" s="10"/>
      <c r="BC33" s="10"/>
    </row>
    <row r="34">
      <c r="A34" s="11">
        <v>2024.0</v>
      </c>
      <c r="B34" s="11" t="s">
        <v>48</v>
      </c>
      <c r="C34" s="12">
        <v>45471.0</v>
      </c>
      <c r="D34" s="44">
        <v>17.0</v>
      </c>
      <c r="E34" s="26">
        <v>1487437.57</v>
      </c>
      <c r="F34" s="26">
        <v>94590.89</v>
      </c>
      <c r="G34" s="26">
        <v>7663.77</v>
      </c>
      <c r="H34" s="26">
        <v>2070.0</v>
      </c>
      <c r="I34" s="26">
        <v>3070.14</v>
      </c>
      <c r="J34" s="26">
        <v>12308.28</v>
      </c>
      <c r="K34" s="26">
        <v>42248.5</v>
      </c>
      <c r="L34" s="26">
        <v>27230.2</v>
      </c>
      <c r="M34" s="15">
        <v>1.0</v>
      </c>
      <c r="N34" s="28">
        <v>75000.0</v>
      </c>
      <c r="O34" s="16">
        <f t="shared" si="62"/>
        <v>3000</v>
      </c>
      <c r="P34" s="16">
        <f t="shared" si="63"/>
        <v>1260</v>
      </c>
      <c r="Q34" s="16">
        <f t="shared" si="64"/>
        <v>552</v>
      </c>
      <c r="R34" s="16">
        <f t="shared" si="65"/>
        <v>239.19</v>
      </c>
      <c r="S34" s="17">
        <f t="shared" si="66"/>
        <v>393.42</v>
      </c>
      <c r="T34" s="17">
        <f t="shared" si="67"/>
        <v>138</v>
      </c>
      <c r="U34" s="7">
        <f t="shared" si="68"/>
        <v>8169.06</v>
      </c>
      <c r="V34" s="18">
        <f t="shared" si="69"/>
        <v>1260</v>
      </c>
      <c r="W34" s="18">
        <f t="shared" si="70"/>
        <v>3309.33</v>
      </c>
      <c r="X34" s="18">
        <f t="shared" si="71"/>
        <v>12308.28</v>
      </c>
      <c r="Y34" s="18">
        <f t="shared" si="72"/>
        <v>3000</v>
      </c>
      <c r="Z34" s="18">
        <f t="shared" si="73"/>
        <v>552</v>
      </c>
      <c r="AA34" s="18">
        <f t="shared" si="74"/>
        <v>28598.67</v>
      </c>
      <c r="AB34" s="42">
        <v>3.0</v>
      </c>
      <c r="AC34" s="24">
        <v>282197.55</v>
      </c>
      <c r="AD34" s="24">
        <v>10771.36</v>
      </c>
      <c r="AE34" s="24">
        <v>1355.21</v>
      </c>
      <c r="AF34" s="24">
        <v>414.0</v>
      </c>
      <c r="AG34" s="24">
        <v>547.01</v>
      </c>
      <c r="AH34" s="24">
        <v>0.0</v>
      </c>
      <c r="AI34" s="24">
        <v>3714.22</v>
      </c>
      <c r="AJ34" s="24">
        <v>4740.92</v>
      </c>
      <c r="AK34" s="19">
        <v>5.0</v>
      </c>
      <c r="AL34" s="16">
        <v>726843.37</v>
      </c>
      <c r="AM34" s="19">
        <v>27488.0</v>
      </c>
      <c r="AN34" s="19">
        <v>12233.0</v>
      </c>
      <c r="AO34" s="16">
        <v>2750.0</v>
      </c>
      <c r="AP34" s="16">
        <v>1517.5</v>
      </c>
      <c r="AQ34" s="16">
        <v>2844.67</v>
      </c>
      <c r="AR34" s="17">
        <f>AK34*138</f>
        <v>690</v>
      </c>
      <c r="AS34" s="7">
        <v>21013.59</v>
      </c>
      <c r="AT34" s="7">
        <v>12233.0</v>
      </c>
      <c r="AU34" s="7">
        <v>3774.05</v>
      </c>
      <c r="AV34" s="7">
        <v>3409.72</v>
      </c>
      <c r="AW34" s="7">
        <v>27519.04</v>
      </c>
      <c r="AX34" s="7">
        <f>16469.41-12233</f>
        <v>4236.41</v>
      </c>
      <c r="AY34" s="7">
        <f>SUM(AS34:AX34)</f>
        <v>72185.81</v>
      </c>
      <c r="AZ34" s="8"/>
      <c r="BA34" s="9"/>
      <c r="BB34" s="10"/>
      <c r="BC34" s="10"/>
    </row>
    <row r="35">
      <c r="A35" s="11">
        <v>2024.0</v>
      </c>
      <c r="B35" s="11" t="s">
        <v>48</v>
      </c>
      <c r="C35" s="1"/>
      <c r="D35" s="2">
        <v>129.0</v>
      </c>
      <c r="E35" s="33"/>
      <c r="F35" s="2"/>
      <c r="G35" s="33"/>
      <c r="H35" s="33"/>
      <c r="I35" s="33"/>
      <c r="J35" s="33"/>
      <c r="K35" s="33"/>
      <c r="L35" s="33"/>
      <c r="M35" s="4">
        <v>4.0</v>
      </c>
      <c r="N35" s="51">
        <v>112105.34</v>
      </c>
      <c r="O35" s="35"/>
      <c r="P35" s="35"/>
      <c r="Q35" s="35"/>
      <c r="R35" s="35"/>
      <c r="S35" s="35"/>
      <c r="T35" s="35"/>
      <c r="U35" s="37"/>
      <c r="V35" s="48"/>
      <c r="W35" s="48"/>
      <c r="X35" s="37"/>
      <c r="Y35" s="48"/>
      <c r="Z35" s="48"/>
      <c r="AA35" s="48"/>
      <c r="AB35" s="2"/>
      <c r="AC35" s="2"/>
      <c r="AD35" s="2"/>
      <c r="AE35" s="33"/>
      <c r="AF35" s="33"/>
      <c r="AG35" s="33"/>
      <c r="AH35" s="33"/>
      <c r="AI35" s="33"/>
      <c r="AJ35" s="33"/>
      <c r="AK35" s="35"/>
      <c r="AL35" s="35"/>
      <c r="AM35" s="35"/>
      <c r="AN35" s="35"/>
      <c r="AO35" s="35"/>
      <c r="AP35" s="35"/>
      <c r="AQ35" s="35"/>
      <c r="AR35" s="35"/>
      <c r="AS35" s="37"/>
      <c r="AT35" s="48"/>
      <c r="AU35" s="48"/>
      <c r="AV35" s="48"/>
      <c r="AW35" s="48"/>
      <c r="AX35" s="48"/>
      <c r="AY35" s="48"/>
      <c r="AZ35" s="38"/>
      <c r="BA35" s="39"/>
      <c r="BB35" s="40"/>
      <c r="BC35" s="40"/>
    </row>
    <row r="36">
      <c r="A36" s="1">
        <v>2024.0</v>
      </c>
      <c r="B36" s="1" t="s">
        <v>48</v>
      </c>
      <c r="C36" s="1" t="s">
        <v>49</v>
      </c>
      <c r="D36" s="33">
        <f t="shared" ref="D36:AA36" si="76">SUM(D28:D34)</f>
        <v>78</v>
      </c>
      <c r="E36" s="34">
        <f t="shared" si="76"/>
        <v>5675923.93</v>
      </c>
      <c r="F36" s="34">
        <f t="shared" si="76"/>
        <v>342869.21</v>
      </c>
      <c r="G36" s="34">
        <f t="shared" si="76"/>
        <v>33643.34</v>
      </c>
      <c r="H36" s="34">
        <f t="shared" si="76"/>
        <v>10074</v>
      </c>
      <c r="I36" s="34">
        <f t="shared" si="76"/>
        <v>12341.45</v>
      </c>
      <c r="J36" s="34">
        <f t="shared" si="76"/>
        <v>35984.5</v>
      </c>
      <c r="K36" s="34">
        <f t="shared" si="76"/>
        <v>145386.76</v>
      </c>
      <c r="L36" s="34">
        <f t="shared" si="76"/>
        <v>100902.68</v>
      </c>
      <c r="M36" s="35">
        <f t="shared" si="76"/>
        <v>6</v>
      </c>
      <c r="N36" s="36">
        <f t="shared" si="76"/>
        <v>525000</v>
      </c>
      <c r="O36" s="36">
        <f t="shared" si="76"/>
        <v>21000</v>
      </c>
      <c r="P36" s="36">
        <f t="shared" si="76"/>
        <v>8820</v>
      </c>
      <c r="Q36" s="36">
        <f t="shared" si="76"/>
        <v>3312</v>
      </c>
      <c r="R36" s="36">
        <f t="shared" si="76"/>
        <v>1435.14</v>
      </c>
      <c r="S36" s="36">
        <f t="shared" si="76"/>
        <v>2360.52</v>
      </c>
      <c r="T36" s="36">
        <f t="shared" si="76"/>
        <v>828</v>
      </c>
      <c r="U36" s="37">
        <f t="shared" si="76"/>
        <v>30270.804</v>
      </c>
      <c r="V36" s="37">
        <f t="shared" si="76"/>
        <v>8820</v>
      </c>
      <c r="W36" s="37">
        <f t="shared" si="76"/>
        <v>13776.59</v>
      </c>
      <c r="X36" s="37">
        <f t="shared" si="76"/>
        <v>35984.5</v>
      </c>
      <c r="Y36" s="37">
        <f t="shared" si="76"/>
        <v>21000</v>
      </c>
      <c r="Z36" s="37">
        <f t="shared" si="76"/>
        <v>3312</v>
      </c>
      <c r="AA36" s="37">
        <f t="shared" si="76"/>
        <v>113163.894</v>
      </c>
      <c r="AB36" s="33">
        <f t="shared" ref="AB36:AC36" si="77">SUM(AB28:AB35)</f>
        <v>38</v>
      </c>
      <c r="AC36" s="34">
        <f t="shared" si="77"/>
        <v>2337798.54</v>
      </c>
      <c r="AD36" s="34">
        <f t="shared" ref="AD36:AY36" si="78">SUM(AD28:AD34)</f>
        <v>119871.76</v>
      </c>
      <c r="AE36" s="34">
        <f t="shared" si="78"/>
        <v>13757.09</v>
      </c>
      <c r="AF36" s="34">
        <f t="shared" si="78"/>
        <v>4968</v>
      </c>
      <c r="AG36" s="34">
        <f t="shared" si="78"/>
        <v>5617.03</v>
      </c>
      <c r="AH36" s="34">
        <f t="shared" si="78"/>
        <v>1642.74</v>
      </c>
      <c r="AI36" s="34">
        <f t="shared" si="78"/>
        <v>75182.25</v>
      </c>
      <c r="AJ36" s="34">
        <f t="shared" si="78"/>
        <v>48298.6</v>
      </c>
      <c r="AK36" s="35">
        <f t="shared" si="78"/>
        <v>13</v>
      </c>
      <c r="AL36" s="36">
        <f t="shared" si="78"/>
        <v>1114894.66</v>
      </c>
      <c r="AM36" s="35">
        <f t="shared" si="78"/>
        <v>42166</v>
      </c>
      <c r="AN36" s="35">
        <f t="shared" si="78"/>
        <v>18767</v>
      </c>
      <c r="AO36" s="36">
        <f t="shared" si="78"/>
        <v>7150</v>
      </c>
      <c r="AP36" s="36">
        <f t="shared" si="78"/>
        <v>3312.85</v>
      </c>
      <c r="AQ36" s="36">
        <f t="shared" si="78"/>
        <v>5095.05</v>
      </c>
      <c r="AR36" s="36">
        <f t="shared" si="78"/>
        <v>1794</v>
      </c>
      <c r="AS36" s="37">
        <f t="shared" si="78"/>
        <v>54367.7</v>
      </c>
      <c r="AT36" s="37">
        <f t="shared" si="78"/>
        <v>18767</v>
      </c>
      <c r="AU36" s="37">
        <f t="shared" si="78"/>
        <v>12779.93</v>
      </c>
      <c r="AV36" s="37">
        <f t="shared" si="78"/>
        <v>14056.14</v>
      </c>
      <c r="AW36" s="37">
        <f t="shared" si="78"/>
        <v>42366.12</v>
      </c>
      <c r="AX36" s="37">
        <f t="shared" si="78"/>
        <v>17997.37</v>
      </c>
      <c r="AY36" s="37">
        <f t="shared" si="78"/>
        <v>158478.26</v>
      </c>
      <c r="AZ36" s="38"/>
      <c r="BA36" s="39"/>
      <c r="BB36" s="40"/>
      <c r="BC36" s="40"/>
    </row>
    <row r="37">
      <c r="A37" s="11">
        <v>2024.0</v>
      </c>
      <c r="B37" s="11" t="s">
        <v>48</v>
      </c>
      <c r="C37" s="12">
        <v>45472.0</v>
      </c>
      <c r="D37" s="44">
        <v>12.0</v>
      </c>
      <c r="E37" s="26">
        <v>1085721.42</v>
      </c>
      <c r="F37" s="26">
        <v>49704.07</v>
      </c>
      <c r="G37" s="26">
        <v>5788.37</v>
      </c>
      <c r="H37" s="26">
        <v>1518.0</v>
      </c>
      <c r="I37" s="26">
        <v>1499.25</v>
      </c>
      <c r="J37" s="26">
        <v>431.11</v>
      </c>
      <c r="K37" s="26">
        <v>15243.25</v>
      </c>
      <c r="L37" s="26">
        <v>25224.09</v>
      </c>
      <c r="M37" s="15">
        <v>0.0</v>
      </c>
      <c r="N37" s="16">
        <v>0.0</v>
      </c>
      <c r="O37" s="16">
        <f t="shared" ref="O37:O43" si="79">N37*4%</f>
        <v>0</v>
      </c>
      <c r="P37" s="16">
        <f t="shared" ref="P37:P43" si="80">N37*1.68%</f>
        <v>0</v>
      </c>
      <c r="Q37" s="16">
        <f t="shared" ref="Q37:Q43" si="81">M37*(250+300+2)</f>
        <v>0</v>
      </c>
      <c r="R37" s="16">
        <f t="shared" ref="R37:R43" si="82">M37*239.19</f>
        <v>0</v>
      </c>
      <c r="S37" s="17">
        <f t="shared" ref="S37:S43" si="83">M37*393.42</f>
        <v>0</v>
      </c>
      <c r="T37" s="17">
        <f t="shared" ref="T37:T43" si="84">M37*138</f>
        <v>0</v>
      </c>
      <c r="U37" s="7">
        <v>0.0</v>
      </c>
      <c r="V37" s="18">
        <f t="shared" ref="V37:V43" si="85">P37</f>
        <v>0</v>
      </c>
      <c r="W37" s="6">
        <v>0.0</v>
      </c>
      <c r="X37" s="6">
        <v>0.0</v>
      </c>
      <c r="Y37" s="18">
        <f t="shared" ref="Y37:Y43" si="86">O37</f>
        <v>0</v>
      </c>
      <c r="Z37" s="18">
        <f t="shared" ref="Z37:Z43" si="87">Q37</f>
        <v>0</v>
      </c>
      <c r="AA37" s="18">
        <f t="shared" ref="AA37:AA43" si="88">SUM(U37:Z37)</f>
        <v>0</v>
      </c>
      <c r="AB37" s="41">
        <v>9.0</v>
      </c>
      <c r="AC37" s="52">
        <v>850995.08</v>
      </c>
      <c r="AD37" s="52">
        <v>40222.97</v>
      </c>
      <c r="AE37" s="52">
        <v>4585.68</v>
      </c>
      <c r="AF37" s="52">
        <v>1104.0</v>
      </c>
      <c r="AG37" s="52">
        <v>1194.01</v>
      </c>
      <c r="AH37" s="41">
        <v>0.0</v>
      </c>
      <c r="AI37" s="52">
        <v>12123.05</v>
      </c>
      <c r="AJ37" s="52">
        <v>21216.23</v>
      </c>
      <c r="AK37" s="19">
        <v>0.0</v>
      </c>
      <c r="AL37" s="16">
        <v>0.0</v>
      </c>
      <c r="AM37" s="19">
        <v>0.0</v>
      </c>
      <c r="AN37" s="19">
        <v>0.0</v>
      </c>
      <c r="AO37" s="16">
        <v>0.0</v>
      </c>
      <c r="AP37" s="16">
        <v>0.0</v>
      </c>
      <c r="AQ37" s="16">
        <v>0.0</v>
      </c>
      <c r="AR37" s="16">
        <v>0.0</v>
      </c>
      <c r="AS37" s="7">
        <v>0.0</v>
      </c>
      <c r="AT37" s="7">
        <v>0.0</v>
      </c>
      <c r="AU37" s="7">
        <v>0.0</v>
      </c>
      <c r="AV37" s="7">
        <v>0.0</v>
      </c>
      <c r="AW37" s="7">
        <v>0.0</v>
      </c>
      <c r="AX37" s="7">
        <v>0.0</v>
      </c>
      <c r="AY37" s="7">
        <v>0.0</v>
      </c>
      <c r="AZ37" s="8"/>
      <c r="BA37" s="9"/>
      <c r="BB37" s="10"/>
      <c r="BC37" s="10"/>
    </row>
    <row r="38">
      <c r="A38" s="11">
        <v>2024.0</v>
      </c>
      <c r="B38" s="11" t="s">
        <v>48</v>
      </c>
      <c r="C38" s="12">
        <v>45473.0</v>
      </c>
      <c r="D38" s="53">
        <v>116.0</v>
      </c>
      <c r="E38" s="26">
        <f>6938193.74+587493.76</f>
        <v>7525687.5</v>
      </c>
      <c r="F38" s="26">
        <f>313314.55+21280.31</f>
        <v>334594.86</v>
      </c>
      <c r="G38" s="26">
        <f>33764.2+2745.76</f>
        <v>36509.96</v>
      </c>
      <c r="H38" s="26">
        <f>13524+966</f>
        <v>14490</v>
      </c>
      <c r="I38" s="26">
        <f>18536.74+1480.65</f>
        <v>20017.39</v>
      </c>
      <c r="J38" s="26">
        <v>6412.23</v>
      </c>
      <c r="K38" s="26">
        <f>122472.36+6218</f>
        <v>128690.36</v>
      </c>
      <c r="L38" s="26">
        <f>117288.8+9869.9</f>
        <v>127158.7</v>
      </c>
      <c r="M38" s="15">
        <v>0.0</v>
      </c>
      <c r="N38" s="16">
        <v>0.0</v>
      </c>
      <c r="O38" s="16">
        <f t="shared" si="79"/>
        <v>0</v>
      </c>
      <c r="P38" s="16">
        <f t="shared" si="80"/>
        <v>0</v>
      </c>
      <c r="Q38" s="16">
        <f t="shared" si="81"/>
        <v>0</v>
      </c>
      <c r="R38" s="16">
        <f t="shared" si="82"/>
        <v>0</v>
      </c>
      <c r="S38" s="17">
        <f t="shared" si="83"/>
        <v>0</v>
      </c>
      <c r="T38" s="17">
        <f t="shared" si="84"/>
        <v>0</v>
      </c>
      <c r="U38" s="7">
        <v>0.0</v>
      </c>
      <c r="V38" s="18">
        <f t="shared" si="85"/>
        <v>0</v>
      </c>
      <c r="W38" s="6">
        <v>0.0</v>
      </c>
      <c r="X38" s="6">
        <v>0.0</v>
      </c>
      <c r="Y38" s="18">
        <f t="shared" si="86"/>
        <v>0</v>
      </c>
      <c r="Z38" s="18">
        <f t="shared" si="87"/>
        <v>0</v>
      </c>
      <c r="AA38" s="18">
        <f t="shared" si="88"/>
        <v>0</v>
      </c>
      <c r="AB38" s="42">
        <v>92.0</v>
      </c>
      <c r="AC38" s="54">
        <v>5294945.19</v>
      </c>
      <c r="AD38" s="54">
        <v>222495.98</v>
      </c>
      <c r="AE38" s="54">
        <v>31382.73</v>
      </c>
      <c r="AF38" s="54">
        <v>11730.0</v>
      </c>
      <c r="AG38" s="54">
        <v>18128.53</v>
      </c>
      <c r="AH38" s="42">
        <v>0.0</v>
      </c>
      <c r="AI38" s="54">
        <v>68743.23</v>
      </c>
      <c r="AJ38" s="54">
        <v>92511.49</v>
      </c>
      <c r="AK38" s="19">
        <v>0.0</v>
      </c>
      <c r="AL38" s="16">
        <v>0.0</v>
      </c>
      <c r="AM38" s="16">
        <v>0.0</v>
      </c>
      <c r="AN38" s="16">
        <v>0.0</v>
      </c>
      <c r="AO38" s="16">
        <v>0.0</v>
      </c>
      <c r="AP38" s="16">
        <v>0.0</v>
      </c>
      <c r="AQ38" s="16">
        <v>0.0</v>
      </c>
      <c r="AR38" s="16">
        <v>0.0</v>
      </c>
      <c r="AS38" s="7">
        <v>0.0</v>
      </c>
      <c r="AT38" s="7">
        <v>0.0</v>
      </c>
      <c r="AU38" s="7">
        <v>0.0</v>
      </c>
      <c r="AV38" s="7">
        <v>0.0</v>
      </c>
      <c r="AW38" s="7">
        <v>0.0</v>
      </c>
      <c r="AX38" s="7">
        <v>0.0</v>
      </c>
      <c r="AY38" s="7">
        <v>0.0</v>
      </c>
      <c r="AZ38" s="8"/>
      <c r="BA38" s="9"/>
      <c r="BB38" s="10"/>
      <c r="BC38" s="10"/>
    </row>
    <row r="39">
      <c r="A39" s="11">
        <v>2024.0</v>
      </c>
      <c r="B39" s="11" t="s">
        <v>48</v>
      </c>
      <c r="C39" s="12">
        <v>45474.0</v>
      </c>
      <c r="D39" s="44">
        <v>11.0</v>
      </c>
      <c r="E39" s="26">
        <v>474903.11</v>
      </c>
      <c r="F39" s="26">
        <v>23889.99</v>
      </c>
      <c r="G39" s="26">
        <v>3551.76</v>
      </c>
      <c r="H39" s="26">
        <v>1518.0</v>
      </c>
      <c r="I39" s="26">
        <v>1323.13</v>
      </c>
      <c r="J39" s="26">
        <v>811.54</v>
      </c>
      <c r="K39" s="26">
        <v>6894.74</v>
      </c>
      <c r="L39" s="26">
        <v>9790.82</v>
      </c>
      <c r="M39" s="15">
        <v>0.0</v>
      </c>
      <c r="N39" s="16">
        <v>0.0</v>
      </c>
      <c r="O39" s="16">
        <f t="shared" si="79"/>
        <v>0</v>
      </c>
      <c r="P39" s="16">
        <f t="shared" si="80"/>
        <v>0</v>
      </c>
      <c r="Q39" s="16">
        <f t="shared" si="81"/>
        <v>0</v>
      </c>
      <c r="R39" s="16">
        <f t="shared" si="82"/>
        <v>0</v>
      </c>
      <c r="S39" s="17">
        <f t="shared" si="83"/>
        <v>0</v>
      </c>
      <c r="T39" s="17">
        <f t="shared" si="84"/>
        <v>0</v>
      </c>
      <c r="U39" s="7">
        <v>7354.15</v>
      </c>
      <c r="V39" s="18">
        <f t="shared" si="85"/>
        <v>0</v>
      </c>
      <c r="W39" s="18">
        <f t="shared" ref="W39:W43" si="89">R39+I39</f>
        <v>1323.13</v>
      </c>
      <c r="X39" s="6">
        <v>0.0</v>
      </c>
      <c r="Y39" s="18">
        <f t="shared" si="86"/>
        <v>0</v>
      </c>
      <c r="Z39" s="18">
        <f t="shared" si="87"/>
        <v>0</v>
      </c>
      <c r="AA39" s="18">
        <f t="shared" si="88"/>
        <v>8677.28</v>
      </c>
      <c r="AB39" s="42">
        <v>5.0</v>
      </c>
      <c r="AC39" s="24">
        <v>222134.73</v>
      </c>
      <c r="AD39" s="24">
        <v>9901.89</v>
      </c>
      <c r="AE39" s="24">
        <v>1629.92</v>
      </c>
      <c r="AF39" s="24">
        <v>690.0</v>
      </c>
      <c r="AG39" s="24">
        <v>614.24</v>
      </c>
      <c r="AH39" s="24">
        <v>0.0</v>
      </c>
      <c r="AI39" s="24">
        <v>3235.87</v>
      </c>
      <c r="AJ39" s="24">
        <v>3731.86</v>
      </c>
      <c r="AK39" s="19">
        <v>0.0</v>
      </c>
      <c r="AL39" s="16">
        <v>0.0</v>
      </c>
      <c r="AM39" s="16">
        <v>0.0</v>
      </c>
      <c r="AN39" s="16">
        <v>0.0</v>
      </c>
      <c r="AO39" s="16">
        <v>0.0</v>
      </c>
      <c r="AP39" s="16">
        <v>0.0</v>
      </c>
      <c r="AQ39" s="16">
        <v>0.0</v>
      </c>
      <c r="AR39" s="16">
        <v>0.0</v>
      </c>
      <c r="AS39" s="7">
        <v>0.0</v>
      </c>
      <c r="AT39" s="7">
        <v>0.0</v>
      </c>
      <c r="AU39" s="6">
        <v>0.0</v>
      </c>
      <c r="AV39" s="7">
        <v>0.0</v>
      </c>
      <c r="AW39" s="7">
        <v>0.0</v>
      </c>
      <c r="AX39" s="7">
        <v>0.0</v>
      </c>
      <c r="AY39" s="18">
        <f t="shared" ref="AY39:AY43" si="90">SUM(AS39:AX39)</f>
        <v>0</v>
      </c>
      <c r="AZ39" s="20"/>
      <c r="BA39" s="21"/>
      <c r="BB39" s="22"/>
      <c r="BC39" s="22"/>
    </row>
    <row r="40">
      <c r="A40" s="11">
        <v>2024.0</v>
      </c>
      <c r="B40" s="11" t="s">
        <v>48</v>
      </c>
      <c r="C40" s="12">
        <v>45475.0</v>
      </c>
      <c r="D40" s="44">
        <v>6.0</v>
      </c>
      <c r="E40" s="26">
        <v>453831.57</v>
      </c>
      <c r="F40" s="26">
        <v>23442.93</v>
      </c>
      <c r="G40" s="26">
        <v>2238.67</v>
      </c>
      <c r="H40" s="26">
        <v>828.0</v>
      </c>
      <c r="I40" s="26">
        <v>1352.01</v>
      </c>
      <c r="J40" s="26">
        <v>2218.26</v>
      </c>
      <c r="K40" s="26">
        <v>8649.18</v>
      </c>
      <c r="L40" s="26">
        <v>8156.81</v>
      </c>
      <c r="M40" s="15">
        <v>2.0</v>
      </c>
      <c r="N40" s="16">
        <v>160000.0</v>
      </c>
      <c r="O40" s="16">
        <f t="shared" si="79"/>
        <v>6400</v>
      </c>
      <c r="P40" s="16">
        <f t="shared" si="80"/>
        <v>2688</v>
      </c>
      <c r="Q40" s="16">
        <f t="shared" si="81"/>
        <v>1104</v>
      </c>
      <c r="R40" s="16">
        <f t="shared" si="82"/>
        <v>478.38</v>
      </c>
      <c r="S40" s="17">
        <f t="shared" si="83"/>
        <v>786.84</v>
      </c>
      <c r="T40" s="17">
        <f t="shared" si="84"/>
        <v>276</v>
      </c>
      <c r="U40" s="7">
        <v>9483.7</v>
      </c>
      <c r="V40" s="18">
        <f t="shared" si="85"/>
        <v>2688</v>
      </c>
      <c r="W40" s="18">
        <f t="shared" si="89"/>
        <v>1830.39</v>
      </c>
      <c r="X40" s="6">
        <v>2218.26</v>
      </c>
      <c r="Y40" s="18">
        <f t="shared" si="86"/>
        <v>6400</v>
      </c>
      <c r="Z40" s="18">
        <f t="shared" si="87"/>
        <v>1104</v>
      </c>
      <c r="AA40" s="18">
        <f t="shared" si="88"/>
        <v>23724.35</v>
      </c>
      <c r="AB40" s="42">
        <v>4.0</v>
      </c>
      <c r="AC40" s="24">
        <v>187920.8</v>
      </c>
      <c r="AD40" s="24">
        <v>9009.38</v>
      </c>
      <c r="AE40" s="24">
        <v>1282.22</v>
      </c>
      <c r="AF40" s="24">
        <v>552.0</v>
      </c>
      <c r="AG40" s="24">
        <v>756.77</v>
      </c>
      <c r="AH40" s="24">
        <v>482.32</v>
      </c>
      <c r="AI40" s="24">
        <v>2246.56</v>
      </c>
      <c r="AJ40" s="24">
        <v>3689.51</v>
      </c>
      <c r="AK40" s="19">
        <v>0.0</v>
      </c>
      <c r="AL40" s="16">
        <v>0.0</v>
      </c>
      <c r="AM40" s="16">
        <v>0.0</v>
      </c>
      <c r="AN40" s="16">
        <v>0.0</v>
      </c>
      <c r="AO40" s="16">
        <v>0.0</v>
      </c>
      <c r="AP40" s="16">
        <v>0.0</v>
      </c>
      <c r="AQ40" s="16">
        <v>0.0</v>
      </c>
      <c r="AR40" s="16">
        <v>0.0</v>
      </c>
      <c r="AS40" s="7">
        <v>6200.0</v>
      </c>
      <c r="AT40" s="7">
        <v>0.0</v>
      </c>
      <c r="AU40" s="7">
        <v>3200.0</v>
      </c>
      <c r="AV40" s="7">
        <v>0.0</v>
      </c>
      <c r="AW40" s="7">
        <v>0.0</v>
      </c>
      <c r="AX40" s="7">
        <v>900.0</v>
      </c>
      <c r="AY40" s="7">
        <f t="shared" si="90"/>
        <v>10300</v>
      </c>
      <c r="AZ40" s="8"/>
      <c r="BA40" s="9"/>
      <c r="BB40" s="10"/>
      <c r="BC40" s="10"/>
    </row>
    <row r="41">
      <c r="A41" s="11">
        <v>2024.0</v>
      </c>
      <c r="B41" s="11" t="s">
        <v>48</v>
      </c>
      <c r="C41" s="12">
        <v>45476.0</v>
      </c>
      <c r="D41" s="44">
        <v>9.0</v>
      </c>
      <c r="E41" s="26">
        <v>691153.18</v>
      </c>
      <c r="F41" s="26">
        <v>34814.39</v>
      </c>
      <c r="G41" s="26">
        <v>2532.75</v>
      </c>
      <c r="H41" s="26">
        <v>966.0</v>
      </c>
      <c r="I41" s="26">
        <v>1288.62</v>
      </c>
      <c r="J41" s="26">
        <v>1517.2</v>
      </c>
      <c r="K41" s="26">
        <v>14334.83</v>
      </c>
      <c r="L41" s="26">
        <v>11524.99</v>
      </c>
      <c r="M41" s="15">
        <v>2.0</v>
      </c>
      <c r="N41" s="16">
        <v>150000.0</v>
      </c>
      <c r="O41" s="16">
        <f t="shared" si="79"/>
        <v>6000</v>
      </c>
      <c r="P41" s="16">
        <f t="shared" si="80"/>
        <v>2520</v>
      </c>
      <c r="Q41" s="16">
        <f t="shared" si="81"/>
        <v>1104</v>
      </c>
      <c r="R41" s="16">
        <f t="shared" si="82"/>
        <v>478.38</v>
      </c>
      <c r="S41" s="17">
        <f t="shared" si="83"/>
        <v>786.84</v>
      </c>
      <c r="T41" s="17">
        <f t="shared" si="84"/>
        <v>276</v>
      </c>
      <c r="U41" s="7">
        <v>6254.33</v>
      </c>
      <c r="V41" s="18">
        <f t="shared" si="85"/>
        <v>2520</v>
      </c>
      <c r="W41" s="18">
        <f t="shared" si="89"/>
        <v>1767</v>
      </c>
      <c r="X41" s="6">
        <v>0.0</v>
      </c>
      <c r="Y41" s="18">
        <f t="shared" si="86"/>
        <v>6000</v>
      </c>
      <c r="Z41" s="18">
        <f t="shared" si="87"/>
        <v>1104</v>
      </c>
      <c r="AA41" s="18">
        <f t="shared" si="88"/>
        <v>17645.33</v>
      </c>
      <c r="AB41" s="42">
        <v>4.0</v>
      </c>
      <c r="AC41" s="24">
        <v>191533.2</v>
      </c>
      <c r="AD41" s="24">
        <v>8155.73</v>
      </c>
      <c r="AE41" s="24">
        <v>1262.78</v>
      </c>
      <c r="AF41" s="24">
        <v>552.0</v>
      </c>
      <c r="AG41" s="24">
        <v>712.61</v>
      </c>
      <c r="AH41" s="24">
        <v>0.0</v>
      </c>
      <c r="AI41" s="24">
        <v>2410.58</v>
      </c>
      <c r="AJ41" s="24">
        <v>3217.76</v>
      </c>
      <c r="AK41" s="19">
        <v>4.0</v>
      </c>
      <c r="AL41" s="16">
        <v>215456.78</v>
      </c>
      <c r="AM41" s="16">
        <v>8037.0</v>
      </c>
      <c r="AN41" s="16">
        <v>3576.0</v>
      </c>
      <c r="AO41" s="16">
        <v>2200.0</v>
      </c>
      <c r="AP41" s="16">
        <v>1638.78</v>
      </c>
      <c r="AQ41" s="16">
        <v>980.0</v>
      </c>
      <c r="AR41" s="16">
        <v>0.0</v>
      </c>
      <c r="AS41" s="7">
        <v>4381.0</v>
      </c>
      <c r="AT41" s="7">
        <v>0.0</v>
      </c>
      <c r="AU41" s="7">
        <v>2688.43</v>
      </c>
      <c r="AV41" s="7">
        <v>0.0</v>
      </c>
      <c r="AW41" s="7">
        <v>5352.0</v>
      </c>
      <c r="AX41" s="7">
        <v>2053.0</v>
      </c>
      <c r="AY41" s="7">
        <f t="shared" si="90"/>
        <v>14474.43</v>
      </c>
      <c r="AZ41" s="8"/>
      <c r="BA41" s="9"/>
      <c r="BB41" s="10"/>
      <c r="BC41" s="10"/>
    </row>
    <row r="42">
      <c r="A42" s="11">
        <v>2024.0</v>
      </c>
      <c r="B42" s="11" t="s">
        <v>48</v>
      </c>
      <c r="C42" s="12">
        <v>45477.0</v>
      </c>
      <c r="D42" s="44">
        <v>12.0</v>
      </c>
      <c r="E42" s="26">
        <v>487161.92</v>
      </c>
      <c r="F42" s="26">
        <v>32191.56</v>
      </c>
      <c r="G42" s="26">
        <v>3891.67</v>
      </c>
      <c r="H42" s="26">
        <v>1380.0</v>
      </c>
      <c r="I42" s="26">
        <v>1366.18</v>
      </c>
      <c r="J42" s="26">
        <v>3260.24</v>
      </c>
      <c r="K42" s="26">
        <v>11143.56</v>
      </c>
      <c r="L42" s="26">
        <v>9972.01</v>
      </c>
      <c r="M42" s="27">
        <v>1.0</v>
      </c>
      <c r="N42" s="28">
        <v>120000.0</v>
      </c>
      <c r="O42" s="16">
        <f t="shared" si="79"/>
        <v>4800</v>
      </c>
      <c r="P42" s="16">
        <f t="shared" si="80"/>
        <v>2016</v>
      </c>
      <c r="Q42" s="16">
        <f t="shared" si="81"/>
        <v>552</v>
      </c>
      <c r="R42" s="16">
        <f t="shared" si="82"/>
        <v>239.19</v>
      </c>
      <c r="S42" s="17">
        <f t="shared" si="83"/>
        <v>393.42</v>
      </c>
      <c r="T42" s="17">
        <f t="shared" si="84"/>
        <v>138</v>
      </c>
      <c r="U42" s="7">
        <v>7596.44</v>
      </c>
      <c r="V42" s="18">
        <f t="shared" si="85"/>
        <v>2016</v>
      </c>
      <c r="W42" s="18">
        <f t="shared" si="89"/>
        <v>1605.37</v>
      </c>
      <c r="X42" s="6">
        <v>2361.18</v>
      </c>
      <c r="Y42" s="18">
        <f t="shared" si="86"/>
        <v>4800</v>
      </c>
      <c r="Z42" s="18">
        <f t="shared" si="87"/>
        <v>552</v>
      </c>
      <c r="AA42" s="18">
        <f t="shared" si="88"/>
        <v>18930.99</v>
      </c>
      <c r="AB42" s="42">
        <v>2.0</v>
      </c>
      <c r="AC42" s="24">
        <v>87963.19</v>
      </c>
      <c r="AD42" s="24">
        <v>3951.42</v>
      </c>
      <c r="AE42" s="24">
        <v>674.48</v>
      </c>
      <c r="AF42" s="24">
        <v>276.0</v>
      </c>
      <c r="AG42" s="24">
        <v>301.13</v>
      </c>
      <c r="AH42" s="24">
        <v>0.0</v>
      </c>
      <c r="AI42" s="24">
        <v>1222.03</v>
      </c>
      <c r="AJ42" s="24">
        <v>1477.78</v>
      </c>
      <c r="AK42" s="19">
        <v>2.0</v>
      </c>
      <c r="AL42" s="16">
        <v>193956.78</v>
      </c>
      <c r="AM42" s="16">
        <v>7335.0</v>
      </c>
      <c r="AN42" s="16">
        <v>3265.0</v>
      </c>
      <c r="AO42" s="16">
        <v>1100.0</v>
      </c>
      <c r="AP42" s="16">
        <v>1024.48</v>
      </c>
      <c r="AQ42" s="16">
        <v>617.4</v>
      </c>
      <c r="AR42" s="16">
        <v>0.0</v>
      </c>
      <c r="AS42" s="7">
        <v>1715.0</v>
      </c>
      <c r="AT42" s="7">
        <v>3265.0</v>
      </c>
      <c r="AU42" s="7">
        <v>1654.83</v>
      </c>
      <c r="AV42" s="7">
        <v>0.0</v>
      </c>
      <c r="AW42" s="7">
        <v>10020.0</v>
      </c>
      <c r="AX42" s="7">
        <v>1650.0</v>
      </c>
      <c r="AY42" s="7">
        <f t="shared" si="90"/>
        <v>18304.83</v>
      </c>
      <c r="AZ42" s="8"/>
      <c r="BA42" s="9"/>
      <c r="BB42" s="10"/>
      <c r="BC42" s="10"/>
    </row>
    <row r="43">
      <c r="A43" s="11">
        <v>2024.0</v>
      </c>
      <c r="B43" s="11" t="s">
        <v>48</v>
      </c>
      <c r="C43" s="12">
        <v>45478.0</v>
      </c>
      <c r="D43" s="44">
        <v>11.0</v>
      </c>
      <c r="E43" s="26">
        <v>843327.41</v>
      </c>
      <c r="F43" s="26">
        <v>68564.01</v>
      </c>
      <c r="G43" s="26">
        <v>4362.16</v>
      </c>
      <c r="H43" s="26">
        <v>1518.0</v>
      </c>
      <c r="I43" s="26">
        <v>1600.38</v>
      </c>
      <c r="J43" s="26">
        <v>7771.36</v>
      </c>
      <c r="K43" s="26">
        <v>26615.21</v>
      </c>
      <c r="L43" s="26">
        <v>14167.9</v>
      </c>
      <c r="M43" s="15">
        <v>2.0</v>
      </c>
      <c r="N43" s="28">
        <v>125000.0</v>
      </c>
      <c r="O43" s="16">
        <f t="shared" si="79"/>
        <v>5000</v>
      </c>
      <c r="P43" s="16">
        <f t="shared" si="80"/>
        <v>2100</v>
      </c>
      <c r="Q43" s="16">
        <f t="shared" si="81"/>
        <v>1104</v>
      </c>
      <c r="R43" s="16">
        <f t="shared" si="82"/>
        <v>478.38</v>
      </c>
      <c r="S43" s="17">
        <f t="shared" si="83"/>
        <v>786.84</v>
      </c>
      <c r="T43" s="17">
        <f t="shared" si="84"/>
        <v>276</v>
      </c>
      <c r="U43" s="7">
        <v>9194.01</v>
      </c>
      <c r="V43" s="18">
        <f t="shared" si="85"/>
        <v>2100</v>
      </c>
      <c r="W43" s="18">
        <f t="shared" si="89"/>
        <v>2078.76</v>
      </c>
      <c r="X43" s="6">
        <v>432.72</v>
      </c>
      <c r="Y43" s="18">
        <f t="shared" si="86"/>
        <v>5000</v>
      </c>
      <c r="Z43" s="18">
        <f t="shared" si="87"/>
        <v>1104</v>
      </c>
      <c r="AA43" s="18">
        <f t="shared" si="88"/>
        <v>19909.49</v>
      </c>
      <c r="AB43" s="42">
        <v>3.0</v>
      </c>
      <c r="AC43" s="24">
        <v>282197.55</v>
      </c>
      <c r="AD43" s="24">
        <v>10771.36</v>
      </c>
      <c r="AE43" s="24">
        <v>1355.21</v>
      </c>
      <c r="AF43" s="24">
        <v>414.0</v>
      </c>
      <c r="AG43" s="24">
        <v>547.01</v>
      </c>
      <c r="AH43" s="24">
        <v>0.0</v>
      </c>
      <c r="AI43" s="24">
        <v>3714.22</v>
      </c>
      <c r="AJ43" s="24">
        <v>4740.92</v>
      </c>
      <c r="AK43" s="19">
        <v>0.0</v>
      </c>
      <c r="AL43" s="16">
        <v>0.0</v>
      </c>
      <c r="AM43" s="19">
        <v>0.0</v>
      </c>
      <c r="AN43" s="19">
        <v>0.0</v>
      </c>
      <c r="AO43" s="16">
        <v>0.0</v>
      </c>
      <c r="AP43" s="16">
        <v>0.0</v>
      </c>
      <c r="AQ43" s="16">
        <v>0.0</v>
      </c>
      <c r="AR43" s="17">
        <f>AK43*138</f>
        <v>0</v>
      </c>
      <c r="AS43" s="7">
        <v>51238.25</v>
      </c>
      <c r="AT43" s="7">
        <v>0.0</v>
      </c>
      <c r="AU43" s="7">
        <v>4966.74</v>
      </c>
      <c r="AV43" s="7">
        <v>4242.93</v>
      </c>
      <c r="AW43" s="7">
        <v>0.0</v>
      </c>
      <c r="AX43" s="7">
        <v>4580.0</v>
      </c>
      <c r="AY43" s="7">
        <f t="shared" si="90"/>
        <v>65027.92</v>
      </c>
      <c r="AZ43" s="8"/>
      <c r="BA43" s="9"/>
      <c r="BB43" s="10"/>
      <c r="BC43" s="10"/>
    </row>
    <row r="44">
      <c r="A44" s="11">
        <v>2024.0</v>
      </c>
      <c r="B44" s="11" t="s">
        <v>48</v>
      </c>
      <c r="C44" s="1"/>
      <c r="D44" s="2">
        <v>189.0</v>
      </c>
      <c r="E44" s="33"/>
      <c r="F44" s="50">
        <v>1638646.78</v>
      </c>
      <c r="G44" s="33"/>
      <c r="H44" s="33"/>
      <c r="I44" s="33"/>
      <c r="J44" s="33"/>
      <c r="K44" s="33"/>
      <c r="L44" s="33"/>
      <c r="M44" s="4">
        <v>9.0</v>
      </c>
      <c r="N44" s="51">
        <v>1193000.0</v>
      </c>
      <c r="O44" s="35"/>
      <c r="P44" s="35"/>
      <c r="Q44" s="35"/>
      <c r="R44" s="35"/>
      <c r="S44" s="35"/>
      <c r="T44" s="35"/>
      <c r="U44" s="37"/>
      <c r="V44" s="48"/>
      <c r="W44" s="48"/>
      <c r="X44" s="37"/>
      <c r="Y44" s="48"/>
      <c r="Z44" s="48"/>
      <c r="AA44" s="48"/>
      <c r="AB44" s="2"/>
      <c r="AC44" s="33"/>
      <c r="AD44" s="2"/>
      <c r="AE44" s="33"/>
      <c r="AF44" s="33"/>
      <c r="AG44" s="33"/>
      <c r="AH44" s="33"/>
      <c r="AI44" s="33"/>
      <c r="AJ44" s="33"/>
      <c r="AK44" s="4"/>
      <c r="AL44" s="4"/>
      <c r="AM44" s="35"/>
      <c r="AN44" s="35"/>
      <c r="AO44" s="35"/>
      <c r="AP44" s="35"/>
      <c r="AQ44" s="35"/>
      <c r="AR44" s="35"/>
      <c r="AS44" s="37"/>
      <c r="AT44" s="48"/>
      <c r="AU44" s="48"/>
      <c r="AV44" s="48"/>
      <c r="AW44" s="48"/>
      <c r="AX44" s="48"/>
      <c r="AY44" s="48"/>
      <c r="AZ44" s="38"/>
      <c r="BA44" s="39"/>
      <c r="BB44" s="40"/>
      <c r="BC44" s="40"/>
    </row>
    <row r="45">
      <c r="A45" s="1">
        <v>2024.0</v>
      </c>
      <c r="B45" s="1" t="s">
        <v>48</v>
      </c>
      <c r="C45" s="1" t="s">
        <v>49</v>
      </c>
      <c r="D45" s="33">
        <f>SUM(D37:D44)</f>
        <v>366</v>
      </c>
      <c r="E45" s="34">
        <f t="shared" ref="E45:AJ45" si="91">SUM(E37:E43)</f>
        <v>11561786.11</v>
      </c>
      <c r="F45" s="34">
        <f t="shared" si="91"/>
        <v>567201.81</v>
      </c>
      <c r="G45" s="34">
        <f t="shared" si="91"/>
        <v>58875.34</v>
      </c>
      <c r="H45" s="34">
        <f t="shared" si="91"/>
        <v>22218</v>
      </c>
      <c r="I45" s="34">
        <f t="shared" si="91"/>
        <v>28446.96</v>
      </c>
      <c r="J45" s="34">
        <f t="shared" si="91"/>
        <v>22421.94</v>
      </c>
      <c r="K45" s="34">
        <f t="shared" si="91"/>
        <v>211571.13</v>
      </c>
      <c r="L45" s="34">
        <f t="shared" si="91"/>
        <v>205995.32</v>
      </c>
      <c r="M45" s="35">
        <f t="shared" si="91"/>
        <v>7</v>
      </c>
      <c r="N45" s="36">
        <f t="shared" si="91"/>
        <v>555000</v>
      </c>
      <c r="O45" s="36">
        <f t="shared" si="91"/>
        <v>22200</v>
      </c>
      <c r="P45" s="36">
        <f t="shared" si="91"/>
        <v>9324</v>
      </c>
      <c r="Q45" s="36">
        <f t="shared" si="91"/>
        <v>3864</v>
      </c>
      <c r="R45" s="36">
        <f t="shared" si="91"/>
        <v>1674.33</v>
      </c>
      <c r="S45" s="36">
        <f t="shared" si="91"/>
        <v>2753.94</v>
      </c>
      <c r="T45" s="36">
        <f t="shared" si="91"/>
        <v>966</v>
      </c>
      <c r="U45" s="37">
        <f t="shared" si="91"/>
        <v>39882.63</v>
      </c>
      <c r="V45" s="37">
        <f t="shared" si="91"/>
        <v>9324</v>
      </c>
      <c r="W45" s="48">
        <f t="shared" si="91"/>
        <v>8604.65</v>
      </c>
      <c r="X45" s="37">
        <f t="shared" si="91"/>
        <v>5012.16</v>
      </c>
      <c r="Y45" s="37">
        <f t="shared" si="91"/>
        <v>22200</v>
      </c>
      <c r="Z45" s="37">
        <f t="shared" si="91"/>
        <v>3864</v>
      </c>
      <c r="AA45" s="37">
        <f t="shared" si="91"/>
        <v>88887.44</v>
      </c>
      <c r="AB45" s="33">
        <f t="shared" si="91"/>
        <v>119</v>
      </c>
      <c r="AC45" s="55">
        <f t="shared" si="91"/>
        <v>7117689.74</v>
      </c>
      <c r="AD45" s="55">
        <f t="shared" si="91"/>
        <v>304508.73</v>
      </c>
      <c r="AE45" s="55">
        <f t="shared" si="91"/>
        <v>42173.02</v>
      </c>
      <c r="AF45" s="55">
        <f t="shared" si="91"/>
        <v>15318</v>
      </c>
      <c r="AG45" s="55">
        <f t="shared" si="91"/>
        <v>22254.3</v>
      </c>
      <c r="AH45" s="33">
        <f t="shared" si="91"/>
        <v>482.32</v>
      </c>
      <c r="AI45" s="55">
        <f t="shared" si="91"/>
        <v>93695.54</v>
      </c>
      <c r="AJ45" s="55">
        <f t="shared" si="91"/>
        <v>130585.55</v>
      </c>
      <c r="AK45" s="35">
        <f t="shared" ref="AK45:AL45" si="92">SUM(AK37:AK44)</f>
        <v>6</v>
      </c>
      <c r="AL45" s="36">
        <f t="shared" si="92"/>
        <v>409413.56</v>
      </c>
      <c r="AM45" s="35">
        <f t="shared" ref="AM45:AY45" si="93">SUM(AM37:AM43)</f>
        <v>15372</v>
      </c>
      <c r="AN45" s="35">
        <f t="shared" si="93"/>
        <v>6841</v>
      </c>
      <c r="AO45" s="36">
        <f t="shared" si="93"/>
        <v>3300</v>
      </c>
      <c r="AP45" s="36">
        <f t="shared" si="93"/>
        <v>2663.26</v>
      </c>
      <c r="AQ45" s="36">
        <f t="shared" si="93"/>
        <v>1597.4</v>
      </c>
      <c r="AR45" s="36">
        <f t="shared" si="93"/>
        <v>0</v>
      </c>
      <c r="AS45" s="37">
        <f t="shared" si="93"/>
        <v>63534.25</v>
      </c>
      <c r="AT45" s="37">
        <f t="shared" si="93"/>
        <v>3265</v>
      </c>
      <c r="AU45" s="37">
        <f t="shared" si="93"/>
        <v>12510</v>
      </c>
      <c r="AV45" s="37">
        <f t="shared" si="93"/>
        <v>4242.93</v>
      </c>
      <c r="AW45" s="37">
        <f t="shared" si="93"/>
        <v>15372</v>
      </c>
      <c r="AX45" s="37">
        <f t="shared" si="93"/>
        <v>9183</v>
      </c>
      <c r="AY45" s="37">
        <f t="shared" si="93"/>
        <v>108107.18</v>
      </c>
      <c r="AZ45" s="38"/>
      <c r="BA45" s="39"/>
      <c r="BB45" s="40"/>
      <c r="BC45" s="40"/>
    </row>
    <row r="46">
      <c r="A46" s="11">
        <v>2024.0</v>
      </c>
      <c r="B46" s="11" t="s">
        <v>48</v>
      </c>
      <c r="C46" s="12">
        <v>45479.0</v>
      </c>
      <c r="D46" s="44">
        <v>13.0</v>
      </c>
      <c r="E46" s="26">
        <v>510799.75</v>
      </c>
      <c r="F46" s="26">
        <v>43080.77</v>
      </c>
      <c r="G46" s="26">
        <v>3198.7</v>
      </c>
      <c r="H46" s="26">
        <v>1518.0</v>
      </c>
      <c r="I46" s="26">
        <v>1343.45</v>
      </c>
      <c r="J46" s="26">
        <v>7130.63</v>
      </c>
      <c r="K46" s="26">
        <v>21143.27</v>
      </c>
      <c r="L46" s="26">
        <v>8646.72</v>
      </c>
      <c r="M46" s="15"/>
      <c r="N46" s="16"/>
      <c r="O46" s="16">
        <f t="shared" ref="O46:O52" si="94">N46*4%</f>
        <v>0</v>
      </c>
      <c r="P46" s="16">
        <f t="shared" ref="P46:P52" si="95">N46*1.68%</f>
        <v>0</v>
      </c>
      <c r="Q46" s="16">
        <f t="shared" ref="Q46:Q52" si="96">M46*(250+300+2)</f>
        <v>0</v>
      </c>
      <c r="R46" s="16">
        <f t="shared" ref="R46:R52" si="97">M46*239.19</f>
        <v>0</v>
      </c>
      <c r="S46" s="17">
        <f t="shared" ref="S46:S52" si="98">M46*393.42</f>
        <v>0</v>
      </c>
      <c r="T46" s="17">
        <f t="shared" ref="T46:T52" si="99">M46*138</f>
        <v>0</v>
      </c>
      <c r="U46" s="7">
        <v>10440.91</v>
      </c>
      <c r="V46" s="18">
        <f t="shared" ref="V46:V52" si="100">P46</f>
        <v>0</v>
      </c>
      <c r="W46" s="6">
        <v>0.0</v>
      </c>
      <c r="X46" s="6">
        <v>4945.91</v>
      </c>
      <c r="Y46" s="18">
        <f t="shared" ref="Y46:Y52" si="101">O46</f>
        <v>0</v>
      </c>
      <c r="Z46" s="18">
        <f t="shared" ref="Z46:Z52" si="102">Q46</f>
        <v>0</v>
      </c>
      <c r="AA46" s="18">
        <f t="shared" ref="AA46:AA52" si="103">SUM(U46:Z46)</f>
        <v>15386.82</v>
      </c>
      <c r="AB46" s="41">
        <v>5.0</v>
      </c>
      <c r="AC46" s="52">
        <v>284797.64</v>
      </c>
      <c r="AD46" s="52">
        <v>15257.83</v>
      </c>
      <c r="AE46" s="52">
        <v>1777.12</v>
      </c>
      <c r="AF46" s="41">
        <v>966.0</v>
      </c>
      <c r="AG46" s="52">
        <v>1030.11</v>
      </c>
      <c r="AH46" s="41">
        <v>0.0</v>
      </c>
      <c r="AI46" s="52">
        <v>6634.72</v>
      </c>
      <c r="AJ46" s="52">
        <v>4849.88</v>
      </c>
      <c r="AK46" s="19"/>
      <c r="AL46" s="16"/>
      <c r="AM46" s="19"/>
      <c r="AN46" s="19"/>
      <c r="AO46" s="16"/>
      <c r="AP46" s="16"/>
      <c r="AQ46" s="16"/>
      <c r="AR46" s="16"/>
      <c r="AS46" s="7">
        <v>0.0</v>
      </c>
      <c r="AT46" s="7">
        <v>0.0</v>
      </c>
      <c r="AU46" s="7">
        <v>0.0</v>
      </c>
      <c r="AV46" s="7">
        <v>0.0</v>
      </c>
      <c r="AW46" s="7">
        <v>0.0</v>
      </c>
      <c r="AX46" s="7">
        <v>0.0</v>
      </c>
      <c r="AY46" s="7">
        <v>0.0</v>
      </c>
      <c r="AZ46" s="8"/>
      <c r="BA46" s="9"/>
      <c r="BB46" s="10"/>
      <c r="BC46" s="10"/>
    </row>
    <row r="47">
      <c r="A47" s="11">
        <v>2024.0</v>
      </c>
      <c r="B47" s="11" t="s">
        <v>48</v>
      </c>
      <c r="C47" s="12">
        <v>45480.0</v>
      </c>
      <c r="D47" s="53">
        <v>17.0</v>
      </c>
      <c r="E47" s="26">
        <v>767980.39</v>
      </c>
      <c r="F47" s="26">
        <v>48280.03</v>
      </c>
      <c r="G47" s="26">
        <v>5681.3</v>
      </c>
      <c r="H47" s="26">
        <v>2346.0</v>
      </c>
      <c r="I47" s="26">
        <v>2543.1</v>
      </c>
      <c r="J47" s="26">
        <v>3396.37</v>
      </c>
      <c r="K47" s="26">
        <v>18002.49</v>
      </c>
      <c r="L47" s="26">
        <v>16040.37</v>
      </c>
      <c r="M47" s="15"/>
      <c r="N47" s="16"/>
      <c r="O47" s="16">
        <f t="shared" si="94"/>
        <v>0</v>
      </c>
      <c r="P47" s="16">
        <f t="shared" si="95"/>
        <v>0</v>
      </c>
      <c r="Q47" s="16">
        <f t="shared" si="96"/>
        <v>0</v>
      </c>
      <c r="R47" s="16">
        <f t="shared" si="97"/>
        <v>0</v>
      </c>
      <c r="S47" s="17">
        <f t="shared" si="98"/>
        <v>0</v>
      </c>
      <c r="T47" s="17">
        <f t="shared" si="99"/>
        <v>0</v>
      </c>
      <c r="U47" s="7">
        <v>24322.5</v>
      </c>
      <c r="V47" s="18">
        <f t="shared" si="100"/>
        <v>0</v>
      </c>
      <c r="W47" s="6">
        <v>0.0</v>
      </c>
      <c r="X47" s="6">
        <v>2746.94</v>
      </c>
      <c r="Y47" s="18">
        <f t="shared" si="101"/>
        <v>0</v>
      </c>
      <c r="Z47" s="18">
        <f t="shared" si="102"/>
        <v>0</v>
      </c>
      <c r="AA47" s="18">
        <f t="shared" si="103"/>
        <v>27069.44</v>
      </c>
      <c r="AB47" s="42">
        <v>11.0</v>
      </c>
      <c r="AC47" s="54">
        <v>536242.95</v>
      </c>
      <c r="AD47" s="54">
        <v>25914.74</v>
      </c>
      <c r="AE47" s="54">
        <v>3848.33</v>
      </c>
      <c r="AF47" s="54">
        <v>1518.0</v>
      </c>
      <c r="AG47" s="54">
        <v>1942.79</v>
      </c>
      <c r="AH47" s="41">
        <v>0.0</v>
      </c>
      <c r="AI47" s="54">
        <v>7010.83</v>
      </c>
      <c r="AJ47" s="54">
        <v>11594.79</v>
      </c>
      <c r="AK47" s="19"/>
      <c r="AL47" s="16"/>
      <c r="AM47" s="16"/>
      <c r="AN47" s="16"/>
      <c r="AO47" s="16"/>
      <c r="AP47" s="16"/>
      <c r="AQ47" s="16"/>
      <c r="AR47" s="16"/>
      <c r="AS47" s="7">
        <v>0.0</v>
      </c>
      <c r="AT47" s="7">
        <v>0.0</v>
      </c>
      <c r="AU47" s="7">
        <v>0.0</v>
      </c>
      <c r="AV47" s="7">
        <v>0.0</v>
      </c>
      <c r="AW47" s="7">
        <v>0.0</v>
      </c>
      <c r="AX47" s="7">
        <v>0.0</v>
      </c>
      <c r="AY47" s="7">
        <v>0.0</v>
      </c>
      <c r="AZ47" s="8"/>
      <c r="BA47" s="9"/>
      <c r="BB47" s="10"/>
      <c r="BC47" s="10"/>
    </row>
    <row r="48">
      <c r="A48" s="11">
        <v>2024.0</v>
      </c>
      <c r="B48" s="11" t="s">
        <v>48</v>
      </c>
      <c r="C48" s="12">
        <v>45481.0</v>
      </c>
      <c r="D48" s="44">
        <v>12.0</v>
      </c>
      <c r="E48" s="26">
        <v>518756.65</v>
      </c>
      <c r="F48" s="26">
        <v>26667.53</v>
      </c>
      <c r="G48" s="26">
        <v>3941.64</v>
      </c>
      <c r="H48" s="26">
        <v>1656.0</v>
      </c>
      <c r="I48" s="26">
        <v>1699.05</v>
      </c>
      <c r="J48" s="26">
        <v>12.62</v>
      </c>
      <c r="K48" s="26">
        <v>10140.54</v>
      </c>
      <c r="L48" s="26">
        <v>9217.68</v>
      </c>
      <c r="M48" s="15">
        <v>1.0</v>
      </c>
      <c r="N48" s="16">
        <v>50000.0</v>
      </c>
      <c r="O48" s="16">
        <f t="shared" si="94"/>
        <v>2000</v>
      </c>
      <c r="P48" s="16">
        <f t="shared" si="95"/>
        <v>840</v>
      </c>
      <c r="Q48" s="16">
        <f t="shared" si="96"/>
        <v>552</v>
      </c>
      <c r="R48" s="16">
        <f t="shared" si="97"/>
        <v>239.19</v>
      </c>
      <c r="S48" s="17">
        <f t="shared" si="98"/>
        <v>393.42</v>
      </c>
      <c r="T48" s="17">
        <f t="shared" si="99"/>
        <v>138</v>
      </c>
      <c r="U48" s="7">
        <v>7160.26</v>
      </c>
      <c r="V48" s="18">
        <f t="shared" si="100"/>
        <v>840</v>
      </c>
      <c r="W48" s="18">
        <f t="shared" ref="W48:W52" si="104">R48+I48</f>
        <v>1938.24</v>
      </c>
      <c r="X48" s="6">
        <v>12.62</v>
      </c>
      <c r="Y48" s="18">
        <f t="shared" si="101"/>
        <v>2000</v>
      </c>
      <c r="Z48" s="18">
        <f t="shared" si="102"/>
        <v>552</v>
      </c>
      <c r="AA48" s="18">
        <f t="shared" si="103"/>
        <v>12503.12</v>
      </c>
      <c r="AB48" s="42">
        <v>7.0</v>
      </c>
      <c r="AC48" s="24">
        <v>277463.23</v>
      </c>
      <c r="AD48" s="24">
        <v>12940.27</v>
      </c>
      <c r="AE48" s="24">
        <v>1988.6</v>
      </c>
      <c r="AF48" s="24">
        <v>966.0</v>
      </c>
      <c r="AG48" s="24">
        <v>1256.75</v>
      </c>
      <c r="AH48" s="56">
        <v>0.0</v>
      </c>
      <c r="AI48" s="24">
        <v>3564.97</v>
      </c>
      <c r="AJ48" s="24">
        <v>5163.95</v>
      </c>
      <c r="AK48" s="19">
        <v>1.0</v>
      </c>
      <c r="AL48" s="16">
        <v>60459.75</v>
      </c>
      <c r="AM48" s="16">
        <v>2287.0</v>
      </c>
      <c r="AN48" s="16">
        <v>1018.0</v>
      </c>
      <c r="AO48" s="16">
        <v>550.0</v>
      </c>
      <c r="AP48" s="16">
        <v>434.75</v>
      </c>
      <c r="AQ48" s="16">
        <v>245.0</v>
      </c>
      <c r="AR48" s="16">
        <v>0.0</v>
      </c>
      <c r="AS48" s="7">
        <f>13380.51-1018</f>
        <v>12362.51</v>
      </c>
      <c r="AT48" s="7">
        <v>1018.0</v>
      </c>
      <c r="AU48" s="6">
        <v>3445.43</v>
      </c>
      <c r="AV48" s="7">
        <v>2699.55</v>
      </c>
      <c r="AW48" s="7">
        <v>2287.0</v>
      </c>
      <c r="AX48" s="7">
        <v>740.0</v>
      </c>
      <c r="AY48" s="18">
        <f t="shared" ref="AY48:AY52" si="105">SUM(AS48:AX48)</f>
        <v>22552.49</v>
      </c>
      <c r="AZ48" s="20"/>
      <c r="BA48" s="21"/>
      <c r="BB48" s="22"/>
      <c r="BC48" s="22"/>
    </row>
    <row r="49">
      <c r="A49" s="11">
        <v>2024.0</v>
      </c>
      <c r="B49" s="11" t="s">
        <v>48</v>
      </c>
      <c r="C49" s="12">
        <v>45482.0</v>
      </c>
      <c r="D49" s="44">
        <v>10.0</v>
      </c>
      <c r="E49" s="26">
        <v>646164.49</v>
      </c>
      <c r="F49" s="26">
        <v>48861.4</v>
      </c>
      <c r="G49" s="26">
        <v>4143.17</v>
      </c>
      <c r="H49" s="26">
        <v>1104.0</v>
      </c>
      <c r="I49" s="26">
        <v>1419.05</v>
      </c>
      <c r="J49" s="26">
        <v>2808.22</v>
      </c>
      <c r="K49" s="26">
        <v>25499.3</v>
      </c>
      <c r="L49" s="26">
        <v>13887.66</v>
      </c>
      <c r="M49" s="15">
        <v>1.0</v>
      </c>
      <c r="N49" s="16">
        <v>110000.0</v>
      </c>
      <c r="O49" s="16">
        <f t="shared" si="94"/>
        <v>4400</v>
      </c>
      <c r="P49" s="16">
        <f t="shared" si="95"/>
        <v>1848</v>
      </c>
      <c r="Q49" s="16">
        <f t="shared" si="96"/>
        <v>552</v>
      </c>
      <c r="R49" s="16">
        <f t="shared" si="97"/>
        <v>239.19</v>
      </c>
      <c r="S49" s="17">
        <f t="shared" si="98"/>
        <v>393.42</v>
      </c>
      <c r="T49" s="17">
        <f t="shared" si="99"/>
        <v>138</v>
      </c>
      <c r="U49" s="7">
        <v>10300.6</v>
      </c>
      <c r="V49" s="18">
        <f t="shared" si="100"/>
        <v>1848</v>
      </c>
      <c r="W49" s="18">
        <f t="shared" si="104"/>
        <v>1658.24</v>
      </c>
      <c r="X49" s="6">
        <v>1448.93</v>
      </c>
      <c r="Y49" s="18">
        <f t="shared" si="101"/>
        <v>4400</v>
      </c>
      <c r="Z49" s="18">
        <f t="shared" si="102"/>
        <v>552</v>
      </c>
      <c r="AA49" s="18">
        <f t="shared" si="103"/>
        <v>20207.77</v>
      </c>
      <c r="AB49" s="42">
        <v>5.0</v>
      </c>
      <c r="AC49" s="24">
        <v>378672.18</v>
      </c>
      <c r="AD49" s="24">
        <v>18432.98</v>
      </c>
      <c r="AE49" s="24">
        <v>2814.49</v>
      </c>
      <c r="AF49" s="24">
        <v>552.0</v>
      </c>
      <c r="AG49" s="24">
        <v>880.16</v>
      </c>
      <c r="AH49" s="24">
        <v>0.0</v>
      </c>
      <c r="AI49" s="24">
        <v>5287.9</v>
      </c>
      <c r="AJ49" s="24">
        <v>8898.43</v>
      </c>
      <c r="AK49" s="19">
        <v>3.0</v>
      </c>
      <c r="AL49" s="16">
        <v>181868.06</v>
      </c>
      <c r="AM49" s="16">
        <v>6879.0</v>
      </c>
      <c r="AN49" s="16">
        <v>3062.0</v>
      </c>
      <c r="AO49" s="16">
        <v>1650.0</v>
      </c>
      <c r="AP49" s="16">
        <v>1327.93</v>
      </c>
      <c r="AQ49" s="16">
        <v>924.15</v>
      </c>
      <c r="AR49" s="16">
        <v>0.0</v>
      </c>
      <c r="AS49" s="7">
        <f>16146.19-2449</f>
        <v>13697.19</v>
      </c>
      <c r="AT49" s="7">
        <v>2449.0</v>
      </c>
      <c r="AU49" s="7">
        <v>4071.07</v>
      </c>
      <c r="AV49" s="7">
        <v>6043.64</v>
      </c>
      <c r="AW49" s="7">
        <v>5501.0</v>
      </c>
      <c r="AX49" s="7">
        <v>30.43</v>
      </c>
      <c r="AY49" s="7">
        <f t="shared" si="105"/>
        <v>31792.33</v>
      </c>
      <c r="AZ49" s="8"/>
      <c r="BA49" s="9"/>
      <c r="BB49" s="10"/>
      <c r="BC49" s="10"/>
    </row>
    <row r="50">
      <c r="A50" s="11">
        <v>2024.0</v>
      </c>
      <c r="B50" s="11" t="s">
        <v>48</v>
      </c>
      <c r="C50" s="12">
        <v>45483.0</v>
      </c>
      <c r="D50" s="44">
        <v>8.0</v>
      </c>
      <c r="E50" s="26">
        <v>543868.85</v>
      </c>
      <c r="F50" s="26">
        <v>32191.63</v>
      </c>
      <c r="G50" s="26">
        <v>3340.99</v>
      </c>
      <c r="H50" s="26">
        <v>1104.0</v>
      </c>
      <c r="I50" s="26">
        <v>1279.58</v>
      </c>
      <c r="J50" s="26">
        <v>3993.38</v>
      </c>
      <c r="K50" s="26">
        <v>11019.49</v>
      </c>
      <c r="L50" s="26">
        <v>10132.32</v>
      </c>
      <c r="M50" s="15">
        <v>2.0</v>
      </c>
      <c r="N50" s="16">
        <v>119000.0</v>
      </c>
      <c r="O50" s="16">
        <f t="shared" si="94"/>
        <v>4760</v>
      </c>
      <c r="P50" s="16">
        <f t="shared" si="95"/>
        <v>1999.2</v>
      </c>
      <c r="Q50" s="16">
        <f t="shared" si="96"/>
        <v>1104</v>
      </c>
      <c r="R50" s="16">
        <f t="shared" si="97"/>
        <v>478.38</v>
      </c>
      <c r="S50" s="17">
        <f t="shared" si="98"/>
        <v>786.84</v>
      </c>
      <c r="T50" s="17">
        <f t="shared" si="99"/>
        <v>276</v>
      </c>
      <c r="U50" s="7">
        <v>1899.08</v>
      </c>
      <c r="V50" s="18">
        <f t="shared" si="100"/>
        <v>1999.2</v>
      </c>
      <c r="W50" s="18">
        <f t="shared" si="104"/>
        <v>1757.96</v>
      </c>
      <c r="X50" s="6">
        <v>0.0</v>
      </c>
      <c r="Y50" s="18">
        <f t="shared" si="101"/>
        <v>4760</v>
      </c>
      <c r="Z50" s="18">
        <f t="shared" si="102"/>
        <v>1104</v>
      </c>
      <c r="AA50" s="18">
        <f t="shared" si="103"/>
        <v>11520.24</v>
      </c>
      <c r="AB50" s="42">
        <v>2.0</v>
      </c>
      <c r="AC50" s="24">
        <v>82273.69</v>
      </c>
      <c r="AD50" s="24">
        <v>4422.99</v>
      </c>
      <c r="AE50" s="24">
        <v>673.22</v>
      </c>
      <c r="AF50" s="24">
        <v>276.0</v>
      </c>
      <c r="AG50" s="24">
        <v>264.43</v>
      </c>
      <c r="AH50" s="24">
        <v>0.0</v>
      </c>
      <c r="AI50" s="24">
        <v>1827.14</v>
      </c>
      <c r="AJ50" s="24">
        <v>1382.2</v>
      </c>
      <c r="AK50" s="19">
        <v>0.0</v>
      </c>
      <c r="AL50" s="16">
        <v>0.0</v>
      </c>
      <c r="AM50" s="16"/>
      <c r="AN50" s="16"/>
      <c r="AO50" s="16"/>
      <c r="AP50" s="16"/>
      <c r="AQ50" s="16"/>
      <c r="AR50" s="16"/>
      <c r="AS50" s="7">
        <f>18264.4-613</f>
        <v>17651.4</v>
      </c>
      <c r="AT50" s="7">
        <v>613.0</v>
      </c>
      <c r="AU50" s="7">
        <v>2533.63</v>
      </c>
      <c r="AV50" s="7">
        <v>3113.48</v>
      </c>
      <c r="AW50" s="7">
        <v>1378.0</v>
      </c>
      <c r="AX50" s="7">
        <v>590.03</v>
      </c>
      <c r="AY50" s="7">
        <f t="shared" si="105"/>
        <v>25879.54</v>
      </c>
      <c r="AZ50" s="8"/>
      <c r="BA50" s="9"/>
      <c r="BB50" s="10"/>
      <c r="BC50" s="10"/>
    </row>
    <row r="51">
      <c r="A51" s="11">
        <v>2024.0</v>
      </c>
      <c r="B51" s="11" t="s">
        <v>48</v>
      </c>
      <c r="C51" s="12">
        <v>45484.0</v>
      </c>
      <c r="D51" s="44">
        <v>1.0</v>
      </c>
      <c r="E51" s="26">
        <v>55111.48</v>
      </c>
      <c r="F51" s="26">
        <v>2197.14</v>
      </c>
      <c r="G51" s="26">
        <v>302.56</v>
      </c>
      <c r="H51" s="26">
        <v>138.0</v>
      </c>
      <c r="I51" s="26">
        <v>139.19</v>
      </c>
      <c r="J51" s="26">
        <v>0.0</v>
      </c>
      <c r="K51" s="26">
        <v>691.52</v>
      </c>
      <c r="L51" s="26">
        <v>925.87</v>
      </c>
      <c r="M51" s="27"/>
      <c r="N51" s="16"/>
      <c r="O51" s="16">
        <f t="shared" si="94"/>
        <v>0</v>
      </c>
      <c r="P51" s="16">
        <f t="shared" si="95"/>
        <v>0</v>
      </c>
      <c r="Q51" s="16">
        <f t="shared" si="96"/>
        <v>0</v>
      </c>
      <c r="R51" s="16">
        <f t="shared" si="97"/>
        <v>0</v>
      </c>
      <c r="S51" s="17">
        <f t="shared" si="98"/>
        <v>0</v>
      </c>
      <c r="T51" s="17">
        <f t="shared" si="99"/>
        <v>0</v>
      </c>
      <c r="U51" s="7">
        <v>2197.14</v>
      </c>
      <c r="V51" s="18">
        <f t="shared" si="100"/>
        <v>0</v>
      </c>
      <c r="W51" s="18">
        <f t="shared" si="104"/>
        <v>139.19</v>
      </c>
      <c r="X51" s="6">
        <v>0.0</v>
      </c>
      <c r="Y51" s="18">
        <f t="shared" si="101"/>
        <v>0</v>
      </c>
      <c r="Z51" s="18">
        <f t="shared" si="102"/>
        <v>0</v>
      </c>
      <c r="AA51" s="18">
        <f t="shared" si="103"/>
        <v>2336.33</v>
      </c>
      <c r="AB51" s="42">
        <v>3.0</v>
      </c>
      <c r="AC51" s="24">
        <v>80052.91</v>
      </c>
      <c r="AD51" s="24">
        <v>5677.37</v>
      </c>
      <c r="AE51" s="24">
        <v>1057.56</v>
      </c>
      <c r="AF51" s="24">
        <v>414.0</v>
      </c>
      <c r="AG51" s="24">
        <v>467.46</v>
      </c>
      <c r="AH51" s="24">
        <v>0.0</v>
      </c>
      <c r="AI51" s="24">
        <v>2393.46</v>
      </c>
      <c r="AJ51" s="24">
        <v>1344.89</v>
      </c>
      <c r="AK51" s="19">
        <v>1.0</v>
      </c>
      <c r="AL51" s="16">
        <v>110112.6</v>
      </c>
      <c r="AM51" s="16">
        <v>4164.0</v>
      </c>
      <c r="AN51" s="16">
        <v>1853.0</v>
      </c>
      <c r="AO51" s="16">
        <v>550.0</v>
      </c>
      <c r="AP51" s="16">
        <v>494.29</v>
      </c>
      <c r="AQ51" s="16">
        <v>401.31</v>
      </c>
      <c r="AR51" s="16">
        <v>0.0</v>
      </c>
      <c r="AS51" s="7">
        <v>6269.71</v>
      </c>
      <c r="AT51" s="7">
        <v>1853.0</v>
      </c>
      <c r="AU51" s="7">
        <v>1168.86</v>
      </c>
      <c r="AV51" s="7">
        <v>0.0</v>
      </c>
      <c r="AW51" s="7">
        <v>4164.0</v>
      </c>
      <c r="AX51" s="7">
        <f>2897.247-1853</f>
        <v>1044.247</v>
      </c>
      <c r="AY51" s="7">
        <f t="shared" si="105"/>
        <v>14499.817</v>
      </c>
      <c r="AZ51" s="8"/>
      <c r="BA51" s="9"/>
      <c r="BB51" s="10"/>
      <c r="BC51" s="10"/>
    </row>
    <row r="52">
      <c r="A52" s="11">
        <v>2024.0</v>
      </c>
      <c r="B52" s="11" t="s">
        <v>48</v>
      </c>
      <c r="C52" s="12">
        <v>45485.0</v>
      </c>
      <c r="D52" s="44">
        <v>4.0</v>
      </c>
      <c r="E52" s="26">
        <v>94151.34</v>
      </c>
      <c r="F52" s="26">
        <v>6876.43</v>
      </c>
      <c r="G52" s="26">
        <v>1282.96</v>
      </c>
      <c r="H52" s="26">
        <v>552.0</v>
      </c>
      <c r="I52" s="26">
        <v>562.5</v>
      </c>
      <c r="J52" s="26">
        <v>0.0</v>
      </c>
      <c r="K52" s="26">
        <v>2897.23</v>
      </c>
      <c r="L52" s="26">
        <v>1581.74</v>
      </c>
      <c r="M52" s="15"/>
      <c r="N52" s="16"/>
      <c r="O52" s="16">
        <f t="shared" si="94"/>
        <v>0</v>
      </c>
      <c r="P52" s="16">
        <f t="shared" si="95"/>
        <v>0</v>
      </c>
      <c r="Q52" s="16">
        <f t="shared" si="96"/>
        <v>0</v>
      </c>
      <c r="R52" s="16">
        <f t="shared" si="97"/>
        <v>0</v>
      </c>
      <c r="S52" s="17">
        <f t="shared" si="98"/>
        <v>0</v>
      </c>
      <c r="T52" s="17">
        <f t="shared" si="99"/>
        <v>0</v>
      </c>
      <c r="U52" s="7">
        <v>1672.19</v>
      </c>
      <c r="V52" s="18">
        <f t="shared" si="100"/>
        <v>0</v>
      </c>
      <c r="W52" s="18">
        <f t="shared" si="104"/>
        <v>562.5</v>
      </c>
      <c r="X52" s="6">
        <v>0.0</v>
      </c>
      <c r="Y52" s="18">
        <f t="shared" si="101"/>
        <v>0</v>
      </c>
      <c r="Z52" s="18">
        <f t="shared" si="102"/>
        <v>0</v>
      </c>
      <c r="AA52" s="18">
        <f t="shared" si="103"/>
        <v>2234.69</v>
      </c>
      <c r="AB52" s="42">
        <v>4.0</v>
      </c>
      <c r="AC52" s="24">
        <v>93580.88</v>
      </c>
      <c r="AD52" s="24">
        <v>6876.43</v>
      </c>
      <c r="AE52" s="24">
        <v>1282.96</v>
      </c>
      <c r="AF52" s="24">
        <v>552.0</v>
      </c>
      <c r="AG52" s="24">
        <v>562.5</v>
      </c>
      <c r="AH52" s="24">
        <v>0.0</v>
      </c>
      <c r="AI52" s="24">
        <v>2906.81</v>
      </c>
      <c r="AJ52" s="24">
        <v>1572.16</v>
      </c>
      <c r="AK52" s="19">
        <v>2.0</v>
      </c>
      <c r="AL52" s="16">
        <v>125091.71</v>
      </c>
      <c r="AM52" s="19">
        <v>4732.0</v>
      </c>
      <c r="AN52" s="19">
        <v>2106.0</v>
      </c>
      <c r="AO52" s="16">
        <v>1100.0</v>
      </c>
      <c r="AP52" s="16">
        <v>880.88</v>
      </c>
      <c r="AQ52" s="16">
        <v>522.83</v>
      </c>
      <c r="AR52" s="16">
        <v>0.0</v>
      </c>
      <c r="AS52" s="7">
        <v>0.0</v>
      </c>
      <c r="AT52" s="7">
        <v>0.0</v>
      </c>
      <c r="AU52" s="7">
        <v>0.0</v>
      </c>
      <c r="AV52" s="7">
        <v>0.0</v>
      </c>
      <c r="AW52" s="7">
        <v>0.0</v>
      </c>
      <c r="AX52" s="7">
        <v>0.0</v>
      </c>
      <c r="AY52" s="7">
        <f t="shared" si="105"/>
        <v>0</v>
      </c>
      <c r="AZ52" s="8"/>
      <c r="BA52" s="9"/>
      <c r="BB52" s="10"/>
      <c r="BC52" s="10"/>
    </row>
    <row r="53">
      <c r="A53" s="11">
        <v>2024.0</v>
      </c>
      <c r="B53" s="11" t="s">
        <v>48</v>
      </c>
      <c r="C53" s="1"/>
      <c r="D53" s="2">
        <f>98+137</f>
        <v>235</v>
      </c>
      <c r="E53" s="33"/>
      <c r="F53" s="50">
        <f>172130.06+377876.02</f>
        <v>550006.08</v>
      </c>
      <c r="G53" s="33"/>
      <c r="H53" s="33"/>
      <c r="I53" s="33"/>
      <c r="J53" s="33"/>
      <c r="K53" s="33"/>
      <c r="L53" s="33"/>
      <c r="M53" s="4">
        <v>16.0</v>
      </c>
      <c r="N53" s="4">
        <v>1631000.0</v>
      </c>
      <c r="O53" s="35"/>
      <c r="P53" s="35"/>
      <c r="Q53" s="35"/>
      <c r="R53" s="35"/>
      <c r="S53" s="35"/>
      <c r="T53" s="35"/>
      <c r="U53" s="37"/>
      <c r="V53" s="48"/>
      <c r="W53" s="48"/>
      <c r="X53" s="37"/>
      <c r="Y53" s="48"/>
      <c r="Z53" s="48"/>
      <c r="AA53" s="48"/>
      <c r="AB53" s="2"/>
      <c r="AC53" s="2"/>
      <c r="AD53" s="2"/>
      <c r="AE53" s="33"/>
      <c r="AF53" s="33"/>
      <c r="AG53" s="33"/>
      <c r="AH53" s="33"/>
      <c r="AI53" s="33"/>
      <c r="AJ53" s="33"/>
      <c r="AK53" s="4">
        <v>0.0</v>
      </c>
      <c r="AL53" s="4">
        <v>0.0</v>
      </c>
      <c r="AM53" s="35"/>
      <c r="AN53" s="35"/>
      <c r="AO53" s="35"/>
      <c r="AP53" s="35"/>
      <c r="AQ53" s="35"/>
      <c r="AR53" s="35"/>
      <c r="AS53" s="37"/>
      <c r="AT53" s="48"/>
      <c r="AU53" s="48"/>
      <c r="AV53" s="48"/>
      <c r="AW53" s="48"/>
      <c r="AX53" s="48"/>
      <c r="AY53" s="48"/>
      <c r="AZ53" s="38"/>
      <c r="BA53" s="39"/>
      <c r="BB53" s="40"/>
      <c r="BC53" s="40"/>
    </row>
    <row r="54">
      <c r="A54" s="1">
        <v>2024.0</v>
      </c>
      <c r="B54" s="1" t="s">
        <v>48</v>
      </c>
      <c r="C54" s="1" t="s">
        <v>49</v>
      </c>
      <c r="D54" s="33">
        <f>SUM(D46:D53)</f>
        <v>300</v>
      </c>
      <c r="E54" s="34">
        <f t="shared" ref="E54:L54" si="106">SUM(E46:E52)</f>
        <v>3136832.95</v>
      </c>
      <c r="F54" s="34">
        <f t="shared" si="106"/>
        <v>208154.93</v>
      </c>
      <c r="G54" s="34">
        <f t="shared" si="106"/>
        <v>21891.32</v>
      </c>
      <c r="H54" s="34">
        <f t="shared" si="106"/>
        <v>8418</v>
      </c>
      <c r="I54" s="34">
        <f t="shared" si="106"/>
        <v>8985.92</v>
      </c>
      <c r="J54" s="34">
        <f t="shared" si="106"/>
        <v>17341.22</v>
      </c>
      <c r="K54" s="34">
        <f t="shared" si="106"/>
        <v>89393.84</v>
      </c>
      <c r="L54" s="34">
        <f t="shared" si="106"/>
        <v>60432.36</v>
      </c>
      <c r="M54" s="35">
        <f>SUM(M46:M53)</f>
        <v>20</v>
      </c>
      <c r="N54" s="36">
        <f t="shared" ref="N54:AA54" si="107">SUM(N46:N52)</f>
        <v>279000</v>
      </c>
      <c r="O54" s="36">
        <f t="shared" si="107"/>
        <v>11160</v>
      </c>
      <c r="P54" s="36">
        <f t="shared" si="107"/>
        <v>4687.2</v>
      </c>
      <c r="Q54" s="36">
        <f t="shared" si="107"/>
        <v>2208</v>
      </c>
      <c r="R54" s="36">
        <f t="shared" si="107"/>
        <v>956.76</v>
      </c>
      <c r="S54" s="36">
        <f t="shared" si="107"/>
        <v>1573.68</v>
      </c>
      <c r="T54" s="36">
        <f t="shared" si="107"/>
        <v>552</v>
      </c>
      <c r="U54" s="37">
        <f t="shared" si="107"/>
        <v>57992.68</v>
      </c>
      <c r="V54" s="37">
        <f t="shared" si="107"/>
        <v>4687.2</v>
      </c>
      <c r="W54" s="48">
        <f t="shared" si="107"/>
        <v>6056.13</v>
      </c>
      <c r="X54" s="37">
        <f t="shared" si="107"/>
        <v>9154.4</v>
      </c>
      <c r="Y54" s="37">
        <f t="shared" si="107"/>
        <v>11160</v>
      </c>
      <c r="Z54" s="37">
        <f t="shared" si="107"/>
        <v>2208</v>
      </c>
      <c r="AA54" s="37">
        <f t="shared" si="107"/>
        <v>91258.41</v>
      </c>
      <c r="AB54" s="33">
        <f t="shared" ref="AB54:AC54" si="108">SUM(AB46:AB53)</f>
        <v>37</v>
      </c>
      <c r="AC54" s="55">
        <f t="shared" si="108"/>
        <v>1733083.48</v>
      </c>
      <c r="AD54" s="55">
        <f t="shared" ref="AD54:AJ54" si="109">SUM(AD46:AD52)</f>
        <v>89522.61</v>
      </c>
      <c r="AE54" s="55">
        <f t="shared" si="109"/>
        <v>13442.28</v>
      </c>
      <c r="AF54" s="33">
        <f t="shared" si="109"/>
        <v>5244</v>
      </c>
      <c r="AG54" s="55">
        <f t="shared" si="109"/>
        <v>6404.2</v>
      </c>
      <c r="AH54" s="33">
        <f t="shared" si="109"/>
        <v>0</v>
      </c>
      <c r="AI54" s="55">
        <f t="shared" si="109"/>
        <v>29625.83</v>
      </c>
      <c r="AJ54" s="55">
        <f t="shared" si="109"/>
        <v>34806.3</v>
      </c>
      <c r="AK54" s="35">
        <f t="shared" ref="AK54:AL54" si="110">SUM(AK46:AK53)</f>
        <v>7</v>
      </c>
      <c r="AL54" s="36">
        <f t="shared" si="110"/>
        <v>477532.12</v>
      </c>
      <c r="AM54" s="35">
        <f t="shared" ref="AM54:AY54" si="111">SUM(AM46:AM52)</f>
        <v>18062</v>
      </c>
      <c r="AN54" s="35">
        <f t="shared" si="111"/>
        <v>8039</v>
      </c>
      <c r="AO54" s="36">
        <f t="shared" si="111"/>
        <v>3850</v>
      </c>
      <c r="AP54" s="36">
        <f t="shared" si="111"/>
        <v>3137.85</v>
      </c>
      <c r="AQ54" s="36">
        <f t="shared" si="111"/>
        <v>2093.29</v>
      </c>
      <c r="AR54" s="36">
        <f t="shared" si="111"/>
        <v>0</v>
      </c>
      <c r="AS54" s="37">
        <f t="shared" si="111"/>
        <v>49980.81</v>
      </c>
      <c r="AT54" s="37">
        <f t="shared" si="111"/>
        <v>5933</v>
      </c>
      <c r="AU54" s="37">
        <f t="shared" si="111"/>
        <v>11218.99</v>
      </c>
      <c r="AV54" s="37">
        <f t="shared" si="111"/>
        <v>11856.67</v>
      </c>
      <c r="AW54" s="37">
        <f t="shared" si="111"/>
        <v>13330</v>
      </c>
      <c r="AX54" s="37">
        <f t="shared" si="111"/>
        <v>2404.707</v>
      </c>
      <c r="AY54" s="37">
        <f t="shared" si="111"/>
        <v>94724.177</v>
      </c>
      <c r="AZ54" s="38"/>
      <c r="BA54" s="39"/>
      <c r="BB54" s="40"/>
      <c r="BC54" s="40"/>
    </row>
    <row r="55">
      <c r="A55" s="11">
        <v>2024.0</v>
      </c>
      <c r="B55" s="11" t="s">
        <v>48</v>
      </c>
      <c r="C55" s="12">
        <v>45486.0</v>
      </c>
      <c r="D55" s="44">
        <v>4.0</v>
      </c>
      <c r="E55" s="26">
        <v>264158.05</v>
      </c>
      <c r="F55" s="26">
        <v>16738.81</v>
      </c>
      <c r="G55" s="26">
        <v>1457.38</v>
      </c>
      <c r="H55" s="26">
        <v>414.0</v>
      </c>
      <c r="I55" s="26">
        <v>564.26</v>
      </c>
      <c r="J55" s="26">
        <v>1948.42</v>
      </c>
      <c r="K55" s="26">
        <v>6917.79</v>
      </c>
      <c r="L55" s="26">
        <v>5436.96</v>
      </c>
      <c r="M55" s="15"/>
      <c r="N55" s="16"/>
      <c r="O55" s="16">
        <f t="shared" ref="O55:O61" si="112">N55*4%</f>
        <v>0</v>
      </c>
      <c r="P55" s="16">
        <f t="shared" ref="P55:P61" si="113">N55*1.68%</f>
        <v>0</v>
      </c>
      <c r="Q55" s="16">
        <f t="shared" ref="Q55:Q61" si="114">M55*(250+300+2)</f>
        <v>0</v>
      </c>
      <c r="R55" s="16">
        <f t="shared" ref="R55:R61" si="115">M55*239.19</f>
        <v>0</v>
      </c>
      <c r="S55" s="17">
        <f t="shared" ref="S55:S61" si="116">M55*393.42</f>
        <v>0</v>
      </c>
      <c r="T55" s="17">
        <f t="shared" ref="T55:T61" si="117">M55*138</f>
        <v>0</v>
      </c>
      <c r="U55" s="7">
        <f>1307.2-405.04</f>
        <v>902.16</v>
      </c>
      <c r="V55" s="18">
        <f t="shared" ref="V55:V61" si="118">P55</f>
        <v>0</v>
      </c>
      <c r="W55" s="6">
        <v>0.0</v>
      </c>
      <c r="X55" s="6">
        <v>405.04</v>
      </c>
      <c r="Y55" s="18">
        <f t="shared" ref="Y55:Y61" si="119">O55</f>
        <v>0</v>
      </c>
      <c r="Z55" s="18">
        <f t="shared" ref="Z55:Z61" si="120">Q55</f>
        <v>0</v>
      </c>
      <c r="AA55" s="18">
        <f t="shared" ref="AA55:AA61" si="121">SUM(U55:Z55)</f>
        <v>1307.2</v>
      </c>
      <c r="AB55" s="41">
        <v>2.0</v>
      </c>
      <c r="AC55" s="52">
        <v>107043.63</v>
      </c>
      <c r="AD55" s="52">
        <v>4888.07</v>
      </c>
      <c r="AE55" s="56">
        <v>281.06</v>
      </c>
      <c r="AF55" s="56">
        <v>138.0</v>
      </c>
      <c r="AG55" s="56">
        <v>127.45</v>
      </c>
      <c r="AH55" s="56">
        <v>0.0</v>
      </c>
      <c r="AI55" s="52">
        <v>1847.91</v>
      </c>
      <c r="AJ55" s="52">
        <v>2493.65</v>
      </c>
      <c r="AK55" s="19">
        <v>0.0</v>
      </c>
      <c r="AL55" s="16">
        <v>0.0</v>
      </c>
      <c r="AM55" s="19">
        <v>0.0</v>
      </c>
      <c r="AN55" s="19">
        <v>0.0</v>
      </c>
      <c r="AO55" s="16">
        <v>0.0</v>
      </c>
      <c r="AP55" s="16">
        <v>0.0</v>
      </c>
      <c r="AQ55" s="16">
        <v>0.0</v>
      </c>
      <c r="AR55" s="16">
        <v>0.0</v>
      </c>
      <c r="AS55" s="7">
        <v>0.0</v>
      </c>
      <c r="AT55" s="7">
        <v>0.0</v>
      </c>
      <c r="AU55" s="7">
        <v>0.0</v>
      </c>
      <c r="AV55" s="7">
        <v>0.0</v>
      </c>
      <c r="AW55" s="7">
        <v>0.0</v>
      </c>
      <c r="AX55" s="7">
        <v>0.0</v>
      </c>
      <c r="AY55" s="7">
        <v>0.0</v>
      </c>
      <c r="AZ55" s="8"/>
      <c r="BA55" s="9"/>
      <c r="BB55" s="10"/>
      <c r="BC55" s="10"/>
    </row>
    <row r="56">
      <c r="A56" s="11">
        <v>2024.0</v>
      </c>
      <c r="B56" s="11" t="s">
        <v>48</v>
      </c>
      <c r="C56" s="12">
        <v>45487.0</v>
      </c>
      <c r="D56" s="53">
        <v>18.0</v>
      </c>
      <c r="E56" s="26">
        <v>2685716.99</v>
      </c>
      <c r="F56" s="26">
        <v>397189.95</v>
      </c>
      <c r="G56" s="26">
        <v>5352.04</v>
      </c>
      <c r="H56" s="26">
        <v>2208.0</v>
      </c>
      <c r="I56" s="26">
        <v>2211.73</v>
      </c>
      <c r="J56" s="26">
        <v>31258.33</v>
      </c>
      <c r="K56" s="26">
        <v>218395.18</v>
      </c>
      <c r="L56" s="26">
        <v>51771.46</v>
      </c>
      <c r="M56" s="15"/>
      <c r="N56" s="16"/>
      <c r="O56" s="16">
        <f t="shared" si="112"/>
        <v>0</v>
      </c>
      <c r="P56" s="16">
        <f t="shared" si="113"/>
        <v>0</v>
      </c>
      <c r="Q56" s="16">
        <f t="shared" si="114"/>
        <v>0</v>
      </c>
      <c r="R56" s="16">
        <f t="shared" si="115"/>
        <v>0</v>
      </c>
      <c r="S56" s="17">
        <f t="shared" si="116"/>
        <v>0</v>
      </c>
      <c r="T56" s="17">
        <f t="shared" si="117"/>
        <v>0</v>
      </c>
      <c r="U56" s="7">
        <f>87302.17-31258.23</f>
        <v>56043.94</v>
      </c>
      <c r="V56" s="18">
        <f t="shared" si="118"/>
        <v>0</v>
      </c>
      <c r="W56" s="6">
        <v>0.0</v>
      </c>
      <c r="X56" s="45">
        <f>J56</f>
        <v>31258.33</v>
      </c>
      <c r="Y56" s="18">
        <f t="shared" si="119"/>
        <v>0</v>
      </c>
      <c r="Z56" s="18">
        <f t="shared" si="120"/>
        <v>0</v>
      </c>
      <c r="AA56" s="18">
        <f t="shared" si="121"/>
        <v>87302.27</v>
      </c>
      <c r="AB56" s="42">
        <v>12.0</v>
      </c>
      <c r="AC56" s="54">
        <v>555517.85</v>
      </c>
      <c r="AD56" s="54">
        <v>26168.4</v>
      </c>
      <c r="AE56" s="54">
        <v>4031.77</v>
      </c>
      <c r="AF56" s="54">
        <v>1656.0</v>
      </c>
      <c r="AG56" s="54">
        <v>1769.23</v>
      </c>
      <c r="AH56" s="42">
        <v>0.0</v>
      </c>
      <c r="AI56" s="54">
        <v>8310.75</v>
      </c>
      <c r="AJ56" s="54">
        <v>10400.65</v>
      </c>
      <c r="AK56" s="19">
        <v>0.0</v>
      </c>
      <c r="AL56" s="16">
        <v>0.0</v>
      </c>
      <c r="AM56" s="19">
        <v>0.0</v>
      </c>
      <c r="AN56" s="19">
        <v>0.0</v>
      </c>
      <c r="AO56" s="16">
        <v>0.0</v>
      </c>
      <c r="AP56" s="16">
        <v>0.0</v>
      </c>
      <c r="AQ56" s="16">
        <v>0.0</v>
      </c>
      <c r="AR56" s="16">
        <v>0.0</v>
      </c>
      <c r="AS56" s="7">
        <v>0.0</v>
      </c>
      <c r="AT56" s="7">
        <v>0.0</v>
      </c>
      <c r="AU56" s="7">
        <v>0.0</v>
      </c>
      <c r="AV56" s="7">
        <v>0.0</v>
      </c>
      <c r="AW56" s="7">
        <v>0.0</v>
      </c>
      <c r="AX56" s="7">
        <v>0.0</v>
      </c>
      <c r="AY56" s="7">
        <v>0.0</v>
      </c>
      <c r="AZ56" s="8"/>
      <c r="BA56" s="9"/>
      <c r="BB56" s="10"/>
      <c r="BC56" s="10"/>
    </row>
    <row r="57">
      <c r="A57" s="11">
        <v>2024.0</v>
      </c>
      <c r="B57" s="11" t="s">
        <v>48</v>
      </c>
      <c r="C57" s="12">
        <v>45488.0</v>
      </c>
      <c r="D57" s="44">
        <v>34.0</v>
      </c>
      <c r="E57" s="26">
        <v>1312552.0</v>
      </c>
      <c r="F57" s="26">
        <v>82771.72</v>
      </c>
      <c r="G57" s="26">
        <v>10396.2</v>
      </c>
      <c r="H57" s="26">
        <v>4416.0</v>
      </c>
      <c r="I57" s="26">
        <v>3966.11</v>
      </c>
      <c r="J57" s="26">
        <v>7946.3</v>
      </c>
      <c r="K57" s="26">
        <v>32443.92</v>
      </c>
      <c r="L57" s="26">
        <v>23603.19</v>
      </c>
      <c r="M57" s="15">
        <v>1.0</v>
      </c>
      <c r="N57" s="16">
        <v>35000.0</v>
      </c>
      <c r="O57" s="16">
        <f t="shared" si="112"/>
        <v>1400</v>
      </c>
      <c r="P57" s="16">
        <f t="shared" si="113"/>
        <v>588</v>
      </c>
      <c r="Q57" s="16">
        <f t="shared" si="114"/>
        <v>552</v>
      </c>
      <c r="R57" s="16">
        <f t="shared" si="115"/>
        <v>239.19</v>
      </c>
      <c r="S57" s="17">
        <f t="shared" si="116"/>
        <v>393.42</v>
      </c>
      <c r="T57" s="17">
        <f t="shared" si="117"/>
        <v>138</v>
      </c>
      <c r="U57" s="7">
        <f>23243.41-5556.59</f>
        <v>17686.82</v>
      </c>
      <c r="V57" s="18">
        <f t="shared" si="118"/>
        <v>588</v>
      </c>
      <c r="W57" s="18">
        <f t="shared" ref="W57:W61" si="122">R57+I57</f>
        <v>4205.3</v>
      </c>
      <c r="X57" s="6">
        <v>5556.59</v>
      </c>
      <c r="Y57" s="18">
        <f t="shared" si="119"/>
        <v>1400</v>
      </c>
      <c r="Z57" s="18">
        <f t="shared" si="120"/>
        <v>552</v>
      </c>
      <c r="AA57" s="18">
        <f t="shared" si="121"/>
        <v>29988.71</v>
      </c>
      <c r="AB57" s="42">
        <v>17.0</v>
      </c>
      <c r="AC57" s="24">
        <v>719294.99</v>
      </c>
      <c r="AD57" s="24">
        <v>32031.86</v>
      </c>
      <c r="AE57" s="24">
        <v>4776.48</v>
      </c>
      <c r="AF57" s="24">
        <v>2070.0</v>
      </c>
      <c r="AG57" s="24">
        <v>2177.77</v>
      </c>
      <c r="AH57" s="24">
        <v>0.0</v>
      </c>
      <c r="AI57" s="24">
        <v>10923.45</v>
      </c>
      <c r="AJ57" s="24">
        <v>12084.16</v>
      </c>
      <c r="AK57" s="19">
        <v>0.0</v>
      </c>
      <c r="AL57" s="16">
        <v>0.0</v>
      </c>
      <c r="AM57" s="19">
        <v>0.0</v>
      </c>
      <c r="AN57" s="19">
        <v>0.0</v>
      </c>
      <c r="AO57" s="16">
        <v>0.0</v>
      </c>
      <c r="AP57" s="16">
        <v>0.0</v>
      </c>
      <c r="AQ57" s="16">
        <v>0.0</v>
      </c>
      <c r="AR57" s="16">
        <v>0.0</v>
      </c>
      <c r="AS57" s="7">
        <v>18161.74</v>
      </c>
      <c r="AT57" s="7">
        <v>0.0</v>
      </c>
      <c r="AU57" s="7">
        <v>4786.41</v>
      </c>
      <c r="AV57" s="7">
        <v>9860.75</v>
      </c>
      <c r="AW57" s="7">
        <v>0.0</v>
      </c>
      <c r="AX57" s="7">
        <v>175.03</v>
      </c>
      <c r="AY57" s="7">
        <f t="shared" ref="AY57:AY61" si="123">SUM(AS57:AX57)</f>
        <v>32983.93</v>
      </c>
      <c r="AZ57" s="8"/>
      <c r="BA57" s="9"/>
      <c r="BB57" s="10"/>
      <c r="BC57" s="10"/>
    </row>
    <row r="58">
      <c r="A58" s="11">
        <v>2024.0</v>
      </c>
      <c r="B58" s="11" t="s">
        <v>48</v>
      </c>
      <c r="C58" s="12">
        <v>45489.0</v>
      </c>
      <c r="D58" s="44">
        <v>14.0</v>
      </c>
      <c r="E58" s="26">
        <v>1420952.71</v>
      </c>
      <c r="F58" s="26">
        <v>55450.17</v>
      </c>
      <c r="G58" s="26">
        <v>4365.65</v>
      </c>
      <c r="H58" s="26">
        <v>1656.0</v>
      </c>
      <c r="I58" s="26">
        <v>2153.4</v>
      </c>
      <c r="J58" s="26">
        <v>3799.98</v>
      </c>
      <c r="K58" s="26">
        <v>19384.4</v>
      </c>
      <c r="L58" s="26">
        <v>24090.74</v>
      </c>
      <c r="M58" s="15">
        <v>2.0</v>
      </c>
      <c r="N58" s="16">
        <v>130000.0</v>
      </c>
      <c r="O58" s="16">
        <f t="shared" si="112"/>
        <v>5200</v>
      </c>
      <c r="P58" s="16">
        <f t="shared" si="113"/>
        <v>2184</v>
      </c>
      <c r="Q58" s="16">
        <f t="shared" si="114"/>
        <v>1104</v>
      </c>
      <c r="R58" s="16">
        <f t="shared" si="115"/>
        <v>478.38</v>
      </c>
      <c r="S58" s="17">
        <f t="shared" si="116"/>
        <v>786.84</v>
      </c>
      <c r="T58" s="17">
        <f t="shared" si="117"/>
        <v>276</v>
      </c>
      <c r="U58" s="7">
        <f>13525.9-3306.23</f>
        <v>10219.67</v>
      </c>
      <c r="V58" s="18">
        <f t="shared" si="118"/>
        <v>2184</v>
      </c>
      <c r="W58" s="18">
        <f t="shared" si="122"/>
        <v>2631.78</v>
      </c>
      <c r="X58" s="6">
        <v>3306.23</v>
      </c>
      <c r="Y58" s="18">
        <f t="shared" si="119"/>
        <v>5200</v>
      </c>
      <c r="Z58" s="18">
        <f t="shared" si="120"/>
        <v>1104</v>
      </c>
      <c r="AA58" s="18">
        <f t="shared" si="121"/>
        <v>24645.68</v>
      </c>
      <c r="AB58" s="42">
        <v>11.0</v>
      </c>
      <c r="AC58" s="24">
        <v>645139.7</v>
      </c>
      <c r="AD58" s="24">
        <v>27882.63</v>
      </c>
      <c r="AE58" s="24">
        <v>3675.92</v>
      </c>
      <c r="AF58" s="24">
        <v>1380.0</v>
      </c>
      <c r="AG58" s="24">
        <v>1775.02</v>
      </c>
      <c r="AH58" s="24">
        <v>0.0</v>
      </c>
      <c r="AI58" s="24">
        <v>9996.42</v>
      </c>
      <c r="AJ58" s="24">
        <v>11055.27</v>
      </c>
      <c r="AK58" s="19">
        <v>2.0</v>
      </c>
      <c r="AL58" s="16">
        <v>103969.68</v>
      </c>
      <c r="AM58" s="16">
        <v>3932.0</v>
      </c>
      <c r="AN58" s="16">
        <v>1750.0</v>
      </c>
      <c r="AO58" s="16">
        <v>1100.0</v>
      </c>
      <c r="AP58" s="16">
        <v>852.68</v>
      </c>
      <c r="AQ58" s="16">
        <v>490.0</v>
      </c>
      <c r="AR58" s="16">
        <v>0.0</v>
      </c>
      <c r="AS58" s="7">
        <v>9824.92</v>
      </c>
      <c r="AT58" s="7">
        <v>1750.0</v>
      </c>
      <c r="AU58" s="7">
        <v>3521.91</v>
      </c>
      <c r="AV58" s="7">
        <v>2873.63</v>
      </c>
      <c r="AW58" s="7">
        <v>3932.0</v>
      </c>
      <c r="AX58" s="7">
        <f>3726.36-1750</f>
        <v>1976.36</v>
      </c>
      <c r="AY58" s="7">
        <f t="shared" si="123"/>
        <v>23878.82</v>
      </c>
      <c r="AZ58" s="8"/>
      <c r="BA58" s="9"/>
      <c r="BB58" s="10"/>
      <c r="BC58" s="10"/>
    </row>
    <row r="59">
      <c r="A59" s="11">
        <v>2024.0</v>
      </c>
      <c r="B59" s="11" t="s">
        <v>48</v>
      </c>
      <c r="C59" s="12">
        <v>45490.0</v>
      </c>
      <c r="D59" s="44">
        <v>14.0</v>
      </c>
      <c r="E59" s="26">
        <v>1745737.45</v>
      </c>
      <c r="F59" s="26">
        <v>165450.62</v>
      </c>
      <c r="G59" s="26">
        <v>4219.72</v>
      </c>
      <c r="H59" s="26">
        <v>1518.0</v>
      </c>
      <c r="I59" s="26">
        <v>1815.96</v>
      </c>
      <c r="J59" s="26">
        <v>17110.24</v>
      </c>
      <c r="K59" s="26">
        <v>70825.01</v>
      </c>
      <c r="L59" s="26">
        <v>32930.58</v>
      </c>
      <c r="M59" s="15">
        <v>2.0</v>
      </c>
      <c r="N59" s="16">
        <v>120000.0</v>
      </c>
      <c r="O59" s="16">
        <f t="shared" si="112"/>
        <v>4800</v>
      </c>
      <c r="P59" s="16">
        <f t="shared" si="113"/>
        <v>2016</v>
      </c>
      <c r="Q59" s="16">
        <f t="shared" si="114"/>
        <v>1104</v>
      </c>
      <c r="R59" s="16">
        <f t="shared" si="115"/>
        <v>478.38</v>
      </c>
      <c r="S59" s="17">
        <f t="shared" si="116"/>
        <v>786.84</v>
      </c>
      <c r="T59" s="17">
        <f t="shared" si="117"/>
        <v>276</v>
      </c>
      <c r="U59" s="7">
        <f>32990-17110.24</f>
        <v>15879.76</v>
      </c>
      <c r="V59" s="18">
        <f t="shared" si="118"/>
        <v>2016</v>
      </c>
      <c r="W59" s="18">
        <f t="shared" si="122"/>
        <v>2294.34</v>
      </c>
      <c r="X59" s="45">
        <f>J59</f>
        <v>17110.24</v>
      </c>
      <c r="Y59" s="18">
        <f t="shared" si="119"/>
        <v>4800</v>
      </c>
      <c r="Z59" s="18">
        <f t="shared" si="120"/>
        <v>1104</v>
      </c>
      <c r="AA59" s="18">
        <f t="shared" si="121"/>
        <v>43204.34</v>
      </c>
      <c r="AB59" s="42">
        <v>6.0</v>
      </c>
      <c r="AC59" s="24">
        <v>344626.04</v>
      </c>
      <c r="AD59" s="24">
        <v>17278.64</v>
      </c>
      <c r="AE59" s="24">
        <v>1932.64</v>
      </c>
      <c r="AF59" s="24">
        <v>690.0</v>
      </c>
      <c r="AG59" s="24">
        <v>954.38</v>
      </c>
      <c r="AH59" s="24">
        <v>0.0</v>
      </c>
      <c r="AI59" s="24">
        <v>7176.44</v>
      </c>
      <c r="AJ59" s="24">
        <v>6525.18</v>
      </c>
      <c r="AK59" s="19">
        <v>2.0</v>
      </c>
      <c r="AL59" s="16">
        <v>280056.89</v>
      </c>
      <c r="AM59" s="16">
        <v>10591.0</v>
      </c>
      <c r="AN59" s="16">
        <v>4714.0</v>
      </c>
      <c r="AO59" s="16">
        <v>1100.0</v>
      </c>
      <c r="AP59" s="16">
        <v>906.75</v>
      </c>
      <c r="AQ59" s="16">
        <v>995.14</v>
      </c>
      <c r="AR59" s="16">
        <v>0.0</v>
      </c>
      <c r="AS59" s="7">
        <v>10657.65</v>
      </c>
      <c r="AT59" s="7">
        <v>4714.0</v>
      </c>
      <c r="AU59" s="7">
        <v>1957.75</v>
      </c>
      <c r="AV59" s="7">
        <v>2923.33</v>
      </c>
      <c r="AW59" s="7">
        <v>10591.0</v>
      </c>
      <c r="AX59" s="7">
        <f>6990.74-4714</f>
        <v>2276.74</v>
      </c>
      <c r="AY59" s="7">
        <f t="shared" si="123"/>
        <v>33120.47</v>
      </c>
      <c r="AZ59" s="8"/>
      <c r="BA59" s="9"/>
      <c r="BB59" s="10"/>
      <c r="BC59" s="10"/>
    </row>
    <row r="60">
      <c r="A60" s="11">
        <v>2024.0</v>
      </c>
      <c r="B60" s="11" t="s">
        <v>48</v>
      </c>
      <c r="C60" s="12">
        <v>45491.0</v>
      </c>
      <c r="D60" s="44">
        <v>10.0</v>
      </c>
      <c r="E60" s="26">
        <v>552255.98</v>
      </c>
      <c r="F60" s="26">
        <v>56674.49</v>
      </c>
      <c r="G60" s="26">
        <v>3743.95</v>
      </c>
      <c r="H60" s="26">
        <v>1380.0</v>
      </c>
      <c r="I60" s="26">
        <v>1315.28</v>
      </c>
      <c r="J60" s="26">
        <v>11608.61</v>
      </c>
      <c r="K60" s="26">
        <v>28624.41</v>
      </c>
      <c r="L60" s="26">
        <v>10002.24</v>
      </c>
      <c r="M60" s="27">
        <v>2.0</v>
      </c>
      <c r="N60" s="16">
        <v>155000.0</v>
      </c>
      <c r="O60" s="16">
        <f t="shared" si="112"/>
        <v>6200</v>
      </c>
      <c r="P60" s="16">
        <f t="shared" si="113"/>
        <v>2604</v>
      </c>
      <c r="Q60" s="16">
        <f t="shared" si="114"/>
        <v>1104</v>
      </c>
      <c r="R60" s="16">
        <f t="shared" si="115"/>
        <v>478.38</v>
      </c>
      <c r="S60" s="17">
        <f t="shared" si="116"/>
        <v>786.84</v>
      </c>
      <c r="T60" s="17">
        <f t="shared" si="117"/>
        <v>276</v>
      </c>
      <c r="U60" s="7">
        <f>14997.2-1989.94</f>
        <v>13007.26</v>
      </c>
      <c r="V60" s="18">
        <f t="shared" si="118"/>
        <v>2604</v>
      </c>
      <c r="W60" s="18">
        <f t="shared" si="122"/>
        <v>1793.66</v>
      </c>
      <c r="X60" s="6">
        <v>1989.94</v>
      </c>
      <c r="Y60" s="18">
        <f t="shared" si="119"/>
        <v>6200</v>
      </c>
      <c r="Z60" s="18">
        <f t="shared" si="120"/>
        <v>1104</v>
      </c>
      <c r="AA60" s="18">
        <f t="shared" si="121"/>
        <v>26698.86</v>
      </c>
      <c r="AB60" s="42">
        <v>6.0</v>
      </c>
      <c r="AC60" s="24">
        <v>240787.6</v>
      </c>
      <c r="AD60" s="24">
        <v>14080.24</v>
      </c>
      <c r="AE60" s="24">
        <v>2187.57</v>
      </c>
      <c r="AF60" s="24">
        <v>828.0</v>
      </c>
      <c r="AG60" s="24">
        <v>597.0</v>
      </c>
      <c r="AH60" s="24">
        <v>0.0</v>
      </c>
      <c r="AI60" s="24">
        <v>5988.81</v>
      </c>
      <c r="AJ60" s="24">
        <v>4478.86</v>
      </c>
      <c r="AK60" s="19">
        <v>4.0</v>
      </c>
      <c r="AL60" s="16">
        <v>187949.64</v>
      </c>
      <c r="AM60" s="16">
        <v>7110.0</v>
      </c>
      <c r="AN60" s="16">
        <v>3165.0</v>
      </c>
      <c r="AO60" s="16">
        <v>2200.0</v>
      </c>
      <c r="AP60" s="16">
        <v>1729.64</v>
      </c>
      <c r="AQ60" s="16">
        <v>1090.01</v>
      </c>
      <c r="AR60" s="16">
        <v>0.0</v>
      </c>
      <c r="AS60" s="7">
        <v>7140.79</v>
      </c>
      <c r="AT60" s="7">
        <v>1897.0</v>
      </c>
      <c r="AU60" s="7">
        <v>1324.24</v>
      </c>
      <c r="AV60" s="7">
        <v>490.21</v>
      </c>
      <c r="AW60" s="7">
        <v>4262.0</v>
      </c>
      <c r="AX60" s="7">
        <f>4726.62-1897</f>
        <v>2829.62</v>
      </c>
      <c r="AY60" s="7">
        <f t="shared" si="123"/>
        <v>17943.86</v>
      </c>
      <c r="AZ60" s="8"/>
      <c r="BA60" s="9"/>
      <c r="BB60" s="10"/>
      <c r="BC60" s="10"/>
    </row>
    <row r="61">
      <c r="A61" s="11">
        <v>2024.0</v>
      </c>
      <c r="B61" s="11" t="s">
        <v>48</v>
      </c>
      <c r="C61" s="12">
        <v>45492.0</v>
      </c>
      <c r="D61" s="44">
        <v>17.0</v>
      </c>
      <c r="E61" s="26">
        <v>1404257.48</v>
      </c>
      <c r="F61" s="26">
        <v>48634.65</v>
      </c>
      <c r="G61" s="26">
        <v>5043.16</v>
      </c>
      <c r="H61" s="26">
        <v>1794.0</v>
      </c>
      <c r="I61" s="26">
        <v>1730.08</v>
      </c>
      <c r="J61" s="26">
        <v>1811.82</v>
      </c>
      <c r="K61" s="26">
        <v>13423.78</v>
      </c>
      <c r="L61" s="26">
        <v>24831.81</v>
      </c>
      <c r="M61" s="15">
        <v>1.0</v>
      </c>
      <c r="N61" s="16">
        <v>120000.0</v>
      </c>
      <c r="O61" s="16">
        <f t="shared" si="112"/>
        <v>4800</v>
      </c>
      <c r="P61" s="16">
        <f t="shared" si="113"/>
        <v>2016</v>
      </c>
      <c r="Q61" s="16">
        <f t="shared" si="114"/>
        <v>552</v>
      </c>
      <c r="R61" s="16">
        <f t="shared" si="115"/>
        <v>239.19</v>
      </c>
      <c r="S61" s="17">
        <f t="shared" si="116"/>
        <v>393.42</v>
      </c>
      <c r="T61" s="17">
        <f t="shared" si="117"/>
        <v>138</v>
      </c>
      <c r="U61" s="7">
        <f>10481.45-1234.46</f>
        <v>9246.99</v>
      </c>
      <c r="V61" s="18">
        <f t="shared" si="118"/>
        <v>2016</v>
      </c>
      <c r="W61" s="18">
        <f t="shared" si="122"/>
        <v>1969.27</v>
      </c>
      <c r="X61" s="6">
        <v>1234.46</v>
      </c>
      <c r="Y61" s="18">
        <f t="shared" si="119"/>
        <v>4800</v>
      </c>
      <c r="Z61" s="18">
        <f t="shared" si="120"/>
        <v>552</v>
      </c>
      <c r="AA61" s="18">
        <f t="shared" si="121"/>
        <v>19818.72</v>
      </c>
      <c r="AB61" s="42">
        <v>14.0</v>
      </c>
      <c r="AC61" s="24">
        <v>1269649.36</v>
      </c>
      <c r="AD61" s="24">
        <v>40024.34</v>
      </c>
      <c r="AE61" s="24">
        <v>4438.04</v>
      </c>
      <c r="AF61" s="24">
        <v>1518.0</v>
      </c>
      <c r="AG61" s="24">
        <v>1451.7</v>
      </c>
      <c r="AH61" s="24">
        <v>0.0</v>
      </c>
      <c r="AI61" s="24">
        <v>10159.25</v>
      </c>
      <c r="AJ61" s="24">
        <v>22457.35</v>
      </c>
      <c r="AK61" s="19">
        <v>2.0</v>
      </c>
      <c r="AL61" s="16">
        <v>234820.86</v>
      </c>
      <c r="AM61" s="19">
        <v>9232.0</v>
      </c>
      <c r="AN61" s="19">
        <v>3947.8</v>
      </c>
      <c r="AO61" s="16">
        <v>1100.0</v>
      </c>
      <c r="AP61" s="16">
        <v>967.08</v>
      </c>
      <c r="AQ61" s="16">
        <v>1199.08</v>
      </c>
      <c r="AR61" s="16">
        <v>0.0</v>
      </c>
      <c r="AS61" s="7">
        <v>5365.59</v>
      </c>
      <c r="AT61" s="7">
        <v>5215.8</v>
      </c>
      <c r="AU61" s="7">
        <v>1660.26</v>
      </c>
      <c r="AV61" s="7">
        <v>1421.86</v>
      </c>
      <c r="AW61" s="7">
        <v>12080.0</v>
      </c>
      <c r="AX61" s="7">
        <f>9252.47-5215.8</f>
        <v>4036.67</v>
      </c>
      <c r="AY61" s="7">
        <f t="shared" si="123"/>
        <v>29780.18</v>
      </c>
      <c r="AZ61" s="8"/>
      <c r="BA61" s="9"/>
      <c r="BB61" s="10"/>
      <c r="BC61" s="10"/>
    </row>
    <row r="62">
      <c r="A62" s="11">
        <v>2024.0</v>
      </c>
      <c r="B62" s="11" t="s">
        <v>48</v>
      </c>
      <c r="C62" s="1"/>
      <c r="D62" s="2">
        <v>88.0</v>
      </c>
      <c r="E62" s="2" t="s">
        <v>51</v>
      </c>
      <c r="F62" s="2">
        <v>78075.84</v>
      </c>
      <c r="G62" s="2">
        <v>22591.23</v>
      </c>
      <c r="H62" s="2">
        <v>8418.0</v>
      </c>
      <c r="I62" s="2">
        <v>6367.13</v>
      </c>
      <c r="J62" s="2">
        <v>285971.94</v>
      </c>
      <c r="K62" s="33"/>
      <c r="L62" s="33"/>
      <c r="M62" s="4">
        <v>7.0</v>
      </c>
      <c r="N62" s="51">
        <v>538000.0</v>
      </c>
      <c r="O62" s="35"/>
      <c r="P62" s="35"/>
      <c r="Q62" s="35"/>
      <c r="R62" s="35"/>
      <c r="S62" s="35"/>
      <c r="T62" s="35"/>
      <c r="U62" s="37"/>
      <c r="V62" s="48"/>
      <c r="W62" s="48"/>
      <c r="X62" s="37"/>
      <c r="Y62" s="48"/>
      <c r="Z62" s="48"/>
      <c r="AA62" s="48"/>
      <c r="AB62" s="2"/>
      <c r="AC62" s="33"/>
      <c r="AD62" s="2"/>
      <c r="AE62" s="33"/>
      <c r="AF62" s="33"/>
      <c r="AG62" s="33"/>
      <c r="AH62" s="33"/>
      <c r="AI62" s="33"/>
      <c r="AJ62" s="33"/>
      <c r="AK62" s="4">
        <v>0.0</v>
      </c>
      <c r="AL62" s="4">
        <v>0.0</v>
      </c>
      <c r="AM62" s="35"/>
      <c r="AN62" s="35"/>
      <c r="AO62" s="35"/>
      <c r="AP62" s="35"/>
      <c r="AQ62" s="35"/>
      <c r="AR62" s="35"/>
      <c r="AS62" s="37"/>
      <c r="AT62" s="48"/>
      <c r="AU62" s="48"/>
      <c r="AV62" s="48"/>
      <c r="AW62" s="48"/>
      <c r="AX62" s="48"/>
      <c r="AY62" s="48"/>
      <c r="AZ62" s="38"/>
      <c r="BA62" s="39"/>
      <c r="BB62" s="40"/>
      <c r="BC62" s="40"/>
    </row>
    <row r="63">
      <c r="A63" s="1">
        <v>2024.0</v>
      </c>
      <c r="B63" s="1" t="s">
        <v>48</v>
      </c>
      <c r="C63" s="1" t="s">
        <v>49</v>
      </c>
      <c r="D63" s="33">
        <f>SUM(D55:D61)</f>
        <v>111</v>
      </c>
      <c r="E63" s="34">
        <f>SUM(E55:E62)</f>
        <v>9385630.66</v>
      </c>
      <c r="F63" s="34">
        <f>SUM(F55:F61)</f>
        <v>822910.41</v>
      </c>
      <c r="G63" s="34">
        <f t="shared" ref="G63:J63" si="124">SUM(G55:G62)</f>
        <v>57169.33</v>
      </c>
      <c r="H63" s="34">
        <f t="shared" si="124"/>
        <v>21804</v>
      </c>
      <c r="I63" s="34">
        <f t="shared" si="124"/>
        <v>20123.95</v>
      </c>
      <c r="J63" s="34">
        <f t="shared" si="124"/>
        <v>361455.64</v>
      </c>
      <c r="K63" s="34">
        <f t="shared" ref="K63:L63" si="125">SUM(K55:K61)</f>
        <v>390014.49</v>
      </c>
      <c r="L63" s="34">
        <f t="shared" si="125"/>
        <v>172666.98</v>
      </c>
      <c r="M63" s="35">
        <f>SUM(M55:M62)</f>
        <v>15</v>
      </c>
      <c r="N63" s="36">
        <f t="shared" ref="N63:AJ63" si="126">SUM(N55:N61)</f>
        <v>560000</v>
      </c>
      <c r="O63" s="36">
        <f t="shared" si="126"/>
        <v>22400</v>
      </c>
      <c r="P63" s="36">
        <f t="shared" si="126"/>
        <v>9408</v>
      </c>
      <c r="Q63" s="36">
        <f t="shared" si="126"/>
        <v>4416</v>
      </c>
      <c r="R63" s="36">
        <f t="shared" si="126"/>
        <v>1913.52</v>
      </c>
      <c r="S63" s="36">
        <f t="shared" si="126"/>
        <v>3147.36</v>
      </c>
      <c r="T63" s="36">
        <f t="shared" si="126"/>
        <v>1104</v>
      </c>
      <c r="U63" s="37">
        <f t="shared" si="126"/>
        <v>122986.6</v>
      </c>
      <c r="V63" s="37">
        <f t="shared" si="126"/>
        <v>9408</v>
      </c>
      <c r="W63" s="48">
        <f t="shared" si="126"/>
        <v>12894.35</v>
      </c>
      <c r="X63" s="37">
        <f t="shared" si="126"/>
        <v>60860.83</v>
      </c>
      <c r="Y63" s="37">
        <f t="shared" si="126"/>
        <v>22400</v>
      </c>
      <c r="Z63" s="37">
        <f t="shared" si="126"/>
        <v>4416</v>
      </c>
      <c r="AA63" s="37">
        <f t="shared" si="126"/>
        <v>232965.78</v>
      </c>
      <c r="AB63" s="33">
        <f t="shared" si="126"/>
        <v>68</v>
      </c>
      <c r="AC63" s="55">
        <f t="shared" si="126"/>
        <v>3882059.17</v>
      </c>
      <c r="AD63" s="55">
        <f t="shared" si="126"/>
        <v>162354.18</v>
      </c>
      <c r="AE63" s="33">
        <f t="shared" si="126"/>
        <v>21323.48</v>
      </c>
      <c r="AF63" s="33">
        <f t="shared" si="126"/>
        <v>8280</v>
      </c>
      <c r="AG63" s="33">
        <f t="shared" si="126"/>
        <v>8852.55</v>
      </c>
      <c r="AH63" s="33">
        <f t="shared" si="126"/>
        <v>0</v>
      </c>
      <c r="AI63" s="55">
        <f t="shared" si="126"/>
        <v>54403.03</v>
      </c>
      <c r="AJ63" s="55">
        <f t="shared" si="126"/>
        <v>69495.12</v>
      </c>
      <c r="AK63" s="35">
        <f t="shared" ref="AK63:AL63" si="127">SUM(AK55:AK62)</f>
        <v>10</v>
      </c>
      <c r="AL63" s="36">
        <f t="shared" si="127"/>
        <v>806797.07</v>
      </c>
      <c r="AM63" s="35">
        <f t="shared" ref="AM63:AY63" si="128">SUM(AM55:AM61)</f>
        <v>30865</v>
      </c>
      <c r="AN63" s="35">
        <f t="shared" si="128"/>
        <v>13576.8</v>
      </c>
      <c r="AO63" s="36">
        <f t="shared" si="128"/>
        <v>5500</v>
      </c>
      <c r="AP63" s="36">
        <f t="shared" si="128"/>
        <v>4456.15</v>
      </c>
      <c r="AQ63" s="36">
        <f t="shared" si="128"/>
        <v>3774.23</v>
      </c>
      <c r="AR63" s="36">
        <f t="shared" si="128"/>
        <v>0</v>
      </c>
      <c r="AS63" s="37">
        <f t="shared" si="128"/>
        <v>51150.69</v>
      </c>
      <c r="AT63" s="37">
        <f t="shared" si="128"/>
        <v>13576.8</v>
      </c>
      <c r="AU63" s="37">
        <f t="shared" si="128"/>
        <v>13250.57</v>
      </c>
      <c r="AV63" s="37">
        <f t="shared" si="128"/>
        <v>17569.78</v>
      </c>
      <c r="AW63" s="37">
        <f t="shared" si="128"/>
        <v>30865</v>
      </c>
      <c r="AX63" s="37">
        <f t="shared" si="128"/>
        <v>11294.42</v>
      </c>
      <c r="AY63" s="37">
        <f t="shared" si="128"/>
        <v>137707.26</v>
      </c>
      <c r="AZ63" s="38"/>
      <c r="BA63" s="39"/>
      <c r="BB63" s="40"/>
      <c r="BC63" s="40"/>
    </row>
    <row r="64">
      <c r="A64" s="11">
        <v>2024.0</v>
      </c>
      <c r="B64" s="11" t="s">
        <v>48</v>
      </c>
      <c r="C64" s="12">
        <v>45493.0</v>
      </c>
      <c r="D64" s="44">
        <v>13.0</v>
      </c>
      <c r="E64" s="26">
        <v>846906.71</v>
      </c>
      <c r="F64" s="26">
        <v>41052.34</v>
      </c>
      <c r="G64" s="26">
        <v>5012.27</v>
      </c>
      <c r="H64" s="26">
        <v>1794.0</v>
      </c>
      <c r="I64" s="26">
        <v>1978.29</v>
      </c>
      <c r="J64" s="26">
        <v>4264.07</v>
      </c>
      <c r="K64" s="26">
        <v>12292.35</v>
      </c>
      <c r="L64" s="26">
        <v>15312.39</v>
      </c>
      <c r="M64" s="15"/>
      <c r="N64" s="16"/>
      <c r="O64" s="16">
        <f t="shared" ref="O64:O70" si="129">N64*4%</f>
        <v>0</v>
      </c>
      <c r="P64" s="16">
        <f t="shared" ref="P64:P70" si="130">N64*1.68%</f>
        <v>0</v>
      </c>
      <c r="Q64" s="16">
        <f t="shared" ref="Q64:Q70" si="131">M64*(250+300+2)</f>
        <v>0</v>
      </c>
      <c r="R64" s="16">
        <f t="shared" ref="R64:R70" si="132">M64*239.19</f>
        <v>0</v>
      </c>
      <c r="S64" s="17">
        <f t="shared" ref="S64:S70" si="133">M64*393.42</f>
        <v>0</v>
      </c>
      <c r="T64" s="17">
        <f t="shared" ref="T64:T70" si="134">M64*138</f>
        <v>0</v>
      </c>
      <c r="U64" s="7">
        <v>15911.95</v>
      </c>
      <c r="V64" s="18">
        <f t="shared" ref="V64:V70" si="135">P64</f>
        <v>0</v>
      </c>
      <c r="W64" s="6">
        <v>0.0</v>
      </c>
      <c r="X64" s="6">
        <v>2818.26</v>
      </c>
      <c r="Y64" s="6">
        <v>0.0</v>
      </c>
      <c r="Z64" s="6">
        <v>0.0</v>
      </c>
      <c r="AA64" s="18">
        <f t="shared" ref="AA64:AA70" si="136">SUM(U64:Z64)</f>
        <v>18730.21</v>
      </c>
      <c r="AB64" s="41">
        <v>4.0</v>
      </c>
      <c r="AC64" s="52">
        <v>296314.8</v>
      </c>
      <c r="AD64" s="52">
        <v>11661.01</v>
      </c>
      <c r="AE64" s="57">
        <v>1566.09</v>
      </c>
      <c r="AF64" s="56">
        <v>552.0</v>
      </c>
      <c r="AG64" s="56">
        <v>469.28</v>
      </c>
      <c r="AH64" s="56">
        <v>0.0</v>
      </c>
      <c r="AI64" s="52">
        <v>4095.55</v>
      </c>
      <c r="AJ64" s="52">
        <v>4978.09</v>
      </c>
      <c r="AK64" s="19">
        <v>0.0</v>
      </c>
      <c r="AL64" s="16">
        <v>0.0</v>
      </c>
      <c r="AM64" s="19">
        <v>0.0</v>
      </c>
      <c r="AN64" s="19">
        <v>0.0</v>
      </c>
      <c r="AO64" s="16">
        <v>0.0</v>
      </c>
      <c r="AP64" s="16">
        <v>0.0</v>
      </c>
      <c r="AQ64" s="16">
        <v>0.0</v>
      </c>
      <c r="AR64" s="16">
        <v>0.0</v>
      </c>
      <c r="AS64" s="7">
        <v>0.0</v>
      </c>
      <c r="AT64" s="7">
        <v>0.0</v>
      </c>
      <c r="AU64" s="7">
        <v>0.0</v>
      </c>
      <c r="AV64" s="7">
        <v>0.0</v>
      </c>
      <c r="AW64" s="7">
        <v>0.0</v>
      </c>
      <c r="AX64" s="7">
        <v>0.0</v>
      </c>
      <c r="AY64" s="7">
        <v>0.0</v>
      </c>
      <c r="AZ64" s="8"/>
      <c r="BA64" s="9"/>
      <c r="BB64" s="10"/>
      <c r="BC64" s="10"/>
    </row>
    <row r="65">
      <c r="A65" s="11">
        <v>2024.0</v>
      </c>
      <c r="B65" s="11" t="s">
        <v>48</v>
      </c>
      <c r="C65" s="12">
        <v>45494.0</v>
      </c>
      <c r="D65" s="53">
        <v>8.0</v>
      </c>
      <c r="E65" s="26">
        <v>461519.83</v>
      </c>
      <c r="F65" s="26">
        <v>19288.01</v>
      </c>
      <c r="G65" s="26">
        <v>2553.53</v>
      </c>
      <c r="H65" s="26">
        <v>1104.0</v>
      </c>
      <c r="I65" s="26">
        <v>1322.49</v>
      </c>
      <c r="J65" s="26">
        <v>577.09</v>
      </c>
      <c r="K65" s="26">
        <v>5977.37</v>
      </c>
      <c r="L65" s="26">
        <v>7753.53</v>
      </c>
      <c r="M65" s="15"/>
      <c r="N65" s="16"/>
      <c r="O65" s="16">
        <f t="shared" si="129"/>
        <v>0</v>
      </c>
      <c r="P65" s="16">
        <f t="shared" si="130"/>
        <v>0</v>
      </c>
      <c r="Q65" s="16">
        <f t="shared" si="131"/>
        <v>0</v>
      </c>
      <c r="R65" s="16">
        <f t="shared" si="132"/>
        <v>0</v>
      </c>
      <c r="S65" s="17">
        <f t="shared" si="133"/>
        <v>0</v>
      </c>
      <c r="T65" s="17">
        <f t="shared" si="134"/>
        <v>0</v>
      </c>
      <c r="U65" s="7">
        <v>5230.75</v>
      </c>
      <c r="V65" s="18">
        <f t="shared" si="135"/>
        <v>0</v>
      </c>
      <c r="W65" s="6">
        <v>0.0</v>
      </c>
      <c r="X65" s="6">
        <v>577.09</v>
      </c>
      <c r="Y65" s="6">
        <v>0.0</v>
      </c>
      <c r="Z65" s="6">
        <v>0.0</v>
      </c>
      <c r="AA65" s="18">
        <f t="shared" si="136"/>
        <v>5807.84</v>
      </c>
      <c r="AB65" s="42">
        <v>5.0</v>
      </c>
      <c r="AC65" s="54">
        <v>244495.6</v>
      </c>
      <c r="AD65" s="54">
        <v>10086.73</v>
      </c>
      <c r="AE65" s="54">
        <v>1485.6</v>
      </c>
      <c r="AF65" s="42">
        <v>690.0</v>
      </c>
      <c r="AG65" s="42">
        <v>851.8</v>
      </c>
      <c r="AH65" s="42">
        <v>0.0</v>
      </c>
      <c r="AI65" s="54">
        <v>2951.8</v>
      </c>
      <c r="AJ65" s="54">
        <v>4107.53</v>
      </c>
      <c r="AK65" s="19">
        <v>0.0</v>
      </c>
      <c r="AL65" s="16">
        <v>0.0</v>
      </c>
      <c r="AM65" s="19">
        <v>0.0</v>
      </c>
      <c r="AN65" s="19">
        <v>0.0</v>
      </c>
      <c r="AO65" s="16">
        <v>0.0</v>
      </c>
      <c r="AP65" s="16">
        <v>0.0</v>
      </c>
      <c r="AQ65" s="16">
        <v>0.0</v>
      </c>
      <c r="AR65" s="16">
        <v>0.0</v>
      </c>
      <c r="AS65" s="7">
        <v>0.0</v>
      </c>
      <c r="AT65" s="7">
        <v>0.0</v>
      </c>
      <c r="AU65" s="7">
        <v>0.0</v>
      </c>
      <c r="AV65" s="7">
        <v>0.0</v>
      </c>
      <c r="AW65" s="7">
        <v>0.0</v>
      </c>
      <c r="AX65" s="7">
        <v>0.0</v>
      </c>
      <c r="AY65" s="7">
        <v>0.0</v>
      </c>
      <c r="AZ65" s="8"/>
      <c r="BA65" s="9"/>
      <c r="BB65" s="10"/>
      <c r="BC65" s="10"/>
    </row>
    <row r="66">
      <c r="A66" s="11">
        <v>2024.0</v>
      </c>
      <c r="B66" s="11" t="s">
        <v>48</v>
      </c>
      <c r="C66" s="12">
        <v>45495.0</v>
      </c>
      <c r="D66" s="44">
        <v>11.0</v>
      </c>
      <c r="E66" s="26">
        <v>592681.24</v>
      </c>
      <c r="F66" s="26">
        <v>28873.27</v>
      </c>
      <c r="G66" s="26">
        <v>3798.47</v>
      </c>
      <c r="H66" s="26">
        <v>1518.0</v>
      </c>
      <c r="I66" s="26">
        <v>1500.61</v>
      </c>
      <c r="J66" s="26">
        <v>1783.13</v>
      </c>
      <c r="K66" s="26">
        <v>9218.49</v>
      </c>
      <c r="L66" s="26">
        <v>10333.71</v>
      </c>
      <c r="M66" s="15"/>
      <c r="N66" s="16"/>
      <c r="O66" s="16">
        <f t="shared" si="129"/>
        <v>0</v>
      </c>
      <c r="P66" s="16">
        <f t="shared" si="130"/>
        <v>0</v>
      </c>
      <c r="Q66" s="16">
        <f t="shared" si="131"/>
        <v>0</v>
      </c>
      <c r="R66" s="16">
        <f t="shared" si="132"/>
        <v>0</v>
      </c>
      <c r="S66" s="17">
        <f t="shared" si="133"/>
        <v>0</v>
      </c>
      <c r="T66" s="17">
        <f t="shared" si="134"/>
        <v>0</v>
      </c>
      <c r="U66" s="7">
        <v>9638.24</v>
      </c>
      <c r="V66" s="18">
        <f t="shared" si="135"/>
        <v>0</v>
      </c>
      <c r="W66" s="6">
        <v>0.0</v>
      </c>
      <c r="X66" s="6">
        <v>1783.13</v>
      </c>
      <c r="Y66" s="6">
        <v>0.0</v>
      </c>
      <c r="Z66" s="6">
        <v>0.0</v>
      </c>
      <c r="AA66" s="18">
        <f t="shared" si="136"/>
        <v>11421.37</v>
      </c>
      <c r="AB66" s="42">
        <v>8.0</v>
      </c>
      <c r="AC66" s="24">
        <v>393983.36</v>
      </c>
      <c r="AD66" s="24">
        <v>19268.87</v>
      </c>
      <c r="AE66" s="24">
        <v>2668.25</v>
      </c>
      <c r="AF66" s="24">
        <v>1104.0</v>
      </c>
      <c r="AG66" s="24">
        <v>1081.07</v>
      </c>
      <c r="AH66" s="24">
        <v>0.0</v>
      </c>
      <c r="AI66" s="24">
        <v>6699.1</v>
      </c>
      <c r="AJ66" s="24">
        <v>6995.59</v>
      </c>
      <c r="AK66" s="19">
        <v>0.0</v>
      </c>
      <c r="AL66" s="16">
        <v>0.0</v>
      </c>
      <c r="AM66" s="19">
        <v>0.0</v>
      </c>
      <c r="AN66" s="19">
        <v>0.0</v>
      </c>
      <c r="AO66" s="16">
        <v>0.0</v>
      </c>
      <c r="AP66" s="16">
        <v>0.0</v>
      </c>
      <c r="AQ66" s="16">
        <v>0.0</v>
      </c>
      <c r="AR66" s="16">
        <v>0.0</v>
      </c>
      <c r="AS66" s="7">
        <v>14629.53</v>
      </c>
      <c r="AT66" s="7">
        <v>0.0</v>
      </c>
      <c r="AU66" s="7">
        <v>5397.21</v>
      </c>
      <c r="AV66" s="7">
        <v>8338.0</v>
      </c>
      <c r="AW66" s="7">
        <v>0.0</v>
      </c>
      <c r="AX66" s="7">
        <v>236.39</v>
      </c>
      <c r="AY66" s="7">
        <f t="shared" ref="AY66:AY70" si="137">SUM(AS66:AX66)</f>
        <v>28601.13</v>
      </c>
      <c r="AZ66" s="8"/>
      <c r="BA66" s="9"/>
      <c r="BB66" s="10"/>
      <c r="BC66" s="10"/>
    </row>
    <row r="67">
      <c r="A67" s="11">
        <v>2024.0</v>
      </c>
      <c r="B67" s="11" t="s">
        <v>48</v>
      </c>
      <c r="C67" s="12">
        <v>45496.0</v>
      </c>
      <c r="D67" s="44">
        <v>13.0</v>
      </c>
      <c r="E67" s="26">
        <v>909441.5</v>
      </c>
      <c r="F67" s="26">
        <v>45349.14</v>
      </c>
      <c r="G67" s="26">
        <v>5063.38</v>
      </c>
      <c r="H67" s="26">
        <v>1656.0</v>
      </c>
      <c r="I67" s="26">
        <v>2104.35</v>
      </c>
      <c r="J67" s="26">
        <v>2060.01</v>
      </c>
      <c r="K67" s="26">
        <v>18634.65</v>
      </c>
      <c r="L67" s="26">
        <v>15830.75</v>
      </c>
      <c r="M67" s="15">
        <v>1.0</v>
      </c>
      <c r="N67" s="16">
        <v>65000.0</v>
      </c>
      <c r="O67" s="16">
        <f t="shared" si="129"/>
        <v>2600</v>
      </c>
      <c r="P67" s="16">
        <f t="shared" si="130"/>
        <v>1092</v>
      </c>
      <c r="Q67" s="16">
        <f t="shared" si="131"/>
        <v>552</v>
      </c>
      <c r="R67" s="16">
        <f t="shared" si="132"/>
        <v>239.19</v>
      </c>
      <c r="S67" s="17">
        <f t="shared" si="133"/>
        <v>393.42</v>
      </c>
      <c r="T67" s="17">
        <f t="shared" si="134"/>
        <v>138</v>
      </c>
      <c r="U67" s="7">
        <v>11315.73</v>
      </c>
      <c r="V67" s="18">
        <f t="shared" si="135"/>
        <v>1092</v>
      </c>
      <c r="W67" s="6">
        <v>0.0</v>
      </c>
      <c r="X67" s="6">
        <v>1798.96</v>
      </c>
      <c r="Y67" s="18">
        <f t="shared" ref="Y67:Y70" si="138">O67</f>
        <v>2600</v>
      </c>
      <c r="Z67" s="18">
        <f t="shared" ref="Z67:Z70" si="139">Q67</f>
        <v>552</v>
      </c>
      <c r="AA67" s="18">
        <f t="shared" si="136"/>
        <v>17358.69</v>
      </c>
      <c r="AB67" s="42">
        <v>11.0</v>
      </c>
      <c r="AC67" s="24">
        <v>834323.01</v>
      </c>
      <c r="AD67" s="24">
        <v>39479.84</v>
      </c>
      <c r="AE67" s="24">
        <v>4417.68</v>
      </c>
      <c r="AF67" s="24">
        <v>1380.0</v>
      </c>
      <c r="AG67" s="24">
        <v>1825.97</v>
      </c>
      <c r="AH67" s="24">
        <v>0.0</v>
      </c>
      <c r="AI67" s="24">
        <v>17688.37</v>
      </c>
      <c r="AJ67" s="24">
        <v>14167.82</v>
      </c>
      <c r="AK67" s="19">
        <v>2.0</v>
      </c>
      <c r="AL67" s="16">
        <v>93264.5</v>
      </c>
      <c r="AM67" s="19">
        <v>3528.0</v>
      </c>
      <c r="AN67" s="19">
        <v>1570.0</v>
      </c>
      <c r="AO67" s="16">
        <v>1100.0</v>
      </c>
      <c r="AP67" s="16">
        <v>826.5</v>
      </c>
      <c r="AQ67" s="16">
        <v>490.0</v>
      </c>
      <c r="AR67" s="16">
        <v>0.0</v>
      </c>
      <c r="AS67" s="7">
        <v>7298.33</v>
      </c>
      <c r="AT67" s="7">
        <v>1570.0</v>
      </c>
      <c r="AU67" s="7">
        <v>1972.6</v>
      </c>
      <c r="AV67" s="7">
        <v>335.7</v>
      </c>
      <c r="AW67" s="7">
        <v>3528.0</v>
      </c>
      <c r="AX67" s="7">
        <f>3510.76-1570</f>
        <v>1940.76</v>
      </c>
      <c r="AY67" s="7">
        <f t="shared" si="137"/>
        <v>16645.39</v>
      </c>
      <c r="AZ67" s="8"/>
      <c r="BA67" s="9"/>
      <c r="BB67" s="10"/>
      <c r="BC67" s="10"/>
    </row>
    <row r="68">
      <c r="A68" s="11">
        <v>2024.0</v>
      </c>
      <c r="B68" s="11" t="s">
        <v>48</v>
      </c>
      <c r="C68" s="12">
        <v>45497.0</v>
      </c>
      <c r="D68" s="44">
        <v>10.0</v>
      </c>
      <c r="E68" s="26">
        <v>767676.73</v>
      </c>
      <c r="F68" s="26">
        <v>66697.33</v>
      </c>
      <c r="G68" s="26">
        <v>4686.57</v>
      </c>
      <c r="H68" s="26">
        <v>1380.0</v>
      </c>
      <c r="I68" s="26">
        <v>1456.63</v>
      </c>
      <c r="J68" s="26">
        <v>11693.77</v>
      </c>
      <c r="K68" s="26">
        <v>35357.93</v>
      </c>
      <c r="L68" s="26">
        <v>12122.43</v>
      </c>
      <c r="M68" s="15">
        <v>1.0</v>
      </c>
      <c r="N68" s="16">
        <v>62000.0</v>
      </c>
      <c r="O68" s="16">
        <f t="shared" si="129"/>
        <v>2480</v>
      </c>
      <c r="P68" s="16">
        <f t="shared" si="130"/>
        <v>1041.6</v>
      </c>
      <c r="Q68" s="16">
        <f t="shared" si="131"/>
        <v>552</v>
      </c>
      <c r="R68" s="16">
        <f t="shared" si="132"/>
        <v>239.19</v>
      </c>
      <c r="S68" s="17">
        <f t="shared" si="133"/>
        <v>393.42</v>
      </c>
      <c r="T68" s="17">
        <f t="shared" si="134"/>
        <v>138</v>
      </c>
      <c r="U68" s="7">
        <v>9434.24</v>
      </c>
      <c r="V68" s="18">
        <f t="shared" si="135"/>
        <v>1041.6</v>
      </c>
      <c r="W68" s="6">
        <v>0.0</v>
      </c>
      <c r="X68" s="6">
        <v>0.0</v>
      </c>
      <c r="Y68" s="18">
        <f t="shared" si="138"/>
        <v>2480</v>
      </c>
      <c r="Z68" s="18">
        <f t="shared" si="139"/>
        <v>552</v>
      </c>
      <c r="AA68" s="18">
        <f t="shared" si="136"/>
        <v>13507.84</v>
      </c>
      <c r="AB68" s="42">
        <v>6.0</v>
      </c>
      <c r="AC68" s="24">
        <v>375669.77</v>
      </c>
      <c r="AD68" s="24">
        <v>19625.16</v>
      </c>
      <c r="AE68" s="24">
        <v>2376.68</v>
      </c>
      <c r="AF68" s="24">
        <v>828.0</v>
      </c>
      <c r="AG68" s="24">
        <v>859.42</v>
      </c>
      <c r="AH68" s="24">
        <v>0.0</v>
      </c>
      <c r="AI68" s="24">
        <v>9249.81</v>
      </c>
      <c r="AJ68" s="24">
        <v>6311.25</v>
      </c>
      <c r="AK68" s="19">
        <v>1.0</v>
      </c>
      <c r="AL68" s="16">
        <v>55157.28</v>
      </c>
      <c r="AM68" s="19">
        <v>2086.0</v>
      </c>
      <c r="AN68" s="19">
        <v>929.0</v>
      </c>
      <c r="AO68" s="16">
        <v>550.0</v>
      </c>
      <c r="AP68" s="16">
        <v>583.77</v>
      </c>
      <c r="AQ68" s="16">
        <v>958.51</v>
      </c>
      <c r="AR68" s="16">
        <v>0.0</v>
      </c>
      <c r="AS68" s="7">
        <v>7564.98</v>
      </c>
      <c r="AT68" s="7">
        <f t="shared" ref="AT68:AT70" si="140">AN68</f>
        <v>929</v>
      </c>
      <c r="AU68" s="7">
        <v>1880.88</v>
      </c>
      <c r="AV68" s="7">
        <v>2353.51</v>
      </c>
      <c r="AW68" s="7">
        <v>2086.0</v>
      </c>
      <c r="AX68" s="7">
        <f>2375.2-929</f>
        <v>1446.2</v>
      </c>
      <c r="AY68" s="7">
        <f t="shared" si="137"/>
        <v>16260.57</v>
      </c>
      <c r="AZ68" s="8"/>
      <c r="BA68" s="9"/>
      <c r="BB68" s="10"/>
      <c r="BC68" s="10"/>
    </row>
    <row r="69">
      <c r="A69" s="11">
        <v>2024.0</v>
      </c>
      <c r="B69" s="11" t="s">
        <v>48</v>
      </c>
      <c r="C69" s="12">
        <v>45498.0</v>
      </c>
      <c r="D69" s="44">
        <v>8.0</v>
      </c>
      <c r="E69" s="26">
        <v>640757.7</v>
      </c>
      <c r="F69" s="26">
        <v>39504.31</v>
      </c>
      <c r="G69" s="26">
        <v>3965.53</v>
      </c>
      <c r="H69" s="26">
        <v>966.0</v>
      </c>
      <c r="I69" s="26">
        <v>1247.23</v>
      </c>
      <c r="J69" s="26">
        <v>2999.77</v>
      </c>
      <c r="K69" s="26">
        <v>18900.55</v>
      </c>
      <c r="L69" s="26">
        <v>11425.23</v>
      </c>
      <c r="M69" s="27">
        <v>1.0</v>
      </c>
      <c r="N69" s="16">
        <v>70000.0</v>
      </c>
      <c r="O69" s="16">
        <f t="shared" si="129"/>
        <v>2800</v>
      </c>
      <c r="P69" s="16">
        <f t="shared" si="130"/>
        <v>1176</v>
      </c>
      <c r="Q69" s="16">
        <f t="shared" si="131"/>
        <v>552</v>
      </c>
      <c r="R69" s="16">
        <f t="shared" si="132"/>
        <v>239.19</v>
      </c>
      <c r="S69" s="17">
        <f t="shared" si="133"/>
        <v>393.42</v>
      </c>
      <c r="T69" s="17">
        <f t="shared" si="134"/>
        <v>138</v>
      </c>
      <c r="U69" s="7">
        <v>2858.09</v>
      </c>
      <c r="V69" s="18">
        <f t="shared" si="135"/>
        <v>1176</v>
      </c>
      <c r="W69" s="6">
        <v>0.0</v>
      </c>
      <c r="X69" s="6">
        <v>1519.88</v>
      </c>
      <c r="Y69" s="18">
        <f t="shared" si="138"/>
        <v>2800</v>
      </c>
      <c r="Z69" s="18">
        <f t="shared" si="139"/>
        <v>552</v>
      </c>
      <c r="AA69" s="18">
        <f t="shared" si="136"/>
        <v>8905.97</v>
      </c>
      <c r="AB69" s="42">
        <v>3.0</v>
      </c>
      <c r="AC69" s="24">
        <v>426544.67</v>
      </c>
      <c r="AD69" s="24">
        <v>19551.71</v>
      </c>
      <c r="AE69" s="24">
        <v>2207.01</v>
      </c>
      <c r="AF69" s="24">
        <v>414.0</v>
      </c>
      <c r="AG69" s="24">
        <v>594.46</v>
      </c>
      <c r="AH69" s="24">
        <v>0.0</v>
      </c>
      <c r="AI69" s="24">
        <v>9170.29</v>
      </c>
      <c r="AJ69" s="24">
        <v>7165.95</v>
      </c>
      <c r="AK69" s="19">
        <v>2.0</v>
      </c>
      <c r="AL69" s="16">
        <v>108762.5</v>
      </c>
      <c r="AM69" s="19">
        <v>4114.0</v>
      </c>
      <c r="AN69" s="19">
        <v>1832.0</v>
      </c>
      <c r="AO69" s="16">
        <v>1100.0</v>
      </c>
      <c r="AP69" s="16">
        <v>826.5</v>
      </c>
      <c r="AQ69" s="16">
        <v>490.0</v>
      </c>
      <c r="AR69" s="16">
        <v>0.0</v>
      </c>
      <c r="AS69" s="7">
        <v>4803.41</v>
      </c>
      <c r="AT69" s="7">
        <f t="shared" si="140"/>
        <v>1832</v>
      </c>
      <c r="AU69" s="7">
        <v>1924.11</v>
      </c>
      <c r="AV69" s="7">
        <v>400.29</v>
      </c>
      <c r="AW69" s="7">
        <v>4114.0</v>
      </c>
      <c r="AX69" s="7">
        <f>3808.94-1832</f>
        <v>1976.94</v>
      </c>
      <c r="AY69" s="7">
        <f t="shared" si="137"/>
        <v>15050.75</v>
      </c>
      <c r="AZ69" s="8"/>
      <c r="BA69" s="9"/>
      <c r="BB69" s="10"/>
      <c r="BC69" s="10"/>
    </row>
    <row r="70">
      <c r="A70" s="11">
        <v>2024.0</v>
      </c>
      <c r="B70" s="11" t="s">
        <v>48</v>
      </c>
      <c r="C70" s="12">
        <v>45499.0</v>
      </c>
      <c r="D70" s="44">
        <v>11.0</v>
      </c>
      <c r="E70" s="26">
        <v>503000.27</v>
      </c>
      <c r="F70" s="26">
        <v>40718.33</v>
      </c>
      <c r="G70" s="26">
        <v>4855.02</v>
      </c>
      <c r="H70" s="26">
        <v>1380.0</v>
      </c>
      <c r="I70" s="26">
        <v>2043.61</v>
      </c>
      <c r="J70" s="26">
        <v>4942.27</v>
      </c>
      <c r="K70" s="26">
        <v>17218.86</v>
      </c>
      <c r="L70" s="26">
        <v>10278.57</v>
      </c>
      <c r="M70" s="15">
        <v>1.0</v>
      </c>
      <c r="N70" s="16">
        <v>178000.0</v>
      </c>
      <c r="O70" s="16">
        <f t="shared" si="129"/>
        <v>7120</v>
      </c>
      <c r="P70" s="16">
        <f t="shared" si="130"/>
        <v>2990.4</v>
      </c>
      <c r="Q70" s="16">
        <f t="shared" si="131"/>
        <v>552</v>
      </c>
      <c r="R70" s="16">
        <f t="shared" si="132"/>
        <v>239.19</v>
      </c>
      <c r="S70" s="17">
        <f t="shared" si="133"/>
        <v>393.42</v>
      </c>
      <c r="T70" s="17">
        <f t="shared" si="134"/>
        <v>138</v>
      </c>
      <c r="U70" s="7">
        <v>4990.97</v>
      </c>
      <c r="V70" s="18">
        <f t="shared" si="135"/>
        <v>2990.4</v>
      </c>
      <c r="W70" s="6">
        <v>0.0</v>
      </c>
      <c r="X70" s="6">
        <v>4552.1</v>
      </c>
      <c r="Y70" s="18">
        <f t="shared" si="138"/>
        <v>7120</v>
      </c>
      <c r="Z70" s="18">
        <f t="shared" si="139"/>
        <v>552</v>
      </c>
      <c r="AA70" s="18">
        <f t="shared" si="136"/>
        <v>20205.47</v>
      </c>
      <c r="AB70" s="42">
        <v>5.0</v>
      </c>
      <c r="AC70" s="24">
        <v>239468.38</v>
      </c>
      <c r="AD70" s="24">
        <v>12349.37</v>
      </c>
      <c r="AE70" s="24">
        <v>1826.08</v>
      </c>
      <c r="AF70" s="24">
        <v>690.0</v>
      </c>
      <c r="AG70" s="24">
        <v>682.44</v>
      </c>
      <c r="AH70" s="24">
        <v>408.23</v>
      </c>
      <c r="AI70" s="24">
        <v>4428.53</v>
      </c>
      <c r="AJ70" s="24">
        <v>4314.09</v>
      </c>
      <c r="AK70" s="19">
        <v>3.0</v>
      </c>
      <c r="AL70" s="16">
        <v>187225.3</v>
      </c>
      <c r="AM70" s="19">
        <v>7081.0</v>
      </c>
      <c r="AN70" s="19">
        <v>3152.0</v>
      </c>
      <c r="AO70" s="16">
        <v>1650.0</v>
      </c>
      <c r="AP70" s="16">
        <v>1252.3</v>
      </c>
      <c r="AQ70" s="16">
        <v>845.01</v>
      </c>
      <c r="AR70" s="16">
        <v>0.0</v>
      </c>
      <c r="AS70" s="7">
        <v>13072.78</v>
      </c>
      <c r="AT70" s="7">
        <f t="shared" si="140"/>
        <v>3152</v>
      </c>
      <c r="AU70" s="7">
        <v>2056.38</v>
      </c>
      <c r="AV70" s="7">
        <v>615.29</v>
      </c>
      <c r="AW70" s="7">
        <v>3094.0</v>
      </c>
      <c r="AX70" s="7">
        <f>3277.73-3152</f>
        <v>125.73</v>
      </c>
      <c r="AY70" s="7">
        <f t="shared" si="137"/>
        <v>22116.18</v>
      </c>
      <c r="AZ70" s="8"/>
      <c r="BA70" s="9"/>
      <c r="BB70" s="10"/>
      <c r="BC70" s="10"/>
    </row>
    <row r="71">
      <c r="A71" s="11">
        <v>2024.0</v>
      </c>
      <c r="B71" s="11" t="s">
        <v>48</v>
      </c>
      <c r="C71" s="1"/>
      <c r="D71" s="2"/>
      <c r="E71" s="2"/>
      <c r="F71" s="2"/>
      <c r="G71" s="33"/>
      <c r="H71" s="33"/>
      <c r="I71" s="33"/>
      <c r="J71" s="33"/>
      <c r="K71" s="33"/>
      <c r="L71" s="33"/>
      <c r="M71" s="4">
        <v>12.0</v>
      </c>
      <c r="N71" s="51">
        <v>834000.0</v>
      </c>
      <c r="O71" s="35"/>
      <c r="P71" s="35"/>
      <c r="Q71" s="35"/>
      <c r="R71" s="35"/>
      <c r="S71" s="35"/>
      <c r="T71" s="35"/>
      <c r="U71" s="37"/>
      <c r="V71" s="48"/>
      <c r="W71" s="48"/>
      <c r="X71" s="37"/>
      <c r="Y71" s="48"/>
      <c r="Z71" s="48"/>
      <c r="AA71" s="48"/>
      <c r="AB71" s="2"/>
      <c r="AC71" s="33"/>
      <c r="AD71" s="2"/>
      <c r="AE71" s="33"/>
      <c r="AF71" s="33"/>
      <c r="AG71" s="33"/>
      <c r="AH71" s="33"/>
      <c r="AI71" s="33"/>
      <c r="AJ71" s="33"/>
      <c r="AK71" s="4">
        <v>0.0</v>
      </c>
      <c r="AL71" s="4">
        <v>0.0</v>
      </c>
      <c r="AM71" s="35"/>
      <c r="AN71" s="35"/>
      <c r="AO71" s="35"/>
      <c r="AP71" s="35"/>
      <c r="AQ71" s="35"/>
      <c r="AR71" s="35"/>
      <c r="AS71" s="37"/>
      <c r="AT71" s="48"/>
      <c r="AU71" s="48"/>
      <c r="AV71" s="48"/>
      <c r="AW71" s="48"/>
      <c r="AX71" s="48"/>
      <c r="AY71" s="48"/>
      <c r="AZ71" s="38"/>
      <c r="BA71" s="39"/>
      <c r="BB71" s="40"/>
      <c r="BC71" s="40"/>
    </row>
    <row r="72">
      <c r="A72" s="1">
        <v>2024.0</v>
      </c>
      <c r="B72" s="1" t="s">
        <v>48</v>
      </c>
      <c r="C72" s="1" t="s">
        <v>49</v>
      </c>
      <c r="D72" s="33">
        <f>SUM(D64:D70)</f>
        <v>74</v>
      </c>
      <c r="E72" s="34">
        <f>SUM(E64:E71)</f>
        <v>4721983.98</v>
      </c>
      <c r="F72" s="34">
        <f t="shared" ref="F72:L72" si="141">SUM(F64:F70)</f>
        <v>281482.73</v>
      </c>
      <c r="G72" s="34">
        <f t="shared" si="141"/>
        <v>29934.77</v>
      </c>
      <c r="H72" s="34">
        <f t="shared" si="141"/>
        <v>9798</v>
      </c>
      <c r="I72" s="34">
        <f t="shared" si="141"/>
        <v>11653.21</v>
      </c>
      <c r="J72" s="34">
        <f t="shared" si="141"/>
        <v>28320.11</v>
      </c>
      <c r="K72" s="34">
        <f t="shared" si="141"/>
        <v>117600.2</v>
      </c>
      <c r="L72" s="34">
        <f t="shared" si="141"/>
        <v>83056.61</v>
      </c>
      <c r="M72" s="35">
        <f t="shared" ref="M72:N72" si="142">SUM(M64:M71)</f>
        <v>16</v>
      </c>
      <c r="N72" s="36">
        <f t="shared" si="142"/>
        <v>1209000</v>
      </c>
      <c r="O72" s="36">
        <f t="shared" ref="O72:AA72" si="143">SUM(O64:O70)</f>
        <v>15000</v>
      </c>
      <c r="P72" s="36">
        <f t="shared" si="143"/>
        <v>6300</v>
      </c>
      <c r="Q72" s="36">
        <f t="shared" si="143"/>
        <v>2208</v>
      </c>
      <c r="R72" s="36">
        <f t="shared" si="143"/>
        <v>956.76</v>
      </c>
      <c r="S72" s="36">
        <f t="shared" si="143"/>
        <v>1573.68</v>
      </c>
      <c r="T72" s="36">
        <f t="shared" si="143"/>
        <v>552</v>
      </c>
      <c r="U72" s="37">
        <f t="shared" si="143"/>
        <v>59379.97</v>
      </c>
      <c r="V72" s="37">
        <f t="shared" si="143"/>
        <v>6300</v>
      </c>
      <c r="W72" s="48">
        <f t="shared" si="143"/>
        <v>0</v>
      </c>
      <c r="X72" s="37">
        <f t="shared" si="143"/>
        <v>13049.42</v>
      </c>
      <c r="Y72" s="48">
        <f t="shared" si="143"/>
        <v>15000</v>
      </c>
      <c r="Z72" s="48">
        <f t="shared" si="143"/>
        <v>2208</v>
      </c>
      <c r="AA72" s="37">
        <f t="shared" si="143"/>
        <v>95937.39</v>
      </c>
      <c r="AB72" s="33">
        <f>SUM(AB64:AB71)</f>
        <v>42</v>
      </c>
      <c r="AC72" s="55">
        <f t="shared" ref="AC72:AJ72" si="144">SUM(AC64:AC70)</f>
        <v>2810799.59</v>
      </c>
      <c r="AD72" s="55">
        <f t="shared" si="144"/>
        <v>132022.69</v>
      </c>
      <c r="AE72" s="55">
        <f t="shared" si="144"/>
        <v>16547.39</v>
      </c>
      <c r="AF72" s="33">
        <f t="shared" si="144"/>
        <v>5658</v>
      </c>
      <c r="AG72" s="33">
        <f t="shared" si="144"/>
        <v>6364.44</v>
      </c>
      <c r="AH72" s="33">
        <f t="shared" si="144"/>
        <v>408.23</v>
      </c>
      <c r="AI72" s="55">
        <f t="shared" si="144"/>
        <v>54283.45</v>
      </c>
      <c r="AJ72" s="55">
        <f t="shared" si="144"/>
        <v>48040.32</v>
      </c>
      <c r="AK72" s="35">
        <f t="shared" ref="AK72:AL72" si="145">SUM(AK64:AK71)</f>
        <v>8</v>
      </c>
      <c r="AL72" s="36">
        <f t="shared" si="145"/>
        <v>444409.58</v>
      </c>
      <c r="AM72" s="35">
        <f t="shared" ref="AM72:AY72" si="146">SUM(AM64:AM70)</f>
        <v>16809</v>
      </c>
      <c r="AN72" s="35">
        <f t="shared" si="146"/>
        <v>7483</v>
      </c>
      <c r="AO72" s="36">
        <f t="shared" si="146"/>
        <v>4400</v>
      </c>
      <c r="AP72" s="36">
        <f t="shared" si="146"/>
        <v>3489.07</v>
      </c>
      <c r="AQ72" s="36">
        <f t="shared" si="146"/>
        <v>2783.52</v>
      </c>
      <c r="AR72" s="36">
        <f t="shared" si="146"/>
        <v>0</v>
      </c>
      <c r="AS72" s="37">
        <f t="shared" si="146"/>
        <v>47369.03</v>
      </c>
      <c r="AT72" s="37">
        <f t="shared" si="146"/>
        <v>7483</v>
      </c>
      <c r="AU72" s="37">
        <f t="shared" si="146"/>
        <v>13231.18</v>
      </c>
      <c r="AV72" s="37">
        <f t="shared" si="146"/>
        <v>12042.79</v>
      </c>
      <c r="AW72" s="37">
        <f t="shared" si="146"/>
        <v>12822</v>
      </c>
      <c r="AX72" s="37">
        <f t="shared" si="146"/>
        <v>5726.02</v>
      </c>
      <c r="AY72" s="37">
        <f t="shared" si="146"/>
        <v>98674.02</v>
      </c>
      <c r="AZ72" s="38"/>
      <c r="BA72" s="39"/>
      <c r="BB72" s="40"/>
      <c r="BC72" s="40"/>
    </row>
    <row r="73">
      <c r="A73" s="11">
        <v>2024.0</v>
      </c>
      <c r="B73" s="11" t="s">
        <v>48</v>
      </c>
      <c r="C73" s="12">
        <v>45500.0</v>
      </c>
      <c r="D73" s="44">
        <v>7.0</v>
      </c>
      <c r="E73" s="26">
        <v>516925.09</v>
      </c>
      <c r="F73" s="26">
        <v>22285.26</v>
      </c>
      <c r="G73" s="26">
        <v>3261.24</v>
      </c>
      <c r="H73" s="26">
        <v>966.0</v>
      </c>
      <c r="I73" s="26">
        <v>854.9</v>
      </c>
      <c r="J73" s="26">
        <v>868.18</v>
      </c>
      <c r="K73" s="26">
        <v>8518.78</v>
      </c>
      <c r="L73" s="26">
        <v>8684.34</v>
      </c>
      <c r="M73" s="15"/>
      <c r="N73" s="16"/>
      <c r="O73" s="16">
        <f t="shared" ref="O73:O79" si="147">N73*4%</f>
        <v>0</v>
      </c>
      <c r="P73" s="16">
        <f t="shared" ref="P73:P79" si="148">N73*1.68%</f>
        <v>0</v>
      </c>
      <c r="Q73" s="16">
        <f t="shared" ref="Q73:Q79" si="149">M73*(250+300+2)</f>
        <v>0</v>
      </c>
      <c r="R73" s="16">
        <f t="shared" ref="R73:R79" si="150">M73*239.19</f>
        <v>0</v>
      </c>
      <c r="S73" s="17">
        <f t="shared" ref="S73:S79" si="151">M73*393.42</f>
        <v>0</v>
      </c>
      <c r="T73" s="17">
        <f t="shared" ref="T73:T79" si="152">M73*138</f>
        <v>0</v>
      </c>
      <c r="U73" s="7">
        <v>8815.03</v>
      </c>
      <c r="V73" s="18">
        <f t="shared" ref="V73:V79" si="153">P73</f>
        <v>0</v>
      </c>
      <c r="W73" s="6">
        <v>0.0</v>
      </c>
      <c r="X73" s="6"/>
      <c r="Y73" s="6">
        <v>0.0</v>
      </c>
      <c r="Z73" s="6">
        <v>0.0</v>
      </c>
      <c r="AA73" s="18">
        <f t="shared" ref="AA73:AA79" si="154">SUM(U73:Z73)</f>
        <v>8815.03</v>
      </c>
      <c r="AB73" s="41">
        <v>4.0</v>
      </c>
      <c r="AC73" s="52">
        <v>243104.84</v>
      </c>
      <c r="AD73" s="52">
        <v>13034.01</v>
      </c>
      <c r="AE73" s="57">
        <v>1525.25</v>
      </c>
      <c r="AF73" s="56">
        <v>552.0</v>
      </c>
      <c r="AG73" s="56">
        <v>647.89</v>
      </c>
      <c r="AH73" s="57">
        <v>1677.08</v>
      </c>
      <c r="AI73" s="52">
        <v>4547.63</v>
      </c>
      <c r="AJ73" s="52">
        <v>4084.16</v>
      </c>
      <c r="AK73" s="15"/>
      <c r="AL73" s="16"/>
      <c r="AM73" s="19"/>
      <c r="AN73" s="19"/>
      <c r="AO73" s="16"/>
      <c r="AP73" s="16"/>
      <c r="AQ73" s="16"/>
      <c r="AR73" s="16"/>
      <c r="AS73" s="7"/>
      <c r="AT73" s="7"/>
      <c r="AU73" s="7"/>
      <c r="AV73" s="7"/>
      <c r="AW73" s="7"/>
      <c r="AX73" s="7"/>
      <c r="AY73" s="7"/>
      <c r="AZ73" s="8"/>
      <c r="BA73" s="9"/>
      <c r="BB73" s="10"/>
      <c r="BC73" s="10"/>
    </row>
    <row r="74">
      <c r="A74" s="11">
        <v>2024.0</v>
      </c>
      <c r="B74" s="11" t="s">
        <v>48</v>
      </c>
      <c r="C74" s="12">
        <v>45501.0</v>
      </c>
      <c r="D74" s="53">
        <v>15.0</v>
      </c>
      <c r="E74" s="26">
        <v>1348031.76</v>
      </c>
      <c r="F74" s="26">
        <v>58121.27</v>
      </c>
      <c r="G74" s="26">
        <v>6782.96</v>
      </c>
      <c r="H74" s="26">
        <v>1794.0</v>
      </c>
      <c r="I74" s="26">
        <v>2533.33</v>
      </c>
      <c r="J74" s="26">
        <v>12394.86</v>
      </c>
      <c r="K74" s="26">
        <v>38183.3</v>
      </c>
      <c r="L74" s="26">
        <v>24886.12</v>
      </c>
      <c r="M74" s="15"/>
      <c r="N74" s="16"/>
      <c r="O74" s="16">
        <f t="shared" si="147"/>
        <v>0</v>
      </c>
      <c r="P74" s="16">
        <f t="shared" si="148"/>
        <v>0</v>
      </c>
      <c r="Q74" s="16">
        <f t="shared" si="149"/>
        <v>0</v>
      </c>
      <c r="R74" s="16">
        <f t="shared" si="150"/>
        <v>0</v>
      </c>
      <c r="S74" s="17">
        <f t="shared" si="151"/>
        <v>0</v>
      </c>
      <c r="T74" s="17">
        <f t="shared" si="152"/>
        <v>0</v>
      </c>
      <c r="U74" s="7">
        <v>16023.31</v>
      </c>
      <c r="V74" s="18">
        <f t="shared" si="153"/>
        <v>0</v>
      </c>
      <c r="W74" s="6">
        <v>0.0</v>
      </c>
      <c r="X74" s="6"/>
      <c r="Y74" s="6">
        <v>0.0</v>
      </c>
      <c r="Z74" s="6">
        <v>0.0</v>
      </c>
      <c r="AA74" s="18">
        <f t="shared" si="154"/>
        <v>16023.31</v>
      </c>
      <c r="AB74" s="42">
        <v>4.0</v>
      </c>
      <c r="AC74" s="54">
        <v>188585.5</v>
      </c>
      <c r="AD74" s="54">
        <v>8813.43</v>
      </c>
      <c r="AE74" s="42">
        <v>656.9</v>
      </c>
      <c r="AF74" s="42">
        <v>276.0</v>
      </c>
      <c r="AG74" s="42">
        <v>378.38</v>
      </c>
      <c r="AH74" s="42">
        <v>0.0</v>
      </c>
      <c r="AI74" s="54">
        <v>4237.74</v>
      </c>
      <c r="AJ74" s="54">
        <v>3264.41</v>
      </c>
      <c r="AK74" s="15"/>
      <c r="AL74" s="16"/>
      <c r="AM74" s="19"/>
      <c r="AN74" s="19"/>
      <c r="AO74" s="16"/>
      <c r="AP74" s="16"/>
      <c r="AQ74" s="16"/>
      <c r="AR74" s="16"/>
      <c r="AS74" s="7"/>
      <c r="AT74" s="7"/>
      <c r="AU74" s="7"/>
      <c r="AV74" s="7"/>
      <c r="AW74" s="7"/>
      <c r="AX74" s="7"/>
      <c r="AY74" s="7"/>
      <c r="AZ74" s="8"/>
      <c r="BA74" s="9"/>
      <c r="BB74" s="10"/>
      <c r="BC74" s="10"/>
    </row>
    <row r="75">
      <c r="A75" s="11">
        <v>2024.0</v>
      </c>
      <c r="B75" s="11" t="s">
        <v>48</v>
      </c>
      <c r="C75" s="12">
        <v>45502.0</v>
      </c>
      <c r="D75" s="44">
        <v>11.0</v>
      </c>
      <c r="E75" s="26">
        <v>918775.52</v>
      </c>
      <c r="F75" s="26">
        <v>43112.96</v>
      </c>
      <c r="G75" s="26">
        <v>5036.48</v>
      </c>
      <c r="H75" s="26">
        <v>1380.0</v>
      </c>
      <c r="I75" s="26">
        <v>1428.24</v>
      </c>
      <c r="J75" s="26">
        <v>431.03</v>
      </c>
      <c r="K75" s="26">
        <v>12913.3</v>
      </c>
      <c r="L75" s="26">
        <v>22354.94</v>
      </c>
      <c r="M75" s="15">
        <v>1.0</v>
      </c>
      <c r="N75" s="16">
        <v>70000.0</v>
      </c>
      <c r="O75" s="16">
        <f t="shared" si="147"/>
        <v>2800</v>
      </c>
      <c r="P75" s="16">
        <f t="shared" si="148"/>
        <v>1176</v>
      </c>
      <c r="Q75" s="16">
        <f t="shared" si="149"/>
        <v>552</v>
      </c>
      <c r="R75" s="16">
        <f t="shared" si="150"/>
        <v>239.19</v>
      </c>
      <c r="S75" s="17">
        <f t="shared" si="151"/>
        <v>393.42</v>
      </c>
      <c r="T75" s="17">
        <f t="shared" si="152"/>
        <v>138</v>
      </c>
      <c r="U75" s="7">
        <v>28903.56</v>
      </c>
      <c r="V75" s="18">
        <f t="shared" si="153"/>
        <v>1176</v>
      </c>
      <c r="W75" s="6">
        <v>0.0</v>
      </c>
      <c r="X75" s="6"/>
      <c r="Y75" s="6">
        <v>0.0</v>
      </c>
      <c r="Z75" s="6">
        <v>0.0</v>
      </c>
      <c r="AA75" s="18">
        <f t="shared" si="154"/>
        <v>30079.56</v>
      </c>
      <c r="AB75" s="42">
        <v>8.0</v>
      </c>
      <c r="AC75" s="24">
        <v>959240.41</v>
      </c>
      <c r="AD75" s="24">
        <v>43266.34</v>
      </c>
      <c r="AE75" s="24">
        <v>4886.77</v>
      </c>
      <c r="AF75" s="24">
        <v>966.0</v>
      </c>
      <c r="AG75" s="24">
        <v>1159.78</v>
      </c>
      <c r="AH75" s="24">
        <v>0.0</v>
      </c>
      <c r="AI75" s="24">
        <v>13219.04</v>
      </c>
      <c r="AJ75" s="24">
        <v>23034.75</v>
      </c>
      <c r="AK75" s="15">
        <v>1.0</v>
      </c>
      <c r="AL75" s="16">
        <v>180493.39</v>
      </c>
      <c r="AM75" s="19">
        <v>6826.0</v>
      </c>
      <c r="AN75" s="19">
        <v>3038.0</v>
      </c>
      <c r="AO75" s="16">
        <v>550.0</v>
      </c>
      <c r="AP75" s="16">
        <v>490.93</v>
      </c>
      <c r="AQ75" s="16">
        <v>538.46</v>
      </c>
      <c r="AR75" s="16">
        <v>0.0</v>
      </c>
      <c r="AS75" s="7">
        <v>5262.5</v>
      </c>
      <c r="AT75" s="7">
        <f>AN75</f>
        <v>3038</v>
      </c>
      <c r="AU75" s="7">
        <v>4882.8</v>
      </c>
      <c r="AV75" s="7">
        <v>6237.37</v>
      </c>
      <c r="AW75" s="7">
        <v>10813.0</v>
      </c>
      <c r="AX75" s="7">
        <f>6909.53-3038</f>
        <v>3871.53</v>
      </c>
      <c r="AY75" s="7">
        <f t="shared" ref="AY75:AY79" si="155">SUM(AS75:AX75)</f>
        <v>34105.2</v>
      </c>
      <c r="AZ75" s="8"/>
      <c r="BA75" s="9"/>
      <c r="BB75" s="10"/>
      <c r="BC75" s="10"/>
    </row>
    <row r="76">
      <c r="A76" s="11">
        <v>2024.0</v>
      </c>
      <c r="B76" s="11" t="s">
        <v>48</v>
      </c>
      <c r="C76" s="12">
        <v>45503.0</v>
      </c>
      <c r="D76" s="44">
        <v>171.0</v>
      </c>
      <c r="E76" s="26">
        <v>1.05115845E7</v>
      </c>
      <c r="F76" s="26">
        <v>418854.83</v>
      </c>
      <c r="G76" s="26">
        <v>52841.31</v>
      </c>
      <c r="H76" s="26">
        <v>20286.0</v>
      </c>
      <c r="I76" s="26">
        <v>31032.5</v>
      </c>
      <c r="J76" s="26">
        <v>11763.85</v>
      </c>
      <c r="K76" s="26">
        <v>161134.39</v>
      </c>
      <c r="L76" s="26">
        <v>179162.95</v>
      </c>
      <c r="M76" s="15">
        <v>1.0</v>
      </c>
      <c r="N76" s="16">
        <v>170000.0</v>
      </c>
      <c r="O76" s="16">
        <f t="shared" si="147"/>
        <v>6800</v>
      </c>
      <c r="P76" s="16">
        <f t="shared" si="148"/>
        <v>2856</v>
      </c>
      <c r="Q76" s="16">
        <f t="shared" si="149"/>
        <v>552</v>
      </c>
      <c r="R76" s="16">
        <f t="shared" si="150"/>
        <v>239.19</v>
      </c>
      <c r="S76" s="17">
        <f t="shared" si="151"/>
        <v>393.42</v>
      </c>
      <c r="T76" s="17">
        <f t="shared" si="152"/>
        <v>138</v>
      </c>
      <c r="U76" s="7">
        <v>118922.88</v>
      </c>
      <c r="V76" s="18">
        <f t="shared" si="153"/>
        <v>2856</v>
      </c>
      <c r="W76" s="6">
        <v>0.0</v>
      </c>
      <c r="X76" s="6"/>
      <c r="Y76" s="18">
        <f t="shared" ref="Y76:Y79" si="156">O76</f>
        <v>6800</v>
      </c>
      <c r="Z76" s="18">
        <f t="shared" ref="Z76:Z79" si="157">Q76</f>
        <v>552</v>
      </c>
      <c r="AA76" s="18">
        <f t="shared" si="154"/>
        <v>129130.88</v>
      </c>
      <c r="AB76" s="42">
        <v>103.0</v>
      </c>
      <c r="AC76" s="24">
        <v>6040029.5</v>
      </c>
      <c r="AD76" s="24">
        <v>258534.52</v>
      </c>
      <c r="AE76" s="24">
        <v>33055.58</v>
      </c>
      <c r="AF76" s="24">
        <v>13110.0</v>
      </c>
      <c r="AG76" s="24">
        <v>20977.52</v>
      </c>
      <c r="AH76" s="24">
        <v>0.0</v>
      </c>
      <c r="AI76" s="24">
        <v>84970.78</v>
      </c>
      <c r="AJ76" s="24">
        <v>106199.66</v>
      </c>
      <c r="AK76" s="15">
        <v>0.0</v>
      </c>
      <c r="AL76" s="16"/>
      <c r="AM76" s="19"/>
      <c r="AN76" s="19"/>
      <c r="AO76" s="16"/>
      <c r="AP76" s="16"/>
      <c r="AQ76" s="16"/>
      <c r="AR76" s="16"/>
      <c r="AS76" s="7">
        <v>33167.68</v>
      </c>
      <c r="AT76" s="7">
        <v>0.0</v>
      </c>
      <c r="AU76" s="7">
        <v>11715.72</v>
      </c>
      <c r="AV76" s="7">
        <v>2343.18</v>
      </c>
      <c r="AW76" s="7">
        <v>0.0</v>
      </c>
      <c r="AX76" s="7">
        <v>56.14</v>
      </c>
      <c r="AY76" s="7">
        <f t="shared" si="155"/>
        <v>47282.72</v>
      </c>
      <c r="AZ76" s="8"/>
      <c r="BA76" s="9"/>
      <c r="BB76" s="10"/>
      <c r="BC76" s="10"/>
    </row>
    <row r="77">
      <c r="A77" s="11">
        <v>2024.0</v>
      </c>
      <c r="B77" s="11" t="s">
        <v>48</v>
      </c>
      <c r="C77" s="12">
        <v>45504.0</v>
      </c>
      <c r="D77" s="44">
        <v>7.0</v>
      </c>
      <c r="E77" s="26">
        <v>586971.06</v>
      </c>
      <c r="F77" s="26">
        <v>20115.41</v>
      </c>
      <c r="G77" s="26">
        <v>2745.76</v>
      </c>
      <c r="H77" s="26">
        <v>966.0</v>
      </c>
      <c r="I77" s="26">
        <v>1480.65</v>
      </c>
      <c r="J77" s="26">
        <v>0.0</v>
      </c>
      <c r="K77" s="26">
        <v>5061.89</v>
      </c>
      <c r="L77" s="26">
        <v>9861.11</v>
      </c>
      <c r="M77" s="15">
        <v>1.0</v>
      </c>
      <c r="N77" s="16">
        <v>75000.0</v>
      </c>
      <c r="O77" s="16">
        <f t="shared" si="147"/>
        <v>3000</v>
      </c>
      <c r="P77" s="16">
        <f t="shared" si="148"/>
        <v>1260</v>
      </c>
      <c r="Q77" s="16">
        <f t="shared" si="149"/>
        <v>552</v>
      </c>
      <c r="R77" s="16">
        <f t="shared" si="150"/>
        <v>239.19</v>
      </c>
      <c r="S77" s="17">
        <f t="shared" si="151"/>
        <v>393.42</v>
      </c>
      <c r="T77" s="17">
        <f t="shared" si="152"/>
        <v>138</v>
      </c>
      <c r="U77" s="7">
        <v>11322.12</v>
      </c>
      <c r="V77" s="18">
        <f t="shared" si="153"/>
        <v>1260</v>
      </c>
      <c r="W77" s="6">
        <v>0.0</v>
      </c>
      <c r="X77" s="6"/>
      <c r="Y77" s="18">
        <f t="shared" si="156"/>
        <v>3000</v>
      </c>
      <c r="Z77" s="18">
        <f t="shared" si="157"/>
        <v>552</v>
      </c>
      <c r="AA77" s="18">
        <f t="shared" si="154"/>
        <v>16134.12</v>
      </c>
      <c r="AB77" s="42">
        <v>3.0</v>
      </c>
      <c r="AC77" s="24">
        <v>427653.37</v>
      </c>
      <c r="AD77" s="24">
        <v>13208.22</v>
      </c>
      <c r="AE77" s="24">
        <v>1658.98</v>
      </c>
      <c r="AF77" s="24">
        <v>414.0</v>
      </c>
      <c r="AG77" s="24">
        <v>823.89</v>
      </c>
      <c r="AH77" s="24">
        <v>0.0</v>
      </c>
      <c r="AI77" s="24">
        <v>3126.77</v>
      </c>
      <c r="AJ77" s="24">
        <v>7184.58</v>
      </c>
      <c r="AK77" s="15">
        <v>6.0</v>
      </c>
      <c r="AL77" s="16">
        <v>492500.68</v>
      </c>
      <c r="AM77" s="19">
        <v>18589.0</v>
      </c>
      <c r="AN77" s="19">
        <v>8273.0</v>
      </c>
      <c r="AO77" s="16">
        <v>3000.0</v>
      </c>
      <c r="AP77" s="16">
        <v>2500.32</v>
      </c>
      <c r="AQ77" s="16">
        <v>2138.36</v>
      </c>
      <c r="AR77" s="16">
        <v>0.0</v>
      </c>
      <c r="AS77" s="7">
        <f>36203.07+1345</f>
        <v>37548.07</v>
      </c>
      <c r="AT77" s="7">
        <f>AN77</f>
        <v>8273</v>
      </c>
      <c r="AU77" s="7">
        <f>15408.37+450</f>
        <v>15858.37</v>
      </c>
      <c r="AV77" s="7">
        <v>3910.97</v>
      </c>
      <c r="AW77" s="7">
        <v>18589.0</v>
      </c>
      <c r="AX77" s="7">
        <f>14175.43-8273</f>
        <v>5902.43</v>
      </c>
      <c r="AY77" s="7">
        <f t="shared" si="155"/>
        <v>90081.84</v>
      </c>
      <c r="AZ77" s="8"/>
      <c r="BA77" s="9"/>
      <c r="BB77" s="10"/>
      <c r="BC77" s="10"/>
    </row>
    <row r="78">
      <c r="A78" s="11">
        <v>2024.0</v>
      </c>
      <c r="B78" s="11" t="s">
        <v>48</v>
      </c>
      <c r="C78" s="12">
        <v>45505.0</v>
      </c>
      <c r="D78" s="44">
        <v>11.0</v>
      </c>
      <c r="E78" s="26">
        <v>470316.29</v>
      </c>
      <c r="F78" s="26">
        <v>23078.45</v>
      </c>
      <c r="G78" s="26">
        <v>3551.76</v>
      </c>
      <c r="H78" s="26">
        <v>1518.0</v>
      </c>
      <c r="I78" s="26">
        <v>1323.13</v>
      </c>
      <c r="J78" s="26">
        <v>697.01</v>
      </c>
      <c r="K78" s="26">
        <v>8358.63</v>
      </c>
      <c r="L78" s="26">
        <v>9713.76</v>
      </c>
      <c r="M78" s="27">
        <v>1.0</v>
      </c>
      <c r="N78" s="16">
        <v>80000.0</v>
      </c>
      <c r="O78" s="16">
        <f t="shared" si="147"/>
        <v>3200</v>
      </c>
      <c r="P78" s="16">
        <f t="shared" si="148"/>
        <v>1344</v>
      </c>
      <c r="Q78" s="16">
        <f t="shared" si="149"/>
        <v>552</v>
      </c>
      <c r="R78" s="16">
        <f t="shared" si="150"/>
        <v>239.19</v>
      </c>
      <c r="S78" s="17">
        <f t="shared" si="151"/>
        <v>393.42</v>
      </c>
      <c r="T78" s="17">
        <f t="shared" si="152"/>
        <v>138</v>
      </c>
      <c r="U78" s="7">
        <v>6841.46</v>
      </c>
      <c r="V78" s="18">
        <f t="shared" si="153"/>
        <v>1344</v>
      </c>
      <c r="W78" s="6">
        <v>0.0</v>
      </c>
      <c r="X78" s="6"/>
      <c r="Y78" s="18">
        <f t="shared" si="156"/>
        <v>3200</v>
      </c>
      <c r="Z78" s="18">
        <f t="shared" si="157"/>
        <v>552</v>
      </c>
      <c r="AA78" s="18">
        <f t="shared" si="154"/>
        <v>11937.46</v>
      </c>
      <c r="AB78" s="42">
        <v>6.0</v>
      </c>
      <c r="AC78" s="24">
        <v>316115.44</v>
      </c>
      <c r="AD78" s="24">
        <v>14676.23</v>
      </c>
      <c r="AE78" s="24">
        <v>2043.47</v>
      </c>
      <c r="AF78" s="24">
        <v>828.0</v>
      </c>
      <c r="AG78" s="24">
        <v>778.95</v>
      </c>
      <c r="AH78" s="24">
        <v>544.33</v>
      </c>
      <c r="AI78" s="24">
        <v>5170.74</v>
      </c>
      <c r="AJ78" s="24">
        <v>5310.74</v>
      </c>
      <c r="AK78" s="15">
        <v>1.0</v>
      </c>
      <c r="AL78" s="16">
        <v>54715.0</v>
      </c>
      <c r="AM78" s="19">
        <v>0.0</v>
      </c>
      <c r="AN78" s="19">
        <v>920.0</v>
      </c>
      <c r="AO78" s="16">
        <v>0.0</v>
      </c>
      <c r="AP78" s="16">
        <v>0.0</v>
      </c>
      <c r="AQ78" s="16">
        <v>245.0</v>
      </c>
      <c r="AR78" s="16"/>
      <c r="AS78" s="7">
        <v>5488.62</v>
      </c>
      <c r="AT78" s="7"/>
      <c r="AU78" s="7">
        <v>1709.26</v>
      </c>
      <c r="AV78" s="7">
        <v>90.38</v>
      </c>
      <c r="AW78" s="7"/>
      <c r="AX78" s="7">
        <v>0.0</v>
      </c>
      <c r="AY78" s="7">
        <f t="shared" si="155"/>
        <v>7288.26</v>
      </c>
      <c r="AZ78" s="8"/>
      <c r="BA78" s="9"/>
      <c r="BB78" s="10"/>
      <c r="BC78" s="10"/>
    </row>
    <row r="79">
      <c r="A79" s="11">
        <v>2024.0</v>
      </c>
      <c r="B79" s="11" t="s">
        <v>48</v>
      </c>
      <c r="C79" s="12">
        <v>45506.0</v>
      </c>
      <c r="D79" s="44">
        <v>6.0</v>
      </c>
      <c r="E79" s="26">
        <v>441725.33</v>
      </c>
      <c r="F79" s="26">
        <v>21224.67</v>
      </c>
      <c r="G79" s="26">
        <v>2238.67</v>
      </c>
      <c r="H79" s="26">
        <v>828.0</v>
      </c>
      <c r="I79" s="26">
        <v>1352.01</v>
      </c>
      <c r="J79" s="26">
        <v>2842.61</v>
      </c>
      <c r="K79" s="26">
        <v>8852.56</v>
      </c>
      <c r="L79" s="26">
        <v>7953.43</v>
      </c>
      <c r="M79" s="15">
        <v>1.0</v>
      </c>
      <c r="N79" s="16">
        <v>42000.0</v>
      </c>
      <c r="O79" s="16">
        <f t="shared" si="147"/>
        <v>1680</v>
      </c>
      <c r="P79" s="16">
        <f t="shared" si="148"/>
        <v>705.6</v>
      </c>
      <c r="Q79" s="16">
        <f t="shared" si="149"/>
        <v>552</v>
      </c>
      <c r="R79" s="16">
        <f t="shared" si="150"/>
        <v>239.19</v>
      </c>
      <c r="S79" s="17">
        <f t="shared" si="151"/>
        <v>393.42</v>
      </c>
      <c r="T79" s="17">
        <f t="shared" si="152"/>
        <v>138</v>
      </c>
      <c r="U79" s="7">
        <v>10254.46</v>
      </c>
      <c r="V79" s="18">
        <f t="shared" si="153"/>
        <v>705.6</v>
      </c>
      <c r="W79" s="6">
        <v>0.0</v>
      </c>
      <c r="X79" s="6"/>
      <c r="Y79" s="18">
        <f t="shared" si="156"/>
        <v>1680</v>
      </c>
      <c r="Z79" s="18">
        <f t="shared" si="157"/>
        <v>552</v>
      </c>
      <c r="AA79" s="18">
        <f t="shared" si="154"/>
        <v>13192.06</v>
      </c>
      <c r="AB79" s="42">
        <v>4.0</v>
      </c>
      <c r="AC79" s="24">
        <v>187920.77</v>
      </c>
      <c r="AD79" s="24">
        <v>8527.06</v>
      </c>
      <c r="AE79" s="24">
        <v>1282.22</v>
      </c>
      <c r="AF79" s="24">
        <v>552.0</v>
      </c>
      <c r="AG79" s="24">
        <v>756.77</v>
      </c>
      <c r="AH79" s="24">
        <v>0.0</v>
      </c>
      <c r="AI79" s="24">
        <v>2246.56</v>
      </c>
      <c r="AJ79" s="24">
        <v>3689.51</v>
      </c>
      <c r="AK79" s="15">
        <v>3.0</v>
      </c>
      <c r="AL79" s="16">
        <v>226783.23</v>
      </c>
      <c r="AM79" s="19">
        <v>8577.0</v>
      </c>
      <c r="AN79" s="19">
        <v>3818.0</v>
      </c>
      <c r="AO79" s="16">
        <v>1650.0</v>
      </c>
      <c r="AP79" s="16">
        <v>1472.14</v>
      </c>
      <c r="AQ79" s="16">
        <v>816.1</v>
      </c>
      <c r="AR79" s="16">
        <v>0.0</v>
      </c>
      <c r="AS79" s="7">
        <v>853.39</v>
      </c>
      <c r="AT79" s="7">
        <v>0.0</v>
      </c>
      <c r="AU79" s="7">
        <v>196.75</v>
      </c>
      <c r="AV79" s="7">
        <v>577.09</v>
      </c>
      <c r="AW79" s="7">
        <v>0.0</v>
      </c>
      <c r="AX79" s="7">
        <v>0.0</v>
      </c>
      <c r="AY79" s="7">
        <f t="shared" si="155"/>
        <v>1627.23</v>
      </c>
      <c r="AZ79" s="8"/>
      <c r="BA79" s="9"/>
      <c r="BB79" s="10"/>
      <c r="BC79" s="10"/>
    </row>
    <row r="80">
      <c r="A80" s="11">
        <v>2024.0</v>
      </c>
      <c r="B80" s="11" t="s">
        <v>48</v>
      </c>
      <c r="C80" s="1"/>
      <c r="D80" s="2">
        <v>57.0</v>
      </c>
      <c r="E80" s="2"/>
      <c r="F80" s="2" t="s">
        <v>52</v>
      </c>
      <c r="G80" s="33"/>
      <c r="H80" s="33"/>
      <c r="I80" s="33"/>
      <c r="J80" s="33"/>
      <c r="K80" s="33"/>
      <c r="L80" s="33"/>
      <c r="M80" s="4">
        <v>13.0</v>
      </c>
      <c r="N80" s="51">
        <v>875000.0</v>
      </c>
      <c r="O80" s="35"/>
      <c r="P80" s="35"/>
      <c r="Q80" s="35"/>
      <c r="R80" s="35"/>
      <c r="S80" s="35"/>
      <c r="T80" s="35"/>
      <c r="U80" s="37"/>
      <c r="V80" s="48"/>
      <c r="W80" s="48"/>
      <c r="X80" s="37"/>
      <c r="Y80" s="48"/>
      <c r="Z80" s="48"/>
      <c r="AA80" s="48"/>
      <c r="AB80" s="2"/>
      <c r="AC80" s="33"/>
      <c r="AD80" s="2"/>
      <c r="AE80" s="33"/>
      <c r="AF80" s="33"/>
      <c r="AG80" s="33"/>
      <c r="AH80" s="33"/>
      <c r="AI80" s="33"/>
      <c r="AJ80" s="33"/>
      <c r="AK80" s="4">
        <v>0.0</v>
      </c>
      <c r="AL80" s="4">
        <v>0.0</v>
      </c>
      <c r="AM80" s="35"/>
      <c r="AN80" s="35"/>
      <c r="AO80" s="35"/>
      <c r="AP80" s="35"/>
      <c r="AQ80" s="35"/>
      <c r="AR80" s="35"/>
      <c r="AS80" s="37"/>
      <c r="AT80" s="48"/>
      <c r="AU80" s="48"/>
      <c r="AV80" s="48"/>
      <c r="AW80" s="48"/>
      <c r="AX80" s="48"/>
      <c r="AY80" s="48"/>
      <c r="AZ80" s="38"/>
      <c r="BA80" s="39"/>
      <c r="BB80" s="40"/>
      <c r="BC80" s="40"/>
    </row>
    <row r="81">
      <c r="A81" s="1">
        <v>2024.0</v>
      </c>
      <c r="B81" s="1" t="s">
        <v>48</v>
      </c>
      <c r="C81" s="1" t="s">
        <v>49</v>
      </c>
      <c r="D81" s="33">
        <f t="shared" ref="D81:F81" si="158">SUM(D73:D80)</f>
        <v>285</v>
      </c>
      <c r="E81" s="34">
        <f t="shared" si="158"/>
        <v>14794329.55</v>
      </c>
      <c r="F81" s="34">
        <f t="shared" si="158"/>
        <v>606792.85</v>
      </c>
      <c r="G81" s="34">
        <f t="shared" ref="G81:L81" si="159">SUM(G73:G79)</f>
        <v>76458.18</v>
      </c>
      <c r="H81" s="34">
        <f t="shared" si="159"/>
        <v>27738</v>
      </c>
      <c r="I81" s="34">
        <f t="shared" si="159"/>
        <v>40004.76</v>
      </c>
      <c r="J81" s="34">
        <f t="shared" si="159"/>
        <v>28997.54</v>
      </c>
      <c r="K81" s="34">
        <f t="shared" si="159"/>
        <v>243022.85</v>
      </c>
      <c r="L81" s="34">
        <f t="shared" si="159"/>
        <v>262616.65</v>
      </c>
      <c r="M81" s="35">
        <f t="shared" ref="M81:N81" si="160">SUM(M73:M80)</f>
        <v>18</v>
      </c>
      <c r="N81" s="36">
        <f t="shared" si="160"/>
        <v>1312000</v>
      </c>
      <c r="O81" s="36">
        <f t="shared" ref="O81:AA81" si="161">SUM(O73:O79)</f>
        <v>17480</v>
      </c>
      <c r="P81" s="36">
        <f t="shared" si="161"/>
        <v>7341.6</v>
      </c>
      <c r="Q81" s="36">
        <f t="shared" si="161"/>
        <v>2760</v>
      </c>
      <c r="R81" s="36">
        <f t="shared" si="161"/>
        <v>1195.95</v>
      </c>
      <c r="S81" s="36">
        <f t="shared" si="161"/>
        <v>1967.1</v>
      </c>
      <c r="T81" s="36">
        <f t="shared" si="161"/>
        <v>690</v>
      </c>
      <c r="U81" s="37">
        <f t="shared" si="161"/>
        <v>201082.82</v>
      </c>
      <c r="V81" s="37">
        <f t="shared" si="161"/>
        <v>7341.6</v>
      </c>
      <c r="W81" s="48">
        <f t="shared" si="161"/>
        <v>0</v>
      </c>
      <c r="X81" s="37">
        <f t="shared" si="161"/>
        <v>0</v>
      </c>
      <c r="Y81" s="48">
        <f t="shared" si="161"/>
        <v>14680</v>
      </c>
      <c r="Z81" s="48">
        <f t="shared" si="161"/>
        <v>2208</v>
      </c>
      <c r="AA81" s="37">
        <f t="shared" si="161"/>
        <v>225312.42</v>
      </c>
      <c r="AB81" s="33">
        <f>SUM(AB73:AB80)</f>
        <v>132</v>
      </c>
      <c r="AC81" s="55">
        <f t="shared" ref="AC81:AJ81" si="162">SUM(AC73:AC79)</f>
        <v>8362649.83</v>
      </c>
      <c r="AD81" s="55">
        <f t="shared" si="162"/>
        <v>360059.81</v>
      </c>
      <c r="AE81" s="55">
        <f t="shared" si="162"/>
        <v>45109.17</v>
      </c>
      <c r="AF81" s="33">
        <f t="shared" si="162"/>
        <v>16698</v>
      </c>
      <c r="AG81" s="33">
        <f t="shared" si="162"/>
        <v>25523.18</v>
      </c>
      <c r="AH81" s="55">
        <f t="shared" si="162"/>
        <v>2221.41</v>
      </c>
      <c r="AI81" s="55">
        <f t="shared" si="162"/>
        <v>117519.26</v>
      </c>
      <c r="AJ81" s="55">
        <f t="shared" si="162"/>
        <v>152767.81</v>
      </c>
      <c r="AK81" s="35">
        <f t="shared" ref="AK81:AL81" si="163">SUM(AK73:AK80)</f>
        <v>11</v>
      </c>
      <c r="AL81" s="36">
        <f t="shared" si="163"/>
        <v>954492.3</v>
      </c>
      <c r="AM81" s="35">
        <f t="shared" ref="AM81:AY81" si="164">SUM(AM73:AM79)</f>
        <v>33992</v>
      </c>
      <c r="AN81" s="35">
        <f t="shared" si="164"/>
        <v>16049</v>
      </c>
      <c r="AO81" s="36">
        <f t="shared" si="164"/>
        <v>5200</v>
      </c>
      <c r="AP81" s="36">
        <f t="shared" si="164"/>
        <v>4463.39</v>
      </c>
      <c r="AQ81" s="36">
        <f t="shared" si="164"/>
        <v>3737.92</v>
      </c>
      <c r="AR81" s="36">
        <f t="shared" si="164"/>
        <v>0</v>
      </c>
      <c r="AS81" s="37">
        <f t="shared" si="164"/>
        <v>82320.26</v>
      </c>
      <c r="AT81" s="37">
        <f t="shared" si="164"/>
        <v>11311</v>
      </c>
      <c r="AU81" s="37">
        <f t="shared" si="164"/>
        <v>34362.9</v>
      </c>
      <c r="AV81" s="37">
        <f t="shared" si="164"/>
        <v>13158.99</v>
      </c>
      <c r="AW81" s="37">
        <f t="shared" si="164"/>
        <v>29402</v>
      </c>
      <c r="AX81" s="37">
        <f t="shared" si="164"/>
        <v>9830.1</v>
      </c>
      <c r="AY81" s="37">
        <f t="shared" si="164"/>
        <v>180385.25</v>
      </c>
      <c r="AZ81" s="38"/>
      <c r="BA81" s="39"/>
      <c r="BB81" s="40"/>
      <c r="BC81" s="40"/>
    </row>
    <row r="82">
      <c r="A82" s="11">
        <v>2024.0</v>
      </c>
      <c r="B82" s="11" t="s">
        <v>53</v>
      </c>
      <c r="C82" s="12">
        <v>45507.0</v>
      </c>
      <c r="D82" s="44">
        <v>8.0</v>
      </c>
      <c r="E82" s="26">
        <v>640613.8</v>
      </c>
      <c r="F82" s="26">
        <v>23749.6</v>
      </c>
      <c r="G82" s="26">
        <v>2265.22</v>
      </c>
      <c r="H82" s="26">
        <v>828.0</v>
      </c>
      <c r="I82" s="26">
        <v>1149.42</v>
      </c>
      <c r="J82" s="26">
        <v>1505.42</v>
      </c>
      <c r="K82" s="26">
        <v>13837.03</v>
      </c>
      <c r="L82" s="26">
        <v>10675.93</v>
      </c>
      <c r="M82" s="15">
        <v>0.0</v>
      </c>
      <c r="N82" s="16">
        <v>0.0</v>
      </c>
      <c r="O82" s="16">
        <f t="shared" ref="O82:O88" si="165">N82*4%</f>
        <v>0</v>
      </c>
      <c r="P82" s="16">
        <f t="shared" ref="P82:P88" si="166">N82*1.68%</f>
        <v>0</v>
      </c>
      <c r="Q82" s="16">
        <f t="shared" ref="Q82:Q88" si="167">M82*(250+300+2)</f>
        <v>0</v>
      </c>
      <c r="R82" s="16">
        <f t="shared" ref="R82:R88" si="168">M82*239.19</f>
        <v>0</v>
      </c>
      <c r="S82" s="17">
        <f t="shared" ref="S82:S88" si="169">M82*393.42</f>
        <v>0</v>
      </c>
      <c r="T82" s="17">
        <f t="shared" ref="T82:T88" si="170">M82*138</f>
        <v>0</v>
      </c>
      <c r="U82" s="7">
        <v>3450.97</v>
      </c>
      <c r="V82" s="18">
        <f t="shared" ref="V82:V88" si="171">P82</f>
        <v>0</v>
      </c>
      <c r="W82" s="6">
        <v>0.0</v>
      </c>
      <c r="X82" s="6"/>
      <c r="Y82" s="6">
        <v>0.0</v>
      </c>
      <c r="Z82" s="6">
        <v>0.0</v>
      </c>
      <c r="AA82" s="18">
        <f t="shared" ref="AA82:AA88" si="172">SUM(U82:Z82)</f>
        <v>3450.97</v>
      </c>
      <c r="AB82" s="41">
        <v>4.0</v>
      </c>
      <c r="AC82" s="52">
        <v>191027.62</v>
      </c>
      <c r="AD82" s="52">
        <v>8155.73</v>
      </c>
      <c r="AE82" s="57">
        <v>1262.78</v>
      </c>
      <c r="AF82" s="56">
        <v>552.0</v>
      </c>
      <c r="AG82" s="56">
        <v>712.61</v>
      </c>
      <c r="AH82" s="56">
        <v>0.0</v>
      </c>
      <c r="AI82" s="52">
        <v>2419.08</v>
      </c>
      <c r="AJ82" s="52">
        <v>3209.26</v>
      </c>
      <c r="AK82" s="15"/>
      <c r="AL82" s="16"/>
      <c r="AM82" s="19"/>
      <c r="AN82" s="19"/>
      <c r="AO82" s="16"/>
      <c r="AP82" s="16"/>
      <c r="AQ82" s="16"/>
      <c r="AR82" s="16"/>
      <c r="AS82" s="7"/>
      <c r="AT82" s="7"/>
      <c r="AU82" s="7"/>
      <c r="AV82" s="7"/>
      <c r="AW82" s="7"/>
      <c r="AX82" s="7"/>
      <c r="AY82" s="7"/>
      <c r="AZ82" s="8"/>
      <c r="BA82" s="9"/>
      <c r="BB82" s="10"/>
      <c r="BC82" s="10"/>
    </row>
    <row r="83">
      <c r="A83" s="11">
        <v>2024.0</v>
      </c>
      <c r="B83" s="11" t="s">
        <v>53</v>
      </c>
      <c r="C83" s="12">
        <v>45508.0</v>
      </c>
      <c r="D83" s="53">
        <v>11.0</v>
      </c>
      <c r="E83" s="26">
        <v>477576.26</v>
      </c>
      <c r="F83" s="26">
        <v>23752.1</v>
      </c>
      <c r="G83" s="26">
        <v>3817.03</v>
      </c>
      <c r="H83" s="26">
        <v>1380.0</v>
      </c>
      <c r="I83" s="26">
        <v>1366.18</v>
      </c>
      <c r="J83" s="26">
        <v>2645.13</v>
      </c>
      <c r="K83" s="26">
        <v>10365.42</v>
      </c>
      <c r="L83" s="26">
        <v>9796.29</v>
      </c>
      <c r="M83" s="15">
        <v>0.0</v>
      </c>
      <c r="N83" s="16">
        <v>0.0</v>
      </c>
      <c r="O83" s="16">
        <f t="shared" si="165"/>
        <v>0</v>
      </c>
      <c r="P83" s="16">
        <f t="shared" si="166"/>
        <v>0</v>
      </c>
      <c r="Q83" s="16">
        <f t="shared" si="167"/>
        <v>0</v>
      </c>
      <c r="R83" s="16">
        <f t="shared" si="168"/>
        <v>0</v>
      </c>
      <c r="S83" s="17">
        <f t="shared" si="169"/>
        <v>0</v>
      </c>
      <c r="T83" s="17">
        <f t="shared" si="170"/>
        <v>0</v>
      </c>
      <c r="U83" s="7">
        <v>3505.78</v>
      </c>
      <c r="V83" s="18">
        <f t="shared" si="171"/>
        <v>0</v>
      </c>
      <c r="W83" s="6">
        <v>0.0</v>
      </c>
      <c r="X83" s="6"/>
      <c r="Y83" s="6">
        <v>0.0</v>
      </c>
      <c r="Z83" s="6">
        <v>0.0</v>
      </c>
      <c r="AA83" s="18">
        <f t="shared" si="172"/>
        <v>3505.78</v>
      </c>
      <c r="AB83" s="42">
        <v>3.0</v>
      </c>
      <c r="AC83" s="54">
        <v>124382.95</v>
      </c>
      <c r="AD83" s="54">
        <v>5650.86</v>
      </c>
      <c r="AE83" s="42">
        <v>942.02</v>
      </c>
      <c r="AF83" s="42">
        <v>414.0</v>
      </c>
      <c r="AG83" s="42">
        <v>540.32</v>
      </c>
      <c r="AH83" s="42">
        <v>0.0</v>
      </c>
      <c r="AI83" s="54">
        <v>1664.89</v>
      </c>
      <c r="AJ83" s="54">
        <v>2089.63</v>
      </c>
      <c r="AK83" s="15"/>
      <c r="AL83" s="16"/>
      <c r="AM83" s="19"/>
      <c r="AN83" s="19"/>
      <c r="AO83" s="16"/>
      <c r="AP83" s="16"/>
      <c r="AQ83" s="16"/>
      <c r="AR83" s="16"/>
      <c r="AS83" s="7"/>
      <c r="AT83" s="7"/>
      <c r="AU83" s="7"/>
      <c r="AV83" s="7"/>
      <c r="AW83" s="7"/>
      <c r="AX83" s="7"/>
      <c r="AY83" s="7"/>
      <c r="AZ83" s="8"/>
      <c r="BA83" s="9"/>
      <c r="BB83" s="10"/>
      <c r="BC83" s="10"/>
    </row>
    <row r="84">
      <c r="A84" s="11">
        <v>2024.0</v>
      </c>
      <c r="B84" s="11" t="s">
        <v>53</v>
      </c>
      <c r="C84" s="12">
        <v>45509.0</v>
      </c>
      <c r="D84" s="44">
        <v>10.0</v>
      </c>
      <c r="E84" s="26">
        <v>619862.54</v>
      </c>
      <c r="F84" s="26">
        <v>26332.03</v>
      </c>
      <c r="G84" s="26">
        <v>3622.43</v>
      </c>
      <c r="H84" s="26">
        <v>1380.0</v>
      </c>
      <c r="I84" s="26">
        <v>1359.81</v>
      </c>
      <c r="J84" s="26">
        <v>793.98</v>
      </c>
      <c r="K84" s="26">
        <v>9556.1</v>
      </c>
      <c r="L84" s="26">
        <v>10413.69</v>
      </c>
      <c r="M84" s="15">
        <v>2.0</v>
      </c>
      <c r="N84" s="16">
        <v>155000.0</v>
      </c>
      <c r="O84" s="16">
        <f t="shared" si="165"/>
        <v>6200</v>
      </c>
      <c r="P84" s="16">
        <f t="shared" si="166"/>
        <v>2604</v>
      </c>
      <c r="Q84" s="16">
        <f t="shared" si="167"/>
        <v>1104</v>
      </c>
      <c r="R84" s="16">
        <f t="shared" si="168"/>
        <v>478.38</v>
      </c>
      <c r="S84" s="17">
        <f t="shared" si="169"/>
        <v>786.84</v>
      </c>
      <c r="T84" s="17">
        <f t="shared" si="170"/>
        <v>276</v>
      </c>
      <c r="U84" s="7">
        <v>8770.29</v>
      </c>
      <c r="V84" s="18">
        <f t="shared" si="171"/>
        <v>2604</v>
      </c>
      <c r="W84" s="6">
        <v>0.0</v>
      </c>
      <c r="X84" s="6"/>
      <c r="Y84" s="6">
        <v>0.0</v>
      </c>
      <c r="Z84" s="6">
        <v>0.0</v>
      </c>
      <c r="AA84" s="18">
        <f t="shared" si="172"/>
        <v>11374.29</v>
      </c>
      <c r="AB84" s="42">
        <v>3.0</v>
      </c>
      <c r="AC84" s="24">
        <v>204845.9</v>
      </c>
      <c r="AD84" s="24">
        <v>7720.56</v>
      </c>
      <c r="AE84" s="24">
        <v>1020.01</v>
      </c>
      <c r="AF84" s="24">
        <v>414.0</v>
      </c>
      <c r="AG84" s="24">
        <v>631.85</v>
      </c>
      <c r="AH84" s="24">
        <v>0.0</v>
      </c>
      <c r="AI84" s="24">
        <v>2213.29</v>
      </c>
      <c r="AJ84" s="24">
        <v>3441.41</v>
      </c>
      <c r="AK84" s="15">
        <v>2.0</v>
      </c>
      <c r="AL84" s="16">
        <v>170547.7</v>
      </c>
      <c r="AM84" s="16">
        <v>6450.0</v>
      </c>
      <c r="AN84" s="16">
        <v>2871.0</v>
      </c>
      <c r="AO84" s="16">
        <v>1100.0</v>
      </c>
      <c r="AP84" s="16">
        <v>942.13</v>
      </c>
      <c r="AQ84" s="16">
        <v>584.57</v>
      </c>
      <c r="AR84" s="16">
        <v>0.0</v>
      </c>
      <c r="AS84" s="7">
        <v>1250.0</v>
      </c>
      <c r="AT84" s="7"/>
      <c r="AU84" s="7">
        <v>650.0</v>
      </c>
      <c r="AV84" s="7">
        <v>0.0</v>
      </c>
      <c r="AW84" s="7">
        <v>0.0</v>
      </c>
      <c r="AX84" s="7">
        <v>75.0</v>
      </c>
      <c r="AY84" s="7">
        <f t="shared" ref="AY84:AY88" si="173">SUM(AS84:AX84)</f>
        <v>1975</v>
      </c>
      <c r="AZ84" s="8"/>
      <c r="BA84" s="9"/>
      <c r="BB84" s="10"/>
      <c r="BC84" s="10"/>
    </row>
    <row r="85">
      <c r="A85" s="11">
        <v>2024.0</v>
      </c>
      <c r="B85" s="11" t="s">
        <v>53</v>
      </c>
      <c r="C85" s="12">
        <v>45510.0</v>
      </c>
      <c r="D85" s="44">
        <v>11.0</v>
      </c>
      <c r="E85" s="26">
        <v>448205.07</v>
      </c>
      <c r="F85" s="26">
        <v>22060.85</v>
      </c>
      <c r="G85" s="26">
        <v>2973.3</v>
      </c>
      <c r="H85" s="26">
        <v>1380.0</v>
      </c>
      <c r="I85" s="26">
        <v>1222.09</v>
      </c>
      <c r="J85" s="26">
        <v>0.0</v>
      </c>
      <c r="K85" s="26">
        <v>8955.61</v>
      </c>
      <c r="L85" s="26">
        <v>7529.85</v>
      </c>
      <c r="M85" s="15">
        <v>1.0</v>
      </c>
      <c r="N85" s="16">
        <v>75000.0</v>
      </c>
      <c r="O85" s="16">
        <f t="shared" si="165"/>
        <v>3000</v>
      </c>
      <c r="P85" s="16">
        <f t="shared" si="166"/>
        <v>1260</v>
      </c>
      <c r="Q85" s="16">
        <f t="shared" si="167"/>
        <v>552</v>
      </c>
      <c r="R85" s="16">
        <f t="shared" si="168"/>
        <v>239.19</v>
      </c>
      <c r="S85" s="17">
        <f t="shared" si="169"/>
        <v>393.42</v>
      </c>
      <c r="T85" s="17">
        <f t="shared" si="170"/>
        <v>138</v>
      </c>
      <c r="U85" s="7">
        <v>7832.74</v>
      </c>
      <c r="V85" s="18">
        <f t="shared" si="171"/>
        <v>1260</v>
      </c>
      <c r="W85" s="6">
        <v>0.0</v>
      </c>
      <c r="X85" s="6"/>
      <c r="Y85" s="18">
        <f t="shared" ref="Y85:Y88" si="174">O85</f>
        <v>3000</v>
      </c>
      <c r="Z85" s="18">
        <f t="shared" ref="Z85:Z88" si="175">Q85</f>
        <v>552</v>
      </c>
      <c r="AA85" s="18">
        <f t="shared" si="172"/>
        <v>12644.74</v>
      </c>
      <c r="AB85" s="42">
        <v>7.0</v>
      </c>
      <c r="AC85" s="24">
        <v>338478.57</v>
      </c>
      <c r="AD85" s="24">
        <v>16348.27</v>
      </c>
      <c r="AE85" s="24">
        <v>2029.56</v>
      </c>
      <c r="AF85" s="24">
        <v>828.0</v>
      </c>
      <c r="AG85" s="24">
        <v>823.92</v>
      </c>
      <c r="AH85" s="24">
        <v>0.0</v>
      </c>
      <c r="AI85" s="24">
        <v>6980.35</v>
      </c>
      <c r="AJ85" s="24">
        <v>5686.44</v>
      </c>
      <c r="AK85" s="15">
        <v>0.0</v>
      </c>
      <c r="AL85" s="16">
        <v>0.0</v>
      </c>
      <c r="AM85" s="16">
        <v>0.0</v>
      </c>
      <c r="AN85" s="16">
        <v>0.0</v>
      </c>
      <c r="AO85" s="16">
        <v>0.0</v>
      </c>
      <c r="AP85" s="16">
        <v>0.0</v>
      </c>
      <c r="AQ85" s="16">
        <v>0.0</v>
      </c>
      <c r="AR85" s="16">
        <v>0.0</v>
      </c>
      <c r="AS85" s="7">
        <v>17841.52</v>
      </c>
      <c r="AT85" s="7"/>
      <c r="AU85" s="7">
        <v>16264.9</v>
      </c>
      <c r="AV85" s="7">
        <v>16449.08</v>
      </c>
      <c r="AW85" s="7">
        <v>0.0</v>
      </c>
      <c r="AX85" s="7">
        <v>296.98</v>
      </c>
      <c r="AY85" s="7">
        <f t="shared" si="173"/>
        <v>50852.48</v>
      </c>
      <c r="AZ85" s="8"/>
      <c r="BA85" s="9"/>
      <c r="BB85" s="10"/>
      <c r="BC85" s="10"/>
    </row>
    <row r="86">
      <c r="A86" s="11">
        <v>2024.0</v>
      </c>
      <c r="B86" s="11" t="s">
        <v>53</v>
      </c>
      <c r="C86" s="12">
        <v>45511.0</v>
      </c>
      <c r="D86" s="44">
        <v>18.0</v>
      </c>
      <c r="E86" s="26">
        <v>821402.78</v>
      </c>
      <c r="F86" s="26">
        <v>40491.94</v>
      </c>
      <c r="G86" s="26">
        <v>5830.94</v>
      </c>
      <c r="H86" s="26">
        <v>2484.0</v>
      </c>
      <c r="I86" s="26">
        <v>3080.12</v>
      </c>
      <c r="J86" s="26">
        <v>2737.39</v>
      </c>
      <c r="K86" s="26">
        <v>16805.31</v>
      </c>
      <c r="L86" s="26">
        <v>16533.85</v>
      </c>
      <c r="M86" s="15">
        <v>1.0</v>
      </c>
      <c r="N86" s="16">
        <v>65000.0</v>
      </c>
      <c r="O86" s="16">
        <f t="shared" si="165"/>
        <v>2600</v>
      </c>
      <c r="P86" s="16">
        <f t="shared" si="166"/>
        <v>1092</v>
      </c>
      <c r="Q86" s="16">
        <f t="shared" si="167"/>
        <v>552</v>
      </c>
      <c r="R86" s="16">
        <f t="shared" si="168"/>
        <v>239.19</v>
      </c>
      <c r="S86" s="17">
        <f t="shared" si="169"/>
        <v>393.42</v>
      </c>
      <c r="T86" s="17">
        <f t="shared" si="170"/>
        <v>138</v>
      </c>
      <c r="U86" s="7">
        <v>14622.04</v>
      </c>
      <c r="V86" s="18">
        <f t="shared" si="171"/>
        <v>1092</v>
      </c>
      <c r="W86" s="6">
        <v>0.0</v>
      </c>
      <c r="X86" s="6"/>
      <c r="Y86" s="18">
        <f t="shared" si="174"/>
        <v>2600</v>
      </c>
      <c r="Z86" s="18">
        <f t="shared" si="175"/>
        <v>552</v>
      </c>
      <c r="AA86" s="18">
        <f t="shared" si="172"/>
        <v>18866.04</v>
      </c>
      <c r="AB86" s="42">
        <v>11.0</v>
      </c>
      <c r="AC86" s="24">
        <v>493862.72</v>
      </c>
      <c r="AD86" s="24">
        <v>23827.42</v>
      </c>
      <c r="AE86" s="24">
        <v>3592.68</v>
      </c>
      <c r="AF86" s="24">
        <v>1518.0</v>
      </c>
      <c r="AG86" s="24">
        <v>2055.32</v>
      </c>
      <c r="AH86" s="24">
        <v>0.0</v>
      </c>
      <c r="AI86" s="24">
        <v>6558.22</v>
      </c>
      <c r="AJ86" s="24">
        <v>10103.2</v>
      </c>
      <c r="AK86" s="15">
        <v>0.0</v>
      </c>
      <c r="AL86" s="16"/>
      <c r="AM86" s="19"/>
      <c r="AN86" s="19"/>
      <c r="AO86" s="16"/>
      <c r="AP86" s="16"/>
      <c r="AQ86" s="16"/>
      <c r="AR86" s="16"/>
      <c r="AS86" s="7">
        <v>16261.04</v>
      </c>
      <c r="AT86" s="7">
        <v>7609.0</v>
      </c>
      <c r="AU86" s="7">
        <v>5454.49</v>
      </c>
      <c r="AV86" s="7">
        <v>7364.59</v>
      </c>
      <c r="AW86" s="7">
        <v>15027.0</v>
      </c>
      <c r="AX86" s="7">
        <f>11973.81-7609</f>
        <v>4364.81</v>
      </c>
      <c r="AY86" s="7">
        <f t="shared" si="173"/>
        <v>56080.93</v>
      </c>
      <c r="AZ86" s="8"/>
      <c r="BA86" s="9"/>
      <c r="BB86" s="10"/>
      <c r="BC86" s="10"/>
    </row>
    <row r="87">
      <c r="A87" s="11">
        <v>2024.0</v>
      </c>
      <c r="B87" s="11" t="s">
        <v>53</v>
      </c>
      <c r="C87" s="12">
        <v>45512.0</v>
      </c>
      <c r="D87" s="44">
        <v>12.0</v>
      </c>
      <c r="E87" s="26">
        <v>478720.38</v>
      </c>
      <c r="F87" s="26">
        <v>26654.91</v>
      </c>
      <c r="G87" s="26">
        <v>3941.64</v>
      </c>
      <c r="H87" s="26">
        <v>1656.0</v>
      </c>
      <c r="I87" s="26">
        <v>1699.05</v>
      </c>
      <c r="J87" s="26">
        <v>0.0</v>
      </c>
      <c r="K87" s="26">
        <v>10813.15</v>
      </c>
      <c r="L87" s="26">
        <v>8545.07</v>
      </c>
      <c r="M87" s="15">
        <v>1.0</v>
      </c>
      <c r="N87" s="16">
        <v>40000.0</v>
      </c>
      <c r="O87" s="16">
        <f t="shared" si="165"/>
        <v>1600</v>
      </c>
      <c r="P87" s="16">
        <f t="shared" si="166"/>
        <v>672</v>
      </c>
      <c r="Q87" s="16">
        <f t="shared" si="167"/>
        <v>552</v>
      </c>
      <c r="R87" s="16">
        <f t="shared" si="168"/>
        <v>239.19</v>
      </c>
      <c r="S87" s="17">
        <f t="shared" si="169"/>
        <v>393.42</v>
      </c>
      <c r="T87" s="17">
        <f t="shared" si="170"/>
        <v>138</v>
      </c>
      <c r="U87" s="7">
        <v>7157.74</v>
      </c>
      <c r="V87" s="18">
        <f t="shared" si="171"/>
        <v>672</v>
      </c>
      <c r="W87" s="6">
        <v>0.0</v>
      </c>
      <c r="X87" s="6"/>
      <c r="Y87" s="18">
        <f t="shared" si="174"/>
        <v>1600</v>
      </c>
      <c r="Z87" s="18">
        <f t="shared" si="175"/>
        <v>552</v>
      </c>
      <c r="AA87" s="18">
        <f t="shared" si="172"/>
        <v>9981.74</v>
      </c>
      <c r="AB87" s="42">
        <v>8.0</v>
      </c>
      <c r="AC87" s="24">
        <v>308012.76</v>
      </c>
      <c r="AD87" s="24">
        <v>15064.68</v>
      </c>
      <c r="AE87" s="24">
        <v>2382.02</v>
      </c>
      <c r="AF87" s="24">
        <v>1104.0</v>
      </c>
      <c r="AG87" s="24">
        <v>1134.24</v>
      </c>
      <c r="AH87" s="24">
        <v>0.0</v>
      </c>
      <c r="AI87" s="24">
        <v>4770.65</v>
      </c>
      <c r="AJ87" s="24">
        <v>5673.77</v>
      </c>
      <c r="AK87" s="15">
        <v>0.0</v>
      </c>
      <c r="AL87" s="16"/>
      <c r="AM87" s="19"/>
      <c r="AN87" s="19"/>
      <c r="AO87" s="16"/>
      <c r="AP87" s="16"/>
      <c r="AQ87" s="16"/>
      <c r="AR87" s="16"/>
      <c r="AS87" s="7">
        <v>5865.34</v>
      </c>
      <c r="AT87" s="7">
        <v>0.0</v>
      </c>
      <c r="AU87" s="7">
        <v>1925.52</v>
      </c>
      <c r="AV87" s="7">
        <v>492.94</v>
      </c>
      <c r="AW87" s="7">
        <v>0.0</v>
      </c>
      <c r="AX87" s="7">
        <v>47.25</v>
      </c>
      <c r="AY87" s="7">
        <f t="shared" si="173"/>
        <v>8331.05</v>
      </c>
      <c r="AZ87" s="8"/>
      <c r="BA87" s="9"/>
      <c r="BB87" s="10"/>
      <c r="BC87" s="10"/>
    </row>
    <row r="88">
      <c r="A88" s="11">
        <v>2024.0</v>
      </c>
      <c r="B88" s="11" t="s">
        <v>53</v>
      </c>
      <c r="C88" s="12">
        <v>45513.0</v>
      </c>
      <c r="D88" s="44">
        <v>10.0</v>
      </c>
      <c r="E88" s="26">
        <v>639871.84</v>
      </c>
      <c r="F88" s="26">
        <v>29486.01</v>
      </c>
      <c r="G88" s="26">
        <v>4143.17</v>
      </c>
      <c r="H88" s="26">
        <v>1104.0</v>
      </c>
      <c r="I88" s="26">
        <v>1419.05</v>
      </c>
      <c r="J88" s="26">
        <v>2438.37</v>
      </c>
      <c r="K88" s="26">
        <v>23148.0</v>
      </c>
      <c r="L88" s="26">
        <v>13718.03</v>
      </c>
      <c r="M88" s="15">
        <v>1.0</v>
      </c>
      <c r="N88" s="16">
        <v>40000.0</v>
      </c>
      <c r="O88" s="16">
        <f t="shared" si="165"/>
        <v>1600</v>
      </c>
      <c r="P88" s="16">
        <f t="shared" si="166"/>
        <v>672</v>
      </c>
      <c r="Q88" s="16">
        <f t="shared" si="167"/>
        <v>552</v>
      </c>
      <c r="R88" s="16">
        <f t="shared" si="168"/>
        <v>239.19</v>
      </c>
      <c r="S88" s="17">
        <f t="shared" si="169"/>
        <v>393.42</v>
      </c>
      <c r="T88" s="17">
        <f t="shared" si="170"/>
        <v>138</v>
      </c>
      <c r="U88" s="7">
        <v>7950.1</v>
      </c>
      <c r="V88" s="18">
        <f t="shared" si="171"/>
        <v>672</v>
      </c>
      <c r="W88" s="6">
        <v>0.0</v>
      </c>
      <c r="X88" s="6"/>
      <c r="Y88" s="18">
        <f t="shared" si="174"/>
        <v>1600</v>
      </c>
      <c r="Z88" s="18">
        <f t="shared" si="175"/>
        <v>552</v>
      </c>
      <c r="AA88" s="18">
        <f t="shared" si="172"/>
        <v>10774.1</v>
      </c>
      <c r="AB88" s="42">
        <v>6.0</v>
      </c>
      <c r="AC88" s="24">
        <v>482194.76</v>
      </c>
      <c r="AD88" s="24">
        <v>20618.39</v>
      </c>
      <c r="AE88" s="24">
        <v>2814.49</v>
      </c>
      <c r="AF88" s="24">
        <v>552.0</v>
      </c>
      <c r="AG88" s="24">
        <v>880.16</v>
      </c>
      <c r="AH88" s="24">
        <v>0.0</v>
      </c>
      <c r="AI88" s="24">
        <v>5555.95</v>
      </c>
      <c r="AJ88" s="24">
        <v>10815.79</v>
      </c>
      <c r="AK88" s="15">
        <v>3.0</v>
      </c>
      <c r="AL88" s="16">
        <v>319208.77</v>
      </c>
      <c r="AM88" s="19">
        <v>12072.0</v>
      </c>
      <c r="AN88" s="19">
        <v>5372.0</v>
      </c>
      <c r="AO88" s="16">
        <v>1800.0</v>
      </c>
      <c r="AP88" s="16">
        <v>1469.91</v>
      </c>
      <c r="AQ88" s="16">
        <v>114486.0</v>
      </c>
      <c r="AR88" s="16">
        <v>0.0</v>
      </c>
      <c r="AS88" s="7">
        <v>9961.49</v>
      </c>
      <c r="AT88" s="7"/>
      <c r="AU88" s="7">
        <v>3425.73</v>
      </c>
      <c r="AV88" s="7">
        <v>646.0</v>
      </c>
      <c r="AW88" s="7">
        <v>2041.0</v>
      </c>
      <c r="AX88" s="7">
        <v>1928.74</v>
      </c>
      <c r="AY88" s="7">
        <f t="shared" si="173"/>
        <v>18002.96</v>
      </c>
      <c r="AZ88" s="8"/>
      <c r="BA88" s="9"/>
      <c r="BB88" s="10"/>
      <c r="BC88" s="10"/>
    </row>
    <row r="89">
      <c r="A89" s="11">
        <v>2024.0</v>
      </c>
      <c r="B89" s="11" t="s">
        <v>53</v>
      </c>
      <c r="C89" s="1"/>
      <c r="D89" s="2">
        <v>100.0</v>
      </c>
      <c r="E89" s="2"/>
      <c r="F89" s="50"/>
      <c r="G89" s="33"/>
      <c r="H89" s="33"/>
      <c r="I89" s="33"/>
      <c r="J89" s="33"/>
      <c r="K89" s="33"/>
      <c r="L89" s="33"/>
      <c r="M89" s="15">
        <v>8.0</v>
      </c>
      <c r="N89" s="51">
        <v>685000.0</v>
      </c>
      <c r="O89" s="35"/>
      <c r="P89" s="35"/>
      <c r="Q89" s="35"/>
      <c r="R89" s="35"/>
      <c r="S89" s="35"/>
      <c r="T89" s="35"/>
      <c r="U89" s="37"/>
      <c r="V89" s="48"/>
      <c r="W89" s="48"/>
      <c r="X89" s="37"/>
      <c r="Y89" s="48"/>
      <c r="Z89" s="48"/>
      <c r="AA89" s="48"/>
      <c r="AB89" s="2"/>
      <c r="AC89" s="33"/>
      <c r="AD89" s="2"/>
      <c r="AE89" s="33"/>
      <c r="AF89" s="33"/>
      <c r="AG89" s="33"/>
      <c r="AH89" s="33"/>
      <c r="AI89" s="33"/>
      <c r="AJ89" s="33"/>
      <c r="AK89" s="4">
        <v>0.0</v>
      </c>
      <c r="AL89" s="4"/>
      <c r="AM89" s="4">
        <v>0.0</v>
      </c>
      <c r="AN89" s="4"/>
      <c r="AO89" s="4"/>
      <c r="AP89" s="4"/>
      <c r="AQ89" s="4">
        <v>0.0</v>
      </c>
      <c r="AR89" s="4">
        <v>0.0</v>
      </c>
      <c r="AS89" s="37"/>
      <c r="AT89" s="48"/>
      <c r="AU89" s="48"/>
      <c r="AV89" s="48"/>
      <c r="AW89" s="48"/>
      <c r="AX89" s="48"/>
      <c r="AY89" s="48"/>
      <c r="AZ89" s="38"/>
      <c r="BA89" s="39"/>
      <c r="BB89" s="40"/>
      <c r="BC89" s="40"/>
    </row>
    <row r="90">
      <c r="A90" s="1">
        <v>2024.0</v>
      </c>
      <c r="B90" s="1" t="s">
        <v>53</v>
      </c>
      <c r="C90" s="1" t="s">
        <v>49</v>
      </c>
      <c r="D90" s="33">
        <f>SUM(D82:D88)</f>
        <v>80</v>
      </c>
      <c r="E90" s="34">
        <f>SUM(E82:E89)</f>
        <v>4126252.67</v>
      </c>
      <c r="F90" s="34">
        <f t="shared" ref="F90:AJ90" si="176">SUM(F82:F88)</f>
        <v>192527.44</v>
      </c>
      <c r="G90" s="34">
        <f t="shared" si="176"/>
        <v>26593.73</v>
      </c>
      <c r="H90" s="34">
        <f t="shared" si="176"/>
        <v>10212</v>
      </c>
      <c r="I90" s="34">
        <f t="shared" si="176"/>
        <v>11295.72</v>
      </c>
      <c r="J90" s="34">
        <f t="shared" si="176"/>
        <v>10120.29</v>
      </c>
      <c r="K90" s="34">
        <f t="shared" si="176"/>
        <v>93480.62</v>
      </c>
      <c r="L90" s="34">
        <f t="shared" si="176"/>
        <v>77212.71</v>
      </c>
      <c r="M90" s="35">
        <f t="shared" si="176"/>
        <v>6</v>
      </c>
      <c r="N90" s="36">
        <f t="shared" si="176"/>
        <v>375000</v>
      </c>
      <c r="O90" s="36">
        <f t="shared" si="176"/>
        <v>15000</v>
      </c>
      <c r="P90" s="36">
        <f t="shared" si="176"/>
        <v>6300</v>
      </c>
      <c r="Q90" s="36">
        <f t="shared" si="176"/>
        <v>3312</v>
      </c>
      <c r="R90" s="36">
        <f t="shared" si="176"/>
        <v>1435.14</v>
      </c>
      <c r="S90" s="36">
        <f t="shared" si="176"/>
        <v>2360.52</v>
      </c>
      <c r="T90" s="36">
        <f t="shared" si="176"/>
        <v>828</v>
      </c>
      <c r="U90" s="37">
        <f t="shared" si="176"/>
        <v>53289.66</v>
      </c>
      <c r="V90" s="37">
        <f t="shared" si="176"/>
        <v>6300</v>
      </c>
      <c r="W90" s="48">
        <f t="shared" si="176"/>
        <v>0</v>
      </c>
      <c r="X90" s="37">
        <f t="shared" si="176"/>
        <v>0</v>
      </c>
      <c r="Y90" s="48">
        <f t="shared" si="176"/>
        <v>8800</v>
      </c>
      <c r="Z90" s="48">
        <f t="shared" si="176"/>
        <v>2208</v>
      </c>
      <c r="AA90" s="37">
        <f t="shared" si="176"/>
        <v>70597.66</v>
      </c>
      <c r="AB90" s="33">
        <f t="shared" si="176"/>
        <v>42</v>
      </c>
      <c r="AC90" s="55">
        <f t="shared" si="176"/>
        <v>2142805.28</v>
      </c>
      <c r="AD90" s="55">
        <f t="shared" si="176"/>
        <v>97385.91</v>
      </c>
      <c r="AE90" s="55">
        <f t="shared" si="176"/>
        <v>14043.56</v>
      </c>
      <c r="AF90" s="33">
        <f t="shared" si="176"/>
        <v>5382</v>
      </c>
      <c r="AG90" s="33">
        <f t="shared" si="176"/>
        <v>6778.42</v>
      </c>
      <c r="AH90" s="33">
        <f t="shared" si="176"/>
        <v>0</v>
      </c>
      <c r="AI90" s="55">
        <f t="shared" si="176"/>
        <v>30162.43</v>
      </c>
      <c r="AJ90" s="55">
        <f t="shared" si="176"/>
        <v>41019.5</v>
      </c>
      <c r="AK90" s="35">
        <f t="shared" ref="AK90:AR90" si="177">SUM(AK82:AK89)</f>
        <v>5</v>
      </c>
      <c r="AL90" s="36">
        <f t="shared" si="177"/>
        <v>489756.47</v>
      </c>
      <c r="AM90" s="36">
        <f t="shared" si="177"/>
        <v>18522</v>
      </c>
      <c r="AN90" s="36">
        <f t="shared" si="177"/>
        <v>8243</v>
      </c>
      <c r="AO90" s="36">
        <f t="shared" si="177"/>
        <v>2900</v>
      </c>
      <c r="AP90" s="36">
        <f t="shared" si="177"/>
        <v>2412.04</v>
      </c>
      <c r="AQ90" s="36">
        <f t="shared" si="177"/>
        <v>115070.57</v>
      </c>
      <c r="AR90" s="36">
        <f t="shared" si="177"/>
        <v>0</v>
      </c>
      <c r="AS90" s="37">
        <f t="shared" ref="AS90:AY90" si="178">SUM(AS82:AS88)</f>
        <v>51179.39</v>
      </c>
      <c r="AT90" s="37">
        <f t="shared" si="178"/>
        <v>7609</v>
      </c>
      <c r="AU90" s="37">
        <f t="shared" si="178"/>
        <v>27720.64</v>
      </c>
      <c r="AV90" s="37">
        <f t="shared" si="178"/>
        <v>24952.61</v>
      </c>
      <c r="AW90" s="37">
        <f t="shared" si="178"/>
        <v>17068</v>
      </c>
      <c r="AX90" s="37">
        <f t="shared" si="178"/>
        <v>6712.78</v>
      </c>
      <c r="AY90" s="37">
        <f t="shared" si="178"/>
        <v>135242.42</v>
      </c>
      <c r="AZ90" s="38"/>
      <c r="BA90" s="39"/>
      <c r="BB90" s="40"/>
      <c r="BC90" s="40"/>
    </row>
    <row r="91">
      <c r="A91" s="11">
        <v>2024.0</v>
      </c>
      <c r="B91" s="11" t="s">
        <v>53</v>
      </c>
      <c r="C91" s="12">
        <v>45514.0</v>
      </c>
      <c r="D91" s="44">
        <v>7.0</v>
      </c>
      <c r="E91" s="26">
        <v>554642.98</v>
      </c>
      <c r="F91" s="26">
        <v>22724.18</v>
      </c>
      <c r="G91" s="26">
        <v>3115.59</v>
      </c>
      <c r="H91" s="26">
        <v>966.0</v>
      </c>
      <c r="I91" s="26">
        <v>1279.58</v>
      </c>
      <c r="J91" s="26">
        <v>1497.7</v>
      </c>
      <c r="K91" s="26">
        <v>7049.69</v>
      </c>
      <c r="L91" s="26">
        <v>10313.32</v>
      </c>
      <c r="M91" s="15"/>
      <c r="N91" s="16"/>
      <c r="O91" s="16">
        <f t="shared" ref="O91:O97" si="179">N91*4%</f>
        <v>0</v>
      </c>
      <c r="P91" s="16">
        <f t="shared" ref="P91:P97" si="180">N91*1.68%</f>
        <v>0</v>
      </c>
      <c r="Q91" s="16">
        <f t="shared" ref="Q91:Q97" si="181">M91*(250+300+2)</f>
        <v>0</v>
      </c>
      <c r="R91" s="16">
        <f t="shared" ref="R91:R97" si="182">M91*239.19</f>
        <v>0</v>
      </c>
      <c r="S91" s="17">
        <f t="shared" ref="S91:S97" si="183">M91*393.42</f>
        <v>0</v>
      </c>
      <c r="T91" s="17">
        <f t="shared" ref="T91:T97" si="184">M91*138</f>
        <v>0</v>
      </c>
      <c r="U91" s="7">
        <v>1899.08</v>
      </c>
      <c r="V91" s="18">
        <f t="shared" ref="V91:V97" si="185">P91</f>
        <v>0</v>
      </c>
      <c r="W91" s="7">
        <f t="shared" ref="W91:W97" si="186">I91+R91</f>
        <v>1279.58</v>
      </c>
      <c r="X91" s="7">
        <v>1497.7</v>
      </c>
      <c r="Y91" s="6">
        <v>0.0</v>
      </c>
      <c r="Z91" s="6">
        <v>0.0</v>
      </c>
      <c r="AA91" s="18">
        <f t="shared" ref="AA91:AA97" si="187">SUM(U91:Z91)</f>
        <v>4676.36</v>
      </c>
      <c r="AB91" s="41">
        <v>3.0</v>
      </c>
      <c r="AC91" s="52">
        <v>149240.68</v>
      </c>
      <c r="AD91" s="52">
        <v>6193.21</v>
      </c>
      <c r="AE91" s="56">
        <v>831.33</v>
      </c>
      <c r="AF91" s="56">
        <v>276.0</v>
      </c>
      <c r="AG91" s="56">
        <v>385.17</v>
      </c>
      <c r="AH91" s="56">
        <v>0.0</v>
      </c>
      <c r="AI91" s="52">
        <v>2193.47</v>
      </c>
      <c r="AJ91" s="52">
        <v>2507.24</v>
      </c>
      <c r="AK91" s="15"/>
      <c r="AL91" s="16"/>
      <c r="AM91" s="19"/>
      <c r="AN91" s="19"/>
      <c r="AO91" s="16"/>
      <c r="AP91" s="16"/>
      <c r="AQ91" s="16"/>
      <c r="AR91" s="16"/>
      <c r="AS91" s="7"/>
      <c r="AT91" s="7"/>
      <c r="AU91" s="7"/>
      <c r="AV91" s="7"/>
      <c r="AW91" s="7"/>
      <c r="AX91" s="7"/>
      <c r="AY91" s="7"/>
      <c r="AZ91" s="8"/>
      <c r="BA91" s="9"/>
      <c r="BB91" s="10"/>
      <c r="BC91" s="10"/>
    </row>
    <row r="92">
      <c r="A92" s="11">
        <v>2024.0</v>
      </c>
      <c r="B92" s="11" t="s">
        <v>53</v>
      </c>
      <c r="C92" s="12">
        <v>45515.0</v>
      </c>
      <c r="D92" s="53">
        <v>1.0</v>
      </c>
      <c r="E92" s="26">
        <v>55111.48</v>
      </c>
      <c r="F92" s="26">
        <v>2197.14</v>
      </c>
      <c r="G92" s="26">
        <v>302.56</v>
      </c>
      <c r="H92" s="26">
        <v>138.0</v>
      </c>
      <c r="I92" s="26">
        <v>139.19</v>
      </c>
      <c r="J92" s="26">
        <v>0.0</v>
      </c>
      <c r="K92" s="26">
        <v>691.52</v>
      </c>
      <c r="L92" s="26">
        <v>925.87</v>
      </c>
      <c r="M92" s="15"/>
      <c r="N92" s="16"/>
      <c r="O92" s="16">
        <f t="shared" si="179"/>
        <v>0</v>
      </c>
      <c r="P92" s="16">
        <f t="shared" si="180"/>
        <v>0</v>
      </c>
      <c r="Q92" s="16">
        <f t="shared" si="181"/>
        <v>0</v>
      </c>
      <c r="R92" s="16">
        <f t="shared" si="182"/>
        <v>0</v>
      </c>
      <c r="S92" s="17">
        <f t="shared" si="183"/>
        <v>0</v>
      </c>
      <c r="T92" s="17">
        <f t="shared" si="184"/>
        <v>0</v>
      </c>
      <c r="U92" s="7">
        <v>2197.14</v>
      </c>
      <c r="V92" s="18">
        <f t="shared" si="185"/>
        <v>0</v>
      </c>
      <c r="W92" s="7">
        <f t="shared" si="186"/>
        <v>139.19</v>
      </c>
      <c r="X92" s="7">
        <v>0.0</v>
      </c>
      <c r="Y92" s="6">
        <v>0.0</v>
      </c>
      <c r="Z92" s="6">
        <v>0.0</v>
      </c>
      <c r="AA92" s="18">
        <f t="shared" si="187"/>
        <v>2336.33</v>
      </c>
      <c r="AB92" s="42">
        <v>1.0</v>
      </c>
      <c r="AC92" s="58">
        <v>55111.48</v>
      </c>
      <c r="AD92" s="58">
        <v>2197.14</v>
      </c>
      <c r="AE92" s="58">
        <v>302.56</v>
      </c>
      <c r="AF92" s="58">
        <v>138.0</v>
      </c>
      <c r="AG92" s="58">
        <v>139.19</v>
      </c>
      <c r="AH92" s="58">
        <v>0.0</v>
      </c>
      <c r="AI92" s="58">
        <v>691.52</v>
      </c>
      <c r="AJ92" s="58">
        <v>925.87</v>
      </c>
      <c r="AK92" s="15"/>
      <c r="AL92" s="16"/>
      <c r="AM92" s="19"/>
      <c r="AN92" s="19"/>
      <c r="AO92" s="16"/>
      <c r="AP92" s="16"/>
      <c r="AQ92" s="16"/>
      <c r="AR92" s="16"/>
      <c r="AS92" s="7"/>
      <c r="AT92" s="7"/>
      <c r="AU92" s="7"/>
      <c r="AV92" s="7"/>
      <c r="AW92" s="7"/>
      <c r="AX92" s="7"/>
      <c r="AY92" s="7"/>
      <c r="AZ92" s="8"/>
      <c r="BA92" s="9"/>
      <c r="BB92" s="10"/>
      <c r="BC92" s="10"/>
    </row>
    <row r="93">
      <c r="A93" s="11">
        <v>2024.0</v>
      </c>
      <c r="B93" s="11" t="s">
        <v>53</v>
      </c>
      <c r="C93" s="12">
        <v>45516.0</v>
      </c>
      <c r="D93" s="44">
        <v>3.0</v>
      </c>
      <c r="E93" s="26">
        <v>54942.92</v>
      </c>
      <c r="F93" s="26">
        <v>3244.56</v>
      </c>
      <c r="G93" s="26">
        <v>874.29</v>
      </c>
      <c r="H93" s="26">
        <v>414.0</v>
      </c>
      <c r="I93" s="26">
        <v>498.01</v>
      </c>
      <c r="J93" s="26">
        <v>0.0</v>
      </c>
      <c r="K93" s="26">
        <v>535.22</v>
      </c>
      <c r="L93" s="26">
        <v>923.04</v>
      </c>
      <c r="M93" s="15">
        <v>1.0</v>
      </c>
      <c r="N93" s="16">
        <v>44000.0</v>
      </c>
      <c r="O93" s="16">
        <f t="shared" si="179"/>
        <v>1760</v>
      </c>
      <c r="P93" s="16">
        <f t="shared" si="180"/>
        <v>739.2</v>
      </c>
      <c r="Q93" s="16">
        <f t="shared" si="181"/>
        <v>552</v>
      </c>
      <c r="R93" s="16">
        <f t="shared" si="182"/>
        <v>239.19</v>
      </c>
      <c r="S93" s="17">
        <f t="shared" si="183"/>
        <v>393.42</v>
      </c>
      <c r="T93" s="17">
        <f t="shared" si="184"/>
        <v>138</v>
      </c>
      <c r="U93" s="7">
        <v>239.81</v>
      </c>
      <c r="V93" s="18">
        <f t="shared" si="185"/>
        <v>739.2</v>
      </c>
      <c r="W93" s="7">
        <f t="shared" si="186"/>
        <v>737.2</v>
      </c>
      <c r="X93" s="7">
        <v>0.0</v>
      </c>
      <c r="Y93" s="6">
        <v>0.0</v>
      </c>
      <c r="Z93" s="6">
        <v>0.0</v>
      </c>
      <c r="AA93" s="18">
        <f t="shared" si="187"/>
        <v>1716.21</v>
      </c>
      <c r="AB93" s="42">
        <v>2.0</v>
      </c>
      <c r="AC93" s="24">
        <v>54942.92</v>
      </c>
      <c r="AD93" s="24">
        <v>3244.56</v>
      </c>
      <c r="AE93" s="24">
        <v>648.89</v>
      </c>
      <c r="AF93" s="24">
        <v>276.0</v>
      </c>
      <c r="AG93" s="24">
        <v>392.66</v>
      </c>
      <c r="AH93" s="24">
        <v>0.0</v>
      </c>
      <c r="AI93" s="24">
        <v>1003.97</v>
      </c>
      <c r="AJ93" s="24">
        <v>923.04</v>
      </c>
      <c r="AK93" s="15"/>
      <c r="AL93" s="16"/>
      <c r="AM93" s="16"/>
      <c r="AN93" s="16"/>
      <c r="AO93" s="16"/>
      <c r="AP93" s="16"/>
      <c r="AQ93" s="16"/>
      <c r="AR93" s="16"/>
      <c r="AS93" s="7">
        <v>21598.38</v>
      </c>
      <c r="AT93" s="7">
        <v>4464.0</v>
      </c>
      <c r="AU93" s="7">
        <v>4932.42</v>
      </c>
      <c r="AV93" s="7">
        <v>7029.27</v>
      </c>
      <c r="AW93" s="7">
        <v>10031.0</v>
      </c>
      <c r="AX93" s="7">
        <f>6732.9-4464</f>
        <v>2268.9</v>
      </c>
      <c r="AY93" s="7">
        <f t="shared" ref="AY93:AY97" si="188">SUM(AS93:AX93)</f>
        <v>50323.97</v>
      </c>
      <c r="AZ93" s="8"/>
      <c r="BA93" s="9"/>
      <c r="BB93" s="10"/>
      <c r="BC93" s="10"/>
    </row>
    <row r="94">
      <c r="A94" s="11">
        <v>2024.0</v>
      </c>
      <c r="B94" s="11" t="s">
        <v>53</v>
      </c>
      <c r="C94" s="12">
        <v>45517.0</v>
      </c>
      <c r="D94" s="44">
        <v>4.0</v>
      </c>
      <c r="E94" s="26">
        <v>262927.8</v>
      </c>
      <c r="F94" s="26">
        <v>14790.39</v>
      </c>
      <c r="G94" s="26">
        <v>1457.38</v>
      </c>
      <c r="H94" s="26">
        <v>414.0</v>
      </c>
      <c r="I94" s="26">
        <v>564.26</v>
      </c>
      <c r="J94" s="26">
        <v>1948.42</v>
      </c>
      <c r="K94" s="26">
        <v>6938.46</v>
      </c>
      <c r="L94" s="26">
        <v>5416.29</v>
      </c>
      <c r="M94" s="15">
        <v>1.0</v>
      </c>
      <c r="N94" s="16">
        <v>71000.0</v>
      </c>
      <c r="O94" s="16">
        <f t="shared" si="179"/>
        <v>2840</v>
      </c>
      <c r="P94" s="16">
        <f t="shared" si="180"/>
        <v>1192.8</v>
      </c>
      <c r="Q94" s="16">
        <f t="shared" si="181"/>
        <v>552</v>
      </c>
      <c r="R94" s="16">
        <f t="shared" si="182"/>
        <v>239.19</v>
      </c>
      <c r="S94" s="17">
        <f t="shared" si="183"/>
        <v>393.42</v>
      </c>
      <c r="T94" s="17">
        <f t="shared" si="184"/>
        <v>138</v>
      </c>
      <c r="U94" s="7">
        <v>1226.2</v>
      </c>
      <c r="V94" s="18">
        <f t="shared" si="185"/>
        <v>1192.8</v>
      </c>
      <c r="W94" s="7">
        <f t="shared" si="186"/>
        <v>803.45</v>
      </c>
      <c r="X94" s="7">
        <v>1948.42</v>
      </c>
      <c r="Y94" s="18">
        <f t="shared" ref="Y94:Y97" si="189">O94</f>
        <v>2840</v>
      </c>
      <c r="Z94" s="18">
        <f t="shared" ref="Z94:Z97" si="190">Q94</f>
        <v>552</v>
      </c>
      <c r="AA94" s="18">
        <f t="shared" si="187"/>
        <v>8562.87</v>
      </c>
      <c r="AB94" s="42">
        <v>2.0</v>
      </c>
      <c r="AC94" s="24">
        <v>205406.09</v>
      </c>
      <c r="AD94" s="24">
        <v>11255.33</v>
      </c>
      <c r="AE94" s="24">
        <v>950.92</v>
      </c>
      <c r="AF94" s="24">
        <v>138.0</v>
      </c>
      <c r="AG94" s="24">
        <v>297.62</v>
      </c>
      <c r="AH94" s="24">
        <v>0.0</v>
      </c>
      <c r="AI94" s="24">
        <v>5722.65</v>
      </c>
      <c r="AJ94" s="24">
        <v>4146.14</v>
      </c>
      <c r="AK94" s="15">
        <v>2.0</v>
      </c>
      <c r="AL94" s="16">
        <v>113601.68</v>
      </c>
      <c r="AM94" s="16">
        <v>4297.0</v>
      </c>
      <c r="AN94" s="16">
        <v>1912.0</v>
      </c>
      <c r="AO94" s="16">
        <v>1200.0</v>
      </c>
      <c r="AP94" s="16">
        <v>852.68</v>
      </c>
      <c r="AQ94" s="16">
        <v>490.0</v>
      </c>
      <c r="AR94" s="16">
        <v>0.0</v>
      </c>
      <c r="AS94" s="7">
        <v>10948.82</v>
      </c>
      <c r="AT94" s="7">
        <v>1912.0</v>
      </c>
      <c r="AU94" s="7">
        <v>3655.43</v>
      </c>
      <c r="AV94" s="7">
        <v>283.86</v>
      </c>
      <c r="AW94" s="7">
        <v>4297.0</v>
      </c>
      <c r="AX94" s="7">
        <f>3965.37-1912</f>
        <v>2053.37</v>
      </c>
      <c r="AY94" s="7">
        <f t="shared" si="188"/>
        <v>23150.48</v>
      </c>
      <c r="AZ94" s="8"/>
      <c r="BA94" s="9"/>
      <c r="BB94" s="10"/>
      <c r="BC94" s="10"/>
    </row>
    <row r="95">
      <c r="A95" s="11">
        <v>2024.0</v>
      </c>
      <c r="B95" s="11" t="s">
        <v>53</v>
      </c>
      <c r="C95" s="12">
        <v>45518.0</v>
      </c>
      <c r="D95" s="44">
        <v>16.0</v>
      </c>
      <c r="E95" s="26">
        <v>2646391.17</v>
      </c>
      <c r="F95" s="26">
        <v>85655.3</v>
      </c>
      <c r="G95" s="26">
        <v>4635.33</v>
      </c>
      <c r="H95" s="26">
        <v>1932.0</v>
      </c>
      <c r="I95" s="26">
        <v>2029.78</v>
      </c>
      <c r="J95" s="26">
        <f>3927.23+35632.82</f>
        <v>39560.05</v>
      </c>
      <c r="K95" s="26">
        <v>272214.94</v>
      </c>
      <c r="L95" s="26">
        <v>51102.06</v>
      </c>
      <c r="M95" s="15">
        <v>1.0</v>
      </c>
      <c r="N95" s="16">
        <v>104000.0</v>
      </c>
      <c r="O95" s="16">
        <f t="shared" si="179"/>
        <v>4160</v>
      </c>
      <c r="P95" s="16">
        <f t="shared" si="180"/>
        <v>1747.2</v>
      </c>
      <c r="Q95" s="16">
        <f t="shared" si="181"/>
        <v>552</v>
      </c>
      <c r="R95" s="16">
        <f t="shared" si="182"/>
        <v>239.19</v>
      </c>
      <c r="S95" s="17">
        <f t="shared" si="183"/>
        <v>393.42</v>
      </c>
      <c r="T95" s="17">
        <f t="shared" si="184"/>
        <v>138</v>
      </c>
      <c r="U95" s="7">
        <v>23154.08</v>
      </c>
      <c r="V95" s="18">
        <f t="shared" si="185"/>
        <v>1747.2</v>
      </c>
      <c r="W95" s="7">
        <f t="shared" si="186"/>
        <v>2268.97</v>
      </c>
      <c r="X95" s="7">
        <f>3927.23+35632.82</f>
        <v>39560.05</v>
      </c>
      <c r="Y95" s="18">
        <f t="shared" si="189"/>
        <v>4160</v>
      </c>
      <c r="Z95" s="18">
        <f t="shared" si="190"/>
        <v>552</v>
      </c>
      <c r="AA95" s="18">
        <f t="shared" si="187"/>
        <v>71442.3</v>
      </c>
      <c r="AB95" s="42">
        <v>7.0</v>
      </c>
      <c r="AC95" s="24">
        <v>281415.65</v>
      </c>
      <c r="AD95" s="24">
        <v>13422.56</v>
      </c>
      <c r="AE95" s="24">
        <v>2030.52</v>
      </c>
      <c r="AF95" s="24">
        <v>966.0</v>
      </c>
      <c r="AG95" s="24">
        <v>1096.37</v>
      </c>
      <c r="AH95" s="24">
        <v>0.0</v>
      </c>
      <c r="AI95" s="24">
        <v>3996.05</v>
      </c>
      <c r="AJ95" s="24">
        <v>5333.62</v>
      </c>
      <c r="AK95" s="15">
        <v>2.0</v>
      </c>
      <c r="AL95" s="16">
        <v>130583.49</v>
      </c>
      <c r="AM95" s="19">
        <v>4939.0</v>
      </c>
      <c r="AN95" s="19">
        <v>2199.0</v>
      </c>
      <c r="AO95" s="16">
        <v>700.0</v>
      </c>
      <c r="AP95" s="16">
        <v>1005.44</v>
      </c>
      <c r="AQ95" s="16">
        <v>490.0</v>
      </c>
      <c r="AR95" s="16">
        <v>0.0</v>
      </c>
      <c r="AS95" s="7">
        <v>2898.87</v>
      </c>
      <c r="AT95" s="7"/>
      <c r="AU95" s="7">
        <v>1351.49</v>
      </c>
      <c r="AV95" s="7">
        <v>1600.66</v>
      </c>
      <c r="AW95" s="7">
        <v>0.0</v>
      </c>
      <c r="AX95" s="7">
        <v>857.97</v>
      </c>
      <c r="AY95" s="7">
        <f t="shared" si="188"/>
        <v>6708.99</v>
      </c>
      <c r="AZ95" s="8"/>
      <c r="BA95" s="9"/>
      <c r="BB95" s="10"/>
      <c r="BC95" s="10"/>
    </row>
    <row r="96">
      <c r="A96" s="11">
        <v>2024.0</v>
      </c>
      <c r="B96" s="11" t="s">
        <v>53</v>
      </c>
      <c r="C96" s="12">
        <v>45519.0</v>
      </c>
      <c r="D96" s="44">
        <v>38.0</v>
      </c>
      <c r="E96" s="26">
        <v>1637995.66</v>
      </c>
      <c r="F96" s="26">
        <v>79843.74</v>
      </c>
      <c r="G96" s="26">
        <v>11713.57</v>
      </c>
      <c r="H96" s="26">
        <v>4554.0</v>
      </c>
      <c r="I96" s="26">
        <v>5570.9</v>
      </c>
      <c r="J96" s="26">
        <v>6124.69</v>
      </c>
      <c r="K96" s="26">
        <v>28479.03</v>
      </c>
      <c r="L96" s="26">
        <v>22755.81</v>
      </c>
      <c r="M96" s="15">
        <v>2.0</v>
      </c>
      <c r="N96" s="16">
        <v>115000.0</v>
      </c>
      <c r="O96" s="16">
        <f t="shared" si="179"/>
        <v>4600</v>
      </c>
      <c r="P96" s="16">
        <f t="shared" si="180"/>
        <v>1932</v>
      </c>
      <c r="Q96" s="16">
        <f t="shared" si="181"/>
        <v>1104</v>
      </c>
      <c r="R96" s="16">
        <f t="shared" si="182"/>
        <v>478.38</v>
      </c>
      <c r="S96" s="17">
        <f t="shared" si="183"/>
        <v>786.84</v>
      </c>
      <c r="T96" s="17">
        <f t="shared" si="184"/>
        <v>276</v>
      </c>
      <c r="U96" s="7">
        <v>20995.66</v>
      </c>
      <c r="V96" s="18">
        <f t="shared" si="185"/>
        <v>1932</v>
      </c>
      <c r="W96" s="7">
        <f t="shared" si="186"/>
        <v>6049.28</v>
      </c>
      <c r="X96" s="7">
        <v>6124.69</v>
      </c>
      <c r="Y96" s="18">
        <f t="shared" si="189"/>
        <v>4600</v>
      </c>
      <c r="Z96" s="18">
        <f t="shared" si="190"/>
        <v>1104</v>
      </c>
      <c r="AA96" s="18">
        <f t="shared" si="187"/>
        <v>40805.63</v>
      </c>
      <c r="AB96" s="42">
        <v>16.0</v>
      </c>
      <c r="AC96" s="24">
        <v>731117.69</v>
      </c>
      <c r="AD96" s="24">
        <v>35969.51</v>
      </c>
      <c r="AE96" s="24">
        <v>5170.09</v>
      </c>
      <c r="AF96" s="24">
        <v>2208.0</v>
      </c>
      <c r="AG96" s="24">
        <v>2167.66</v>
      </c>
      <c r="AH96" s="24">
        <v>0.0</v>
      </c>
      <c r="AI96" s="24">
        <v>13896.49</v>
      </c>
      <c r="AJ96" s="24">
        <v>12282.78</v>
      </c>
      <c r="AK96" s="15"/>
      <c r="AL96" s="16"/>
      <c r="AM96" s="19"/>
      <c r="AN96" s="19"/>
      <c r="AO96" s="16"/>
      <c r="AP96" s="16"/>
      <c r="AQ96" s="16"/>
      <c r="AR96" s="16"/>
      <c r="AS96" s="7">
        <v>0.0</v>
      </c>
      <c r="AT96" s="7">
        <v>0.0</v>
      </c>
      <c r="AU96" s="7">
        <v>0.0</v>
      </c>
      <c r="AV96" s="7">
        <v>0.0</v>
      </c>
      <c r="AW96" s="7">
        <v>0.0</v>
      </c>
      <c r="AX96" s="7">
        <v>0.0</v>
      </c>
      <c r="AY96" s="7">
        <f t="shared" si="188"/>
        <v>0</v>
      </c>
      <c r="AZ96" s="8"/>
      <c r="BA96" s="9"/>
      <c r="BB96" s="10"/>
      <c r="BC96" s="10"/>
    </row>
    <row r="97">
      <c r="A97" s="11">
        <v>2024.0</v>
      </c>
      <c r="B97" s="11" t="s">
        <v>53</v>
      </c>
      <c r="C97" s="12">
        <v>45520.0</v>
      </c>
      <c r="D97" s="44">
        <v>15.0</v>
      </c>
      <c r="E97" s="26">
        <v>1418531.23</v>
      </c>
      <c r="F97" s="26">
        <v>43578.72</v>
      </c>
      <c r="G97" s="26">
        <v>4365.65</v>
      </c>
      <c r="H97" s="26">
        <v>1656.0</v>
      </c>
      <c r="I97" s="26">
        <v>2153.4</v>
      </c>
      <c r="J97" s="26">
        <v>14697.27</v>
      </c>
      <c r="K97" s="26">
        <v>19544.49</v>
      </c>
      <c r="L97" s="26">
        <v>23930.65</v>
      </c>
      <c r="M97" s="15">
        <v>2.0</v>
      </c>
      <c r="N97" s="16">
        <v>162000.0</v>
      </c>
      <c r="O97" s="16">
        <f t="shared" si="179"/>
        <v>6480</v>
      </c>
      <c r="P97" s="16">
        <f t="shared" si="180"/>
        <v>2721.6</v>
      </c>
      <c r="Q97" s="16">
        <f t="shared" si="181"/>
        <v>1104</v>
      </c>
      <c r="R97" s="16">
        <f t="shared" si="182"/>
        <v>478.38</v>
      </c>
      <c r="S97" s="17">
        <f t="shared" si="183"/>
        <v>786.84</v>
      </c>
      <c r="T97" s="17">
        <f t="shared" si="184"/>
        <v>276</v>
      </c>
      <c r="U97" s="7">
        <v>13904.07</v>
      </c>
      <c r="V97" s="18">
        <f t="shared" si="185"/>
        <v>2721.6</v>
      </c>
      <c r="W97" s="7">
        <f t="shared" si="186"/>
        <v>2631.78</v>
      </c>
      <c r="X97" s="7">
        <v>14697.27</v>
      </c>
      <c r="Y97" s="18">
        <f t="shared" si="189"/>
        <v>6480</v>
      </c>
      <c r="Z97" s="18">
        <f t="shared" si="190"/>
        <v>1104</v>
      </c>
      <c r="AA97" s="18">
        <f t="shared" si="187"/>
        <v>41538.72</v>
      </c>
      <c r="AB97" s="42">
        <v>5.0</v>
      </c>
      <c r="AC97" s="24">
        <v>387772.85</v>
      </c>
      <c r="AD97" s="24">
        <v>15135.35</v>
      </c>
      <c r="AE97" s="24">
        <v>1891.5</v>
      </c>
      <c r="AF97" s="24">
        <v>552.0</v>
      </c>
      <c r="AG97" s="24">
        <v>960.97</v>
      </c>
      <c r="AH97" s="24">
        <v>0.0</v>
      </c>
      <c r="AI97" s="24">
        <v>5216.3</v>
      </c>
      <c r="AJ97" s="24">
        <v>6396.98</v>
      </c>
      <c r="AK97" s="15">
        <v>1.0</v>
      </c>
      <c r="AL97" s="16">
        <v>61777.0</v>
      </c>
      <c r="AM97" s="19"/>
      <c r="AN97" s="19"/>
      <c r="AO97" s="16"/>
      <c r="AP97" s="16"/>
      <c r="AQ97" s="16"/>
      <c r="AR97" s="16"/>
      <c r="AS97" s="7">
        <v>26410.84</v>
      </c>
      <c r="AT97" s="7">
        <v>3239.0</v>
      </c>
      <c r="AU97" s="7">
        <v>5353.36</v>
      </c>
      <c r="AV97" s="7">
        <v>4120.02</v>
      </c>
      <c r="AW97" s="7">
        <v>7276.0</v>
      </c>
      <c r="AX97" s="7">
        <f>6561.12-AT97</f>
        <v>3322.12</v>
      </c>
      <c r="AY97" s="7">
        <f t="shared" si="188"/>
        <v>49721.34</v>
      </c>
      <c r="AZ97" s="8"/>
      <c r="BA97" s="9"/>
      <c r="BB97" s="10"/>
      <c r="BC97" s="10"/>
    </row>
    <row r="98">
      <c r="A98" s="11">
        <v>2024.0</v>
      </c>
      <c r="B98" s="11" t="s">
        <v>53</v>
      </c>
      <c r="C98" s="1"/>
      <c r="D98" s="2">
        <v>101.0</v>
      </c>
      <c r="E98" s="2"/>
      <c r="F98" s="50"/>
      <c r="G98" s="33"/>
      <c r="H98" s="33"/>
      <c r="I98" s="33"/>
      <c r="J98" s="33"/>
      <c r="K98" s="33"/>
      <c r="L98" s="33"/>
      <c r="M98" s="15">
        <v>12.0</v>
      </c>
      <c r="N98" s="51">
        <v>841000.0</v>
      </c>
      <c r="O98" s="35"/>
      <c r="P98" s="35"/>
      <c r="Q98" s="35"/>
      <c r="R98" s="35"/>
      <c r="S98" s="35"/>
      <c r="T98" s="35"/>
      <c r="U98" s="37"/>
      <c r="V98" s="48"/>
      <c r="W98" s="48"/>
      <c r="X98" s="37"/>
      <c r="Y98" s="48"/>
      <c r="Z98" s="48"/>
      <c r="AA98" s="48"/>
      <c r="AB98" s="2"/>
      <c r="AC98" s="33"/>
      <c r="AD98" s="2"/>
      <c r="AE98" s="33"/>
      <c r="AF98" s="33"/>
      <c r="AG98" s="33"/>
      <c r="AH98" s="33"/>
      <c r="AI98" s="33"/>
      <c r="AJ98" s="33"/>
      <c r="AK98" s="4"/>
      <c r="AL98" s="4"/>
      <c r="AM98" s="35"/>
      <c r="AN98" s="35"/>
      <c r="AO98" s="35"/>
      <c r="AP98" s="35"/>
      <c r="AQ98" s="35"/>
      <c r="AR98" s="35"/>
      <c r="AS98" s="37"/>
      <c r="AT98" s="48"/>
      <c r="AU98" s="48"/>
      <c r="AV98" s="48"/>
      <c r="AW98" s="48"/>
      <c r="AX98" s="48"/>
      <c r="AY98" s="48"/>
      <c r="AZ98" s="38"/>
      <c r="BA98" s="39"/>
      <c r="BB98" s="40"/>
      <c r="BC98" s="40"/>
    </row>
    <row r="99">
      <c r="A99" s="1">
        <v>2024.0</v>
      </c>
      <c r="B99" s="1" t="s">
        <v>53</v>
      </c>
      <c r="C99" s="1" t="s">
        <v>49</v>
      </c>
      <c r="D99" s="33">
        <f t="shared" ref="D99:E99" si="191">SUM(D91:D98)</f>
        <v>185</v>
      </c>
      <c r="E99" s="34">
        <f t="shared" si="191"/>
        <v>6630543.24</v>
      </c>
      <c r="F99" s="34">
        <f t="shared" ref="F99:L99" si="192">SUM(F91:F97)</f>
        <v>252034.03</v>
      </c>
      <c r="G99" s="34">
        <f t="shared" si="192"/>
        <v>26464.37</v>
      </c>
      <c r="H99" s="34">
        <f t="shared" si="192"/>
        <v>10074</v>
      </c>
      <c r="I99" s="34">
        <f t="shared" si="192"/>
        <v>12235.12</v>
      </c>
      <c r="J99" s="34">
        <f t="shared" si="192"/>
        <v>63828.13</v>
      </c>
      <c r="K99" s="34">
        <f t="shared" si="192"/>
        <v>335453.35</v>
      </c>
      <c r="L99" s="34">
        <f t="shared" si="192"/>
        <v>115367.04</v>
      </c>
      <c r="M99" s="35">
        <f t="shared" ref="M99:N99" si="193">SUM(M91:M98)</f>
        <v>19</v>
      </c>
      <c r="N99" s="36">
        <f t="shared" si="193"/>
        <v>1337000</v>
      </c>
      <c r="O99" s="36">
        <f t="shared" ref="O99:AJ99" si="194">SUM(O91:O97)</f>
        <v>19840</v>
      </c>
      <c r="P99" s="36">
        <f t="shared" si="194"/>
        <v>8332.8</v>
      </c>
      <c r="Q99" s="36">
        <f t="shared" si="194"/>
        <v>3864</v>
      </c>
      <c r="R99" s="36">
        <f t="shared" si="194"/>
        <v>1674.33</v>
      </c>
      <c r="S99" s="36">
        <f t="shared" si="194"/>
        <v>2753.94</v>
      </c>
      <c r="T99" s="36">
        <f t="shared" si="194"/>
        <v>966</v>
      </c>
      <c r="U99" s="37">
        <f t="shared" si="194"/>
        <v>63616.04</v>
      </c>
      <c r="V99" s="37">
        <f t="shared" si="194"/>
        <v>8332.8</v>
      </c>
      <c r="W99" s="37">
        <f t="shared" si="194"/>
        <v>13909.45</v>
      </c>
      <c r="X99" s="37">
        <f t="shared" si="194"/>
        <v>63828.13</v>
      </c>
      <c r="Y99" s="48">
        <f t="shared" si="194"/>
        <v>18080</v>
      </c>
      <c r="Z99" s="48">
        <f t="shared" si="194"/>
        <v>3312</v>
      </c>
      <c r="AA99" s="37">
        <f t="shared" si="194"/>
        <v>171078.42</v>
      </c>
      <c r="AB99" s="33">
        <f t="shared" si="194"/>
        <v>36</v>
      </c>
      <c r="AC99" s="55">
        <f t="shared" si="194"/>
        <v>1865007.36</v>
      </c>
      <c r="AD99" s="55">
        <f t="shared" si="194"/>
        <v>87417.66</v>
      </c>
      <c r="AE99" s="33">
        <f t="shared" si="194"/>
        <v>11825.81</v>
      </c>
      <c r="AF99" s="33">
        <f t="shared" si="194"/>
        <v>4554</v>
      </c>
      <c r="AG99" s="33">
        <f t="shared" si="194"/>
        <v>5439.64</v>
      </c>
      <c r="AH99" s="33">
        <f t="shared" si="194"/>
        <v>0</v>
      </c>
      <c r="AI99" s="55">
        <f t="shared" si="194"/>
        <v>32720.45</v>
      </c>
      <c r="AJ99" s="55">
        <f t="shared" si="194"/>
        <v>32515.67</v>
      </c>
      <c r="AK99" s="35">
        <f t="shared" ref="AK99:AL99" si="195">SUM(AK91:AK98)</f>
        <v>5</v>
      </c>
      <c r="AL99" s="36">
        <f t="shared" si="195"/>
        <v>305962.17</v>
      </c>
      <c r="AM99" s="36">
        <f t="shared" ref="AM99:AY99" si="196">SUM(AM91:AM97)</f>
        <v>9236</v>
      </c>
      <c r="AN99" s="36">
        <f t="shared" si="196"/>
        <v>4111</v>
      </c>
      <c r="AO99" s="36">
        <f t="shared" si="196"/>
        <v>1900</v>
      </c>
      <c r="AP99" s="36">
        <f t="shared" si="196"/>
        <v>1858.12</v>
      </c>
      <c r="AQ99" s="36">
        <f t="shared" si="196"/>
        <v>980</v>
      </c>
      <c r="AR99" s="36">
        <f t="shared" si="196"/>
        <v>0</v>
      </c>
      <c r="AS99" s="37">
        <f t="shared" si="196"/>
        <v>61856.91</v>
      </c>
      <c r="AT99" s="37">
        <f t="shared" si="196"/>
        <v>9615</v>
      </c>
      <c r="AU99" s="37">
        <f t="shared" si="196"/>
        <v>15292.7</v>
      </c>
      <c r="AV99" s="37">
        <f t="shared" si="196"/>
        <v>13033.81</v>
      </c>
      <c r="AW99" s="37">
        <f t="shared" si="196"/>
        <v>21604</v>
      </c>
      <c r="AX99" s="37">
        <f t="shared" si="196"/>
        <v>8502.36</v>
      </c>
      <c r="AY99" s="37">
        <f t="shared" si="196"/>
        <v>129904.78</v>
      </c>
      <c r="AZ99" s="38"/>
      <c r="BA99" s="39"/>
      <c r="BB99" s="40"/>
      <c r="BC99" s="40"/>
    </row>
    <row r="100">
      <c r="A100" s="11">
        <v>2024.0</v>
      </c>
      <c r="B100" s="11" t="s">
        <v>53</v>
      </c>
      <c r="C100" s="12">
        <v>45521.0</v>
      </c>
      <c r="D100" s="44">
        <v>13.0</v>
      </c>
      <c r="E100" s="26">
        <v>1233111.82</v>
      </c>
      <c r="F100" s="26">
        <v>44601.48</v>
      </c>
      <c r="G100" s="26">
        <v>4219.72</v>
      </c>
      <c r="H100" s="26">
        <v>1518.0</v>
      </c>
      <c r="I100" s="26">
        <v>1815.96</v>
      </c>
      <c r="J100" s="26">
        <v>35111.76</v>
      </c>
      <c r="K100" s="26">
        <v>53547.1</v>
      </c>
      <c r="L100" s="26">
        <v>22851.74</v>
      </c>
      <c r="M100" s="15"/>
      <c r="N100" s="16"/>
      <c r="O100" s="16">
        <f t="shared" ref="O100:O106" si="197">N100*4%</f>
        <v>0</v>
      </c>
      <c r="P100" s="16">
        <f t="shared" ref="P100:P106" si="198">N100*1.68%</f>
        <v>0</v>
      </c>
      <c r="Q100" s="16">
        <f t="shared" ref="Q100:Q106" si="199">M100*(250+300+2)</f>
        <v>0</v>
      </c>
      <c r="R100" s="16">
        <f t="shared" ref="R100:R106" si="200">M100*239.19</f>
        <v>0</v>
      </c>
      <c r="S100" s="17">
        <f t="shared" ref="S100:S106" si="201">M100*393.42</f>
        <v>0</v>
      </c>
      <c r="T100" s="17">
        <f t="shared" ref="T100:T106" si="202">M100*138</f>
        <v>0</v>
      </c>
      <c r="U100" s="7">
        <v>9278.65</v>
      </c>
      <c r="V100" s="18">
        <f t="shared" ref="V100:V106" si="203">P100</f>
        <v>0</v>
      </c>
      <c r="W100" s="7">
        <f t="shared" ref="W100:W106" si="204">I100+R100</f>
        <v>1815.96</v>
      </c>
      <c r="X100" s="7">
        <f t="shared" ref="X100:X106" si="205">J100</f>
        <v>35111.76</v>
      </c>
      <c r="Y100" s="6">
        <v>0.0</v>
      </c>
      <c r="Z100" s="6">
        <v>0.0</v>
      </c>
      <c r="AA100" s="18">
        <f t="shared" ref="AA100:AA106" si="206">SUM(U100:Z100)</f>
        <v>46206.37</v>
      </c>
      <c r="AB100" s="41">
        <v>6.0</v>
      </c>
      <c r="AC100" s="52">
        <v>336036.69</v>
      </c>
      <c r="AD100" s="52">
        <v>17278.64</v>
      </c>
      <c r="AE100" s="57">
        <v>1932.64</v>
      </c>
      <c r="AF100" s="56">
        <v>690.0</v>
      </c>
      <c r="AG100" s="56">
        <v>954.38</v>
      </c>
      <c r="AH100" s="56">
        <v>0.0</v>
      </c>
      <c r="AI100" s="52">
        <v>7383.98</v>
      </c>
      <c r="AJ100" s="52">
        <v>6317.64</v>
      </c>
      <c r="AK100" s="15"/>
      <c r="AL100" s="16"/>
      <c r="AM100" s="19"/>
      <c r="AN100" s="19"/>
      <c r="AO100" s="16"/>
      <c r="AP100" s="16"/>
      <c r="AQ100" s="16"/>
      <c r="AR100" s="16"/>
      <c r="AS100" s="7"/>
      <c r="AT100" s="7"/>
      <c r="AU100" s="7"/>
      <c r="AV100" s="7"/>
      <c r="AW100" s="7"/>
      <c r="AX100" s="7"/>
      <c r="AY100" s="7"/>
      <c r="AZ100" s="8"/>
      <c r="BA100" s="9"/>
      <c r="BB100" s="10"/>
      <c r="BC100" s="10"/>
    </row>
    <row r="101">
      <c r="A101" s="11">
        <v>2024.0</v>
      </c>
      <c r="B101" s="11" t="s">
        <v>53</v>
      </c>
      <c r="C101" s="12">
        <v>45522.0</v>
      </c>
      <c r="D101" s="53">
        <v>10.0</v>
      </c>
      <c r="E101" s="26">
        <v>545277.59</v>
      </c>
      <c r="F101" s="26">
        <v>26718.32</v>
      </c>
      <c r="G101" s="26">
        <v>3743.95</v>
      </c>
      <c r="H101" s="26">
        <v>1380.0</v>
      </c>
      <c r="I101" s="26">
        <v>1315.28</v>
      </c>
      <c r="J101" s="26">
        <v>15765.09</v>
      </c>
      <c r="K101" s="26">
        <v>36963.3</v>
      </c>
      <c r="L101" s="26">
        <v>9820.63</v>
      </c>
      <c r="M101" s="15"/>
      <c r="N101" s="16"/>
      <c r="O101" s="16">
        <f t="shared" si="197"/>
        <v>0</v>
      </c>
      <c r="P101" s="16">
        <f t="shared" si="198"/>
        <v>0</v>
      </c>
      <c r="Q101" s="16">
        <f t="shared" si="199"/>
        <v>0</v>
      </c>
      <c r="R101" s="16">
        <f t="shared" si="200"/>
        <v>0</v>
      </c>
      <c r="S101" s="17">
        <f t="shared" si="201"/>
        <v>0</v>
      </c>
      <c r="T101" s="17">
        <f t="shared" si="202"/>
        <v>0</v>
      </c>
      <c r="U101" s="7">
        <v>9434.48</v>
      </c>
      <c r="V101" s="18">
        <f t="shared" si="203"/>
        <v>0</v>
      </c>
      <c r="W101" s="7">
        <f t="shared" si="204"/>
        <v>1315.28</v>
      </c>
      <c r="X101" s="7">
        <f t="shared" si="205"/>
        <v>15765.09</v>
      </c>
      <c r="Y101" s="6">
        <v>0.0</v>
      </c>
      <c r="Z101" s="6">
        <v>0.0</v>
      </c>
      <c r="AA101" s="18">
        <f t="shared" si="206"/>
        <v>26514.85</v>
      </c>
      <c r="AB101" s="42">
        <v>5.0</v>
      </c>
      <c r="AC101" s="58">
        <v>238993.3</v>
      </c>
      <c r="AD101" s="58">
        <v>11506.78</v>
      </c>
      <c r="AE101" s="58">
        <v>1794.15</v>
      </c>
      <c r="AF101" s="58">
        <v>690.0</v>
      </c>
      <c r="AG101" s="58">
        <v>535.06</v>
      </c>
      <c r="AH101" s="58">
        <v>0.0</v>
      </c>
      <c r="AI101" s="58">
        <v>4038.85</v>
      </c>
      <c r="AJ101" s="58">
        <v>4448.72</v>
      </c>
      <c r="AK101" s="15"/>
      <c r="AL101" s="16"/>
      <c r="AM101" s="19"/>
      <c r="AN101" s="19"/>
      <c r="AO101" s="16"/>
      <c r="AP101" s="16"/>
      <c r="AQ101" s="16"/>
      <c r="AR101" s="16"/>
      <c r="AS101" s="7"/>
      <c r="AT101" s="7"/>
      <c r="AU101" s="7"/>
      <c r="AV101" s="7"/>
      <c r="AW101" s="7"/>
      <c r="AX101" s="7"/>
      <c r="AY101" s="7"/>
      <c r="AZ101" s="8"/>
      <c r="BA101" s="9"/>
      <c r="BB101" s="10"/>
      <c r="BC101" s="10"/>
    </row>
    <row r="102">
      <c r="A102" s="11">
        <v>2024.0</v>
      </c>
      <c r="B102" s="11" t="s">
        <v>53</v>
      </c>
      <c r="C102" s="12">
        <v>45523.0</v>
      </c>
      <c r="D102" s="44">
        <v>18.0</v>
      </c>
      <c r="E102" s="26">
        <v>1396756.87</v>
      </c>
      <c r="F102" s="26">
        <v>45242.94</v>
      </c>
      <c r="G102" s="26">
        <v>5043.16</v>
      </c>
      <c r="H102" s="26">
        <v>1794.0</v>
      </c>
      <c r="I102" s="26">
        <v>1730.08</v>
      </c>
      <c r="J102" s="26">
        <v>597.27</v>
      </c>
      <c r="K102" s="26">
        <v>11559.29</v>
      </c>
      <c r="L102" s="26">
        <v>24606.5</v>
      </c>
      <c r="M102" s="15">
        <v>1.0</v>
      </c>
      <c r="N102" s="16">
        <v>52000.0</v>
      </c>
      <c r="O102" s="16">
        <f t="shared" si="197"/>
        <v>2080</v>
      </c>
      <c r="P102" s="16">
        <f t="shared" si="198"/>
        <v>873.6</v>
      </c>
      <c r="Q102" s="16">
        <f t="shared" si="199"/>
        <v>552</v>
      </c>
      <c r="R102" s="16">
        <f t="shared" si="200"/>
        <v>239.19</v>
      </c>
      <c r="S102" s="17">
        <f t="shared" si="201"/>
        <v>393.42</v>
      </c>
      <c r="T102" s="17">
        <f t="shared" si="202"/>
        <v>138</v>
      </c>
      <c r="U102" s="7">
        <v>9816.6</v>
      </c>
      <c r="V102" s="18">
        <f t="shared" si="203"/>
        <v>873.6</v>
      </c>
      <c r="W102" s="7">
        <f t="shared" si="204"/>
        <v>1969.27</v>
      </c>
      <c r="X102" s="7">
        <f t="shared" si="205"/>
        <v>597.27</v>
      </c>
      <c r="Y102" s="7">
        <f t="shared" ref="Y102:Y106" si="207">O102</f>
        <v>2080</v>
      </c>
      <c r="Z102" s="7">
        <f t="shared" ref="Z102:Z106" si="208">Q102</f>
        <v>552</v>
      </c>
      <c r="AA102" s="18">
        <f t="shared" si="206"/>
        <v>15888.74</v>
      </c>
      <c r="AB102" s="42">
        <v>14.0</v>
      </c>
      <c r="AC102" s="24">
        <v>1091526.97</v>
      </c>
      <c r="AD102" s="24">
        <v>39003.44</v>
      </c>
      <c r="AE102" s="24">
        <v>4740.6</v>
      </c>
      <c r="AF102" s="24">
        <v>1656.0</v>
      </c>
      <c r="AG102" s="24">
        <v>1590.89</v>
      </c>
      <c r="AH102" s="24">
        <v>0.0</v>
      </c>
      <c r="AI102" s="24">
        <v>11134.83</v>
      </c>
      <c r="AJ102" s="24">
        <v>19371.21</v>
      </c>
      <c r="AK102" s="15">
        <v>0.0</v>
      </c>
      <c r="AL102" s="16"/>
      <c r="AM102" s="16"/>
      <c r="AN102" s="16"/>
      <c r="AO102" s="16"/>
      <c r="AP102" s="16"/>
      <c r="AQ102" s="16"/>
      <c r="AR102" s="16"/>
      <c r="AS102" s="7">
        <v>14761.86</v>
      </c>
      <c r="AT102" s="7">
        <v>0.0</v>
      </c>
      <c r="AU102" s="7">
        <v>5880.5</v>
      </c>
      <c r="AV102" s="7">
        <v>2776.14</v>
      </c>
      <c r="AW102" s="7">
        <v>0.0</v>
      </c>
      <c r="AX102" s="7">
        <v>24.9</v>
      </c>
      <c r="AY102" s="7">
        <f t="shared" ref="AY102:AY106" si="209">SUM(AS102:AX102)</f>
        <v>23443.4</v>
      </c>
      <c r="AZ102" s="8"/>
      <c r="BA102" s="9"/>
      <c r="BB102" s="10"/>
      <c r="BC102" s="10"/>
    </row>
    <row r="103">
      <c r="A103" s="11">
        <v>2024.0</v>
      </c>
      <c r="B103" s="11" t="s">
        <v>53</v>
      </c>
      <c r="C103" s="12">
        <v>45524.0</v>
      </c>
      <c r="D103" s="44">
        <v>13.0</v>
      </c>
      <c r="E103" s="26">
        <v>839417.86</v>
      </c>
      <c r="F103" s="26">
        <v>36389.3</v>
      </c>
      <c r="G103" s="26">
        <v>5012.27</v>
      </c>
      <c r="H103" s="26">
        <v>1794.0</v>
      </c>
      <c r="I103" s="26">
        <v>1978.29</v>
      </c>
      <c r="J103" s="26">
        <v>3878.01</v>
      </c>
      <c r="K103" s="26">
        <v>13629.46</v>
      </c>
      <c r="L103" s="26">
        <v>15186.58</v>
      </c>
      <c r="M103" s="15">
        <v>1.0</v>
      </c>
      <c r="N103" s="16">
        <v>70000.0</v>
      </c>
      <c r="O103" s="16">
        <f t="shared" si="197"/>
        <v>2800</v>
      </c>
      <c r="P103" s="16">
        <f t="shared" si="198"/>
        <v>1176</v>
      </c>
      <c r="Q103" s="16">
        <f t="shared" si="199"/>
        <v>552</v>
      </c>
      <c r="R103" s="16">
        <f t="shared" si="200"/>
        <v>239.19</v>
      </c>
      <c r="S103" s="17">
        <f t="shared" si="201"/>
        <v>393.42</v>
      </c>
      <c r="T103" s="17">
        <f t="shared" si="202"/>
        <v>138</v>
      </c>
      <c r="U103" s="7">
        <v>15911.95</v>
      </c>
      <c r="V103" s="18">
        <f t="shared" si="203"/>
        <v>1176</v>
      </c>
      <c r="W103" s="7">
        <f t="shared" si="204"/>
        <v>2217.48</v>
      </c>
      <c r="X103" s="7">
        <f t="shared" si="205"/>
        <v>3878.01</v>
      </c>
      <c r="Y103" s="18">
        <f t="shared" si="207"/>
        <v>2800</v>
      </c>
      <c r="Z103" s="18">
        <f t="shared" si="208"/>
        <v>552</v>
      </c>
      <c r="AA103" s="18">
        <f t="shared" si="206"/>
        <v>26535.44</v>
      </c>
      <c r="AB103" s="42">
        <v>6.0</v>
      </c>
      <c r="AC103" s="57">
        <v>363044.5</v>
      </c>
      <c r="AD103" s="57">
        <v>16294.99</v>
      </c>
      <c r="AE103" s="57">
        <v>2186.47</v>
      </c>
      <c r="AF103" s="56">
        <v>828.0</v>
      </c>
      <c r="AG103" s="56">
        <v>675.51</v>
      </c>
      <c r="AH103" s="24">
        <v>0.0</v>
      </c>
      <c r="AI103" s="57">
        <v>6106.89</v>
      </c>
      <c r="AJ103" s="24">
        <v>6099.15</v>
      </c>
      <c r="AK103" s="15">
        <v>2.0</v>
      </c>
      <c r="AL103" s="16">
        <v>114074.0</v>
      </c>
      <c r="AM103" s="16">
        <v>4315.0</v>
      </c>
      <c r="AN103" s="16">
        <v>1921.0</v>
      </c>
      <c r="AO103" s="16">
        <v>1200.0</v>
      </c>
      <c r="AP103" s="16">
        <v>848.0</v>
      </c>
      <c r="AQ103" s="16">
        <v>490.0</v>
      </c>
      <c r="AR103" s="16">
        <v>0.0</v>
      </c>
      <c r="AS103" s="7">
        <v>16569.95</v>
      </c>
      <c r="AT103" s="7">
        <f>AN103</f>
        <v>1921</v>
      </c>
      <c r="AU103" s="7">
        <v>4420.17</v>
      </c>
      <c r="AV103" s="7">
        <v>205.86</v>
      </c>
      <c r="AW103" s="7">
        <v>4315.0</v>
      </c>
      <c r="AX103" s="7">
        <f>4078.35-AT103</f>
        <v>2157.35</v>
      </c>
      <c r="AY103" s="7">
        <f t="shared" si="209"/>
        <v>29589.33</v>
      </c>
      <c r="AZ103" s="8"/>
      <c r="BA103" s="9"/>
      <c r="BB103" s="10"/>
      <c r="BC103" s="10"/>
    </row>
    <row r="104">
      <c r="A104" s="11">
        <v>2024.0</v>
      </c>
      <c r="B104" s="11" t="s">
        <v>53</v>
      </c>
      <c r="C104" s="12">
        <v>45525.0</v>
      </c>
      <c r="D104" s="44">
        <v>8.0</v>
      </c>
      <c r="E104" s="26">
        <v>457987.77</v>
      </c>
      <c r="F104" s="26">
        <v>18710.92</v>
      </c>
      <c r="G104" s="26">
        <v>2553.53</v>
      </c>
      <c r="H104" s="26">
        <v>1104.0</v>
      </c>
      <c r="I104" s="26">
        <v>1322.49</v>
      </c>
      <c r="J104" s="26">
        <v>1247.11</v>
      </c>
      <c r="K104" s="26">
        <v>6036.71</v>
      </c>
      <c r="L104" s="26">
        <v>7694.19</v>
      </c>
      <c r="M104" s="15">
        <v>2.0</v>
      </c>
      <c r="N104" s="16">
        <v>126000.0</v>
      </c>
      <c r="O104" s="16">
        <f t="shared" si="197"/>
        <v>5040</v>
      </c>
      <c r="P104" s="16">
        <f t="shared" si="198"/>
        <v>2116.8</v>
      </c>
      <c r="Q104" s="16">
        <f t="shared" si="199"/>
        <v>1104</v>
      </c>
      <c r="R104" s="16">
        <f t="shared" si="200"/>
        <v>478.38</v>
      </c>
      <c r="S104" s="17">
        <f t="shared" si="201"/>
        <v>786.84</v>
      </c>
      <c r="T104" s="17">
        <f t="shared" si="202"/>
        <v>276</v>
      </c>
      <c r="U104" s="7">
        <v>13596.17</v>
      </c>
      <c r="V104" s="18">
        <f t="shared" si="203"/>
        <v>2116.8</v>
      </c>
      <c r="W104" s="7">
        <f t="shared" si="204"/>
        <v>1800.87</v>
      </c>
      <c r="X104" s="7">
        <f t="shared" si="205"/>
        <v>1247.11</v>
      </c>
      <c r="Y104" s="18">
        <f t="shared" si="207"/>
        <v>5040</v>
      </c>
      <c r="Z104" s="18">
        <f t="shared" si="208"/>
        <v>1104</v>
      </c>
      <c r="AA104" s="18">
        <f t="shared" si="206"/>
        <v>24904.95</v>
      </c>
      <c r="AB104" s="42">
        <v>6.0</v>
      </c>
      <c r="AC104" s="24">
        <v>293957.72</v>
      </c>
      <c r="AD104" s="24">
        <v>12413.0</v>
      </c>
      <c r="AE104" s="24">
        <v>1766.66</v>
      </c>
      <c r="AF104" s="24">
        <v>828.0</v>
      </c>
      <c r="AG104" s="24">
        <v>990.99</v>
      </c>
      <c r="AH104" s="24">
        <v>0.0</v>
      </c>
      <c r="AI104" s="24">
        <v>3888.86</v>
      </c>
      <c r="AJ104" s="24">
        <v>4938.49</v>
      </c>
      <c r="AK104" s="15">
        <v>2.0</v>
      </c>
      <c r="AL104" s="16">
        <v>126435.21</v>
      </c>
      <c r="AM104" s="19">
        <v>4782.0</v>
      </c>
      <c r="AN104" s="19">
        <v>2128.0</v>
      </c>
      <c r="AO104" s="16">
        <v>1200.0</v>
      </c>
      <c r="AP104" s="16">
        <v>871.51</v>
      </c>
      <c r="AQ104" s="16">
        <v>553.7</v>
      </c>
      <c r="AR104" s="16">
        <v>0.0</v>
      </c>
      <c r="AS104" s="7">
        <v>9090.14</v>
      </c>
      <c r="AT104" s="7">
        <v>0.0</v>
      </c>
      <c r="AU104" s="7">
        <v>3243.1</v>
      </c>
      <c r="AV104" s="7">
        <v>6484.23</v>
      </c>
      <c r="AW104" s="7">
        <v>0.0</v>
      </c>
      <c r="AX104" s="7">
        <v>608.68</v>
      </c>
      <c r="AY104" s="7">
        <f t="shared" si="209"/>
        <v>19426.15</v>
      </c>
      <c r="AZ104" s="8"/>
      <c r="BA104" s="9"/>
      <c r="BB104" s="10"/>
      <c r="BC104" s="10"/>
    </row>
    <row r="105">
      <c r="A105" s="11">
        <v>2024.0</v>
      </c>
      <c r="B105" s="11" t="s">
        <v>53</v>
      </c>
      <c r="C105" s="12">
        <v>45526.0</v>
      </c>
      <c r="D105" s="44">
        <v>11.0</v>
      </c>
      <c r="E105" s="26">
        <v>589745.01</v>
      </c>
      <c r="F105" s="26">
        <v>26369.28</v>
      </c>
      <c r="G105" s="26">
        <v>3798.47</v>
      </c>
      <c r="H105" s="26">
        <v>1518.0</v>
      </c>
      <c r="I105" s="26">
        <v>1500.61</v>
      </c>
      <c r="J105" s="26">
        <v>1906.84</v>
      </c>
      <c r="K105" s="26">
        <v>12392.67</v>
      </c>
      <c r="L105" s="26">
        <v>10284.38</v>
      </c>
      <c r="M105" s="15">
        <v>1.0</v>
      </c>
      <c r="N105" s="16">
        <v>60000.0</v>
      </c>
      <c r="O105" s="16">
        <f t="shared" si="197"/>
        <v>2400</v>
      </c>
      <c r="P105" s="16">
        <f t="shared" si="198"/>
        <v>1008</v>
      </c>
      <c r="Q105" s="16">
        <f t="shared" si="199"/>
        <v>552</v>
      </c>
      <c r="R105" s="16">
        <f t="shared" si="200"/>
        <v>239.19</v>
      </c>
      <c r="S105" s="17">
        <f t="shared" si="201"/>
        <v>393.42</v>
      </c>
      <c r="T105" s="17">
        <f t="shared" si="202"/>
        <v>138</v>
      </c>
      <c r="U105" s="7">
        <v>17069.8</v>
      </c>
      <c r="V105" s="18">
        <f t="shared" si="203"/>
        <v>1008</v>
      </c>
      <c r="W105" s="7">
        <f t="shared" si="204"/>
        <v>1739.8</v>
      </c>
      <c r="X105" s="7">
        <f t="shared" si="205"/>
        <v>1906.84</v>
      </c>
      <c r="Y105" s="18">
        <f t="shared" si="207"/>
        <v>2400</v>
      </c>
      <c r="Z105" s="18">
        <f t="shared" si="208"/>
        <v>552</v>
      </c>
      <c r="AA105" s="18">
        <f t="shared" si="206"/>
        <v>24676.44</v>
      </c>
      <c r="AB105" s="42">
        <v>8.0</v>
      </c>
      <c r="AC105" s="24">
        <v>384617.66</v>
      </c>
      <c r="AD105" s="24">
        <v>18548.01</v>
      </c>
      <c r="AE105" s="24">
        <v>2668.25</v>
      </c>
      <c r="AF105" s="24">
        <v>1104.0</v>
      </c>
      <c r="AG105" s="24">
        <v>1081.07</v>
      </c>
      <c r="AH105" s="24">
        <v>0.0</v>
      </c>
      <c r="AI105" s="24">
        <v>6856.45</v>
      </c>
      <c r="AJ105" s="24">
        <v>6838.24</v>
      </c>
      <c r="AK105" s="15">
        <v>3.0</v>
      </c>
      <c r="AL105" s="16">
        <v>232372.77</v>
      </c>
      <c r="AM105" s="19">
        <v>7001.0</v>
      </c>
      <c r="AN105" s="19">
        <v>3911.0</v>
      </c>
      <c r="AO105" s="16">
        <v>1200.0</v>
      </c>
      <c r="AP105" s="16">
        <v>1385.35</v>
      </c>
      <c r="AQ105" s="16">
        <v>853.14</v>
      </c>
      <c r="AR105" s="16">
        <v>0.0</v>
      </c>
      <c r="AS105" s="7">
        <v>20855.33</v>
      </c>
      <c r="AT105" s="7">
        <f>AN105</f>
        <v>3911</v>
      </c>
      <c r="AU105" s="7">
        <v>4340.79</v>
      </c>
      <c r="AV105" s="7">
        <v>6061.27</v>
      </c>
      <c r="AW105" s="7">
        <v>10130.0</v>
      </c>
      <c r="AX105" s="7">
        <f>4238.8-AT105</f>
        <v>327.8</v>
      </c>
      <c r="AY105" s="7">
        <f t="shared" si="209"/>
        <v>45626.19</v>
      </c>
      <c r="AZ105" s="8"/>
      <c r="BA105" s="9"/>
      <c r="BB105" s="10"/>
      <c r="BC105" s="10"/>
    </row>
    <row r="106">
      <c r="A106" s="11">
        <v>2024.0</v>
      </c>
      <c r="B106" s="11" t="s">
        <v>53</v>
      </c>
      <c r="C106" s="12">
        <v>45527.0</v>
      </c>
      <c r="D106" s="44">
        <v>13.0</v>
      </c>
      <c r="E106" s="26">
        <v>902025.48</v>
      </c>
      <c r="F106" s="26">
        <v>43289.13</v>
      </c>
      <c r="G106" s="26">
        <v>5063.38</v>
      </c>
      <c r="H106" s="26">
        <v>1656.0</v>
      </c>
      <c r="I106" s="26">
        <v>2104.35</v>
      </c>
      <c r="J106" s="26">
        <v>261.05</v>
      </c>
      <c r="K106" s="26">
        <v>21056.42</v>
      </c>
      <c r="L106" s="26">
        <v>15703.33</v>
      </c>
      <c r="M106" s="15">
        <v>2.0</v>
      </c>
      <c r="N106" s="16">
        <v>115000.0</v>
      </c>
      <c r="O106" s="16">
        <f t="shared" si="197"/>
        <v>4600</v>
      </c>
      <c r="P106" s="16">
        <f t="shared" si="198"/>
        <v>1932</v>
      </c>
      <c r="Q106" s="16">
        <f t="shared" si="199"/>
        <v>1104</v>
      </c>
      <c r="R106" s="16">
        <f t="shared" si="200"/>
        <v>478.38</v>
      </c>
      <c r="S106" s="17">
        <f t="shared" si="201"/>
        <v>786.84</v>
      </c>
      <c r="T106" s="17">
        <f t="shared" si="202"/>
        <v>276</v>
      </c>
      <c r="U106" s="7">
        <v>11315.73</v>
      </c>
      <c r="V106" s="18">
        <f t="shared" si="203"/>
        <v>1932</v>
      </c>
      <c r="W106" s="7">
        <f t="shared" si="204"/>
        <v>2582.73</v>
      </c>
      <c r="X106" s="7">
        <f t="shared" si="205"/>
        <v>261.05</v>
      </c>
      <c r="Y106" s="18">
        <f t="shared" si="207"/>
        <v>4600</v>
      </c>
      <c r="Z106" s="18">
        <f t="shared" si="208"/>
        <v>1104</v>
      </c>
      <c r="AA106" s="18">
        <f t="shared" si="206"/>
        <v>21795.51</v>
      </c>
      <c r="AB106" s="42">
        <v>7.0</v>
      </c>
      <c r="AC106" s="24">
        <v>626382.01</v>
      </c>
      <c r="AD106" s="24">
        <v>25477.74</v>
      </c>
      <c r="AE106" s="24">
        <v>2662.86</v>
      </c>
      <c r="AF106" s="24">
        <v>828.0</v>
      </c>
      <c r="AG106" s="24">
        <v>1235.02</v>
      </c>
      <c r="AH106" s="24">
        <v>0.0</v>
      </c>
      <c r="AI106" s="24">
        <v>10228.64</v>
      </c>
      <c r="AJ106" s="24">
        <v>10523.22</v>
      </c>
      <c r="AK106" s="15">
        <v>1.0</v>
      </c>
      <c r="AL106" s="16">
        <v>75777.86</v>
      </c>
      <c r="AM106" s="19">
        <v>2866.0</v>
      </c>
      <c r="AN106" s="19">
        <v>1276.0</v>
      </c>
      <c r="AO106" s="16">
        <v>600.0</v>
      </c>
      <c r="AP106" s="16">
        <v>520.38</v>
      </c>
      <c r="AQ106" s="16">
        <v>265.48</v>
      </c>
      <c r="AR106" s="16">
        <v>0.0</v>
      </c>
      <c r="AS106" s="7">
        <v>14336.19</v>
      </c>
      <c r="AT106" s="7">
        <f>1531+1276</f>
        <v>2807</v>
      </c>
      <c r="AU106" s="7">
        <v>4266.99</v>
      </c>
      <c r="AV106" s="7">
        <v>5055.59</v>
      </c>
      <c r="AW106" s="7">
        <v>6307.0</v>
      </c>
      <c r="AX106" s="7">
        <f>5203.96-AT106</f>
        <v>2396.96</v>
      </c>
      <c r="AY106" s="7">
        <f t="shared" si="209"/>
        <v>35169.73</v>
      </c>
      <c r="AZ106" s="8"/>
      <c r="BA106" s="9"/>
      <c r="BB106" s="10"/>
      <c r="BC106" s="10"/>
    </row>
    <row r="107">
      <c r="A107" s="11">
        <v>2024.0</v>
      </c>
      <c r="B107" s="11" t="s">
        <v>53</v>
      </c>
      <c r="C107" s="1"/>
      <c r="D107" s="2">
        <v>106.0</v>
      </c>
      <c r="E107" s="2"/>
      <c r="F107" s="59">
        <v>405108.45</v>
      </c>
      <c r="G107" s="33"/>
      <c r="H107" s="33"/>
      <c r="I107" s="33"/>
      <c r="J107" s="33"/>
      <c r="K107" s="33"/>
      <c r="L107" s="33"/>
      <c r="M107" s="15">
        <v>10.0</v>
      </c>
      <c r="N107" s="51">
        <v>559000.0</v>
      </c>
      <c r="O107" s="35"/>
      <c r="P107" s="35"/>
      <c r="Q107" s="35"/>
      <c r="R107" s="35"/>
      <c r="S107" s="35"/>
      <c r="T107" s="35"/>
      <c r="U107" s="37"/>
      <c r="V107" s="48"/>
      <c r="W107" s="48"/>
      <c r="X107" s="37"/>
      <c r="Y107" s="48"/>
      <c r="Z107" s="48"/>
      <c r="AA107" s="48"/>
      <c r="AB107" s="2"/>
      <c r="AC107" s="33"/>
      <c r="AD107" s="2"/>
      <c r="AE107" s="33"/>
      <c r="AF107" s="33"/>
      <c r="AG107" s="33"/>
      <c r="AH107" s="33"/>
      <c r="AI107" s="33"/>
      <c r="AJ107" s="33"/>
      <c r="AK107" s="4"/>
      <c r="AL107" s="4"/>
      <c r="AM107" s="35"/>
      <c r="AN107" s="35"/>
      <c r="AO107" s="35"/>
      <c r="AP107" s="35"/>
      <c r="AQ107" s="35"/>
      <c r="AR107" s="35"/>
      <c r="AS107" s="37"/>
      <c r="AT107" s="48"/>
      <c r="AU107" s="48"/>
      <c r="AV107" s="48"/>
      <c r="AW107" s="48"/>
      <c r="AX107" s="48"/>
      <c r="AY107" s="48"/>
      <c r="AZ107" s="38"/>
      <c r="BA107" s="39"/>
      <c r="BB107" s="40"/>
      <c r="BC107" s="40"/>
    </row>
    <row r="108">
      <c r="A108" s="1">
        <v>2024.0</v>
      </c>
      <c r="B108" s="1" t="s">
        <v>53</v>
      </c>
      <c r="C108" s="1" t="s">
        <v>49</v>
      </c>
      <c r="D108" s="33">
        <f t="shared" ref="D108:E108" si="210">SUM(D100:D107)</f>
        <v>192</v>
      </c>
      <c r="E108" s="34">
        <f t="shared" si="210"/>
        <v>5964322.4</v>
      </c>
      <c r="F108" s="34">
        <f t="shared" ref="F108:L108" si="211">SUM(F100:F106)</f>
        <v>241321.37</v>
      </c>
      <c r="G108" s="34">
        <f t="shared" si="211"/>
        <v>29434.48</v>
      </c>
      <c r="H108" s="34">
        <f t="shared" si="211"/>
        <v>10764</v>
      </c>
      <c r="I108" s="34">
        <f t="shared" si="211"/>
        <v>11767.06</v>
      </c>
      <c r="J108" s="34">
        <f t="shared" si="211"/>
        <v>58767.13</v>
      </c>
      <c r="K108" s="34">
        <f t="shared" si="211"/>
        <v>155184.95</v>
      </c>
      <c r="L108" s="34">
        <f t="shared" si="211"/>
        <v>106147.35</v>
      </c>
      <c r="M108" s="35">
        <f t="shared" ref="M108:N108" si="212">SUM(M100:M107)</f>
        <v>17</v>
      </c>
      <c r="N108" s="36">
        <f t="shared" si="212"/>
        <v>982000</v>
      </c>
      <c r="O108" s="36">
        <f t="shared" ref="O108:AJ108" si="213">SUM(O100:O106)</f>
        <v>16920</v>
      </c>
      <c r="P108" s="36">
        <f t="shared" si="213"/>
        <v>7106.4</v>
      </c>
      <c r="Q108" s="36">
        <f t="shared" si="213"/>
        <v>3864</v>
      </c>
      <c r="R108" s="36">
        <f t="shared" si="213"/>
        <v>1674.33</v>
      </c>
      <c r="S108" s="36">
        <f t="shared" si="213"/>
        <v>2753.94</v>
      </c>
      <c r="T108" s="36">
        <f t="shared" si="213"/>
        <v>966</v>
      </c>
      <c r="U108" s="37">
        <f t="shared" si="213"/>
        <v>86423.38</v>
      </c>
      <c r="V108" s="37">
        <f t="shared" si="213"/>
        <v>7106.4</v>
      </c>
      <c r="W108" s="37">
        <f t="shared" si="213"/>
        <v>13441.39</v>
      </c>
      <c r="X108" s="37">
        <f t="shared" si="213"/>
        <v>58767.13</v>
      </c>
      <c r="Y108" s="37">
        <f t="shared" si="213"/>
        <v>16920</v>
      </c>
      <c r="Z108" s="37">
        <f t="shared" si="213"/>
        <v>3864</v>
      </c>
      <c r="AA108" s="37">
        <f t="shared" si="213"/>
        <v>186522.3</v>
      </c>
      <c r="AB108" s="33">
        <f t="shared" si="213"/>
        <v>52</v>
      </c>
      <c r="AC108" s="55">
        <f t="shared" si="213"/>
        <v>3334558.85</v>
      </c>
      <c r="AD108" s="55">
        <f t="shared" si="213"/>
        <v>140522.6</v>
      </c>
      <c r="AE108" s="55">
        <f t="shared" si="213"/>
        <v>17751.63</v>
      </c>
      <c r="AF108" s="33">
        <f t="shared" si="213"/>
        <v>6624</v>
      </c>
      <c r="AG108" s="33">
        <f t="shared" si="213"/>
        <v>7062.92</v>
      </c>
      <c r="AH108" s="33">
        <f t="shared" si="213"/>
        <v>0</v>
      </c>
      <c r="AI108" s="55">
        <f t="shared" si="213"/>
        <v>49638.5</v>
      </c>
      <c r="AJ108" s="55">
        <f t="shared" si="213"/>
        <v>58536.67</v>
      </c>
      <c r="AK108" s="35">
        <f t="shared" ref="AK108:AL108" si="214">SUM(AK100:AK107)</f>
        <v>8</v>
      </c>
      <c r="AL108" s="36">
        <f t="shared" si="214"/>
        <v>548659.84</v>
      </c>
      <c r="AM108" s="36">
        <f t="shared" ref="AM108:AY108" si="215">SUM(AM100:AM106)</f>
        <v>18964</v>
      </c>
      <c r="AN108" s="36">
        <f t="shared" si="215"/>
        <v>9236</v>
      </c>
      <c r="AO108" s="36">
        <f t="shared" si="215"/>
        <v>4200</v>
      </c>
      <c r="AP108" s="36">
        <f t="shared" si="215"/>
        <v>3625.24</v>
      </c>
      <c r="AQ108" s="36">
        <f t="shared" si="215"/>
        <v>2162.32</v>
      </c>
      <c r="AR108" s="36">
        <f t="shared" si="215"/>
        <v>0</v>
      </c>
      <c r="AS108" s="37">
        <f t="shared" si="215"/>
        <v>75613.47</v>
      </c>
      <c r="AT108" s="37">
        <f t="shared" si="215"/>
        <v>8639</v>
      </c>
      <c r="AU108" s="37">
        <f t="shared" si="215"/>
        <v>22151.55</v>
      </c>
      <c r="AV108" s="37">
        <f t="shared" si="215"/>
        <v>20583.09</v>
      </c>
      <c r="AW108" s="37">
        <f t="shared" si="215"/>
        <v>20752</v>
      </c>
      <c r="AX108" s="37">
        <f t="shared" si="215"/>
        <v>5515.69</v>
      </c>
      <c r="AY108" s="37">
        <f t="shared" si="215"/>
        <v>153254.8</v>
      </c>
      <c r="AZ108" s="38"/>
      <c r="BA108" s="39"/>
      <c r="BB108" s="40"/>
      <c r="BC108" s="40"/>
    </row>
    <row r="109">
      <c r="A109" s="11">
        <v>2024.0</v>
      </c>
      <c r="B109" s="11" t="s">
        <v>53</v>
      </c>
      <c r="C109" s="12">
        <v>45528.0</v>
      </c>
      <c r="D109" s="44">
        <v>9.0</v>
      </c>
      <c r="E109" s="26">
        <v>489499.4</v>
      </c>
      <c r="F109" s="26">
        <v>25230.88</v>
      </c>
      <c r="G109" s="26">
        <v>3829.64</v>
      </c>
      <c r="H109" s="26">
        <v>1242.0</v>
      </c>
      <c r="I109" s="26">
        <v>1369.03</v>
      </c>
      <c r="J109" s="26">
        <v>0.0</v>
      </c>
      <c r="K109" s="26">
        <v>11305.58</v>
      </c>
      <c r="L109" s="26">
        <v>7484.63</v>
      </c>
      <c r="M109" s="15"/>
      <c r="N109" s="16"/>
      <c r="O109" s="16">
        <f t="shared" ref="O109:O115" si="216">N109*4%</f>
        <v>0</v>
      </c>
      <c r="P109" s="16">
        <f t="shared" ref="P109:P115" si="217">N109*1.68%</f>
        <v>0</v>
      </c>
      <c r="Q109" s="16">
        <f t="shared" ref="Q109:Q115" si="218">M109*(250+300+2)</f>
        <v>0</v>
      </c>
      <c r="R109" s="16">
        <f t="shared" ref="R109:R115" si="219">M109*239.19</f>
        <v>0</v>
      </c>
      <c r="S109" s="17">
        <f t="shared" ref="S109:S115" si="220">M109*393.42</f>
        <v>0</v>
      </c>
      <c r="T109" s="17">
        <f t="shared" ref="T109:T115" si="221">M109*138</f>
        <v>0</v>
      </c>
      <c r="U109" s="7">
        <v>9434.24</v>
      </c>
      <c r="V109" s="18">
        <f t="shared" ref="V109:V115" si="222">P109</f>
        <v>0</v>
      </c>
      <c r="W109" s="7">
        <f t="shared" ref="W109:W115" si="223">I109+R109</f>
        <v>1369.03</v>
      </c>
      <c r="X109" s="7">
        <f t="shared" ref="X109:X115" si="224">J109</f>
        <v>0</v>
      </c>
      <c r="Y109" s="6">
        <v>0.0</v>
      </c>
      <c r="Z109" s="6">
        <v>0.0</v>
      </c>
      <c r="AA109" s="18">
        <f t="shared" ref="AA109:AA115" si="225">SUM(U109:Z109)</f>
        <v>10803.27</v>
      </c>
      <c r="AB109" s="41">
        <v>7.0</v>
      </c>
      <c r="AC109" s="52">
        <v>411601.91</v>
      </c>
      <c r="AD109" s="52">
        <v>21474.28</v>
      </c>
      <c r="AE109" s="57">
        <v>2657.74</v>
      </c>
      <c r="AF109" s="56">
        <v>966.0</v>
      </c>
      <c r="AG109" s="56">
        <v>998.61</v>
      </c>
      <c r="AH109" s="56">
        <v>0.0</v>
      </c>
      <c r="AI109" s="52">
        <v>10666.7</v>
      </c>
      <c r="AJ109" s="52">
        <v>6185.23</v>
      </c>
      <c r="AK109" s="15">
        <v>0.0</v>
      </c>
      <c r="AL109" s="16">
        <v>0.0</v>
      </c>
      <c r="AM109" s="19">
        <v>0.0</v>
      </c>
      <c r="AN109" s="19">
        <v>0.0</v>
      </c>
      <c r="AO109" s="16">
        <v>0.0</v>
      </c>
      <c r="AP109" s="16">
        <v>0.0</v>
      </c>
      <c r="AQ109" s="16">
        <v>0.0</v>
      </c>
      <c r="AR109" s="16">
        <v>0.0</v>
      </c>
      <c r="AS109" s="7">
        <v>0.0</v>
      </c>
      <c r="AT109" s="7">
        <v>0.0</v>
      </c>
      <c r="AU109" s="7">
        <v>0.0</v>
      </c>
      <c r="AV109" s="7">
        <v>0.0</v>
      </c>
      <c r="AW109" s="7">
        <v>0.0</v>
      </c>
      <c r="AX109" s="7">
        <v>0.0</v>
      </c>
      <c r="AY109" s="7">
        <v>0.0</v>
      </c>
      <c r="AZ109" s="8"/>
      <c r="BA109" s="9"/>
      <c r="BB109" s="10"/>
      <c r="BC109" s="10"/>
    </row>
    <row r="110">
      <c r="A110" s="11">
        <v>2024.0</v>
      </c>
      <c r="B110" s="11" t="s">
        <v>53</v>
      </c>
      <c r="C110" s="12">
        <v>45529.0</v>
      </c>
      <c r="D110" s="53">
        <v>8.0</v>
      </c>
      <c r="E110" s="26">
        <v>630531.73</v>
      </c>
      <c r="F110" s="26">
        <v>31023.94</v>
      </c>
      <c r="G110" s="26">
        <v>3965.53</v>
      </c>
      <c r="H110" s="26">
        <v>966.0</v>
      </c>
      <c r="I110" s="26">
        <v>1247.23</v>
      </c>
      <c r="J110" s="26">
        <v>1878.91</v>
      </c>
      <c r="K110" s="26">
        <v>17491.94</v>
      </c>
      <c r="L110" s="26">
        <v>11243.88</v>
      </c>
      <c r="M110" s="15"/>
      <c r="N110" s="16"/>
      <c r="O110" s="16">
        <f t="shared" si="216"/>
        <v>0</v>
      </c>
      <c r="P110" s="16">
        <f t="shared" si="217"/>
        <v>0</v>
      </c>
      <c r="Q110" s="16">
        <f t="shared" si="218"/>
        <v>0</v>
      </c>
      <c r="R110" s="16">
        <f t="shared" si="219"/>
        <v>0</v>
      </c>
      <c r="S110" s="17">
        <f t="shared" si="220"/>
        <v>0</v>
      </c>
      <c r="T110" s="17">
        <f t="shared" si="221"/>
        <v>0</v>
      </c>
      <c r="U110" s="7">
        <v>2858.09</v>
      </c>
      <c r="V110" s="18">
        <f t="shared" si="222"/>
        <v>0</v>
      </c>
      <c r="W110" s="7">
        <f t="shared" si="223"/>
        <v>1247.23</v>
      </c>
      <c r="X110" s="7">
        <f t="shared" si="224"/>
        <v>1878.91</v>
      </c>
      <c r="Y110" s="6">
        <v>0.0</v>
      </c>
      <c r="Z110" s="6">
        <v>0.0</v>
      </c>
      <c r="AA110" s="18">
        <f t="shared" si="225"/>
        <v>5984.23</v>
      </c>
      <c r="AB110" s="42">
        <v>5.0</v>
      </c>
      <c r="AC110" s="54">
        <v>524059.76</v>
      </c>
      <c r="AD110" s="54">
        <v>24432.23</v>
      </c>
      <c r="AE110" s="54">
        <v>2956.91</v>
      </c>
      <c r="AF110" s="42">
        <v>690.0</v>
      </c>
      <c r="AG110" s="42">
        <v>771.5</v>
      </c>
      <c r="AH110" s="42">
        <v>0.0</v>
      </c>
      <c r="AI110" s="54">
        <v>10579.63</v>
      </c>
      <c r="AJ110" s="54">
        <v>9434.19</v>
      </c>
      <c r="AK110" s="15">
        <v>0.0</v>
      </c>
      <c r="AL110" s="16">
        <v>0.0</v>
      </c>
      <c r="AM110" s="19">
        <v>0.0</v>
      </c>
      <c r="AN110" s="19">
        <v>0.0</v>
      </c>
      <c r="AO110" s="16">
        <v>0.0</v>
      </c>
      <c r="AP110" s="16">
        <v>0.0</v>
      </c>
      <c r="AQ110" s="16">
        <v>0.0</v>
      </c>
      <c r="AR110" s="16">
        <v>0.0</v>
      </c>
      <c r="AS110" s="7">
        <v>0.0</v>
      </c>
      <c r="AT110" s="7">
        <v>0.0</v>
      </c>
      <c r="AU110" s="7">
        <v>0.0</v>
      </c>
      <c r="AV110" s="7">
        <v>0.0</v>
      </c>
      <c r="AW110" s="7">
        <v>0.0</v>
      </c>
      <c r="AX110" s="7">
        <v>0.0</v>
      </c>
      <c r="AY110" s="7">
        <v>0.0</v>
      </c>
      <c r="AZ110" s="8"/>
      <c r="BA110" s="9"/>
      <c r="BB110" s="10"/>
      <c r="BC110" s="10"/>
    </row>
    <row r="111">
      <c r="A111" s="11">
        <v>2024.0</v>
      </c>
      <c r="B111" s="11" t="s">
        <v>53</v>
      </c>
      <c r="C111" s="12">
        <v>45530.0</v>
      </c>
      <c r="D111" s="44">
        <v>9.0</v>
      </c>
      <c r="E111" s="26">
        <v>415648.06</v>
      </c>
      <c r="F111" s="26">
        <v>21932.16</v>
      </c>
      <c r="G111" s="26">
        <v>2845.13</v>
      </c>
      <c r="H111" s="26">
        <v>1104.0</v>
      </c>
      <c r="I111" s="26">
        <v>1453.48</v>
      </c>
      <c r="J111" s="26">
        <v>2060.63</v>
      </c>
      <c r="K111" s="26">
        <v>9141.44</v>
      </c>
      <c r="L111" s="26">
        <v>7388.11</v>
      </c>
      <c r="M111" s="15">
        <v>1.0</v>
      </c>
      <c r="N111" s="16">
        <v>50000.0</v>
      </c>
      <c r="O111" s="16">
        <f t="shared" si="216"/>
        <v>2000</v>
      </c>
      <c r="P111" s="16">
        <f t="shared" si="217"/>
        <v>840</v>
      </c>
      <c r="Q111" s="16">
        <f t="shared" si="218"/>
        <v>552</v>
      </c>
      <c r="R111" s="16">
        <f t="shared" si="219"/>
        <v>239.19</v>
      </c>
      <c r="S111" s="17">
        <f t="shared" si="220"/>
        <v>393.42</v>
      </c>
      <c r="T111" s="17">
        <f t="shared" si="221"/>
        <v>138</v>
      </c>
      <c r="U111" s="7">
        <v>3760.61</v>
      </c>
      <c r="V111" s="18">
        <f t="shared" si="222"/>
        <v>840</v>
      </c>
      <c r="W111" s="7">
        <f t="shared" si="223"/>
        <v>1692.67</v>
      </c>
      <c r="X111" s="7">
        <f t="shared" si="224"/>
        <v>2060.63</v>
      </c>
      <c r="Y111" s="7">
        <f t="shared" ref="Y111:Y115" si="226">O111</f>
        <v>2000</v>
      </c>
      <c r="Z111" s="7">
        <f t="shared" ref="Z111:Z115" si="227">Q111</f>
        <v>552</v>
      </c>
      <c r="AA111" s="18">
        <f t="shared" si="225"/>
        <v>10905.91</v>
      </c>
      <c r="AB111" s="42">
        <v>5.0</v>
      </c>
      <c r="AC111" s="24">
        <v>235194.83</v>
      </c>
      <c r="AD111" s="24">
        <v>12102.35</v>
      </c>
      <c r="AE111" s="24">
        <v>1715.46</v>
      </c>
      <c r="AF111" s="24">
        <v>690.0</v>
      </c>
      <c r="AG111" s="24">
        <v>782.44</v>
      </c>
      <c r="AH111" s="24">
        <v>0.0</v>
      </c>
      <c r="AI111" s="24">
        <v>4683.93</v>
      </c>
      <c r="AJ111" s="24">
        <v>4230.52</v>
      </c>
      <c r="AK111" s="15">
        <v>0.0</v>
      </c>
      <c r="AL111" s="16">
        <v>0.0</v>
      </c>
      <c r="AM111" s="19">
        <v>0.0</v>
      </c>
      <c r="AN111" s="19">
        <v>0.0</v>
      </c>
      <c r="AO111" s="16">
        <v>0.0</v>
      </c>
      <c r="AP111" s="16">
        <v>0.0</v>
      </c>
      <c r="AQ111" s="16">
        <v>0.0</v>
      </c>
      <c r="AR111" s="16">
        <v>0.0</v>
      </c>
      <c r="AS111" s="7">
        <v>13829.07</v>
      </c>
      <c r="AT111" s="7">
        <v>0.0</v>
      </c>
      <c r="AU111" s="7">
        <v>5204.6</v>
      </c>
      <c r="AV111" s="7">
        <v>3556.96</v>
      </c>
      <c r="AW111" s="7">
        <v>0.0</v>
      </c>
      <c r="AX111" s="7">
        <v>7.37</v>
      </c>
      <c r="AY111" s="7">
        <f t="shared" ref="AY111:AY115" si="228">SUM(AS111:AX111)</f>
        <v>22598</v>
      </c>
      <c r="AZ111" s="8"/>
      <c r="BA111" s="9"/>
      <c r="BB111" s="10"/>
      <c r="BC111" s="10"/>
    </row>
    <row r="112">
      <c r="A112" s="11">
        <v>2024.0</v>
      </c>
      <c r="B112" s="11" t="s">
        <v>53</v>
      </c>
      <c r="C112" s="12">
        <v>45531.0</v>
      </c>
      <c r="D112" s="44">
        <v>7.0</v>
      </c>
      <c r="E112" s="26">
        <v>512652.86</v>
      </c>
      <c r="F112" s="26">
        <v>22285.26</v>
      </c>
      <c r="G112" s="26">
        <v>3261.24</v>
      </c>
      <c r="H112" s="26">
        <v>966.0</v>
      </c>
      <c r="I112" s="26">
        <v>854.9</v>
      </c>
      <c r="J112" s="26">
        <v>2637.45</v>
      </c>
      <c r="K112" s="26">
        <v>8590.55</v>
      </c>
      <c r="L112" s="26">
        <v>8612.57</v>
      </c>
      <c r="M112" s="15">
        <v>1.0</v>
      </c>
      <c r="N112" s="16">
        <v>78000.0</v>
      </c>
      <c r="O112" s="16">
        <f t="shared" si="216"/>
        <v>3120</v>
      </c>
      <c r="P112" s="16">
        <f t="shared" si="217"/>
        <v>1310.4</v>
      </c>
      <c r="Q112" s="16">
        <f t="shared" si="218"/>
        <v>552</v>
      </c>
      <c r="R112" s="16">
        <f t="shared" si="219"/>
        <v>239.19</v>
      </c>
      <c r="S112" s="17">
        <f t="shared" si="220"/>
        <v>393.42</v>
      </c>
      <c r="T112" s="17">
        <f t="shared" si="221"/>
        <v>138</v>
      </c>
      <c r="U112" s="7">
        <v>7137.95</v>
      </c>
      <c r="V112" s="18">
        <f t="shared" si="222"/>
        <v>1310.4</v>
      </c>
      <c r="W112" s="7">
        <f t="shared" si="223"/>
        <v>1094.09</v>
      </c>
      <c r="X112" s="7">
        <f t="shared" si="224"/>
        <v>2637.45</v>
      </c>
      <c r="Y112" s="18">
        <f t="shared" si="226"/>
        <v>3120</v>
      </c>
      <c r="Z112" s="18">
        <f t="shared" si="227"/>
        <v>552</v>
      </c>
      <c r="AA112" s="18">
        <f t="shared" si="225"/>
        <v>15851.89</v>
      </c>
      <c r="AB112" s="42">
        <v>4.0</v>
      </c>
      <c r="AC112" s="57">
        <v>237927.95</v>
      </c>
      <c r="AD112" s="57">
        <v>11356.93</v>
      </c>
      <c r="AE112" s="57">
        <v>1525.25</v>
      </c>
      <c r="AF112" s="56">
        <v>552.0</v>
      </c>
      <c r="AG112" s="56">
        <v>647.89</v>
      </c>
      <c r="AH112" s="56">
        <v>0.0</v>
      </c>
      <c r="AI112" s="57">
        <v>4634.6</v>
      </c>
      <c r="AJ112" s="24">
        <v>3997.19</v>
      </c>
      <c r="AK112" s="15">
        <v>3.0</v>
      </c>
      <c r="AL112" s="16">
        <v>369484.07</v>
      </c>
      <c r="AM112" s="19">
        <v>13974.0</v>
      </c>
      <c r="AN112" s="19">
        <v>6219.0</v>
      </c>
      <c r="AO112" s="16">
        <v>1800.0</v>
      </c>
      <c r="AP112" s="16">
        <v>1309.78</v>
      </c>
      <c r="AQ112" s="16">
        <v>1431.29</v>
      </c>
      <c r="AR112" s="16">
        <v>0.0</v>
      </c>
      <c r="AS112" s="7">
        <v>25556.2</v>
      </c>
      <c r="AT112" s="7">
        <v>3283.0</v>
      </c>
      <c r="AU112" s="7">
        <v>4369.13</v>
      </c>
      <c r="AV112" s="7">
        <v>4392.83</v>
      </c>
      <c r="AW112" s="7">
        <v>7377.0</v>
      </c>
      <c r="AX112" s="7">
        <f>5361.02-AT112</f>
        <v>2078.02</v>
      </c>
      <c r="AY112" s="7">
        <f t="shared" si="228"/>
        <v>47056.18</v>
      </c>
      <c r="AZ112" s="8"/>
      <c r="BA112" s="9"/>
      <c r="BB112" s="10"/>
      <c r="BC112" s="10"/>
    </row>
    <row r="113">
      <c r="A113" s="11">
        <v>2024.0</v>
      </c>
      <c r="B113" s="11" t="s">
        <v>53</v>
      </c>
      <c r="C113" s="12">
        <v>45532.0</v>
      </c>
      <c r="D113" s="44">
        <v>14.0</v>
      </c>
      <c r="E113" s="26">
        <v>1238106.06</v>
      </c>
      <c r="F113" s="26">
        <v>53326.96</v>
      </c>
      <c r="G113" s="26">
        <v>6164.85</v>
      </c>
      <c r="H113" s="26">
        <v>1656.0</v>
      </c>
      <c r="I113" s="26">
        <v>2333.11</v>
      </c>
      <c r="J113" s="26">
        <v>10400.86</v>
      </c>
      <c r="K113" s="26">
        <v>23773.45</v>
      </c>
      <c r="L113" s="26">
        <v>21446.72</v>
      </c>
      <c r="M113" s="15">
        <v>1.0</v>
      </c>
      <c r="N113" s="16">
        <v>100000.0</v>
      </c>
      <c r="O113" s="16">
        <f t="shared" si="216"/>
        <v>4000</v>
      </c>
      <c r="P113" s="16">
        <f t="shared" si="217"/>
        <v>1680</v>
      </c>
      <c r="Q113" s="16">
        <f t="shared" si="218"/>
        <v>552</v>
      </c>
      <c r="R113" s="16">
        <f t="shared" si="219"/>
        <v>239.19</v>
      </c>
      <c r="S113" s="17">
        <f t="shared" si="220"/>
        <v>393.42</v>
      </c>
      <c r="T113" s="17">
        <f t="shared" si="221"/>
        <v>138</v>
      </c>
      <c r="U113" s="7">
        <v>15064.45</v>
      </c>
      <c r="V113" s="18">
        <f t="shared" si="222"/>
        <v>1680</v>
      </c>
      <c r="W113" s="7">
        <f t="shared" si="223"/>
        <v>2572.3</v>
      </c>
      <c r="X113" s="7">
        <f t="shared" si="224"/>
        <v>10400.86</v>
      </c>
      <c r="Y113" s="18">
        <f t="shared" si="226"/>
        <v>4000</v>
      </c>
      <c r="Z113" s="18">
        <f t="shared" si="227"/>
        <v>552</v>
      </c>
      <c r="AA113" s="18">
        <f t="shared" si="225"/>
        <v>34269.61</v>
      </c>
      <c r="AB113" s="42">
        <v>4.0</v>
      </c>
      <c r="AC113" s="24">
        <v>244574.34</v>
      </c>
      <c r="AD113" s="24">
        <v>11283.56</v>
      </c>
      <c r="AE113" s="24">
        <v>1278.31</v>
      </c>
      <c r="AF113" s="24">
        <v>414.0</v>
      </c>
      <c r="AG113" s="24">
        <v>576.0</v>
      </c>
      <c r="AH113" s="56">
        <v>0.0</v>
      </c>
      <c r="AI113" s="24">
        <v>4812.32</v>
      </c>
      <c r="AJ113" s="24">
        <v>4202.93</v>
      </c>
      <c r="AK113" s="15">
        <v>3.0</v>
      </c>
      <c r="AL113" s="16">
        <v>351934.42</v>
      </c>
      <c r="AM113" s="19">
        <v>13309.0</v>
      </c>
      <c r="AN113" s="19">
        <v>5923.0</v>
      </c>
      <c r="AO113" s="16">
        <v>1800.0</v>
      </c>
      <c r="AP113" s="16">
        <v>1351.12</v>
      </c>
      <c r="AQ113" s="16">
        <v>1401.3</v>
      </c>
      <c r="AR113" s="16">
        <v>0.0</v>
      </c>
      <c r="AS113" s="7">
        <v>8487.2</v>
      </c>
      <c r="AT113" s="7">
        <v>8859.0</v>
      </c>
      <c r="AU113" s="7">
        <v>2088.2</v>
      </c>
      <c r="AV113" s="7">
        <v>413.83</v>
      </c>
      <c r="AW113" s="7">
        <v>20206.0</v>
      </c>
      <c r="AX113" s="7">
        <f>13248.24-AT113</f>
        <v>4389.24</v>
      </c>
      <c r="AY113" s="7">
        <f t="shared" si="228"/>
        <v>44443.47</v>
      </c>
      <c r="AZ113" s="8"/>
      <c r="BA113" s="9"/>
      <c r="BB113" s="10"/>
      <c r="BC113" s="10"/>
    </row>
    <row r="114">
      <c r="A114" s="11">
        <v>2024.0</v>
      </c>
      <c r="B114" s="11" t="s">
        <v>53</v>
      </c>
      <c r="C114" s="12">
        <v>45533.0</v>
      </c>
      <c r="D114" s="44">
        <v>11.0</v>
      </c>
      <c r="E114" s="26">
        <v>1026980.08</v>
      </c>
      <c r="F114" s="26">
        <v>47680.63</v>
      </c>
      <c r="G114" s="26">
        <v>5562.97</v>
      </c>
      <c r="H114" s="26">
        <v>1380.0</v>
      </c>
      <c r="I114" s="26">
        <v>1360.06</v>
      </c>
      <c r="J114" s="26">
        <v>0.0</v>
      </c>
      <c r="K114" s="26">
        <v>15204.82</v>
      </c>
      <c r="L114" s="26">
        <v>24172.78</v>
      </c>
      <c r="M114" s="15">
        <v>1.0</v>
      </c>
      <c r="N114" s="16">
        <v>60000.0</v>
      </c>
      <c r="O114" s="16">
        <f t="shared" si="216"/>
        <v>2400</v>
      </c>
      <c r="P114" s="16">
        <f t="shared" si="217"/>
        <v>1008</v>
      </c>
      <c r="Q114" s="16">
        <f t="shared" si="218"/>
        <v>552</v>
      </c>
      <c r="R114" s="16">
        <f t="shared" si="219"/>
        <v>239.19</v>
      </c>
      <c r="S114" s="17">
        <f t="shared" si="220"/>
        <v>393.42</v>
      </c>
      <c r="T114" s="17">
        <f t="shared" si="221"/>
        <v>138</v>
      </c>
      <c r="U114" s="7">
        <v>29274.95</v>
      </c>
      <c r="V114" s="18">
        <f t="shared" si="222"/>
        <v>1008</v>
      </c>
      <c r="W114" s="7">
        <f t="shared" si="223"/>
        <v>1599.25</v>
      </c>
      <c r="X114" s="7">
        <f t="shared" si="224"/>
        <v>0</v>
      </c>
      <c r="Y114" s="18">
        <f t="shared" si="226"/>
        <v>2400</v>
      </c>
      <c r="Z114" s="18">
        <f t="shared" si="227"/>
        <v>552</v>
      </c>
      <c r="AA114" s="18">
        <f t="shared" si="225"/>
        <v>34834.2</v>
      </c>
      <c r="AB114" s="42">
        <v>5.0</v>
      </c>
      <c r="AC114" s="24">
        <v>655895.11</v>
      </c>
      <c r="AD114" s="24">
        <v>31165.16</v>
      </c>
      <c r="AE114" s="24">
        <v>3348.49</v>
      </c>
      <c r="AF114" s="24">
        <v>552.0</v>
      </c>
      <c r="AG114" s="24">
        <v>782.98</v>
      </c>
      <c r="AH114" s="24">
        <v>0.0</v>
      </c>
      <c r="AI114" s="24">
        <v>8543.14</v>
      </c>
      <c r="AJ114" s="24">
        <v>17938.55</v>
      </c>
      <c r="AK114" s="15">
        <v>4.0</v>
      </c>
      <c r="AL114" s="16">
        <v>281882.06</v>
      </c>
      <c r="AM114" s="19">
        <v>8344.0</v>
      </c>
      <c r="AN114" s="19">
        <v>4745.0</v>
      </c>
      <c r="AO114" s="16">
        <v>1800.0</v>
      </c>
      <c r="AP114" s="16">
        <v>1633.71</v>
      </c>
      <c r="AQ114" s="16">
        <v>1169.14</v>
      </c>
      <c r="AR114" s="16">
        <v>0.0</v>
      </c>
      <c r="AS114" s="7">
        <v>27054.92</v>
      </c>
      <c r="AT114" s="7">
        <v>4745.0</v>
      </c>
      <c r="AU114" s="7">
        <v>3067.5</v>
      </c>
      <c r="AV114" s="7">
        <v>12381.78</v>
      </c>
      <c r="AW114" s="7">
        <v>10661.0</v>
      </c>
      <c r="AX114" s="7">
        <f>8782.82-AT114</f>
        <v>4037.82</v>
      </c>
      <c r="AY114" s="7">
        <f t="shared" si="228"/>
        <v>61948.02</v>
      </c>
      <c r="AZ114" s="8"/>
      <c r="BA114" s="9"/>
      <c r="BB114" s="10"/>
      <c r="BC114" s="10"/>
    </row>
    <row r="115">
      <c r="A115" s="11">
        <v>2024.0</v>
      </c>
      <c r="B115" s="11" t="s">
        <v>53</v>
      </c>
      <c r="C115" s="12">
        <v>45534.0</v>
      </c>
      <c r="D115" s="44">
        <v>221.0</v>
      </c>
      <c r="E115" s="26">
        <v>1.431354776E7</v>
      </c>
      <c r="F115" s="26">
        <v>569490.8</v>
      </c>
      <c r="G115" s="26">
        <v>70755.34</v>
      </c>
      <c r="H115" s="26">
        <v>21252.0</v>
      </c>
      <c r="I115" s="26">
        <v>52663.3</v>
      </c>
      <c r="J115" s="26">
        <v>17077.97</v>
      </c>
      <c r="K115" s="26">
        <v>185823.92</v>
      </c>
      <c r="L115" s="26">
        <v>215869.28</v>
      </c>
      <c r="M115" s="15">
        <v>1.0</v>
      </c>
      <c r="N115" s="16">
        <v>150000.0</v>
      </c>
      <c r="O115" s="16">
        <f t="shared" si="216"/>
        <v>6000</v>
      </c>
      <c r="P115" s="16">
        <f t="shared" si="217"/>
        <v>2520</v>
      </c>
      <c r="Q115" s="16">
        <f t="shared" si="218"/>
        <v>552</v>
      </c>
      <c r="R115" s="16">
        <f t="shared" si="219"/>
        <v>239.19</v>
      </c>
      <c r="S115" s="17">
        <f t="shared" si="220"/>
        <v>393.42</v>
      </c>
      <c r="T115" s="17">
        <f t="shared" si="221"/>
        <v>138</v>
      </c>
      <c r="U115" s="7">
        <v>53756.28</v>
      </c>
      <c r="V115" s="18">
        <f t="shared" si="222"/>
        <v>2520</v>
      </c>
      <c r="W115" s="7">
        <f t="shared" si="223"/>
        <v>52902.49</v>
      </c>
      <c r="X115" s="7">
        <f t="shared" si="224"/>
        <v>17077.97</v>
      </c>
      <c r="Y115" s="18">
        <f t="shared" si="226"/>
        <v>6000</v>
      </c>
      <c r="Z115" s="18">
        <f t="shared" si="227"/>
        <v>552</v>
      </c>
      <c r="AA115" s="18">
        <f t="shared" si="225"/>
        <v>132808.74</v>
      </c>
      <c r="AB115" s="42">
        <v>116.0</v>
      </c>
      <c r="AC115" s="24">
        <v>7367323.26</v>
      </c>
      <c r="AD115" s="24">
        <v>313464.77</v>
      </c>
      <c r="AE115" s="24">
        <v>41014.3</v>
      </c>
      <c r="AF115" s="24">
        <v>11868.0</v>
      </c>
      <c r="AG115" s="24">
        <v>30738.51</v>
      </c>
      <c r="AH115" s="24">
        <v>1117.99</v>
      </c>
      <c r="AI115" s="24">
        <v>88787.31</v>
      </c>
      <c r="AJ115" s="24">
        <v>110631.87</v>
      </c>
      <c r="AK115" s="15">
        <v>5.0</v>
      </c>
      <c r="AL115" s="16">
        <v>197156.82</v>
      </c>
      <c r="AM115" s="19">
        <v>6784.0</v>
      </c>
      <c r="AN115" s="19">
        <v>3020.0</v>
      </c>
      <c r="AO115" s="16">
        <v>1800.0</v>
      </c>
      <c r="AP115" s="16">
        <v>1320.62</v>
      </c>
      <c r="AQ115" s="16">
        <v>746.22</v>
      </c>
      <c r="AR115" s="16">
        <v>0.0</v>
      </c>
      <c r="AS115" s="7">
        <v>34936.48</v>
      </c>
      <c r="AT115" s="7"/>
      <c r="AU115" s="7">
        <v>11909.51</v>
      </c>
      <c r="AV115" s="7">
        <v>3377.82</v>
      </c>
      <c r="AW115" s="7">
        <v>0.0</v>
      </c>
      <c r="AX115" s="7">
        <v>2290.21</v>
      </c>
      <c r="AY115" s="7">
        <f t="shared" si="228"/>
        <v>52514.02</v>
      </c>
      <c r="AZ115" s="8"/>
      <c r="BA115" s="9"/>
      <c r="BB115" s="10"/>
      <c r="BC115" s="10"/>
    </row>
    <row r="116">
      <c r="A116" s="11">
        <v>2024.0</v>
      </c>
      <c r="B116" s="11" t="s">
        <v>53</v>
      </c>
      <c r="C116" s="1"/>
      <c r="D116" s="2">
        <v>94.0</v>
      </c>
      <c r="E116" s="2"/>
      <c r="F116" s="59">
        <v>238526.87</v>
      </c>
      <c r="G116" s="33"/>
      <c r="H116" s="33"/>
      <c r="I116" s="33"/>
      <c r="J116" s="33"/>
      <c r="K116" s="33"/>
      <c r="L116" s="33"/>
      <c r="M116" s="15">
        <v>14.0</v>
      </c>
      <c r="N116" s="51">
        <v>990000.0</v>
      </c>
      <c r="O116" s="35"/>
      <c r="P116" s="35"/>
      <c r="Q116" s="35"/>
      <c r="R116" s="35"/>
      <c r="S116" s="35"/>
      <c r="T116" s="35"/>
      <c r="U116" s="37"/>
      <c r="V116" s="48"/>
      <c r="W116" s="48"/>
      <c r="X116" s="37"/>
      <c r="Y116" s="48"/>
      <c r="Z116" s="48"/>
      <c r="AA116" s="48"/>
      <c r="AB116" s="2"/>
      <c r="AC116" s="33"/>
      <c r="AD116" s="2"/>
      <c r="AE116" s="33"/>
      <c r="AF116" s="33"/>
      <c r="AG116" s="33"/>
      <c r="AH116" s="33"/>
      <c r="AI116" s="33"/>
      <c r="AJ116" s="33"/>
      <c r="AK116" s="4"/>
      <c r="AL116" s="4"/>
      <c r="AM116" s="35"/>
      <c r="AN116" s="35"/>
      <c r="AO116" s="35"/>
      <c r="AP116" s="35"/>
      <c r="AQ116" s="35"/>
      <c r="AR116" s="35"/>
      <c r="AS116" s="37"/>
      <c r="AT116" s="48"/>
      <c r="AU116" s="48"/>
      <c r="AV116" s="48"/>
      <c r="AW116" s="48"/>
      <c r="AX116" s="48"/>
      <c r="AY116" s="48"/>
      <c r="AZ116" s="38"/>
      <c r="BA116" s="39"/>
      <c r="BB116" s="40"/>
      <c r="BC116" s="40"/>
    </row>
    <row r="117">
      <c r="A117" s="1">
        <v>2024.0</v>
      </c>
      <c r="B117" s="1" t="s">
        <v>53</v>
      </c>
      <c r="C117" s="1" t="s">
        <v>49</v>
      </c>
      <c r="D117" s="33">
        <f>SUM($D$109:$D$115)</f>
        <v>279</v>
      </c>
      <c r="E117" s="34">
        <f>SUM(E109:E116)</f>
        <v>18626965.95</v>
      </c>
      <c r="F117" s="34">
        <f t="shared" ref="F117:AJ117" si="229">SUM(F109:F115)</f>
        <v>770970.63</v>
      </c>
      <c r="G117" s="34">
        <f t="shared" si="229"/>
        <v>96384.7</v>
      </c>
      <c r="H117" s="34">
        <f t="shared" si="229"/>
        <v>28566</v>
      </c>
      <c r="I117" s="34">
        <f t="shared" si="229"/>
        <v>61281.11</v>
      </c>
      <c r="J117" s="34">
        <f t="shared" si="229"/>
        <v>34055.82</v>
      </c>
      <c r="K117" s="34">
        <f t="shared" si="229"/>
        <v>271331.7</v>
      </c>
      <c r="L117" s="34">
        <f t="shared" si="229"/>
        <v>296217.97</v>
      </c>
      <c r="M117" s="35">
        <f t="shared" si="229"/>
        <v>5</v>
      </c>
      <c r="N117" s="36">
        <f t="shared" si="229"/>
        <v>438000</v>
      </c>
      <c r="O117" s="36">
        <f t="shared" si="229"/>
        <v>17520</v>
      </c>
      <c r="P117" s="36">
        <f t="shared" si="229"/>
        <v>7358.4</v>
      </c>
      <c r="Q117" s="36">
        <f t="shared" si="229"/>
        <v>2760</v>
      </c>
      <c r="R117" s="36">
        <f t="shared" si="229"/>
        <v>1195.95</v>
      </c>
      <c r="S117" s="36">
        <f t="shared" si="229"/>
        <v>1967.1</v>
      </c>
      <c r="T117" s="36">
        <f t="shared" si="229"/>
        <v>690</v>
      </c>
      <c r="U117" s="37">
        <f t="shared" si="229"/>
        <v>121286.57</v>
      </c>
      <c r="V117" s="37">
        <f t="shared" si="229"/>
        <v>7358.4</v>
      </c>
      <c r="W117" s="37">
        <f t="shared" si="229"/>
        <v>62477.06</v>
      </c>
      <c r="X117" s="37">
        <f t="shared" si="229"/>
        <v>34055.82</v>
      </c>
      <c r="Y117" s="37">
        <f t="shared" si="229"/>
        <v>17520</v>
      </c>
      <c r="Z117" s="37">
        <f t="shared" si="229"/>
        <v>2760</v>
      </c>
      <c r="AA117" s="37">
        <f t="shared" si="229"/>
        <v>245457.85</v>
      </c>
      <c r="AB117" s="33">
        <f t="shared" si="229"/>
        <v>146</v>
      </c>
      <c r="AC117" s="55">
        <f t="shared" si="229"/>
        <v>9676577.16</v>
      </c>
      <c r="AD117" s="55">
        <f t="shared" si="229"/>
        <v>425279.28</v>
      </c>
      <c r="AE117" s="55">
        <f t="shared" si="229"/>
        <v>54496.46</v>
      </c>
      <c r="AF117" s="33">
        <f t="shared" si="229"/>
        <v>15732</v>
      </c>
      <c r="AG117" s="33">
        <f t="shared" si="229"/>
        <v>35297.93</v>
      </c>
      <c r="AH117" s="33">
        <f t="shared" si="229"/>
        <v>1117.99</v>
      </c>
      <c r="AI117" s="55">
        <f t="shared" si="229"/>
        <v>132707.63</v>
      </c>
      <c r="AJ117" s="55">
        <f t="shared" si="229"/>
        <v>156620.48</v>
      </c>
      <c r="AK117" s="35">
        <f t="shared" ref="AK117:AL117" si="230">SUM(AK109:AK116)</f>
        <v>15</v>
      </c>
      <c r="AL117" s="36">
        <f t="shared" si="230"/>
        <v>1200457.37</v>
      </c>
      <c r="AM117" s="36">
        <f t="shared" ref="AM117:AY117" si="231">SUM(AM109:AM115)</f>
        <v>42411</v>
      </c>
      <c r="AN117" s="36">
        <f t="shared" si="231"/>
        <v>19907</v>
      </c>
      <c r="AO117" s="36">
        <f t="shared" si="231"/>
        <v>7200</v>
      </c>
      <c r="AP117" s="36">
        <f t="shared" si="231"/>
        <v>5615.23</v>
      </c>
      <c r="AQ117" s="36">
        <f t="shared" si="231"/>
        <v>4747.95</v>
      </c>
      <c r="AR117" s="36">
        <f t="shared" si="231"/>
        <v>0</v>
      </c>
      <c r="AS117" s="37">
        <f t="shared" si="231"/>
        <v>109863.87</v>
      </c>
      <c r="AT117" s="37">
        <f t="shared" si="231"/>
        <v>16887</v>
      </c>
      <c r="AU117" s="37">
        <f t="shared" si="231"/>
        <v>26638.94</v>
      </c>
      <c r="AV117" s="37">
        <f t="shared" si="231"/>
        <v>24123.22</v>
      </c>
      <c r="AW117" s="37">
        <f t="shared" si="231"/>
        <v>38244</v>
      </c>
      <c r="AX117" s="37">
        <f t="shared" si="231"/>
        <v>12802.66</v>
      </c>
      <c r="AY117" s="37">
        <f t="shared" si="231"/>
        <v>228559.69</v>
      </c>
      <c r="AZ117" s="38"/>
      <c r="BA117" s="39"/>
      <c r="BB117" s="40"/>
      <c r="BC117" s="40"/>
    </row>
    <row r="118">
      <c r="A118" s="11">
        <v>2024.0</v>
      </c>
      <c r="B118" s="11" t="s">
        <v>54</v>
      </c>
      <c r="C118" s="12">
        <v>45535.0</v>
      </c>
      <c r="D118" s="44">
        <v>7.0</v>
      </c>
      <c r="E118" s="26">
        <v>584842.78</v>
      </c>
      <c r="F118" s="26">
        <v>20115.41</v>
      </c>
      <c r="G118" s="26">
        <v>2745.76</v>
      </c>
      <c r="H118" s="26">
        <v>966.0</v>
      </c>
      <c r="I118" s="26">
        <v>1480.65</v>
      </c>
      <c r="J118" s="26">
        <v>0.0</v>
      </c>
      <c r="K118" s="26">
        <v>5097.64</v>
      </c>
      <c r="L118" s="26">
        <v>9825.36</v>
      </c>
      <c r="M118" s="15">
        <v>0.0</v>
      </c>
      <c r="N118" s="16">
        <v>0.0</v>
      </c>
      <c r="O118" s="16">
        <f t="shared" ref="O118:O124" si="232">N118*4%</f>
        <v>0</v>
      </c>
      <c r="P118" s="16">
        <f t="shared" ref="P118:P124" si="233">N118*1.68%</f>
        <v>0</v>
      </c>
      <c r="Q118" s="16">
        <f t="shared" ref="Q118:Q124" si="234">M118*(250+300+2)</f>
        <v>0</v>
      </c>
      <c r="R118" s="16">
        <f t="shared" ref="R118:R124" si="235">M118*239.19</f>
        <v>0</v>
      </c>
      <c r="S118" s="17">
        <f t="shared" ref="S118:S124" si="236">M118*393.42</f>
        <v>0</v>
      </c>
      <c r="T118" s="17">
        <f t="shared" ref="T118:T124" si="237">M118*138</f>
        <v>0</v>
      </c>
      <c r="U118" s="7">
        <v>11322.12</v>
      </c>
      <c r="V118" s="18">
        <f t="shared" ref="V118:V124" si="238">P118</f>
        <v>0</v>
      </c>
      <c r="W118" s="7">
        <f t="shared" ref="W118:W124" si="239">I118+R118</f>
        <v>1480.65</v>
      </c>
      <c r="X118" s="7">
        <f t="shared" ref="X118:X124" si="240">J118</f>
        <v>0</v>
      </c>
      <c r="Y118" s="7">
        <v>0.0</v>
      </c>
      <c r="Z118" s="7">
        <v>0.0</v>
      </c>
      <c r="AA118" s="18">
        <f t="shared" ref="AA118:AA124" si="241">SUM(U118:Z118)</f>
        <v>12802.77</v>
      </c>
      <c r="AB118" s="41">
        <v>7.0</v>
      </c>
      <c r="AC118" s="52">
        <v>584842.78</v>
      </c>
      <c r="AD118" s="52">
        <v>20115.41</v>
      </c>
      <c r="AE118" s="57">
        <v>2745.76</v>
      </c>
      <c r="AF118" s="56">
        <v>966.0</v>
      </c>
      <c r="AG118" s="57">
        <v>1480.65</v>
      </c>
      <c r="AH118" s="56">
        <v>0.0</v>
      </c>
      <c r="AI118" s="52">
        <v>5097.64</v>
      </c>
      <c r="AJ118" s="60">
        <v>9825.36</v>
      </c>
      <c r="AK118" s="15">
        <v>0.0</v>
      </c>
      <c r="AL118" s="16">
        <v>0.0</v>
      </c>
      <c r="AM118" s="19">
        <v>0.0</v>
      </c>
      <c r="AN118" s="19">
        <v>0.0</v>
      </c>
      <c r="AO118" s="16">
        <v>0.0</v>
      </c>
      <c r="AP118" s="16">
        <v>0.0</v>
      </c>
      <c r="AQ118" s="16">
        <v>0.0</v>
      </c>
      <c r="AR118" s="16">
        <v>0.0</v>
      </c>
      <c r="AS118" s="7">
        <v>62727.78</v>
      </c>
      <c r="AT118" s="7">
        <v>0.0</v>
      </c>
      <c r="AU118" s="7">
        <v>20216.9</v>
      </c>
      <c r="AV118" s="7">
        <v>5178.27</v>
      </c>
      <c r="AW118" s="7">
        <v>6784.0</v>
      </c>
      <c r="AX118" s="7">
        <v>6981.77</v>
      </c>
      <c r="AY118" s="7">
        <f>SUM(AS118:AX118)</f>
        <v>101888.72</v>
      </c>
      <c r="AZ118" s="8"/>
      <c r="BA118" s="9"/>
      <c r="BB118" s="10"/>
      <c r="BC118" s="10"/>
    </row>
    <row r="119">
      <c r="A119" s="11">
        <v>2024.0</v>
      </c>
      <c r="B119" s="11" t="s">
        <v>54</v>
      </c>
      <c r="C119" s="12">
        <v>45536.0</v>
      </c>
      <c r="D119" s="53">
        <v>10.0</v>
      </c>
      <c r="E119" s="26">
        <v>460142.76</v>
      </c>
      <c r="F119" s="26">
        <v>23078.45</v>
      </c>
      <c r="G119" s="26">
        <v>3270.7</v>
      </c>
      <c r="H119" s="26">
        <v>1380.0</v>
      </c>
      <c r="I119" s="26">
        <v>1237.84</v>
      </c>
      <c r="J119" s="26">
        <v>339.94</v>
      </c>
      <c r="K119" s="26">
        <v>7700.95</v>
      </c>
      <c r="L119" s="26">
        <v>9488.96</v>
      </c>
      <c r="M119" s="15">
        <v>0.0</v>
      </c>
      <c r="N119" s="16">
        <v>0.0</v>
      </c>
      <c r="O119" s="16">
        <f t="shared" si="232"/>
        <v>0</v>
      </c>
      <c r="P119" s="16">
        <f t="shared" si="233"/>
        <v>0</v>
      </c>
      <c r="Q119" s="16">
        <f t="shared" si="234"/>
        <v>0</v>
      </c>
      <c r="R119" s="16">
        <f t="shared" si="235"/>
        <v>0</v>
      </c>
      <c r="S119" s="17">
        <f t="shared" si="236"/>
        <v>0</v>
      </c>
      <c r="T119" s="17">
        <f t="shared" si="237"/>
        <v>0</v>
      </c>
      <c r="U119" s="7">
        <v>6841.46</v>
      </c>
      <c r="V119" s="18">
        <f t="shared" si="238"/>
        <v>0</v>
      </c>
      <c r="W119" s="7">
        <f t="shared" si="239"/>
        <v>1237.84</v>
      </c>
      <c r="X119" s="7">
        <f t="shared" si="240"/>
        <v>339.94</v>
      </c>
      <c r="Y119" s="7">
        <v>0.0</v>
      </c>
      <c r="Z119" s="7">
        <v>0.0</v>
      </c>
      <c r="AA119" s="18">
        <f t="shared" si="241"/>
        <v>8419.24</v>
      </c>
      <c r="AB119" s="42">
        <v>7.0</v>
      </c>
      <c r="AC119" s="54">
        <v>325155.24</v>
      </c>
      <c r="AD119" s="54">
        <v>17327.78</v>
      </c>
      <c r="AE119" s="54">
        <v>2503.45</v>
      </c>
      <c r="AF119" s="42">
        <v>966.0</v>
      </c>
      <c r="AG119" s="42">
        <v>738.1</v>
      </c>
      <c r="AH119" s="42">
        <v>0.0</v>
      </c>
      <c r="AI119" s="54">
        <v>5927.56</v>
      </c>
      <c r="AJ119" s="54">
        <v>7192.67</v>
      </c>
      <c r="AK119" s="15">
        <v>0.0</v>
      </c>
      <c r="AL119" s="16">
        <v>0.0</v>
      </c>
      <c r="AM119" s="19">
        <v>0.0</v>
      </c>
      <c r="AN119" s="19">
        <v>0.0</v>
      </c>
      <c r="AO119" s="16">
        <v>0.0</v>
      </c>
      <c r="AP119" s="16">
        <v>0.0</v>
      </c>
      <c r="AQ119" s="16">
        <v>0.0</v>
      </c>
      <c r="AR119" s="16">
        <v>0.0</v>
      </c>
      <c r="AS119" s="7">
        <v>0.0</v>
      </c>
      <c r="AT119" s="7">
        <v>0.0</v>
      </c>
      <c r="AU119" s="7">
        <v>0.0</v>
      </c>
      <c r="AV119" s="7">
        <v>0.0</v>
      </c>
      <c r="AW119" s="7">
        <v>0.0</v>
      </c>
      <c r="AX119" s="7">
        <v>0.0</v>
      </c>
      <c r="AY119" s="7">
        <v>0.0</v>
      </c>
      <c r="AZ119" s="8"/>
      <c r="BA119" s="9"/>
      <c r="BB119" s="10"/>
      <c r="BC119" s="10"/>
    </row>
    <row r="120">
      <c r="A120" s="11">
        <v>2024.0</v>
      </c>
      <c r="B120" s="11" t="s">
        <v>54</v>
      </c>
      <c r="C120" s="12">
        <v>45537.0</v>
      </c>
      <c r="D120" s="44">
        <v>6.0</v>
      </c>
      <c r="E120" s="26">
        <v>432554.06</v>
      </c>
      <c r="F120" s="26">
        <v>21224.67</v>
      </c>
      <c r="G120" s="26">
        <v>2238.67</v>
      </c>
      <c r="H120" s="26">
        <v>828.0</v>
      </c>
      <c r="I120" s="26">
        <v>1352.01</v>
      </c>
      <c r="J120" s="26">
        <v>2037.28</v>
      </c>
      <c r="K120" s="26">
        <v>9016.0</v>
      </c>
      <c r="L120" s="26">
        <v>7789.99</v>
      </c>
      <c r="M120" s="15">
        <v>0.0</v>
      </c>
      <c r="N120" s="16">
        <v>0.0</v>
      </c>
      <c r="O120" s="16">
        <f t="shared" si="232"/>
        <v>0</v>
      </c>
      <c r="P120" s="16">
        <f t="shared" si="233"/>
        <v>0</v>
      </c>
      <c r="Q120" s="16">
        <f t="shared" si="234"/>
        <v>0</v>
      </c>
      <c r="R120" s="16">
        <f t="shared" si="235"/>
        <v>0</v>
      </c>
      <c r="S120" s="17">
        <f t="shared" si="236"/>
        <v>0</v>
      </c>
      <c r="T120" s="17">
        <f t="shared" si="237"/>
        <v>0</v>
      </c>
      <c r="U120" s="7">
        <v>10254.46</v>
      </c>
      <c r="V120" s="18">
        <f t="shared" si="238"/>
        <v>0</v>
      </c>
      <c r="W120" s="7">
        <f t="shared" si="239"/>
        <v>1352.01</v>
      </c>
      <c r="X120" s="7">
        <f t="shared" si="240"/>
        <v>2037.28</v>
      </c>
      <c r="Y120" s="7">
        <f t="shared" ref="Y120:Y124" si="242">O120</f>
        <v>0</v>
      </c>
      <c r="Z120" s="7">
        <f t="shared" ref="Z120:Z124" si="243">Q120</f>
        <v>0</v>
      </c>
      <c r="AA120" s="18">
        <f t="shared" si="241"/>
        <v>13643.75</v>
      </c>
      <c r="AB120" s="42">
        <v>4.0</v>
      </c>
      <c r="AC120" s="24">
        <v>185152.72</v>
      </c>
      <c r="AD120" s="24">
        <v>8527.06</v>
      </c>
      <c r="AE120" s="24">
        <v>1282.22</v>
      </c>
      <c r="AF120" s="24">
        <v>552.0</v>
      </c>
      <c r="AG120" s="24">
        <v>756.77</v>
      </c>
      <c r="AH120" s="24">
        <v>0.0</v>
      </c>
      <c r="AI120" s="24">
        <v>2307.35</v>
      </c>
      <c r="AJ120" s="24">
        <v>3628.72</v>
      </c>
      <c r="AK120" s="15">
        <v>0.0</v>
      </c>
      <c r="AL120" s="16">
        <v>0.0</v>
      </c>
      <c r="AM120" s="19">
        <v>0.0</v>
      </c>
      <c r="AN120" s="19">
        <v>0.0</v>
      </c>
      <c r="AO120" s="16">
        <v>0.0</v>
      </c>
      <c r="AP120" s="16">
        <v>0.0</v>
      </c>
      <c r="AQ120" s="16">
        <v>0.0</v>
      </c>
      <c r="AR120" s="16">
        <v>0.0</v>
      </c>
      <c r="AS120" s="7">
        <v>3700.0</v>
      </c>
      <c r="AT120" s="7">
        <v>0.0</v>
      </c>
      <c r="AU120" s="7">
        <v>636.0</v>
      </c>
      <c r="AV120" s="7">
        <v>0.0</v>
      </c>
      <c r="AW120" s="7">
        <v>0.0</v>
      </c>
      <c r="AX120" s="7">
        <v>123.45</v>
      </c>
      <c r="AY120" s="7">
        <f t="shared" ref="AY120:AY124" si="244">SUM(AS120:AX120)</f>
        <v>4459.45</v>
      </c>
      <c r="AZ120" s="8"/>
      <c r="BA120" s="9"/>
      <c r="BB120" s="10"/>
      <c r="BC120" s="10"/>
    </row>
    <row r="121">
      <c r="A121" s="11">
        <v>2024.0</v>
      </c>
      <c r="B121" s="11" t="s">
        <v>54</v>
      </c>
      <c r="C121" s="12">
        <v>45538.0</v>
      </c>
      <c r="D121" s="44">
        <v>8.0</v>
      </c>
      <c r="E121" s="26">
        <v>637710.63</v>
      </c>
      <c r="F121" s="26">
        <v>23749.6</v>
      </c>
      <c r="G121" s="26">
        <v>2265.22</v>
      </c>
      <c r="H121" s="26">
        <v>828.0</v>
      </c>
      <c r="I121" s="26">
        <v>1149.42</v>
      </c>
      <c r="J121" s="26">
        <v>124.86</v>
      </c>
      <c r="K121" s="26">
        <v>14887.01</v>
      </c>
      <c r="L121" s="26">
        <v>10627.15</v>
      </c>
      <c r="M121" s="15">
        <v>1.0</v>
      </c>
      <c r="N121" s="16">
        <v>45000.0</v>
      </c>
      <c r="O121" s="16">
        <f t="shared" si="232"/>
        <v>1800</v>
      </c>
      <c r="P121" s="16">
        <f t="shared" si="233"/>
        <v>756</v>
      </c>
      <c r="Q121" s="16">
        <f t="shared" si="234"/>
        <v>552</v>
      </c>
      <c r="R121" s="16">
        <f t="shared" si="235"/>
        <v>239.19</v>
      </c>
      <c r="S121" s="17">
        <f t="shared" si="236"/>
        <v>393.42</v>
      </c>
      <c r="T121" s="17">
        <f t="shared" si="237"/>
        <v>138</v>
      </c>
      <c r="U121" s="7">
        <v>3450.97</v>
      </c>
      <c r="V121" s="18">
        <f t="shared" si="238"/>
        <v>756</v>
      </c>
      <c r="W121" s="7">
        <f t="shared" si="239"/>
        <v>1388.61</v>
      </c>
      <c r="X121" s="7">
        <f t="shared" si="240"/>
        <v>124.86</v>
      </c>
      <c r="Y121" s="18">
        <f t="shared" si="242"/>
        <v>1800</v>
      </c>
      <c r="Z121" s="18">
        <f t="shared" si="243"/>
        <v>552</v>
      </c>
      <c r="AA121" s="18">
        <f t="shared" si="241"/>
        <v>8072.44</v>
      </c>
      <c r="AB121" s="42">
        <v>6.0</v>
      </c>
      <c r="AC121" s="57">
        <v>311752.01</v>
      </c>
      <c r="AD121" s="57">
        <v>17674.15</v>
      </c>
      <c r="AE121" s="57">
        <v>2265.22</v>
      </c>
      <c r="AF121" s="56">
        <v>828.0</v>
      </c>
      <c r="AG121" s="57">
        <v>1149.42</v>
      </c>
      <c r="AH121" s="56">
        <v>0.0</v>
      </c>
      <c r="AI121" s="57">
        <v>8194.08</v>
      </c>
      <c r="AJ121" s="24">
        <v>5237.43</v>
      </c>
      <c r="AK121" s="15">
        <v>0.0</v>
      </c>
      <c r="AL121" s="16">
        <v>0.0</v>
      </c>
      <c r="AM121" s="19">
        <v>0.0</v>
      </c>
      <c r="AN121" s="19">
        <v>0.0</v>
      </c>
      <c r="AO121" s="16">
        <v>0.0</v>
      </c>
      <c r="AP121" s="16">
        <v>0.0</v>
      </c>
      <c r="AQ121" s="16">
        <v>0.0</v>
      </c>
      <c r="AR121" s="16">
        <v>0.0</v>
      </c>
      <c r="AS121" s="7">
        <v>2370.0</v>
      </c>
      <c r="AT121" s="7">
        <v>0.0</v>
      </c>
      <c r="AU121" s="7">
        <v>300.0</v>
      </c>
      <c r="AV121" s="7">
        <v>650.0</v>
      </c>
      <c r="AW121" s="7">
        <v>0.0</v>
      </c>
      <c r="AX121" s="7">
        <v>46.2</v>
      </c>
      <c r="AY121" s="7">
        <f t="shared" si="244"/>
        <v>3366.2</v>
      </c>
      <c r="AZ121" s="8"/>
      <c r="BA121" s="9"/>
      <c r="BB121" s="10"/>
      <c r="BC121" s="10"/>
    </row>
    <row r="122">
      <c r="A122" s="11">
        <v>2024.0</v>
      </c>
      <c r="B122" s="11" t="s">
        <v>54</v>
      </c>
      <c r="C122" s="12">
        <v>45539.0</v>
      </c>
      <c r="D122" s="44">
        <v>10.0</v>
      </c>
      <c r="E122" s="26">
        <v>438564.14</v>
      </c>
      <c r="F122" s="26">
        <v>21992.74</v>
      </c>
      <c r="G122" s="26">
        <v>3591.63</v>
      </c>
      <c r="H122" s="26">
        <v>1242.0</v>
      </c>
      <c r="I122" s="26">
        <v>1271.2</v>
      </c>
      <c r="J122" s="26">
        <v>1606.04</v>
      </c>
      <c r="K122" s="26">
        <v>9971.65</v>
      </c>
      <c r="L122" s="26">
        <v>9140.88</v>
      </c>
      <c r="M122" s="15">
        <v>1.0</v>
      </c>
      <c r="N122" s="16">
        <v>85000.0</v>
      </c>
      <c r="O122" s="16">
        <f t="shared" si="232"/>
        <v>3400</v>
      </c>
      <c r="P122" s="16">
        <f t="shared" si="233"/>
        <v>1428</v>
      </c>
      <c r="Q122" s="16">
        <f t="shared" si="234"/>
        <v>552</v>
      </c>
      <c r="R122" s="16">
        <f t="shared" si="235"/>
        <v>239.19</v>
      </c>
      <c r="S122" s="17">
        <f t="shared" si="236"/>
        <v>393.42</v>
      </c>
      <c r="T122" s="17">
        <f t="shared" si="237"/>
        <v>138</v>
      </c>
      <c r="U122" s="7">
        <v>3233.68</v>
      </c>
      <c r="V122" s="18">
        <f t="shared" si="238"/>
        <v>1428</v>
      </c>
      <c r="W122" s="7">
        <f t="shared" si="239"/>
        <v>1510.39</v>
      </c>
      <c r="X122" s="7">
        <f t="shared" si="240"/>
        <v>1606.04</v>
      </c>
      <c r="Y122" s="18">
        <f t="shared" si="242"/>
        <v>3400</v>
      </c>
      <c r="Z122" s="18">
        <f t="shared" si="243"/>
        <v>552</v>
      </c>
      <c r="AA122" s="18">
        <f t="shared" si="241"/>
        <v>11730.11</v>
      </c>
      <c r="AB122" s="42">
        <v>7.0</v>
      </c>
      <c r="AC122" s="24">
        <v>318366.6</v>
      </c>
      <c r="AD122" s="24">
        <v>16118.97</v>
      </c>
      <c r="AE122" s="24">
        <v>2614.59</v>
      </c>
      <c r="AF122" s="24">
        <v>828.0</v>
      </c>
      <c r="AG122" s="24">
        <v>993.23</v>
      </c>
      <c r="AH122" s="56">
        <v>0.0</v>
      </c>
      <c r="AI122" s="24">
        <v>4978.4</v>
      </c>
      <c r="AJ122" s="24">
        <v>6704.75</v>
      </c>
      <c r="AK122" s="15">
        <v>1.0</v>
      </c>
      <c r="AL122" s="16">
        <v>101150.52</v>
      </c>
      <c r="AM122" s="19">
        <v>3825.0</v>
      </c>
      <c r="AN122" s="19">
        <v>1703.0</v>
      </c>
      <c r="AO122" s="16">
        <v>600.0</v>
      </c>
      <c r="AP122" s="16">
        <v>513.92</v>
      </c>
      <c r="AQ122" s="16">
        <v>308.7</v>
      </c>
      <c r="AR122" s="16">
        <v>0.0</v>
      </c>
      <c r="AS122" s="7">
        <v>3340.0</v>
      </c>
      <c r="AT122" s="7">
        <v>0.0</v>
      </c>
      <c r="AU122" s="7">
        <v>580.0</v>
      </c>
      <c r="AV122" s="7">
        <v>600.0</v>
      </c>
      <c r="AW122" s="7">
        <v>3825.0</v>
      </c>
      <c r="AX122" s="7">
        <v>120.03</v>
      </c>
      <c r="AY122" s="7">
        <f t="shared" si="244"/>
        <v>8465.03</v>
      </c>
      <c r="AZ122" s="8"/>
      <c r="BA122" s="9"/>
      <c r="BB122" s="10"/>
      <c r="BC122" s="10"/>
    </row>
    <row r="123">
      <c r="A123" s="11">
        <v>2024.0</v>
      </c>
      <c r="B123" s="11" t="s">
        <v>54</v>
      </c>
      <c r="C123" s="12">
        <v>45540.0</v>
      </c>
      <c r="D123" s="44">
        <v>11.0</v>
      </c>
      <c r="E123" s="26">
        <v>826796.78</v>
      </c>
      <c r="F123" s="26">
        <v>33642.57</v>
      </c>
      <c r="G123" s="26">
        <v>4362.16</v>
      </c>
      <c r="H123" s="26">
        <v>1518.0</v>
      </c>
      <c r="I123" s="26">
        <v>1600.38</v>
      </c>
      <c r="J123" s="26">
        <v>12677.93</v>
      </c>
      <c r="K123" s="26">
        <v>41514.0</v>
      </c>
      <c r="L123" s="26">
        <v>13890.19</v>
      </c>
      <c r="M123" s="15">
        <v>2.0</v>
      </c>
      <c r="N123" s="16">
        <v>110000.0</v>
      </c>
      <c r="O123" s="16">
        <f t="shared" si="232"/>
        <v>4400</v>
      </c>
      <c r="P123" s="16">
        <f t="shared" si="233"/>
        <v>1848</v>
      </c>
      <c r="Q123" s="16">
        <f t="shared" si="234"/>
        <v>1104</v>
      </c>
      <c r="R123" s="16">
        <f t="shared" si="235"/>
        <v>478.38</v>
      </c>
      <c r="S123" s="17">
        <f t="shared" si="236"/>
        <v>786.84</v>
      </c>
      <c r="T123" s="17">
        <f t="shared" si="237"/>
        <v>276</v>
      </c>
      <c r="U123" s="7">
        <v>8770.29</v>
      </c>
      <c r="V123" s="18">
        <f t="shared" si="238"/>
        <v>1848</v>
      </c>
      <c r="W123" s="7">
        <f t="shared" si="239"/>
        <v>2078.76</v>
      </c>
      <c r="X123" s="7">
        <f t="shared" si="240"/>
        <v>12677.93</v>
      </c>
      <c r="Y123" s="18">
        <f t="shared" si="242"/>
        <v>4400</v>
      </c>
      <c r="Z123" s="18">
        <f t="shared" si="243"/>
        <v>1104</v>
      </c>
      <c r="AA123" s="18">
        <f t="shared" si="241"/>
        <v>30878.98</v>
      </c>
      <c r="AB123" s="42">
        <v>3.0</v>
      </c>
      <c r="AC123" s="24">
        <v>291801.08</v>
      </c>
      <c r="AD123" s="24">
        <v>10822.53</v>
      </c>
      <c r="AE123" s="24">
        <v>1262.57</v>
      </c>
      <c r="AF123" s="24">
        <v>414.0</v>
      </c>
      <c r="AG123" s="24">
        <v>634.43</v>
      </c>
      <c r="AH123" s="24">
        <v>0.0</v>
      </c>
      <c r="AI123" s="24">
        <v>3609.27</v>
      </c>
      <c r="AJ123" s="24">
        <v>4902.26</v>
      </c>
      <c r="AK123" s="15">
        <v>2.0</v>
      </c>
      <c r="AL123" s="16">
        <v>101850.34</v>
      </c>
      <c r="AM123" s="19">
        <v>3853.0</v>
      </c>
      <c r="AN123" s="19">
        <v>1715.0</v>
      </c>
      <c r="AO123" s="16">
        <v>1200.0</v>
      </c>
      <c r="AP123" s="16">
        <v>792.34</v>
      </c>
      <c r="AQ123" s="16">
        <v>490.0</v>
      </c>
      <c r="AR123" s="16">
        <v>0.0</v>
      </c>
      <c r="AS123" s="7">
        <v>2190.0</v>
      </c>
      <c r="AT123" s="7">
        <v>0.0</v>
      </c>
      <c r="AU123" s="7">
        <v>2450.0</v>
      </c>
      <c r="AV123" s="7">
        <v>750.0</v>
      </c>
      <c r="AW123" s="7">
        <v>0.0</v>
      </c>
      <c r="AX123" s="7">
        <v>240.0</v>
      </c>
      <c r="AY123" s="7">
        <f t="shared" si="244"/>
        <v>5630</v>
      </c>
      <c r="AZ123" s="8"/>
      <c r="BA123" s="9"/>
      <c r="BB123" s="10"/>
      <c r="BC123" s="10"/>
    </row>
    <row r="124">
      <c r="A124" s="11">
        <v>2024.0</v>
      </c>
      <c r="B124" s="11" t="s">
        <v>54</v>
      </c>
      <c r="C124" s="12">
        <v>45541.0</v>
      </c>
      <c r="D124" s="44">
        <v>11.0</v>
      </c>
      <c r="E124" s="26">
        <v>443170.28</v>
      </c>
      <c r="F124" s="26">
        <v>22060.85</v>
      </c>
      <c r="G124" s="26">
        <v>2973.3</v>
      </c>
      <c r="H124" s="26">
        <v>1380.0</v>
      </c>
      <c r="I124" s="26">
        <v>1222.09</v>
      </c>
      <c r="J124" s="26">
        <v>157.67</v>
      </c>
      <c r="K124" s="26">
        <v>9040.2</v>
      </c>
      <c r="L124" s="26">
        <v>7445.26</v>
      </c>
      <c r="M124" s="15">
        <v>1.0</v>
      </c>
      <c r="N124" s="16">
        <v>175000.0</v>
      </c>
      <c r="O124" s="16">
        <f t="shared" si="232"/>
        <v>7000</v>
      </c>
      <c r="P124" s="16">
        <f t="shared" si="233"/>
        <v>2940</v>
      </c>
      <c r="Q124" s="16">
        <f t="shared" si="234"/>
        <v>552</v>
      </c>
      <c r="R124" s="16">
        <f t="shared" si="235"/>
        <v>239.19</v>
      </c>
      <c r="S124" s="17">
        <f t="shared" si="236"/>
        <v>393.42</v>
      </c>
      <c r="T124" s="17">
        <f t="shared" si="237"/>
        <v>138</v>
      </c>
      <c r="U124" s="7">
        <v>7832.74</v>
      </c>
      <c r="V124" s="18">
        <f t="shared" si="238"/>
        <v>2940</v>
      </c>
      <c r="W124" s="7">
        <f t="shared" si="239"/>
        <v>1461.28</v>
      </c>
      <c r="X124" s="7">
        <f t="shared" si="240"/>
        <v>157.67</v>
      </c>
      <c r="Y124" s="18">
        <f t="shared" si="242"/>
        <v>7000</v>
      </c>
      <c r="Z124" s="18">
        <f t="shared" si="243"/>
        <v>552</v>
      </c>
      <c r="AA124" s="18">
        <f t="shared" si="241"/>
        <v>19943.69</v>
      </c>
      <c r="AB124" s="42">
        <v>9.0</v>
      </c>
      <c r="AC124" s="24">
        <v>386187.25</v>
      </c>
      <c r="AD124" s="24">
        <v>19094.72</v>
      </c>
      <c r="AE124" s="24">
        <v>2480.36</v>
      </c>
      <c r="AF124" s="24">
        <v>1104.0</v>
      </c>
      <c r="AG124" s="24">
        <v>1021.67</v>
      </c>
      <c r="AH124" s="24">
        <v>0.0</v>
      </c>
      <c r="AI124" s="24">
        <v>8000.74</v>
      </c>
      <c r="AJ124" s="24">
        <v>6487.95</v>
      </c>
      <c r="AK124" s="15">
        <v>0.0</v>
      </c>
      <c r="AL124" s="16"/>
      <c r="AM124" s="19"/>
      <c r="AN124" s="19"/>
      <c r="AO124" s="16"/>
      <c r="AP124" s="16"/>
      <c r="AQ124" s="16"/>
      <c r="AR124" s="16"/>
      <c r="AS124" s="7">
        <v>46565.96</v>
      </c>
      <c r="AT124" s="7">
        <v>0.0</v>
      </c>
      <c r="AU124" s="7">
        <v>18046.26</v>
      </c>
      <c r="AV124" s="7">
        <v>15976.56</v>
      </c>
      <c r="AW124" s="7">
        <v>7678.0</v>
      </c>
      <c r="AX124" s="7">
        <v>825.09</v>
      </c>
      <c r="AY124" s="7">
        <f t="shared" si="244"/>
        <v>89091.87</v>
      </c>
      <c r="AZ124" s="8"/>
      <c r="BA124" s="9"/>
      <c r="BB124" s="10"/>
      <c r="BC124" s="10"/>
    </row>
    <row r="125">
      <c r="A125" s="11">
        <v>2024.0</v>
      </c>
      <c r="B125" s="11" t="s">
        <v>54</v>
      </c>
      <c r="C125" s="1"/>
      <c r="D125" s="2">
        <v>143.0</v>
      </c>
      <c r="E125" s="2"/>
      <c r="F125" s="59">
        <v>359966.62</v>
      </c>
      <c r="G125" s="33"/>
      <c r="H125" s="33"/>
      <c r="I125" s="33"/>
      <c r="J125" s="33"/>
      <c r="K125" s="33"/>
      <c r="L125" s="33"/>
      <c r="M125" s="15">
        <v>11.0</v>
      </c>
      <c r="N125" s="51">
        <v>698000.0</v>
      </c>
      <c r="O125" s="35"/>
      <c r="P125" s="35"/>
      <c r="Q125" s="35"/>
      <c r="R125" s="35"/>
      <c r="S125" s="35"/>
      <c r="T125" s="35"/>
      <c r="U125" s="37"/>
      <c r="V125" s="48"/>
      <c r="W125" s="48"/>
      <c r="X125" s="37"/>
      <c r="Y125" s="48"/>
      <c r="Z125" s="48"/>
      <c r="AA125" s="48"/>
      <c r="AB125" s="2">
        <v>115.0</v>
      </c>
      <c r="AC125" s="59">
        <v>368732.4</v>
      </c>
      <c r="AD125" s="2"/>
      <c r="AE125" s="33"/>
      <c r="AF125" s="33"/>
      <c r="AG125" s="33"/>
      <c r="AH125" s="33"/>
      <c r="AI125" s="33"/>
      <c r="AJ125" s="33"/>
      <c r="AK125" s="4"/>
      <c r="AL125" s="4"/>
      <c r="AM125" s="35"/>
      <c r="AN125" s="35"/>
      <c r="AO125" s="35"/>
      <c r="AP125" s="35"/>
      <c r="AQ125" s="35"/>
      <c r="AR125" s="35"/>
      <c r="AS125" s="37"/>
      <c r="AT125" s="48"/>
      <c r="AU125" s="48"/>
      <c r="AV125" s="48"/>
      <c r="AW125" s="48"/>
      <c r="AX125" s="48"/>
      <c r="AY125" s="48"/>
      <c r="AZ125" s="38"/>
      <c r="BA125" s="39"/>
      <c r="BB125" s="40"/>
      <c r="BC125" s="40"/>
    </row>
    <row r="126">
      <c r="A126" s="1">
        <v>2024.0</v>
      </c>
      <c r="B126" s="1" t="s">
        <v>54</v>
      </c>
      <c r="C126" s="1" t="s">
        <v>49</v>
      </c>
      <c r="D126" s="33">
        <f>SUM($D$109:$D$115)</f>
        <v>279</v>
      </c>
      <c r="E126" s="34">
        <f t="shared" ref="E126:M126" si="245">SUM(E118:E124)</f>
        <v>3823781.43</v>
      </c>
      <c r="F126" s="34">
        <f t="shared" si="245"/>
        <v>165864.29</v>
      </c>
      <c r="G126" s="34">
        <f t="shared" si="245"/>
        <v>21447.44</v>
      </c>
      <c r="H126" s="34">
        <f t="shared" si="245"/>
        <v>8142</v>
      </c>
      <c r="I126" s="34">
        <f t="shared" si="245"/>
        <v>9313.59</v>
      </c>
      <c r="J126" s="34">
        <f t="shared" si="245"/>
        <v>16943.72</v>
      </c>
      <c r="K126" s="34">
        <f t="shared" si="245"/>
        <v>97227.45</v>
      </c>
      <c r="L126" s="34">
        <f t="shared" si="245"/>
        <v>68207.79</v>
      </c>
      <c r="M126" s="35">
        <f t="shared" si="245"/>
        <v>5</v>
      </c>
      <c r="N126" s="36">
        <f>SUM(N118:N125)</f>
        <v>1113000</v>
      </c>
      <c r="O126" s="36">
        <f t="shared" ref="O126:AJ126" si="246">SUM(O118:O124)</f>
        <v>16600</v>
      </c>
      <c r="P126" s="36">
        <f t="shared" si="246"/>
        <v>6972</v>
      </c>
      <c r="Q126" s="36">
        <f t="shared" si="246"/>
        <v>2760</v>
      </c>
      <c r="R126" s="36">
        <f t="shared" si="246"/>
        <v>1195.95</v>
      </c>
      <c r="S126" s="36">
        <f t="shared" si="246"/>
        <v>1967.1</v>
      </c>
      <c r="T126" s="36">
        <f t="shared" si="246"/>
        <v>690</v>
      </c>
      <c r="U126" s="37">
        <f t="shared" si="246"/>
        <v>51705.72</v>
      </c>
      <c r="V126" s="37">
        <f t="shared" si="246"/>
        <v>6972</v>
      </c>
      <c r="W126" s="37">
        <f t="shared" si="246"/>
        <v>10509.54</v>
      </c>
      <c r="X126" s="37">
        <f t="shared" si="246"/>
        <v>16943.72</v>
      </c>
      <c r="Y126" s="37">
        <f t="shared" si="246"/>
        <v>16600</v>
      </c>
      <c r="Z126" s="37">
        <f t="shared" si="246"/>
        <v>2760</v>
      </c>
      <c r="AA126" s="37">
        <f t="shared" si="246"/>
        <v>105490.98</v>
      </c>
      <c r="AB126" s="33">
        <f t="shared" si="246"/>
        <v>43</v>
      </c>
      <c r="AC126" s="55">
        <f t="shared" si="246"/>
        <v>2403257.68</v>
      </c>
      <c r="AD126" s="55">
        <f t="shared" si="246"/>
        <v>109680.62</v>
      </c>
      <c r="AE126" s="55">
        <f t="shared" si="246"/>
        <v>15154.17</v>
      </c>
      <c r="AF126" s="33">
        <f t="shared" si="246"/>
        <v>5658</v>
      </c>
      <c r="AG126" s="55">
        <f t="shared" si="246"/>
        <v>6774.27</v>
      </c>
      <c r="AH126" s="33">
        <f t="shared" si="246"/>
        <v>0</v>
      </c>
      <c r="AI126" s="55">
        <f t="shared" si="246"/>
        <v>38115.04</v>
      </c>
      <c r="AJ126" s="34">
        <f t="shared" si="246"/>
        <v>43979.14</v>
      </c>
      <c r="AK126" s="35">
        <f t="shared" ref="AK126:AL126" si="247">SUM(AK118:AK125)</f>
        <v>3</v>
      </c>
      <c r="AL126" s="36">
        <f t="shared" si="247"/>
        <v>203000.86</v>
      </c>
      <c r="AM126" s="36">
        <f t="shared" ref="AM126:AY126" si="248">SUM(AM118:AM124)</f>
        <v>7678</v>
      </c>
      <c r="AN126" s="36">
        <f t="shared" si="248"/>
        <v>3418</v>
      </c>
      <c r="AO126" s="36">
        <f t="shared" si="248"/>
        <v>1800</v>
      </c>
      <c r="AP126" s="36">
        <f t="shared" si="248"/>
        <v>1306.26</v>
      </c>
      <c r="AQ126" s="36">
        <f t="shared" si="248"/>
        <v>798.7</v>
      </c>
      <c r="AR126" s="36">
        <f t="shared" si="248"/>
        <v>0</v>
      </c>
      <c r="AS126" s="37">
        <f t="shared" si="248"/>
        <v>120893.74</v>
      </c>
      <c r="AT126" s="37">
        <f t="shared" si="248"/>
        <v>0</v>
      </c>
      <c r="AU126" s="37">
        <f t="shared" si="248"/>
        <v>42229.16</v>
      </c>
      <c r="AV126" s="37">
        <f t="shared" si="248"/>
        <v>23154.83</v>
      </c>
      <c r="AW126" s="37">
        <f t="shared" si="248"/>
        <v>18287</v>
      </c>
      <c r="AX126" s="37">
        <f t="shared" si="248"/>
        <v>8336.54</v>
      </c>
      <c r="AY126" s="37">
        <f t="shared" si="248"/>
        <v>212901.27</v>
      </c>
      <c r="AZ126" s="38"/>
      <c r="BA126" s="39"/>
      <c r="BB126" s="40"/>
      <c r="BC126" s="40"/>
    </row>
    <row r="127">
      <c r="A127" s="11">
        <v>2024.0</v>
      </c>
      <c r="B127" s="11" t="s">
        <v>54</v>
      </c>
      <c r="C127" s="11" t="s">
        <v>55</v>
      </c>
      <c r="D127" s="44">
        <v>18.0</v>
      </c>
      <c r="E127" s="26">
        <v>794716.83</v>
      </c>
      <c r="F127" s="26">
        <v>40491.94</v>
      </c>
      <c r="G127" s="26">
        <v>5830.94</v>
      </c>
      <c r="H127" s="26">
        <v>2484.0</v>
      </c>
      <c r="I127" s="26">
        <v>3080.12</v>
      </c>
      <c r="J127" s="26">
        <v>1689.03</v>
      </c>
      <c r="K127" s="26">
        <v>15233.21</v>
      </c>
      <c r="L127" s="26">
        <v>15984.81</v>
      </c>
      <c r="M127" s="15">
        <v>0.0</v>
      </c>
      <c r="N127" s="16">
        <v>0.0</v>
      </c>
      <c r="O127" s="16">
        <f t="shared" ref="O127:O133" si="249">N127*4%</f>
        <v>0</v>
      </c>
      <c r="P127" s="16">
        <f t="shared" ref="P127:P133" si="250">N127*1.68%</f>
        <v>0</v>
      </c>
      <c r="Q127" s="16">
        <f t="shared" ref="Q127:Q133" si="251">M127*(250+300+2)</f>
        <v>0</v>
      </c>
      <c r="R127" s="16">
        <f t="shared" ref="R127:R133" si="252">M127*239.19</f>
        <v>0</v>
      </c>
      <c r="S127" s="17">
        <f t="shared" ref="S127:S133" si="253">M127*393.42</f>
        <v>0</v>
      </c>
      <c r="T127" s="17">
        <f t="shared" ref="T127:T133" si="254">M127*138</f>
        <v>0</v>
      </c>
      <c r="U127" s="7">
        <v>14622.04</v>
      </c>
      <c r="V127" s="18">
        <f t="shared" ref="V127:V133" si="255">P127</f>
        <v>0</v>
      </c>
      <c r="W127" s="7">
        <f t="shared" ref="W127:W133" si="256">I127+R127</f>
        <v>3080.12</v>
      </c>
      <c r="X127" s="7">
        <f t="shared" ref="X127:X133" si="257">J127</f>
        <v>1689.03</v>
      </c>
      <c r="Y127" s="7">
        <v>0.0</v>
      </c>
      <c r="Z127" s="7">
        <v>0.0</v>
      </c>
      <c r="AA127" s="18">
        <f t="shared" ref="AA127:AA133" si="258">SUM(U127:Z127)</f>
        <v>19391.19</v>
      </c>
      <c r="AB127" s="56">
        <v>11.0</v>
      </c>
      <c r="AC127" s="24">
        <v>429150.04</v>
      </c>
      <c r="AD127" s="24">
        <v>21496.57</v>
      </c>
      <c r="AE127" s="24">
        <v>3091.01</v>
      </c>
      <c r="AF127" s="24">
        <v>1518.0</v>
      </c>
      <c r="AG127" s="24">
        <v>1951.01</v>
      </c>
      <c r="AH127" s="24">
        <v>0.0</v>
      </c>
      <c r="AI127" s="24">
        <v>7659.02</v>
      </c>
      <c r="AJ127" s="24">
        <v>7277.53</v>
      </c>
      <c r="AK127" s="15">
        <v>0.0</v>
      </c>
      <c r="AL127" s="16">
        <v>0.0</v>
      </c>
      <c r="AM127" s="16">
        <v>0.0</v>
      </c>
      <c r="AN127" s="16">
        <v>0.0</v>
      </c>
      <c r="AO127" s="16">
        <v>0.0</v>
      </c>
      <c r="AP127" s="16">
        <v>0.0</v>
      </c>
      <c r="AQ127" s="16">
        <v>0.0</v>
      </c>
      <c r="AR127" s="16">
        <v>0.0</v>
      </c>
      <c r="AS127" s="7">
        <v>0.0</v>
      </c>
      <c r="AT127" s="7">
        <v>0.0</v>
      </c>
      <c r="AU127" s="7">
        <v>0.0</v>
      </c>
      <c r="AV127" s="7">
        <v>0.0</v>
      </c>
      <c r="AW127" s="7">
        <v>0.0</v>
      </c>
      <c r="AX127" s="7">
        <v>0.0</v>
      </c>
      <c r="AY127" s="7">
        <v>0.0</v>
      </c>
      <c r="AZ127" s="8"/>
      <c r="BA127" s="9"/>
      <c r="BB127" s="10"/>
      <c r="BC127" s="10"/>
    </row>
    <row r="128">
      <c r="A128" s="11">
        <v>2024.0</v>
      </c>
      <c r="B128" s="11" t="s">
        <v>54</v>
      </c>
      <c r="C128" s="12">
        <v>45543.0</v>
      </c>
      <c r="D128" s="53">
        <v>12.0</v>
      </c>
      <c r="E128" s="26">
        <v>471999.96</v>
      </c>
      <c r="F128" s="26">
        <v>25085.0</v>
      </c>
      <c r="G128" s="26">
        <v>3941.64</v>
      </c>
      <c r="H128" s="26">
        <v>1656.0</v>
      </c>
      <c r="I128" s="26">
        <v>1699.05</v>
      </c>
      <c r="J128" s="26">
        <v>0.0</v>
      </c>
      <c r="K128" s="26">
        <v>9359.55</v>
      </c>
      <c r="L128" s="26">
        <v>8428.76</v>
      </c>
      <c r="M128" s="15">
        <v>0.0</v>
      </c>
      <c r="N128" s="16">
        <v>0.0</v>
      </c>
      <c r="O128" s="16">
        <f t="shared" si="249"/>
        <v>0</v>
      </c>
      <c r="P128" s="16">
        <f t="shared" si="250"/>
        <v>0</v>
      </c>
      <c r="Q128" s="16">
        <f t="shared" si="251"/>
        <v>0</v>
      </c>
      <c r="R128" s="16">
        <f t="shared" si="252"/>
        <v>0</v>
      </c>
      <c r="S128" s="17">
        <f t="shared" si="253"/>
        <v>0</v>
      </c>
      <c r="T128" s="17">
        <f t="shared" si="254"/>
        <v>0</v>
      </c>
      <c r="U128" s="7">
        <v>6843.75</v>
      </c>
      <c r="V128" s="18">
        <f t="shared" si="255"/>
        <v>0</v>
      </c>
      <c r="W128" s="7">
        <f t="shared" si="256"/>
        <v>1699.05</v>
      </c>
      <c r="X128" s="7">
        <f t="shared" si="257"/>
        <v>0</v>
      </c>
      <c r="Y128" s="7">
        <v>0.0</v>
      </c>
      <c r="Z128" s="7">
        <v>0.0</v>
      </c>
      <c r="AA128" s="18">
        <f t="shared" si="258"/>
        <v>8542.8</v>
      </c>
      <c r="AB128" s="56">
        <v>7.0</v>
      </c>
      <c r="AC128" s="24">
        <v>261283.82</v>
      </c>
      <c r="AD128" s="24">
        <v>13419.07</v>
      </c>
      <c r="AE128" s="24">
        <v>2156.62</v>
      </c>
      <c r="AF128" s="24">
        <v>966.0</v>
      </c>
      <c r="AG128" s="24">
        <v>441.56</v>
      </c>
      <c r="AH128" s="24">
        <v>0.0</v>
      </c>
      <c r="AI128" s="24">
        <v>4416.19</v>
      </c>
      <c r="AJ128" s="24">
        <v>4885.21</v>
      </c>
      <c r="AK128" s="15">
        <v>0.0</v>
      </c>
      <c r="AL128" s="16">
        <v>0.0</v>
      </c>
      <c r="AM128" s="16">
        <v>0.0</v>
      </c>
      <c r="AN128" s="16">
        <v>0.0</v>
      </c>
      <c r="AO128" s="16">
        <v>0.0</v>
      </c>
      <c r="AP128" s="16">
        <v>0.0</v>
      </c>
      <c r="AQ128" s="16">
        <v>0.0</v>
      </c>
      <c r="AR128" s="16">
        <v>0.0</v>
      </c>
      <c r="AS128" s="7">
        <v>0.0</v>
      </c>
      <c r="AT128" s="7">
        <v>0.0</v>
      </c>
      <c r="AU128" s="7">
        <v>0.0</v>
      </c>
      <c r="AV128" s="7">
        <v>0.0</v>
      </c>
      <c r="AW128" s="7">
        <v>0.0</v>
      </c>
      <c r="AX128" s="7">
        <v>0.0</v>
      </c>
      <c r="AY128" s="7">
        <v>0.0</v>
      </c>
      <c r="AZ128" s="8"/>
      <c r="BA128" s="9"/>
      <c r="BB128" s="10"/>
      <c r="BC128" s="10"/>
    </row>
    <row r="129">
      <c r="A129" s="11">
        <v>2024.0</v>
      </c>
      <c r="B129" s="11" t="s">
        <v>54</v>
      </c>
      <c r="C129" s="12">
        <v>45544.0</v>
      </c>
      <c r="D129" s="44">
        <v>10.0</v>
      </c>
      <c r="E129" s="26">
        <v>626899.56</v>
      </c>
      <c r="F129" s="26">
        <v>29486.02</v>
      </c>
      <c r="G129" s="26">
        <v>4143.17</v>
      </c>
      <c r="H129" s="26">
        <v>1104.0</v>
      </c>
      <c r="I129" s="26">
        <v>1419.05</v>
      </c>
      <c r="J129" s="26">
        <v>1842.31</v>
      </c>
      <c r="K129" s="26">
        <v>26020.89</v>
      </c>
      <c r="L129" s="26">
        <v>13366.08</v>
      </c>
      <c r="M129" s="61">
        <v>1.0</v>
      </c>
      <c r="N129" s="62">
        <v>35000.0</v>
      </c>
      <c r="O129" s="16">
        <f t="shared" si="249"/>
        <v>1400</v>
      </c>
      <c r="P129" s="16">
        <f t="shared" si="250"/>
        <v>588</v>
      </c>
      <c r="Q129" s="16">
        <f t="shared" si="251"/>
        <v>552</v>
      </c>
      <c r="R129" s="16">
        <f t="shared" si="252"/>
        <v>239.19</v>
      </c>
      <c r="S129" s="17">
        <f t="shared" si="253"/>
        <v>393.42</v>
      </c>
      <c r="T129" s="17">
        <f t="shared" si="254"/>
        <v>138</v>
      </c>
      <c r="U129" s="7">
        <v>7950.1</v>
      </c>
      <c r="V129" s="18">
        <f t="shared" si="255"/>
        <v>588</v>
      </c>
      <c r="W129" s="7">
        <f t="shared" si="256"/>
        <v>1658.24</v>
      </c>
      <c r="X129" s="7">
        <f t="shared" si="257"/>
        <v>1842.31</v>
      </c>
      <c r="Y129" s="7">
        <f t="shared" ref="Y129:Y133" si="259">O129</f>
        <v>1400</v>
      </c>
      <c r="Z129" s="7">
        <f t="shared" ref="Z129:Z133" si="260">Q129</f>
        <v>552</v>
      </c>
      <c r="AA129" s="18">
        <f t="shared" si="258"/>
        <v>13990.65</v>
      </c>
      <c r="AB129" s="56">
        <v>3.0</v>
      </c>
      <c r="AC129" s="24">
        <v>280422.37</v>
      </c>
      <c r="AD129" s="24">
        <v>8987.55</v>
      </c>
      <c r="AE129" s="24">
        <v>911.32</v>
      </c>
      <c r="AF129" s="24">
        <v>138.0</v>
      </c>
      <c r="AG129" s="24">
        <v>204.26</v>
      </c>
      <c r="AH129" s="24">
        <v>0.0</v>
      </c>
      <c r="AI129" s="24">
        <v>2710.67</v>
      </c>
      <c r="AJ129" s="24">
        <v>5023.3</v>
      </c>
      <c r="AK129" s="15">
        <v>1.0</v>
      </c>
      <c r="AL129" s="16">
        <v>72503.09</v>
      </c>
      <c r="AM129" s="16">
        <v>2742.0</v>
      </c>
      <c r="AN129" s="16">
        <v>1221.0</v>
      </c>
      <c r="AO129" s="16">
        <v>600.0</v>
      </c>
      <c r="AP129" s="16">
        <v>489.7</v>
      </c>
      <c r="AQ129" s="16">
        <v>250.0</v>
      </c>
      <c r="AR129" s="16">
        <v>0.0</v>
      </c>
      <c r="AS129" s="7">
        <v>32541.06</v>
      </c>
      <c r="AT129" s="7">
        <f>AN129</f>
        <v>1221</v>
      </c>
      <c r="AU129" s="7">
        <v>6345.04</v>
      </c>
      <c r="AV129" s="7">
        <v>3359.66</v>
      </c>
      <c r="AW129" s="7">
        <v>1521.0</v>
      </c>
      <c r="AX129" s="7">
        <f>4123.25-AT129</f>
        <v>2902.25</v>
      </c>
      <c r="AY129" s="7">
        <f t="shared" ref="AY129:AY133" si="261">SUM(AS129:AX129)</f>
        <v>47890.01</v>
      </c>
      <c r="AZ129" s="8"/>
      <c r="BA129" s="9"/>
      <c r="BB129" s="10"/>
      <c r="BC129" s="10"/>
    </row>
    <row r="130">
      <c r="A130" s="11">
        <v>2024.0</v>
      </c>
      <c r="B130" s="11" t="s">
        <v>54</v>
      </c>
      <c r="C130" s="12">
        <v>45545.0</v>
      </c>
      <c r="D130" s="44">
        <v>7.0</v>
      </c>
      <c r="E130" s="26">
        <v>531944.72</v>
      </c>
      <c r="F130" s="26">
        <v>22724.18</v>
      </c>
      <c r="G130" s="26">
        <v>3115.59</v>
      </c>
      <c r="H130" s="26">
        <v>966.0</v>
      </c>
      <c r="I130" s="26">
        <v>1279.58</v>
      </c>
      <c r="J130" s="26">
        <v>4404.43</v>
      </c>
      <c r="K130" s="26">
        <v>7444.2</v>
      </c>
      <c r="L130" s="26">
        <v>9918.81</v>
      </c>
      <c r="M130" s="61">
        <v>2.0</v>
      </c>
      <c r="N130" s="62">
        <v>138000.0</v>
      </c>
      <c r="O130" s="16">
        <f t="shared" si="249"/>
        <v>5520</v>
      </c>
      <c r="P130" s="16">
        <f t="shared" si="250"/>
        <v>2318.4</v>
      </c>
      <c r="Q130" s="16">
        <f t="shared" si="251"/>
        <v>1104</v>
      </c>
      <c r="R130" s="16">
        <f t="shared" si="252"/>
        <v>478.38</v>
      </c>
      <c r="S130" s="17">
        <f t="shared" si="253"/>
        <v>786.84</v>
      </c>
      <c r="T130" s="17">
        <f t="shared" si="254"/>
        <v>276</v>
      </c>
      <c r="U130" s="7">
        <v>2233.57</v>
      </c>
      <c r="V130" s="18">
        <f t="shared" si="255"/>
        <v>2318.4</v>
      </c>
      <c r="W130" s="7">
        <f t="shared" si="256"/>
        <v>1757.96</v>
      </c>
      <c r="X130" s="7">
        <f t="shared" si="257"/>
        <v>4404.43</v>
      </c>
      <c r="Y130" s="18">
        <f t="shared" si="259"/>
        <v>5520</v>
      </c>
      <c r="Z130" s="18">
        <f t="shared" si="260"/>
        <v>1104</v>
      </c>
      <c r="AA130" s="18">
        <f t="shared" si="258"/>
        <v>17338.36</v>
      </c>
      <c r="AB130" s="56">
        <v>2.0</v>
      </c>
      <c r="AC130" s="24">
        <v>80231.54</v>
      </c>
      <c r="AD130" s="24">
        <v>4637.65</v>
      </c>
      <c r="AE130" s="24">
        <v>673.22</v>
      </c>
      <c r="AF130" s="24">
        <v>276.0</v>
      </c>
      <c r="AG130" s="24">
        <v>264.43</v>
      </c>
      <c r="AH130" s="24">
        <v>214.66</v>
      </c>
      <c r="AI130" s="24">
        <v>1861.45</v>
      </c>
      <c r="AJ130" s="24">
        <v>1347.89</v>
      </c>
      <c r="AK130" s="63">
        <v>1.0</v>
      </c>
      <c r="AL130" s="64">
        <v>62932.64</v>
      </c>
      <c r="AM130" s="64">
        <v>2380.0</v>
      </c>
      <c r="AN130" s="64">
        <v>1059.0</v>
      </c>
      <c r="AO130" s="64">
        <v>600.0</v>
      </c>
      <c r="AP130" s="64">
        <v>448.64</v>
      </c>
      <c r="AQ130" s="64">
        <v>245.0</v>
      </c>
      <c r="AR130" s="64">
        <v>0.0</v>
      </c>
      <c r="AS130" s="7">
        <v>8912.83</v>
      </c>
      <c r="AT130" s="7">
        <v>0.0</v>
      </c>
      <c r="AU130" s="7">
        <v>3344.82</v>
      </c>
      <c r="AV130" s="7">
        <v>2896.74</v>
      </c>
      <c r="AW130" s="7">
        <v>0.0</v>
      </c>
      <c r="AX130" s="7">
        <v>89.92</v>
      </c>
      <c r="AY130" s="7">
        <f t="shared" si="261"/>
        <v>15244.31</v>
      </c>
      <c r="AZ130" s="8"/>
      <c r="BA130" s="9"/>
      <c r="BB130" s="10"/>
      <c r="BC130" s="10"/>
    </row>
    <row r="131">
      <c r="A131" s="11">
        <v>2024.0</v>
      </c>
      <c r="B131" s="11" t="s">
        <v>54</v>
      </c>
      <c r="C131" s="12">
        <v>45546.0</v>
      </c>
      <c r="D131" s="44">
        <v>1.0</v>
      </c>
      <c r="E131" s="26">
        <v>55111.48</v>
      </c>
      <c r="F131" s="26">
        <v>2197.14</v>
      </c>
      <c r="G131" s="26">
        <v>302.56</v>
      </c>
      <c r="H131" s="26">
        <v>138.0</v>
      </c>
      <c r="I131" s="26">
        <v>139.19</v>
      </c>
      <c r="J131" s="26">
        <v>0.0</v>
      </c>
      <c r="K131" s="26">
        <v>691.52</v>
      </c>
      <c r="L131" s="26">
        <v>925.87</v>
      </c>
      <c r="M131" s="61">
        <v>2.0</v>
      </c>
      <c r="N131" s="65">
        <v>132000.0</v>
      </c>
      <c r="O131" s="16">
        <f t="shared" si="249"/>
        <v>5280</v>
      </c>
      <c r="P131" s="16">
        <f t="shared" si="250"/>
        <v>2217.6</v>
      </c>
      <c r="Q131" s="16">
        <f t="shared" si="251"/>
        <v>1104</v>
      </c>
      <c r="R131" s="16">
        <f t="shared" si="252"/>
        <v>478.38</v>
      </c>
      <c r="S131" s="17">
        <f t="shared" si="253"/>
        <v>786.84</v>
      </c>
      <c r="T131" s="17">
        <f t="shared" si="254"/>
        <v>276</v>
      </c>
      <c r="U131" s="7">
        <v>2197.14</v>
      </c>
      <c r="V131" s="18">
        <f t="shared" si="255"/>
        <v>2217.6</v>
      </c>
      <c r="W131" s="7">
        <f t="shared" si="256"/>
        <v>617.57</v>
      </c>
      <c r="X131" s="7">
        <f t="shared" si="257"/>
        <v>0</v>
      </c>
      <c r="Y131" s="18">
        <f t="shared" si="259"/>
        <v>5280</v>
      </c>
      <c r="Z131" s="18">
        <f t="shared" si="260"/>
        <v>1104</v>
      </c>
      <c r="AA131" s="18">
        <f t="shared" si="258"/>
        <v>11416.31</v>
      </c>
      <c r="AB131" s="56">
        <v>1.0</v>
      </c>
      <c r="AC131" s="24">
        <v>52274.92</v>
      </c>
      <c r="AD131" s="24">
        <v>2197.14</v>
      </c>
      <c r="AE131" s="24">
        <v>302.56</v>
      </c>
      <c r="AF131" s="24">
        <v>138.0</v>
      </c>
      <c r="AG131" s="24">
        <v>139.19</v>
      </c>
      <c r="AH131" s="24">
        <v>0.0</v>
      </c>
      <c r="AI131" s="24">
        <v>739.17</v>
      </c>
      <c r="AJ131" s="24">
        <v>878.22</v>
      </c>
      <c r="AK131" s="15">
        <v>3.0</v>
      </c>
      <c r="AL131" s="16">
        <v>155253.69</v>
      </c>
      <c r="AM131" s="16">
        <v>5872.0</v>
      </c>
      <c r="AN131" s="16">
        <v>2614.0</v>
      </c>
      <c r="AO131" s="16">
        <v>1800.0</v>
      </c>
      <c r="AP131" s="16">
        <v>1285.73</v>
      </c>
      <c r="AQ131" s="16">
        <v>736.96</v>
      </c>
      <c r="AR131" s="16">
        <v>0.0</v>
      </c>
      <c r="AS131" s="7">
        <v>2723.2</v>
      </c>
      <c r="AT131" s="7">
        <v>1639.0</v>
      </c>
      <c r="AU131" s="7">
        <v>1883.13</v>
      </c>
      <c r="AV131" s="7">
        <v>2621.71</v>
      </c>
      <c r="AW131" s="7">
        <v>3683.0</v>
      </c>
      <c r="AX131" s="7">
        <f>3602.5-1639</f>
        <v>1963.5</v>
      </c>
      <c r="AY131" s="7">
        <f t="shared" si="261"/>
        <v>14513.54</v>
      </c>
      <c r="AZ131" s="8"/>
      <c r="BA131" s="9"/>
      <c r="BB131" s="10"/>
      <c r="BC131" s="10"/>
    </row>
    <row r="132">
      <c r="A132" s="11">
        <v>2024.0</v>
      </c>
      <c r="B132" s="11" t="s">
        <v>54</v>
      </c>
      <c r="C132" s="12">
        <v>45547.0</v>
      </c>
      <c r="D132" s="44">
        <v>2.0</v>
      </c>
      <c r="E132" s="26">
        <v>53416.98</v>
      </c>
      <c r="F132" s="26">
        <v>3244.56</v>
      </c>
      <c r="G132" s="26">
        <v>648.89</v>
      </c>
      <c r="H132" s="26">
        <v>276.0</v>
      </c>
      <c r="I132" s="26">
        <v>392.66</v>
      </c>
      <c r="J132" s="26">
        <v>0.0</v>
      </c>
      <c r="K132" s="26">
        <v>1029.6</v>
      </c>
      <c r="L132" s="26">
        <v>897.41</v>
      </c>
      <c r="M132" s="61">
        <v>1.0</v>
      </c>
      <c r="N132" s="65">
        <v>175000.0</v>
      </c>
      <c r="O132" s="16">
        <f t="shared" si="249"/>
        <v>7000</v>
      </c>
      <c r="P132" s="16">
        <f t="shared" si="250"/>
        <v>2940</v>
      </c>
      <c r="Q132" s="16">
        <f t="shared" si="251"/>
        <v>552</v>
      </c>
      <c r="R132" s="16">
        <f t="shared" si="252"/>
        <v>239.19</v>
      </c>
      <c r="S132" s="17">
        <f t="shared" si="253"/>
        <v>393.42</v>
      </c>
      <c r="T132" s="17">
        <f t="shared" si="254"/>
        <v>138</v>
      </c>
      <c r="U132" s="7">
        <v>239.81</v>
      </c>
      <c r="V132" s="18">
        <f t="shared" si="255"/>
        <v>2940</v>
      </c>
      <c r="W132" s="7">
        <f t="shared" si="256"/>
        <v>631.85</v>
      </c>
      <c r="X132" s="7">
        <f t="shared" si="257"/>
        <v>0</v>
      </c>
      <c r="Y132" s="18">
        <f t="shared" si="259"/>
        <v>7000</v>
      </c>
      <c r="Z132" s="18">
        <f t="shared" si="260"/>
        <v>552</v>
      </c>
      <c r="AA132" s="18">
        <f t="shared" si="258"/>
        <v>11363.66</v>
      </c>
      <c r="AB132" s="56">
        <v>2.0</v>
      </c>
      <c r="AC132" s="24">
        <v>53416.98</v>
      </c>
      <c r="AD132" s="24">
        <v>3244.56</v>
      </c>
      <c r="AE132" s="24">
        <v>648.89</v>
      </c>
      <c r="AF132" s="24">
        <v>276.0</v>
      </c>
      <c r="AG132" s="24">
        <v>392.66</v>
      </c>
      <c r="AH132" s="24">
        <v>0.0</v>
      </c>
      <c r="AI132" s="24">
        <v>1029.6</v>
      </c>
      <c r="AJ132" s="24">
        <v>897.41</v>
      </c>
      <c r="AK132" s="15">
        <v>1.0</v>
      </c>
      <c r="AL132" s="16">
        <v>68906.09</v>
      </c>
      <c r="AM132" s="16">
        <v>2606.0</v>
      </c>
      <c r="AN132" s="16">
        <v>1160.0</v>
      </c>
      <c r="AO132" s="16">
        <v>600.0</v>
      </c>
      <c r="AP132" s="16">
        <v>245.0</v>
      </c>
      <c r="AQ132" s="16">
        <v>495.09</v>
      </c>
      <c r="AR132" s="16">
        <v>0.0</v>
      </c>
      <c r="AS132" s="7">
        <v>4564.17</v>
      </c>
      <c r="AT132" s="7">
        <v>3194.0</v>
      </c>
      <c r="AU132" s="7">
        <v>1232.74</v>
      </c>
      <c r="AV132" s="7">
        <v>0.0</v>
      </c>
      <c r="AW132" s="7">
        <v>7175.0</v>
      </c>
      <c r="AX132" s="7">
        <f>6461.86-AT132</f>
        <v>3267.86</v>
      </c>
      <c r="AY132" s="7">
        <f t="shared" si="261"/>
        <v>19433.77</v>
      </c>
      <c r="AZ132" s="8"/>
      <c r="BA132" s="9"/>
      <c r="BB132" s="10"/>
      <c r="BC132" s="10"/>
    </row>
    <row r="133">
      <c r="A133" s="11">
        <v>2024.0</v>
      </c>
      <c r="B133" s="11" t="s">
        <v>54</v>
      </c>
      <c r="C133" s="12">
        <v>45548.0</v>
      </c>
      <c r="D133" s="44">
        <v>4.0</v>
      </c>
      <c r="E133" s="26">
        <v>245598.42</v>
      </c>
      <c r="F133" s="26">
        <v>14790.39</v>
      </c>
      <c r="G133" s="26">
        <v>1457.38</v>
      </c>
      <c r="H133" s="26">
        <v>414.0</v>
      </c>
      <c r="I133" s="26">
        <v>564.26</v>
      </c>
      <c r="J133" s="26">
        <v>1836.43</v>
      </c>
      <c r="K133" s="26">
        <v>7284.07</v>
      </c>
      <c r="L133" s="26">
        <v>5070.68</v>
      </c>
      <c r="M133" s="61">
        <v>2.0</v>
      </c>
      <c r="N133" s="65">
        <v>270000.0</v>
      </c>
      <c r="O133" s="16">
        <f t="shared" si="249"/>
        <v>10800</v>
      </c>
      <c r="P133" s="16">
        <f t="shared" si="250"/>
        <v>4536</v>
      </c>
      <c r="Q133" s="16">
        <f t="shared" si="251"/>
        <v>1104</v>
      </c>
      <c r="R133" s="16">
        <f t="shared" si="252"/>
        <v>478.38</v>
      </c>
      <c r="S133" s="17">
        <f t="shared" si="253"/>
        <v>786.84</v>
      </c>
      <c r="T133" s="17">
        <f t="shared" si="254"/>
        <v>276</v>
      </c>
      <c r="U133" s="7">
        <v>1226.2</v>
      </c>
      <c r="V133" s="18">
        <f t="shared" si="255"/>
        <v>4536</v>
      </c>
      <c r="W133" s="7">
        <f t="shared" si="256"/>
        <v>1042.64</v>
      </c>
      <c r="X133" s="7">
        <f t="shared" si="257"/>
        <v>1836.43</v>
      </c>
      <c r="Y133" s="18">
        <f t="shared" si="259"/>
        <v>10800</v>
      </c>
      <c r="Z133" s="18">
        <f t="shared" si="260"/>
        <v>1104</v>
      </c>
      <c r="AA133" s="18">
        <f t="shared" si="258"/>
        <v>20545.27</v>
      </c>
      <c r="AB133" s="56">
        <v>1.0</v>
      </c>
      <c r="AC133" s="24">
        <v>71523.39</v>
      </c>
      <c r="AD133" s="24">
        <v>2595.92</v>
      </c>
      <c r="AE133" s="24">
        <v>0.0</v>
      </c>
      <c r="AF133" s="24">
        <v>0.0</v>
      </c>
      <c r="AG133" s="24">
        <v>0.0</v>
      </c>
      <c r="AH133" s="24">
        <v>0.0</v>
      </c>
      <c r="AI133" s="24">
        <v>753.48</v>
      </c>
      <c r="AJ133" s="24">
        <v>1842.44</v>
      </c>
      <c r="AK133" s="15">
        <v>2.0</v>
      </c>
      <c r="AL133" s="16">
        <v>145493.21</v>
      </c>
      <c r="AM133" s="16">
        <v>5503.0</v>
      </c>
      <c r="AN133" s="16">
        <v>2449.0</v>
      </c>
      <c r="AO133" s="16">
        <v>1200.0</v>
      </c>
      <c r="AP133" s="16">
        <v>1027.64</v>
      </c>
      <c r="AQ133" s="16">
        <v>513.57</v>
      </c>
      <c r="AR133" s="16">
        <v>0.0</v>
      </c>
      <c r="AS133" s="7">
        <v>2026.19</v>
      </c>
      <c r="AT133" s="7">
        <v>2449.0</v>
      </c>
      <c r="AU133" s="7">
        <v>2675.55</v>
      </c>
      <c r="AV133" s="7">
        <v>11582.8</v>
      </c>
      <c r="AW133" s="7">
        <v>5503.0</v>
      </c>
      <c r="AX133" s="7">
        <f>4679.89-2449</f>
        <v>2230.89</v>
      </c>
      <c r="AY133" s="7">
        <f t="shared" si="261"/>
        <v>26467.43</v>
      </c>
      <c r="AZ133" s="8"/>
      <c r="BA133" s="9"/>
      <c r="BB133" s="10"/>
      <c r="BC133" s="10"/>
    </row>
    <row r="134">
      <c r="A134" s="11">
        <v>2024.0</v>
      </c>
      <c r="B134" s="11" t="s">
        <v>54</v>
      </c>
      <c r="C134" s="1"/>
      <c r="D134" s="2">
        <v>115.0</v>
      </c>
      <c r="E134" s="2"/>
      <c r="F134" s="59">
        <v>368732.4</v>
      </c>
      <c r="G134" s="33"/>
      <c r="H134" s="33"/>
      <c r="I134" s="33"/>
      <c r="J134" s="33"/>
      <c r="K134" s="33"/>
      <c r="L134" s="33"/>
      <c r="M134" s="15">
        <v>13.0</v>
      </c>
      <c r="N134" s="51">
        <v>1139000.0</v>
      </c>
      <c r="O134" s="35"/>
      <c r="P134" s="35"/>
      <c r="Q134" s="35"/>
      <c r="R134" s="35"/>
      <c r="S134" s="35"/>
      <c r="T134" s="35"/>
      <c r="U134" s="37"/>
      <c r="V134" s="48"/>
      <c r="W134" s="48"/>
      <c r="X134" s="37"/>
      <c r="Y134" s="48"/>
      <c r="Z134" s="48"/>
      <c r="AA134" s="48"/>
      <c r="AB134" s="2"/>
      <c r="AC134" s="33"/>
      <c r="AD134" s="2"/>
      <c r="AE134" s="33"/>
      <c r="AF134" s="33"/>
      <c r="AG134" s="33"/>
      <c r="AH134" s="33"/>
      <c r="AI134" s="33"/>
      <c r="AJ134" s="33"/>
      <c r="AK134" s="4"/>
      <c r="AL134" s="4"/>
      <c r="AM134" s="35"/>
      <c r="AN134" s="35"/>
      <c r="AO134" s="35"/>
      <c r="AP134" s="35"/>
      <c r="AQ134" s="35"/>
      <c r="AR134" s="35"/>
      <c r="AS134" s="37"/>
      <c r="AT134" s="48"/>
      <c r="AU134" s="48"/>
      <c r="AV134" s="48"/>
      <c r="AW134" s="48"/>
      <c r="AX134" s="48"/>
      <c r="AY134" s="48"/>
      <c r="AZ134" s="38"/>
      <c r="BA134" s="39"/>
      <c r="BB134" s="40"/>
      <c r="BC134" s="40"/>
    </row>
    <row r="135">
      <c r="A135" s="1">
        <v>2024.0</v>
      </c>
      <c r="B135" s="1" t="s">
        <v>54</v>
      </c>
      <c r="C135" s="1" t="s">
        <v>49</v>
      </c>
      <c r="D135" s="33">
        <f>SUM($D$109:$D$115)</f>
        <v>279</v>
      </c>
      <c r="E135" s="34">
        <f t="shared" ref="E135:L135" si="262">SUM(E127:E133)</f>
        <v>2779687.95</v>
      </c>
      <c r="F135" s="34">
        <f t="shared" si="262"/>
        <v>138019.23</v>
      </c>
      <c r="G135" s="34">
        <f t="shared" si="262"/>
        <v>19440.17</v>
      </c>
      <c r="H135" s="34">
        <f t="shared" si="262"/>
        <v>7038</v>
      </c>
      <c r="I135" s="34">
        <f t="shared" si="262"/>
        <v>8573.91</v>
      </c>
      <c r="J135" s="34">
        <f t="shared" si="262"/>
        <v>9772.2</v>
      </c>
      <c r="K135" s="34">
        <f t="shared" si="262"/>
        <v>67063.04</v>
      </c>
      <c r="L135" s="34">
        <f t="shared" si="262"/>
        <v>54592.42</v>
      </c>
      <c r="M135" s="35">
        <f t="shared" ref="M135:N135" si="263">SUM(M127:M134)</f>
        <v>21</v>
      </c>
      <c r="N135" s="36">
        <f t="shared" si="263"/>
        <v>1889000</v>
      </c>
      <c r="O135" s="36">
        <f t="shared" ref="O135:AJ135" si="264">SUM(O127:O133)</f>
        <v>30000</v>
      </c>
      <c r="P135" s="36">
        <f t="shared" si="264"/>
        <v>12600</v>
      </c>
      <c r="Q135" s="36">
        <f t="shared" si="264"/>
        <v>4416</v>
      </c>
      <c r="R135" s="36">
        <f t="shared" si="264"/>
        <v>1913.52</v>
      </c>
      <c r="S135" s="36">
        <f t="shared" si="264"/>
        <v>3147.36</v>
      </c>
      <c r="T135" s="36">
        <f t="shared" si="264"/>
        <v>1104</v>
      </c>
      <c r="U135" s="37">
        <f t="shared" si="264"/>
        <v>35312.61</v>
      </c>
      <c r="V135" s="37">
        <f t="shared" si="264"/>
        <v>12600</v>
      </c>
      <c r="W135" s="37">
        <f t="shared" si="264"/>
        <v>10487.43</v>
      </c>
      <c r="X135" s="37">
        <f t="shared" si="264"/>
        <v>9772.2</v>
      </c>
      <c r="Y135" s="37">
        <f t="shared" si="264"/>
        <v>30000</v>
      </c>
      <c r="Z135" s="37">
        <f t="shared" si="264"/>
        <v>4416</v>
      </c>
      <c r="AA135" s="37">
        <f t="shared" si="264"/>
        <v>102588.24</v>
      </c>
      <c r="AB135" s="33">
        <f t="shared" si="264"/>
        <v>27</v>
      </c>
      <c r="AC135" s="34">
        <f t="shared" si="264"/>
        <v>1228303.06</v>
      </c>
      <c r="AD135" s="34">
        <f t="shared" si="264"/>
        <v>56578.46</v>
      </c>
      <c r="AE135" s="34">
        <f t="shared" si="264"/>
        <v>7783.62</v>
      </c>
      <c r="AF135" s="34">
        <f t="shared" si="264"/>
        <v>3312</v>
      </c>
      <c r="AG135" s="34">
        <f t="shared" si="264"/>
        <v>3393.11</v>
      </c>
      <c r="AH135" s="34">
        <f t="shared" si="264"/>
        <v>214.66</v>
      </c>
      <c r="AI135" s="34">
        <f t="shared" si="264"/>
        <v>19169.58</v>
      </c>
      <c r="AJ135" s="34">
        <f t="shared" si="264"/>
        <v>22152</v>
      </c>
      <c r="AK135" s="4" t="s">
        <v>56</v>
      </c>
      <c r="AL135" s="36">
        <f>SUM(AL127:AL134)</f>
        <v>505088.72</v>
      </c>
      <c r="AM135" s="36">
        <f t="shared" ref="AM135:AY135" si="265">SUM(AM127:AM133)</f>
        <v>19103</v>
      </c>
      <c r="AN135" s="36">
        <f t="shared" si="265"/>
        <v>8503</v>
      </c>
      <c r="AO135" s="36">
        <f t="shared" si="265"/>
        <v>4800</v>
      </c>
      <c r="AP135" s="36">
        <f t="shared" si="265"/>
        <v>3496.71</v>
      </c>
      <c r="AQ135" s="36">
        <f t="shared" si="265"/>
        <v>2240.62</v>
      </c>
      <c r="AR135" s="36">
        <f t="shared" si="265"/>
        <v>0</v>
      </c>
      <c r="AS135" s="37">
        <f t="shared" si="265"/>
        <v>50767.45</v>
      </c>
      <c r="AT135" s="37">
        <f t="shared" si="265"/>
        <v>8503</v>
      </c>
      <c r="AU135" s="37">
        <f t="shared" si="265"/>
        <v>15481.28</v>
      </c>
      <c r="AV135" s="37">
        <f t="shared" si="265"/>
        <v>20460.91</v>
      </c>
      <c r="AW135" s="37">
        <f t="shared" si="265"/>
        <v>17882</v>
      </c>
      <c r="AX135" s="37">
        <f t="shared" si="265"/>
        <v>10454.42</v>
      </c>
      <c r="AY135" s="37">
        <f t="shared" si="265"/>
        <v>123549.06</v>
      </c>
      <c r="AZ135" s="38"/>
      <c r="BA135" s="39"/>
      <c r="BB135" s="40"/>
      <c r="BC135" s="40"/>
    </row>
    <row r="136">
      <c r="A136" s="11">
        <v>2024.0</v>
      </c>
      <c r="B136" s="11" t="s">
        <v>54</v>
      </c>
      <c r="C136" s="12">
        <v>45549.0</v>
      </c>
      <c r="D136" s="44">
        <v>17.0</v>
      </c>
      <c r="E136" s="26">
        <v>2677553.27</v>
      </c>
      <c r="F136" s="26">
        <v>87460.44</v>
      </c>
      <c r="G136" s="26">
        <v>4916.39</v>
      </c>
      <c r="H136" s="26">
        <v>2070.0</v>
      </c>
      <c r="I136" s="26">
        <v>2039.98</v>
      </c>
      <c r="J136" s="26">
        <f>133308.69</f>
        <v>133308.69</v>
      </c>
      <c r="K136" s="26">
        <v>240139.18</v>
      </c>
      <c r="L136" s="26">
        <v>51616.56</v>
      </c>
      <c r="M136" s="15">
        <v>0.0</v>
      </c>
      <c r="N136" s="16">
        <v>0.0</v>
      </c>
      <c r="O136" s="16">
        <f t="shared" ref="O136:O142" si="266">N136*4%</f>
        <v>0</v>
      </c>
      <c r="P136" s="16">
        <f t="shared" ref="P136:P142" si="267">N136*1.68%</f>
        <v>0</v>
      </c>
      <c r="Q136" s="16">
        <f t="shared" ref="Q136:Q142" si="268">M136*(250+300+2)</f>
        <v>0</v>
      </c>
      <c r="R136" s="16">
        <f t="shared" ref="R136:R142" si="269">M136*239.19</f>
        <v>0</v>
      </c>
      <c r="S136" s="17">
        <f t="shared" ref="S136:S142" si="270">M136*393.42</f>
        <v>0</v>
      </c>
      <c r="T136" s="17">
        <f t="shared" ref="T136:T142" si="271">M136*138</f>
        <v>0</v>
      </c>
      <c r="U136" s="7">
        <v>23154.08</v>
      </c>
      <c r="V136" s="18">
        <f t="shared" ref="V136:V142" si="272">P136</f>
        <v>0</v>
      </c>
      <c r="W136" s="7">
        <f t="shared" ref="W136:W142" si="273">I136+R136</f>
        <v>2039.98</v>
      </c>
      <c r="X136" s="6">
        <v>34596.08</v>
      </c>
      <c r="Y136" s="7">
        <v>0.0</v>
      </c>
      <c r="Z136" s="7">
        <v>0.0</v>
      </c>
      <c r="AA136" s="18">
        <f t="shared" ref="AA136:AA142" si="274">SUM(U136:Z136)</f>
        <v>59790.14</v>
      </c>
      <c r="AB136" s="56">
        <v>11.0</v>
      </c>
      <c r="AC136" s="24">
        <v>2406141.64</v>
      </c>
      <c r="AD136" s="24">
        <v>77054.7</v>
      </c>
      <c r="AE136" s="24">
        <v>3218.07</v>
      </c>
      <c r="AF136" s="24">
        <v>1242.0</v>
      </c>
      <c r="AG136" s="24">
        <v>1251.66</v>
      </c>
      <c r="AH136" s="24">
        <v>0.0</v>
      </c>
      <c r="AI136" s="24">
        <v>91749.69</v>
      </c>
      <c r="AJ136" s="24">
        <v>46503.68</v>
      </c>
      <c r="AK136" s="15">
        <v>0.0</v>
      </c>
      <c r="AL136" s="16">
        <v>0.0</v>
      </c>
      <c r="AM136" s="16">
        <v>0.0</v>
      </c>
      <c r="AN136" s="16">
        <v>0.0</v>
      </c>
      <c r="AO136" s="16">
        <v>0.0</v>
      </c>
      <c r="AP136" s="16">
        <v>0.0</v>
      </c>
      <c r="AQ136" s="16">
        <v>0.0</v>
      </c>
      <c r="AR136" s="16">
        <v>0.0</v>
      </c>
      <c r="AS136" s="7">
        <v>0.0</v>
      </c>
      <c r="AT136" s="7">
        <v>0.0</v>
      </c>
      <c r="AU136" s="7">
        <v>0.0</v>
      </c>
      <c r="AV136" s="7">
        <v>0.0</v>
      </c>
      <c r="AW136" s="7">
        <v>0.0</v>
      </c>
      <c r="AX136" s="7">
        <v>0.0</v>
      </c>
      <c r="AY136" s="7">
        <v>0.0</v>
      </c>
      <c r="AZ136" s="8"/>
      <c r="BA136" s="9"/>
      <c r="BB136" s="10"/>
      <c r="BC136" s="10"/>
    </row>
    <row r="137">
      <c r="A137" s="11">
        <v>2024.0</v>
      </c>
      <c r="B137" s="11" t="s">
        <v>54</v>
      </c>
      <c r="C137" s="12">
        <v>45550.0</v>
      </c>
      <c r="D137" s="53">
        <v>43.0</v>
      </c>
      <c r="E137" s="26">
        <v>1946368.56</v>
      </c>
      <c r="F137" s="26">
        <v>92868.35</v>
      </c>
      <c r="G137" s="26">
        <v>13462.89</v>
      </c>
      <c r="H137" s="26">
        <v>4140.0</v>
      </c>
      <c r="I137" s="26">
        <v>9594.79</v>
      </c>
      <c r="J137" s="26">
        <v>4547.82</v>
      </c>
      <c r="K137" s="26">
        <v>26773.05</v>
      </c>
      <c r="L137" s="26">
        <v>21083.87</v>
      </c>
      <c r="M137" s="15">
        <v>0.0</v>
      </c>
      <c r="N137" s="16">
        <v>0.0</v>
      </c>
      <c r="O137" s="16">
        <f t="shared" si="266"/>
        <v>0</v>
      </c>
      <c r="P137" s="16">
        <f t="shared" si="267"/>
        <v>0</v>
      </c>
      <c r="Q137" s="16">
        <f t="shared" si="268"/>
        <v>0</v>
      </c>
      <c r="R137" s="16">
        <f t="shared" si="269"/>
        <v>0</v>
      </c>
      <c r="S137" s="17">
        <f t="shared" si="270"/>
        <v>0</v>
      </c>
      <c r="T137" s="17">
        <f t="shared" si="271"/>
        <v>0</v>
      </c>
      <c r="U137" s="7">
        <v>20141.89</v>
      </c>
      <c r="V137" s="18">
        <f t="shared" si="272"/>
        <v>0</v>
      </c>
      <c r="W137" s="7">
        <f t="shared" si="273"/>
        <v>9594.79</v>
      </c>
      <c r="X137" s="7">
        <f t="shared" ref="X137:X138" si="275">J137</f>
        <v>4547.82</v>
      </c>
      <c r="Y137" s="7">
        <v>0.0</v>
      </c>
      <c r="Z137" s="7">
        <v>0.0</v>
      </c>
      <c r="AA137" s="18">
        <f t="shared" si="274"/>
        <v>34284.5</v>
      </c>
      <c r="AB137" s="56">
        <v>27.0</v>
      </c>
      <c r="AC137" s="24">
        <v>1459834.23</v>
      </c>
      <c r="AD137" s="24">
        <v>62826.84</v>
      </c>
      <c r="AE137" s="24">
        <v>8080.46</v>
      </c>
      <c r="AF137" s="24">
        <v>2070.0</v>
      </c>
      <c r="AG137" s="24">
        <v>7134.19</v>
      </c>
      <c r="AH137" s="24">
        <v>0.0</v>
      </c>
      <c r="AI137" s="24">
        <v>13464.19</v>
      </c>
      <c r="AJ137" s="24">
        <v>11639.47</v>
      </c>
      <c r="AK137" s="15">
        <v>0.0</v>
      </c>
      <c r="AL137" s="16">
        <v>0.0</v>
      </c>
      <c r="AM137" s="16">
        <v>0.0</v>
      </c>
      <c r="AN137" s="16">
        <v>0.0</v>
      </c>
      <c r="AO137" s="16">
        <v>0.0</v>
      </c>
      <c r="AP137" s="16">
        <v>0.0</v>
      </c>
      <c r="AQ137" s="16">
        <v>0.0</v>
      </c>
      <c r="AR137" s="16">
        <v>0.0</v>
      </c>
      <c r="AS137" s="7">
        <v>0.0</v>
      </c>
      <c r="AT137" s="7">
        <v>0.0</v>
      </c>
      <c r="AU137" s="7">
        <v>0.0</v>
      </c>
      <c r="AV137" s="7">
        <v>0.0</v>
      </c>
      <c r="AW137" s="7">
        <v>0.0</v>
      </c>
      <c r="AX137" s="7">
        <v>0.0</v>
      </c>
      <c r="AY137" s="7">
        <v>0.0</v>
      </c>
      <c r="AZ137" s="8"/>
      <c r="BA137" s="9"/>
      <c r="BB137" s="10"/>
      <c r="BC137" s="10"/>
    </row>
    <row r="138">
      <c r="A138" s="11">
        <v>2024.0</v>
      </c>
      <c r="B138" s="11" t="s">
        <v>54</v>
      </c>
      <c r="C138" s="12">
        <v>45551.0</v>
      </c>
      <c r="D138" s="44">
        <v>14.0</v>
      </c>
      <c r="E138" s="26">
        <v>1335164.84</v>
      </c>
      <c r="F138" s="26">
        <v>40849.03</v>
      </c>
      <c r="G138" s="26">
        <v>3956.99</v>
      </c>
      <c r="H138" s="26">
        <v>1518.0</v>
      </c>
      <c r="I138" s="26">
        <v>2014.21</v>
      </c>
      <c r="J138" s="26">
        <v>619.72</v>
      </c>
      <c r="K138" s="26">
        <v>10714.01</v>
      </c>
      <c r="L138" s="26">
        <v>22528.22</v>
      </c>
      <c r="M138" s="15">
        <v>0.0</v>
      </c>
      <c r="N138" s="16">
        <v>0.0</v>
      </c>
      <c r="O138" s="16">
        <f t="shared" si="266"/>
        <v>0</v>
      </c>
      <c r="P138" s="16">
        <f t="shared" si="267"/>
        <v>0</v>
      </c>
      <c r="Q138" s="16">
        <f t="shared" si="268"/>
        <v>0</v>
      </c>
      <c r="R138" s="16">
        <f t="shared" si="269"/>
        <v>0</v>
      </c>
      <c r="S138" s="17">
        <f t="shared" si="270"/>
        <v>0</v>
      </c>
      <c r="T138" s="17">
        <f t="shared" si="271"/>
        <v>0</v>
      </c>
      <c r="U138" s="7">
        <v>13358.14</v>
      </c>
      <c r="V138" s="18">
        <f t="shared" si="272"/>
        <v>0</v>
      </c>
      <c r="W138" s="7">
        <f t="shared" si="273"/>
        <v>2014.21</v>
      </c>
      <c r="X138" s="7">
        <f t="shared" si="275"/>
        <v>619.72</v>
      </c>
      <c r="Y138" s="7">
        <f t="shared" ref="Y138:Y142" si="276">O138</f>
        <v>0</v>
      </c>
      <c r="Z138" s="7">
        <f t="shared" ref="Z138:Z142" si="277">Q138</f>
        <v>0</v>
      </c>
      <c r="AA138" s="18">
        <f t="shared" si="274"/>
        <v>15992.07</v>
      </c>
      <c r="AB138" s="56">
        <v>9.0</v>
      </c>
      <c r="AC138" s="24">
        <v>1142490.93</v>
      </c>
      <c r="AD138" s="24">
        <v>32142.49</v>
      </c>
      <c r="AE138" s="24">
        <v>2789.57</v>
      </c>
      <c r="AF138" s="24">
        <v>966.0</v>
      </c>
      <c r="AG138" s="24">
        <v>1301.6</v>
      </c>
      <c r="AH138" s="24">
        <v>0.0</v>
      </c>
      <c r="AI138" s="24">
        <v>7678.36</v>
      </c>
      <c r="AJ138" s="24">
        <v>19238.96</v>
      </c>
      <c r="AK138" s="15">
        <v>2.0</v>
      </c>
      <c r="AL138" s="16">
        <v>175399.33</v>
      </c>
      <c r="AM138" s="16">
        <v>1691.0</v>
      </c>
      <c r="AN138" s="16">
        <v>2953.0</v>
      </c>
      <c r="AO138" s="16">
        <v>600.0</v>
      </c>
      <c r="AP138" s="16">
        <v>907.54</v>
      </c>
      <c r="AQ138" s="16">
        <v>646.31</v>
      </c>
      <c r="AR138" s="16">
        <v>0.0</v>
      </c>
      <c r="AS138" s="7">
        <v>38252.18</v>
      </c>
      <c r="AT138" s="7">
        <v>0.0</v>
      </c>
      <c r="AU138" s="7">
        <v>5372.91</v>
      </c>
      <c r="AV138" s="7">
        <v>22097.62</v>
      </c>
      <c r="AW138" s="7">
        <v>0.0</v>
      </c>
      <c r="AX138" s="7">
        <v>0.0</v>
      </c>
      <c r="AY138" s="7">
        <f t="shared" ref="AY138:AY142" si="278">SUM(AS138:AX138)</f>
        <v>65722.71</v>
      </c>
      <c r="AZ138" s="8"/>
      <c r="BA138" s="9"/>
      <c r="BB138" s="10"/>
      <c r="BC138" s="10"/>
    </row>
    <row r="139">
      <c r="A139" s="11">
        <v>2024.0</v>
      </c>
      <c r="B139" s="11" t="s">
        <v>54</v>
      </c>
      <c r="C139" s="12">
        <v>45552.0</v>
      </c>
      <c r="D139" s="44">
        <v>13.0</v>
      </c>
      <c r="E139" s="26">
        <v>1218025.22</v>
      </c>
      <c r="F139" s="26">
        <v>44601.48</v>
      </c>
      <c r="G139" s="26">
        <v>4219.72</v>
      </c>
      <c r="H139" s="26">
        <v>1518.0</v>
      </c>
      <c r="I139" s="26">
        <v>1815.96</v>
      </c>
      <c r="J139" s="26">
        <v>40039.03</v>
      </c>
      <c r="K139" s="26">
        <v>61731.33</v>
      </c>
      <c r="L139" s="26">
        <v>22535.05</v>
      </c>
      <c r="M139" s="15">
        <v>2.0</v>
      </c>
      <c r="N139" s="16">
        <v>240000.0</v>
      </c>
      <c r="O139" s="16">
        <f t="shared" si="266"/>
        <v>9600</v>
      </c>
      <c r="P139" s="16">
        <f t="shared" si="267"/>
        <v>4032</v>
      </c>
      <c r="Q139" s="16">
        <f t="shared" si="268"/>
        <v>1104</v>
      </c>
      <c r="R139" s="16">
        <f t="shared" si="269"/>
        <v>478.38</v>
      </c>
      <c r="S139" s="17">
        <f t="shared" si="270"/>
        <v>786.84</v>
      </c>
      <c r="T139" s="17">
        <f t="shared" si="271"/>
        <v>276</v>
      </c>
      <c r="U139" s="7">
        <v>9278.65</v>
      </c>
      <c r="V139" s="18">
        <f t="shared" si="272"/>
        <v>4032</v>
      </c>
      <c r="W139" s="7">
        <f t="shared" si="273"/>
        <v>2294.34</v>
      </c>
      <c r="X139" s="6">
        <v>12571.46</v>
      </c>
      <c r="Y139" s="18">
        <f t="shared" si="276"/>
        <v>9600</v>
      </c>
      <c r="Z139" s="18">
        <f t="shared" si="277"/>
        <v>1104</v>
      </c>
      <c r="AA139" s="18">
        <f t="shared" si="274"/>
        <v>38880.45</v>
      </c>
      <c r="AB139" s="56">
        <v>6.0</v>
      </c>
      <c r="AC139" s="24">
        <v>794186.44</v>
      </c>
      <c r="AD139" s="24">
        <v>24363.83</v>
      </c>
      <c r="AE139" s="24">
        <v>1974.78</v>
      </c>
      <c r="AF139" s="24">
        <v>690.0</v>
      </c>
      <c r="AG139" s="24">
        <v>877.96</v>
      </c>
      <c r="AH139" s="24">
        <v>21000.0</v>
      </c>
      <c r="AI139" s="24">
        <v>25678.76</v>
      </c>
      <c r="AJ139" s="24">
        <v>14742.33</v>
      </c>
      <c r="AK139" s="15">
        <v>0.0</v>
      </c>
      <c r="AL139" s="16">
        <v>0.0</v>
      </c>
      <c r="AM139" s="16">
        <v>0.0</v>
      </c>
      <c r="AN139" s="16">
        <v>0.0</v>
      </c>
      <c r="AO139" s="16">
        <v>0.0</v>
      </c>
      <c r="AP139" s="16">
        <v>0.0</v>
      </c>
      <c r="AQ139" s="16">
        <v>0.0</v>
      </c>
      <c r="AR139" s="16">
        <v>0.0</v>
      </c>
      <c r="AS139" s="7">
        <v>10745.98</v>
      </c>
      <c r="AT139" s="7">
        <v>2953.0</v>
      </c>
      <c r="AU139" s="7">
        <v>9720.88</v>
      </c>
      <c r="AV139" s="7">
        <v>4272.54</v>
      </c>
      <c r="AW139" s="7">
        <v>6634.0</v>
      </c>
      <c r="AX139" s="7">
        <f>5145.12-2953</f>
        <v>2192.12</v>
      </c>
      <c r="AY139" s="7">
        <f t="shared" si="278"/>
        <v>36518.52</v>
      </c>
      <c r="AZ139" s="8"/>
      <c r="BA139" s="9"/>
      <c r="BB139" s="10"/>
      <c r="BC139" s="10"/>
    </row>
    <row r="140">
      <c r="A140" s="11">
        <v>2024.0</v>
      </c>
      <c r="B140" s="11" t="s">
        <v>54</v>
      </c>
      <c r="C140" s="12">
        <v>45553.0</v>
      </c>
      <c r="D140" s="44">
        <v>8.0</v>
      </c>
      <c r="E140" s="26">
        <v>284241.58</v>
      </c>
      <c r="F140" s="26">
        <v>18006.53</v>
      </c>
      <c r="G140" s="26">
        <v>2785.08</v>
      </c>
      <c r="H140" s="26">
        <v>1104.0</v>
      </c>
      <c r="I140" s="26">
        <v>767.8</v>
      </c>
      <c r="J140" s="26">
        <v>2228.28</v>
      </c>
      <c r="K140" s="26">
        <v>15560.67</v>
      </c>
      <c r="L140" s="26">
        <v>5361.7</v>
      </c>
      <c r="M140" s="15">
        <v>2.0</v>
      </c>
      <c r="N140" s="16">
        <v>225000.0</v>
      </c>
      <c r="O140" s="16">
        <f t="shared" si="266"/>
        <v>9000</v>
      </c>
      <c r="P140" s="16">
        <f t="shared" si="267"/>
        <v>3780</v>
      </c>
      <c r="Q140" s="16">
        <f t="shared" si="268"/>
        <v>1104</v>
      </c>
      <c r="R140" s="16">
        <f t="shared" si="269"/>
        <v>478.38</v>
      </c>
      <c r="S140" s="17">
        <f t="shared" si="270"/>
        <v>786.84</v>
      </c>
      <c r="T140" s="17">
        <f t="shared" si="271"/>
        <v>276</v>
      </c>
      <c r="U140" s="7">
        <v>13310.13</v>
      </c>
      <c r="V140" s="18">
        <f t="shared" si="272"/>
        <v>3780</v>
      </c>
      <c r="W140" s="7">
        <f t="shared" si="273"/>
        <v>1246.18</v>
      </c>
      <c r="X140" s="7">
        <f t="shared" ref="X140:X142" si="279">J140</f>
        <v>2228.28</v>
      </c>
      <c r="Y140" s="18">
        <f t="shared" si="276"/>
        <v>9000</v>
      </c>
      <c r="Z140" s="18">
        <f t="shared" si="277"/>
        <v>1104</v>
      </c>
      <c r="AA140" s="18">
        <f t="shared" si="274"/>
        <v>30668.59</v>
      </c>
      <c r="AB140" s="56">
        <v>5.0</v>
      </c>
      <c r="AC140" s="24">
        <v>231851.44</v>
      </c>
      <c r="AD140" s="24">
        <v>11506.78</v>
      </c>
      <c r="AE140" s="24">
        <v>1794.15</v>
      </c>
      <c r="AF140" s="24">
        <v>690.0</v>
      </c>
      <c r="AG140" s="24">
        <v>535.06</v>
      </c>
      <c r="AH140" s="24">
        <v>0.0</v>
      </c>
      <c r="AI140" s="24">
        <v>4174.55</v>
      </c>
      <c r="AJ140" s="24">
        <v>4313.02</v>
      </c>
      <c r="AK140" s="15">
        <v>0.0</v>
      </c>
      <c r="AL140" s="16">
        <v>0.0</v>
      </c>
      <c r="AM140" s="16">
        <v>0.0</v>
      </c>
      <c r="AN140" s="16">
        <v>0.0</v>
      </c>
      <c r="AO140" s="16">
        <v>0.0</v>
      </c>
      <c r="AP140" s="16">
        <v>0.0</v>
      </c>
      <c r="AQ140" s="16">
        <v>0.0</v>
      </c>
      <c r="AR140" s="16">
        <v>0.0</v>
      </c>
      <c r="AS140" s="7">
        <v>35237.48</v>
      </c>
      <c r="AT140" s="7">
        <v>0.0</v>
      </c>
      <c r="AU140" s="7">
        <v>4236.03</v>
      </c>
      <c r="AV140" s="7">
        <v>4545.9</v>
      </c>
      <c r="AW140" s="7">
        <v>0.0</v>
      </c>
      <c r="AX140" s="7">
        <v>3.96</v>
      </c>
      <c r="AY140" s="7">
        <f t="shared" si="278"/>
        <v>44023.37</v>
      </c>
      <c r="AZ140" s="8"/>
      <c r="BA140" s="9"/>
      <c r="BB140" s="10"/>
      <c r="BC140" s="10"/>
    </row>
    <row r="141">
      <c r="A141" s="11">
        <v>2024.0</v>
      </c>
      <c r="B141" s="11" t="s">
        <v>54</v>
      </c>
      <c r="C141" s="12">
        <v>45554.0</v>
      </c>
      <c r="D141" s="44">
        <v>18.0</v>
      </c>
      <c r="E141" s="26">
        <v>1163124.22</v>
      </c>
      <c r="F141" s="26">
        <v>45242.94</v>
      </c>
      <c r="G141" s="26">
        <v>5043.16</v>
      </c>
      <c r="H141" s="26">
        <v>1794.0</v>
      </c>
      <c r="I141" s="26">
        <v>1730.08</v>
      </c>
      <c r="J141" s="26">
        <v>1194.53</v>
      </c>
      <c r="K141" s="26">
        <v>17575.41</v>
      </c>
      <c r="L141" s="26">
        <v>20680.18</v>
      </c>
      <c r="M141" s="15">
        <v>2.0</v>
      </c>
      <c r="N141" s="16">
        <v>175000.0</v>
      </c>
      <c r="O141" s="16">
        <f t="shared" si="266"/>
        <v>7000</v>
      </c>
      <c r="P141" s="16">
        <f t="shared" si="267"/>
        <v>2940</v>
      </c>
      <c r="Q141" s="16">
        <f t="shared" si="268"/>
        <v>1104</v>
      </c>
      <c r="R141" s="16">
        <f t="shared" si="269"/>
        <v>478.38</v>
      </c>
      <c r="S141" s="17">
        <f t="shared" si="270"/>
        <v>786.84</v>
      </c>
      <c r="T141" s="17">
        <f t="shared" si="271"/>
        <v>276</v>
      </c>
      <c r="U141" s="7">
        <v>10473.47</v>
      </c>
      <c r="V141" s="18">
        <f t="shared" si="272"/>
        <v>2940</v>
      </c>
      <c r="W141" s="7">
        <f t="shared" si="273"/>
        <v>2208.46</v>
      </c>
      <c r="X141" s="7">
        <f t="shared" si="279"/>
        <v>1194.53</v>
      </c>
      <c r="Y141" s="18">
        <f t="shared" si="276"/>
        <v>7000</v>
      </c>
      <c r="Z141" s="18">
        <f t="shared" si="277"/>
        <v>1104</v>
      </c>
      <c r="AA141" s="18">
        <f t="shared" si="274"/>
        <v>24920.46</v>
      </c>
      <c r="AB141" s="56">
        <v>11.0</v>
      </c>
      <c r="AC141" s="24">
        <v>979796.08</v>
      </c>
      <c r="AD141" s="24">
        <v>33023.16</v>
      </c>
      <c r="AE141" s="24">
        <v>3619.56</v>
      </c>
      <c r="AF141" s="24">
        <v>1242.0</v>
      </c>
      <c r="AG141" s="24">
        <v>1216.75</v>
      </c>
      <c r="AH141" s="24">
        <v>0.0</v>
      </c>
      <c r="AI141" s="24">
        <v>9081.07</v>
      </c>
      <c r="AJ141" s="24">
        <v>17353.87</v>
      </c>
      <c r="AK141" s="15">
        <v>3.0</v>
      </c>
      <c r="AL141" s="16">
        <v>267717.28</v>
      </c>
      <c r="AM141" s="16">
        <v>10124.0</v>
      </c>
      <c r="AN141" s="16">
        <v>4506.0</v>
      </c>
      <c r="AO141" s="16">
        <v>1800.0</v>
      </c>
      <c r="AP141" s="16">
        <v>1392.14</v>
      </c>
      <c r="AQ141" s="16">
        <v>995.14</v>
      </c>
      <c r="AR141" s="16">
        <v>0.0</v>
      </c>
      <c r="AS141" s="7">
        <v>7195.51</v>
      </c>
      <c r="AT141" s="7">
        <f t="shared" ref="AT141:AT142" si="280">AN141</f>
        <v>4506</v>
      </c>
      <c r="AU141" s="7">
        <v>3575.87</v>
      </c>
      <c r="AV141" s="7">
        <v>5519.41</v>
      </c>
      <c r="AW141" s="7">
        <v>10124.0</v>
      </c>
      <c r="AX141" s="7">
        <f>7699.22-AT141</f>
        <v>3193.22</v>
      </c>
      <c r="AY141" s="7">
        <f t="shared" si="278"/>
        <v>34114.01</v>
      </c>
      <c r="AZ141" s="8"/>
      <c r="BA141" s="9"/>
      <c r="BB141" s="10"/>
      <c r="BC141" s="10"/>
    </row>
    <row r="142">
      <c r="A142" s="11">
        <v>2024.0</v>
      </c>
      <c r="B142" s="11" t="s">
        <v>54</v>
      </c>
      <c r="C142" s="12">
        <v>45555.0</v>
      </c>
      <c r="D142" s="44">
        <v>14.0</v>
      </c>
      <c r="E142" s="26">
        <v>848604.84</v>
      </c>
      <c r="F142" s="26">
        <v>37830.89</v>
      </c>
      <c r="G142" s="26">
        <v>5237.67</v>
      </c>
      <c r="H142" s="26">
        <v>1932.0</v>
      </c>
      <c r="I142" s="26">
        <v>2099.65</v>
      </c>
      <c r="J142" s="26">
        <v>2677.1</v>
      </c>
      <c r="K142" s="26">
        <v>15242.21</v>
      </c>
      <c r="L142" s="26">
        <v>14785.13</v>
      </c>
      <c r="M142" s="15">
        <v>1.0</v>
      </c>
      <c r="N142" s="16">
        <v>210000.0</v>
      </c>
      <c r="O142" s="16">
        <f t="shared" si="266"/>
        <v>8400</v>
      </c>
      <c r="P142" s="16">
        <f t="shared" si="267"/>
        <v>3528</v>
      </c>
      <c r="Q142" s="16">
        <f t="shared" si="268"/>
        <v>552</v>
      </c>
      <c r="R142" s="16">
        <f t="shared" si="269"/>
        <v>239.19</v>
      </c>
      <c r="S142" s="17">
        <f t="shared" si="270"/>
        <v>393.42</v>
      </c>
      <c r="T142" s="17">
        <f t="shared" si="271"/>
        <v>138</v>
      </c>
      <c r="U142" s="7">
        <v>15911.95</v>
      </c>
      <c r="V142" s="18">
        <f t="shared" si="272"/>
        <v>3528</v>
      </c>
      <c r="W142" s="7">
        <f t="shared" si="273"/>
        <v>2338.84</v>
      </c>
      <c r="X142" s="7">
        <f t="shared" si="279"/>
        <v>2677.1</v>
      </c>
      <c r="Y142" s="18">
        <f t="shared" si="276"/>
        <v>8400</v>
      </c>
      <c r="Z142" s="18">
        <f t="shared" si="277"/>
        <v>552</v>
      </c>
      <c r="AA142" s="18">
        <f t="shared" si="274"/>
        <v>33407.89</v>
      </c>
      <c r="AB142" s="56">
        <v>3.0</v>
      </c>
      <c r="AC142" s="24">
        <v>236307.97</v>
      </c>
      <c r="AD142" s="24">
        <v>10437.91</v>
      </c>
      <c r="AE142" s="24">
        <v>1511.07</v>
      </c>
      <c r="AF142" s="24">
        <v>414.0</v>
      </c>
      <c r="AG142" s="24">
        <v>734.43</v>
      </c>
      <c r="AH142" s="24">
        <v>0.0</v>
      </c>
      <c r="AI142" s="24">
        <v>3028.81</v>
      </c>
      <c r="AJ142" s="24">
        <v>4749.6</v>
      </c>
      <c r="AK142" s="15">
        <v>5.0</v>
      </c>
      <c r="AL142" s="16">
        <v>538183.59</v>
      </c>
      <c r="AM142" s="16">
        <v>17520.0</v>
      </c>
      <c r="AN142" s="16">
        <v>9058.0</v>
      </c>
      <c r="AO142" s="16">
        <v>2400.0</v>
      </c>
      <c r="AP142" s="16">
        <v>2287.94</v>
      </c>
      <c r="AQ142" s="16">
        <v>2236.37</v>
      </c>
      <c r="AR142" s="16">
        <v>0.0</v>
      </c>
      <c r="AS142" s="7">
        <v>4002.36</v>
      </c>
      <c r="AT142" s="7">
        <f t="shared" si="280"/>
        <v>9058</v>
      </c>
      <c r="AU142" s="7">
        <v>2298.59</v>
      </c>
      <c r="AV142" s="7">
        <v>616.98</v>
      </c>
      <c r="AW142" s="7">
        <v>17520.0</v>
      </c>
      <c r="AX142" s="7">
        <f>12121.97-AT142</f>
        <v>3063.97</v>
      </c>
      <c r="AY142" s="7">
        <f t="shared" si="278"/>
        <v>36559.9</v>
      </c>
      <c r="AZ142" s="8"/>
      <c r="BA142" s="9"/>
      <c r="BB142" s="10"/>
      <c r="BC142" s="10"/>
    </row>
    <row r="143">
      <c r="A143" s="11">
        <v>2024.0</v>
      </c>
      <c r="B143" s="11" t="s">
        <v>54</v>
      </c>
      <c r="C143" s="1"/>
      <c r="D143" s="2">
        <v>83.0</v>
      </c>
      <c r="E143" s="2"/>
      <c r="F143" s="59">
        <v>249156.75</v>
      </c>
      <c r="G143" s="33"/>
      <c r="H143" s="33"/>
      <c r="I143" s="33"/>
      <c r="J143" s="33"/>
      <c r="K143" s="33"/>
      <c r="L143" s="33"/>
      <c r="M143" s="15">
        <v>9.0</v>
      </c>
      <c r="N143" s="51">
        <v>718000.0</v>
      </c>
      <c r="O143" s="35"/>
      <c r="P143" s="35"/>
      <c r="Q143" s="35"/>
      <c r="R143" s="35"/>
      <c r="S143" s="35"/>
      <c r="T143" s="35"/>
      <c r="U143" s="37"/>
      <c r="V143" s="48"/>
      <c r="W143" s="48"/>
      <c r="X143" s="37"/>
      <c r="Y143" s="48"/>
      <c r="Z143" s="48"/>
      <c r="AA143" s="48"/>
      <c r="AB143" s="2"/>
      <c r="AC143" s="33"/>
      <c r="AD143" s="2"/>
      <c r="AE143" s="33"/>
      <c r="AF143" s="33"/>
      <c r="AG143" s="33"/>
      <c r="AH143" s="33"/>
      <c r="AI143" s="33"/>
      <c r="AJ143" s="33"/>
      <c r="AK143" s="4"/>
      <c r="AL143" s="4"/>
      <c r="AM143" s="35"/>
      <c r="AN143" s="35"/>
      <c r="AO143" s="35"/>
      <c r="AP143" s="35"/>
      <c r="AQ143" s="35"/>
      <c r="AR143" s="35"/>
      <c r="AS143" s="37"/>
      <c r="AT143" s="48"/>
      <c r="AU143" s="48"/>
      <c r="AV143" s="48"/>
      <c r="AW143" s="48"/>
      <c r="AX143" s="48"/>
      <c r="AY143" s="48"/>
      <c r="AZ143" s="38"/>
      <c r="BA143" s="39"/>
      <c r="BB143" s="40"/>
      <c r="BC143" s="40"/>
    </row>
    <row r="144">
      <c r="A144" s="1">
        <v>2024.0</v>
      </c>
      <c r="B144" s="1" t="s">
        <v>54</v>
      </c>
      <c r="C144" s="1" t="s">
        <v>49</v>
      </c>
      <c r="D144" s="33">
        <f t="shared" ref="D144:L144" si="281">SUM(D136:D142)</f>
        <v>127</v>
      </c>
      <c r="E144" s="34">
        <f t="shared" si="281"/>
        <v>9473082.53</v>
      </c>
      <c r="F144" s="34">
        <f t="shared" si="281"/>
        <v>366859.66</v>
      </c>
      <c r="G144" s="34">
        <f t="shared" si="281"/>
        <v>39621.9</v>
      </c>
      <c r="H144" s="34">
        <f t="shared" si="281"/>
        <v>14076</v>
      </c>
      <c r="I144" s="34">
        <f t="shared" si="281"/>
        <v>20062.47</v>
      </c>
      <c r="J144" s="34">
        <f t="shared" si="281"/>
        <v>184615.17</v>
      </c>
      <c r="K144" s="34">
        <f t="shared" si="281"/>
        <v>387735.86</v>
      </c>
      <c r="L144" s="34">
        <f t="shared" si="281"/>
        <v>158590.71</v>
      </c>
      <c r="M144" s="35">
        <f t="shared" ref="M144:N144" si="282">SUM(M136:M143)</f>
        <v>16</v>
      </c>
      <c r="N144" s="36">
        <f t="shared" si="282"/>
        <v>1568000</v>
      </c>
      <c r="O144" s="36">
        <f t="shared" ref="O144:AJ144" si="283">SUM(O136:O142)</f>
        <v>34000</v>
      </c>
      <c r="P144" s="36">
        <f t="shared" si="283"/>
        <v>14280</v>
      </c>
      <c r="Q144" s="36">
        <f t="shared" si="283"/>
        <v>3864</v>
      </c>
      <c r="R144" s="36">
        <f t="shared" si="283"/>
        <v>1674.33</v>
      </c>
      <c r="S144" s="36">
        <f t="shared" si="283"/>
        <v>2753.94</v>
      </c>
      <c r="T144" s="36">
        <f t="shared" si="283"/>
        <v>966</v>
      </c>
      <c r="U144" s="37">
        <f t="shared" si="283"/>
        <v>105628.31</v>
      </c>
      <c r="V144" s="37">
        <f t="shared" si="283"/>
        <v>14280</v>
      </c>
      <c r="W144" s="37">
        <f t="shared" si="283"/>
        <v>21736.8</v>
      </c>
      <c r="X144" s="37">
        <f t="shared" si="283"/>
        <v>58434.99</v>
      </c>
      <c r="Y144" s="37">
        <f t="shared" si="283"/>
        <v>34000</v>
      </c>
      <c r="Z144" s="37">
        <f t="shared" si="283"/>
        <v>3864</v>
      </c>
      <c r="AA144" s="37">
        <f t="shared" si="283"/>
        <v>237944.1</v>
      </c>
      <c r="AB144" s="33">
        <f t="shared" si="283"/>
        <v>72</v>
      </c>
      <c r="AC144" s="34">
        <f t="shared" si="283"/>
        <v>7250608.73</v>
      </c>
      <c r="AD144" s="34">
        <f t="shared" si="283"/>
        <v>251355.71</v>
      </c>
      <c r="AE144" s="34">
        <f t="shared" si="283"/>
        <v>22987.66</v>
      </c>
      <c r="AF144" s="34">
        <f t="shared" si="283"/>
        <v>7314</v>
      </c>
      <c r="AG144" s="34">
        <f t="shared" si="283"/>
        <v>13051.65</v>
      </c>
      <c r="AH144" s="34">
        <f t="shared" si="283"/>
        <v>21000</v>
      </c>
      <c r="AI144" s="34">
        <f t="shared" si="283"/>
        <v>154855.43</v>
      </c>
      <c r="AJ144" s="34">
        <f t="shared" si="283"/>
        <v>118540.93</v>
      </c>
      <c r="AK144" s="35">
        <f t="shared" ref="AK144:AL144" si="284">SUM(AK136:AK143)</f>
        <v>10</v>
      </c>
      <c r="AL144" s="36">
        <f t="shared" si="284"/>
        <v>981300.2</v>
      </c>
      <c r="AM144" s="36">
        <f t="shared" ref="AM144:AY144" si="285">SUM(AM136:AM142)</f>
        <v>29335</v>
      </c>
      <c r="AN144" s="36">
        <f t="shared" si="285"/>
        <v>16517</v>
      </c>
      <c r="AO144" s="36">
        <f t="shared" si="285"/>
        <v>4800</v>
      </c>
      <c r="AP144" s="36">
        <f t="shared" si="285"/>
        <v>4587.62</v>
      </c>
      <c r="AQ144" s="36">
        <f t="shared" si="285"/>
        <v>3877.82</v>
      </c>
      <c r="AR144" s="36">
        <f t="shared" si="285"/>
        <v>0</v>
      </c>
      <c r="AS144" s="37">
        <f t="shared" si="285"/>
        <v>95433.51</v>
      </c>
      <c r="AT144" s="37">
        <f t="shared" si="285"/>
        <v>16517</v>
      </c>
      <c r="AU144" s="37">
        <f t="shared" si="285"/>
        <v>25204.28</v>
      </c>
      <c r="AV144" s="37">
        <f t="shared" si="285"/>
        <v>37052.45</v>
      </c>
      <c r="AW144" s="37">
        <f t="shared" si="285"/>
        <v>34278</v>
      </c>
      <c r="AX144" s="37">
        <f t="shared" si="285"/>
        <v>8453.27</v>
      </c>
      <c r="AY144" s="37">
        <f t="shared" si="285"/>
        <v>216938.51</v>
      </c>
      <c r="AZ144" s="38"/>
      <c r="BA144" s="39"/>
      <c r="BB144" s="40"/>
      <c r="BC144" s="40"/>
    </row>
    <row r="145">
      <c r="A145" s="11">
        <v>2024.0</v>
      </c>
      <c r="B145" s="11" t="s">
        <v>54</v>
      </c>
      <c r="C145" s="12">
        <v>45556.0</v>
      </c>
      <c r="D145" s="44">
        <v>7.0</v>
      </c>
      <c r="E145" s="26">
        <v>403867.91</v>
      </c>
      <c r="F145" s="26">
        <v>16536.96</v>
      </c>
      <c r="G145" s="26">
        <v>2250.97</v>
      </c>
      <c r="H145" s="26">
        <v>966.0</v>
      </c>
      <c r="I145" s="26">
        <v>1183.3</v>
      </c>
      <c r="J145" s="26">
        <v>0.0</v>
      </c>
      <c r="K145" s="26">
        <v>5351.71</v>
      </c>
      <c r="L145" s="26">
        <v>6784.98</v>
      </c>
      <c r="M145" s="15">
        <v>0.0</v>
      </c>
      <c r="N145" s="16">
        <v>0.0</v>
      </c>
      <c r="O145" s="16">
        <f t="shared" ref="O145:O151" si="286">N145*4%</f>
        <v>0</v>
      </c>
      <c r="P145" s="16">
        <f t="shared" ref="P145:P151" si="287">N145*1.68%</f>
        <v>0</v>
      </c>
      <c r="Q145" s="16">
        <f t="shared" ref="Q145:Q151" si="288">M145*(250+300+2)</f>
        <v>0</v>
      </c>
      <c r="R145" s="16">
        <f t="shared" ref="R145:R151" si="289">M145*239.19</f>
        <v>0</v>
      </c>
      <c r="S145" s="17">
        <f t="shared" ref="S145:S151" si="290">M145*393.42</f>
        <v>0</v>
      </c>
      <c r="T145" s="17">
        <f t="shared" ref="T145:T151" si="291">M145*138</f>
        <v>0</v>
      </c>
      <c r="U145" s="7">
        <v>4795.95</v>
      </c>
      <c r="V145" s="18">
        <f t="shared" ref="V145:V151" si="292">P145</f>
        <v>0</v>
      </c>
      <c r="W145" s="7">
        <f t="shared" ref="W145:W151" si="293">I145+R145</f>
        <v>1183.3</v>
      </c>
      <c r="X145" s="7">
        <f t="shared" ref="X145:X151" si="294">J145</f>
        <v>0</v>
      </c>
      <c r="Y145" s="7">
        <v>0.0</v>
      </c>
      <c r="Z145" s="7">
        <v>0.0</v>
      </c>
      <c r="AA145" s="18">
        <f t="shared" ref="AA145:AA151" si="295">SUM(U145:Z145)</f>
        <v>5979.25</v>
      </c>
      <c r="AB145" s="56">
        <v>6.0</v>
      </c>
      <c r="AC145" s="24">
        <v>291288.71</v>
      </c>
      <c r="AD145" s="24">
        <v>12413.0</v>
      </c>
      <c r="AE145" s="24">
        <v>1766.66</v>
      </c>
      <c r="AF145" s="24">
        <v>828.0</v>
      </c>
      <c r="AG145" s="24">
        <v>990.99</v>
      </c>
      <c r="AH145" s="24">
        <v>0.0</v>
      </c>
      <c r="AI145" s="24">
        <v>3933.7</v>
      </c>
      <c r="AJ145" s="24">
        <v>4893.65</v>
      </c>
      <c r="AK145" s="15">
        <v>0.0</v>
      </c>
      <c r="AL145" s="16">
        <v>0.0</v>
      </c>
      <c r="AM145" s="16">
        <v>0.0</v>
      </c>
      <c r="AN145" s="16">
        <v>0.0</v>
      </c>
      <c r="AO145" s="16">
        <v>0.0</v>
      </c>
      <c r="AP145" s="16">
        <v>0.0</v>
      </c>
      <c r="AQ145" s="16">
        <v>0.0</v>
      </c>
      <c r="AR145" s="16">
        <v>0.0</v>
      </c>
      <c r="AS145" s="7">
        <v>0.0</v>
      </c>
      <c r="AT145" s="7">
        <v>0.0</v>
      </c>
      <c r="AU145" s="7">
        <v>0.0</v>
      </c>
      <c r="AV145" s="7">
        <v>0.0</v>
      </c>
      <c r="AW145" s="7">
        <v>0.0</v>
      </c>
      <c r="AX145" s="7">
        <v>0.0</v>
      </c>
      <c r="AY145" s="7">
        <v>0.0</v>
      </c>
      <c r="AZ145" s="8"/>
      <c r="BA145" s="9"/>
      <c r="BB145" s="10"/>
      <c r="BC145" s="10"/>
    </row>
    <row r="146">
      <c r="A146" s="11">
        <v>2024.0</v>
      </c>
      <c r="B146" s="11" t="s">
        <v>54</v>
      </c>
      <c r="C146" s="12">
        <v>45557.0</v>
      </c>
      <c r="D146" s="53">
        <v>11.0</v>
      </c>
      <c r="E146" s="26">
        <v>576970.65</v>
      </c>
      <c r="F146" s="26">
        <v>26369.28</v>
      </c>
      <c r="G146" s="26">
        <v>3798.47</v>
      </c>
      <c r="H146" s="26">
        <v>1518.0</v>
      </c>
      <c r="I146" s="26">
        <v>1500.61</v>
      </c>
      <c r="J146" s="26">
        <v>2709.69</v>
      </c>
      <c r="K146" s="26">
        <v>12607.28</v>
      </c>
      <c r="L146" s="26">
        <v>10069.77</v>
      </c>
      <c r="M146" s="15">
        <v>0.0</v>
      </c>
      <c r="N146" s="16">
        <v>0.0</v>
      </c>
      <c r="O146" s="16">
        <f t="shared" si="286"/>
        <v>0</v>
      </c>
      <c r="P146" s="16">
        <f t="shared" si="287"/>
        <v>0</v>
      </c>
      <c r="Q146" s="16">
        <f t="shared" si="288"/>
        <v>0</v>
      </c>
      <c r="R146" s="16">
        <f t="shared" si="289"/>
        <v>0</v>
      </c>
      <c r="S146" s="17">
        <f t="shared" si="290"/>
        <v>0</v>
      </c>
      <c r="T146" s="17">
        <f t="shared" si="291"/>
        <v>0</v>
      </c>
      <c r="U146" s="7">
        <v>15757.82</v>
      </c>
      <c r="V146" s="18">
        <f t="shared" si="292"/>
        <v>0</v>
      </c>
      <c r="W146" s="7">
        <f t="shared" si="293"/>
        <v>1500.61</v>
      </c>
      <c r="X146" s="7">
        <f t="shared" si="294"/>
        <v>2709.69</v>
      </c>
      <c r="Y146" s="7">
        <v>0.0</v>
      </c>
      <c r="Z146" s="7">
        <v>0.0</v>
      </c>
      <c r="AA146" s="18">
        <f t="shared" si="295"/>
        <v>19968.12</v>
      </c>
      <c r="AB146" s="56">
        <v>8.0</v>
      </c>
      <c r="AC146" s="24">
        <v>379486.23</v>
      </c>
      <c r="AD146" s="24">
        <v>18548.01</v>
      </c>
      <c r="AE146" s="24">
        <v>2668.25</v>
      </c>
      <c r="AF146" s="24">
        <v>1104.0</v>
      </c>
      <c r="AG146" s="24">
        <v>1081.07</v>
      </c>
      <c r="AH146" s="24">
        <v>0.0</v>
      </c>
      <c r="AI146" s="24">
        <v>6942.66</v>
      </c>
      <c r="AJ146" s="24">
        <v>6752.03</v>
      </c>
      <c r="AK146" s="15">
        <v>0.0</v>
      </c>
      <c r="AL146" s="16">
        <v>0.0</v>
      </c>
      <c r="AM146" s="16">
        <v>0.0</v>
      </c>
      <c r="AN146" s="16">
        <v>0.0</v>
      </c>
      <c r="AO146" s="16">
        <v>0.0</v>
      </c>
      <c r="AP146" s="16">
        <v>0.0</v>
      </c>
      <c r="AQ146" s="16">
        <v>0.0</v>
      </c>
      <c r="AR146" s="16">
        <v>0.0</v>
      </c>
      <c r="AS146" s="7">
        <v>2552.87</v>
      </c>
      <c r="AT146" s="7">
        <v>0.0</v>
      </c>
      <c r="AU146" s="7">
        <v>1243.05</v>
      </c>
      <c r="AV146" s="7">
        <v>1333.95</v>
      </c>
      <c r="AW146" s="7">
        <v>0.0</v>
      </c>
      <c r="AX146" s="7">
        <v>5.76</v>
      </c>
      <c r="AY146" s="7">
        <f t="shared" ref="AY146:AY151" si="296">SUM(AS146:AX146)</f>
        <v>5135.63</v>
      </c>
      <c r="AZ146" s="8"/>
      <c r="BA146" s="9"/>
      <c r="BB146" s="10"/>
      <c r="BC146" s="10"/>
    </row>
    <row r="147">
      <c r="A147" s="11">
        <v>2024.0</v>
      </c>
      <c r="B147" s="11" t="s">
        <v>54</v>
      </c>
      <c r="C147" s="12">
        <v>45558.0</v>
      </c>
      <c r="D147" s="44">
        <v>13.0</v>
      </c>
      <c r="E147" s="26">
        <v>907853.79</v>
      </c>
      <c r="F147" s="26">
        <v>44216.59</v>
      </c>
      <c r="G147" s="26">
        <v>5108.71</v>
      </c>
      <c r="H147" s="26">
        <v>1656.0</v>
      </c>
      <c r="I147" s="26">
        <v>2131.76</v>
      </c>
      <c r="J147" s="26">
        <v>1354.32</v>
      </c>
      <c r="K147" s="26">
        <v>18517.96</v>
      </c>
      <c r="L147" s="26">
        <v>16802.16</v>
      </c>
      <c r="M147" s="15">
        <v>1.0</v>
      </c>
      <c r="N147" s="16">
        <v>75000.0</v>
      </c>
      <c r="O147" s="16">
        <f t="shared" si="286"/>
        <v>3000</v>
      </c>
      <c r="P147" s="16">
        <f t="shared" si="287"/>
        <v>1260</v>
      </c>
      <c r="Q147" s="16">
        <f t="shared" si="288"/>
        <v>552</v>
      </c>
      <c r="R147" s="16">
        <f t="shared" si="289"/>
        <v>239.19</v>
      </c>
      <c r="S147" s="17">
        <f t="shared" si="290"/>
        <v>393.42</v>
      </c>
      <c r="T147" s="17">
        <f t="shared" si="291"/>
        <v>138</v>
      </c>
      <c r="U147" s="7">
        <v>11960.09</v>
      </c>
      <c r="V147" s="18">
        <f t="shared" si="292"/>
        <v>1260</v>
      </c>
      <c r="W147" s="7">
        <f t="shared" si="293"/>
        <v>2370.95</v>
      </c>
      <c r="X147" s="7">
        <f t="shared" si="294"/>
        <v>1354.32</v>
      </c>
      <c r="Y147" s="7">
        <f t="shared" ref="Y147:Y151" si="297">O147</f>
        <v>3000</v>
      </c>
      <c r="Z147" s="7">
        <f t="shared" ref="Z147:Z151" si="298">Q147</f>
        <v>552</v>
      </c>
      <c r="AA147" s="18">
        <f t="shared" si="295"/>
        <v>20497.36</v>
      </c>
      <c r="AB147" s="56">
        <v>8.0</v>
      </c>
      <c r="AC147" s="24">
        <v>601311.12</v>
      </c>
      <c r="AD147" s="24">
        <v>26169.61</v>
      </c>
      <c r="AE147" s="24">
        <v>2806.42</v>
      </c>
      <c r="AF147" s="24">
        <v>966.0</v>
      </c>
      <c r="AG147" s="24">
        <v>1156.65</v>
      </c>
      <c r="AH147" s="24">
        <v>0.0</v>
      </c>
      <c r="AI147" s="24">
        <v>11009.93</v>
      </c>
      <c r="AJ147" s="24">
        <v>10230.61</v>
      </c>
      <c r="AK147" s="15">
        <v>1.0</v>
      </c>
      <c r="AL147" s="16">
        <v>61067.75</v>
      </c>
      <c r="AM147" s="16">
        <v>2310.0</v>
      </c>
      <c r="AN147" s="16">
        <v>1987.0</v>
      </c>
      <c r="AO147" s="16">
        <v>600.0</v>
      </c>
      <c r="AP147" s="16">
        <v>869.5</v>
      </c>
      <c r="AQ147" s="16">
        <v>245.0</v>
      </c>
      <c r="AR147" s="16">
        <v>0.0</v>
      </c>
      <c r="AS147" s="7">
        <v>9908.57</v>
      </c>
      <c r="AT147" s="7">
        <v>0.0</v>
      </c>
      <c r="AU147" s="7">
        <v>3160.47</v>
      </c>
      <c r="AV147" s="7">
        <v>986.09</v>
      </c>
      <c r="AW147" s="7">
        <v>0.0</v>
      </c>
      <c r="AX147" s="7">
        <v>6.51</v>
      </c>
      <c r="AY147" s="7">
        <f t="shared" si="296"/>
        <v>14061.64</v>
      </c>
      <c r="AZ147" s="8"/>
      <c r="BA147" s="9"/>
      <c r="BB147" s="10"/>
      <c r="BC147" s="10"/>
    </row>
    <row r="148">
      <c r="A148" s="11">
        <v>2024.0</v>
      </c>
      <c r="B148" s="11" t="s">
        <v>54</v>
      </c>
      <c r="C148" s="12">
        <v>45559.0</v>
      </c>
      <c r="D148" s="44">
        <v>9.0</v>
      </c>
      <c r="E148" s="26">
        <v>479540.67</v>
      </c>
      <c r="F148" s="26">
        <v>25230.88</v>
      </c>
      <c r="G148" s="26">
        <v>3829.64</v>
      </c>
      <c r="H148" s="26">
        <v>1242.0</v>
      </c>
      <c r="I148" s="26">
        <v>1369.03</v>
      </c>
      <c r="J148" s="26">
        <v>0.0</v>
      </c>
      <c r="K148" s="26">
        <v>11463.61</v>
      </c>
      <c r="L148" s="26">
        <v>7326.6</v>
      </c>
      <c r="M148" s="15">
        <v>1.0</v>
      </c>
      <c r="N148" s="16">
        <v>63000.0</v>
      </c>
      <c r="O148" s="16">
        <f t="shared" si="286"/>
        <v>2520</v>
      </c>
      <c r="P148" s="16">
        <f t="shared" si="287"/>
        <v>1058.4</v>
      </c>
      <c r="Q148" s="16">
        <f t="shared" si="288"/>
        <v>552</v>
      </c>
      <c r="R148" s="16">
        <f t="shared" si="289"/>
        <v>239.19</v>
      </c>
      <c r="S148" s="17">
        <f t="shared" si="290"/>
        <v>393.42</v>
      </c>
      <c r="T148" s="17">
        <f t="shared" si="291"/>
        <v>138</v>
      </c>
      <c r="U148" s="7">
        <v>9434.24</v>
      </c>
      <c r="V148" s="18">
        <f t="shared" si="292"/>
        <v>1058.4</v>
      </c>
      <c r="W148" s="7">
        <f t="shared" si="293"/>
        <v>1608.22</v>
      </c>
      <c r="X148" s="7">
        <f t="shared" si="294"/>
        <v>0</v>
      </c>
      <c r="Y148" s="18">
        <f t="shared" si="297"/>
        <v>2520</v>
      </c>
      <c r="Z148" s="18">
        <f t="shared" si="298"/>
        <v>552</v>
      </c>
      <c r="AA148" s="18">
        <f t="shared" si="295"/>
        <v>15172.86</v>
      </c>
      <c r="AB148" s="56">
        <v>7.0</v>
      </c>
      <c r="AC148" s="24">
        <v>403587.65</v>
      </c>
      <c r="AD148" s="24">
        <v>21474.28</v>
      </c>
      <c r="AE148" s="24">
        <v>2657.74</v>
      </c>
      <c r="AF148" s="24">
        <v>966.0</v>
      </c>
      <c r="AG148" s="24">
        <v>998.61</v>
      </c>
      <c r="AH148" s="24">
        <v>0.0</v>
      </c>
      <c r="AI148" s="24">
        <v>10791.92</v>
      </c>
      <c r="AJ148" s="24">
        <v>6060.01</v>
      </c>
      <c r="AK148" s="15">
        <v>2.0</v>
      </c>
      <c r="AL148" s="16">
        <v>132001.1</v>
      </c>
      <c r="AM148" s="16">
        <v>2154.0</v>
      </c>
      <c r="AN148" s="16">
        <v>2223.0</v>
      </c>
      <c r="AO148" s="16">
        <v>6000.0</v>
      </c>
      <c r="AP148" s="16">
        <v>932.85</v>
      </c>
      <c r="AQ148" s="16">
        <v>502.25</v>
      </c>
      <c r="AR148" s="16">
        <v>0.0</v>
      </c>
      <c r="AS148" s="7">
        <v>5139.46</v>
      </c>
      <c r="AT148" s="7">
        <v>4512.0</v>
      </c>
      <c r="AU148" s="7">
        <v>3633.58</v>
      </c>
      <c r="AV148" s="7">
        <v>1889.08</v>
      </c>
      <c r="AW148" s="7">
        <v>10136.0</v>
      </c>
      <c r="AX148" s="7">
        <f>8769.3-4512</f>
        <v>4257.3</v>
      </c>
      <c r="AY148" s="7">
        <f t="shared" si="296"/>
        <v>29567.42</v>
      </c>
      <c r="AZ148" s="8"/>
      <c r="BA148" s="9"/>
      <c r="BB148" s="10"/>
      <c r="BC148" s="10"/>
    </row>
    <row r="149">
      <c r="A149" s="11">
        <v>2024.0</v>
      </c>
      <c r="B149" s="11" t="s">
        <v>54</v>
      </c>
      <c r="C149" s="12">
        <v>45560.0</v>
      </c>
      <c r="D149" s="44">
        <v>8.0</v>
      </c>
      <c r="E149" s="26">
        <v>626330.38</v>
      </c>
      <c r="F149" s="26">
        <v>31023.94</v>
      </c>
      <c r="G149" s="26">
        <v>3965.53</v>
      </c>
      <c r="H149" s="26">
        <v>966.0</v>
      </c>
      <c r="I149" s="26">
        <v>1247.23</v>
      </c>
      <c r="J149" s="26">
        <v>1844.19</v>
      </c>
      <c r="K149" s="26">
        <v>17562.52</v>
      </c>
      <c r="L149" s="26">
        <v>11173.3</v>
      </c>
      <c r="M149" s="15">
        <v>2.0</v>
      </c>
      <c r="N149" s="16">
        <v>101000.0</v>
      </c>
      <c r="O149" s="16">
        <f t="shared" si="286"/>
        <v>4040</v>
      </c>
      <c r="P149" s="16">
        <f t="shared" si="287"/>
        <v>1696.8</v>
      </c>
      <c r="Q149" s="16">
        <f t="shared" si="288"/>
        <v>1104</v>
      </c>
      <c r="R149" s="16">
        <f t="shared" si="289"/>
        <v>478.38</v>
      </c>
      <c r="S149" s="17">
        <f t="shared" si="290"/>
        <v>786.84</v>
      </c>
      <c r="T149" s="17">
        <f t="shared" si="291"/>
        <v>276</v>
      </c>
      <c r="U149" s="7">
        <v>2858.09</v>
      </c>
      <c r="V149" s="18">
        <f t="shared" si="292"/>
        <v>1696.8</v>
      </c>
      <c r="W149" s="7">
        <f t="shared" si="293"/>
        <v>1725.61</v>
      </c>
      <c r="X149" s="7">
        <f t="shared" si="294"/>
        <v>1844.19</v>
      </c>
      <c r="Y149" s="18">
        <f t="shared" si="297"/>
        <v>4040</v>
      </c>
      <c r="Z149" s="18">
        <f t="shared" si="298"/>
        <v>1104</v>
      </c>
      <c r="AA149" s="18">
        <f t="shared" si="295"/>
        <v>13268.69</v>
      </c>
      <c r="AB149" s="56">
        <v>6.0</v>
      </c>
      <c r="AC149" s="24">
        <v>507949.04</v>
      </c>
      <c r="AD149" s="24">
        <v>25543.34</v>
      </c>
      <c r="AE149" s="24">
        <v>2956.91</v>
      </c>
      <c r="AF149" s="24">
        <v>690.0</v>
      </c>
      <c r="AG149" s="24">
        <v>771.5</v>
      </c>
      <c r="AH149" s="24">
        <v>0.0</v>
      </c>
      <c r="AI149" s="24">
        <v>11945.46</v>
      </c>
      <c r="AJ149" s="24">
        <v>9179.47</v>
      </c>
      <c r="AK149" s="15">
        <v>3.0</v>
      </c>
      <c r="AL149" s="16">
        <v>204487.36</v>
      </c>
      <c r="AM149" s="16">
        <v>7734.0</v>
      </c>
      <c r="AN149" s="16">
        <v>3443.0</v>
      </c>
      <c r="AO149" s="16">
        <v>1800.0</v>
      </c>
      <c r="AP149" s="16">
        <v>1486.31</v>
      </c>
      <c r="AQ149" s="16">
        <v>779.06</v>
      </c>
      <c r="AR149" s="16">
        <v>0.0</v>
      </c>
      <c r="AS149" s="7">
        <v>18351.9</v>
      </c>
      <c r="AT149" s="7">
        <v>3443.0</v>
      </c>
      <c r="AU149" s="7">
        <v>4597.98</v>
      </c>
      <c r="AV149" s="7">
        <v>1554.82</v>
      </c>
      <c r="AW149" s="7">
        <v>7734.0</v>
      </c>
      <c r="AX149" s="7">
        <f>6753.43-AT149</f>
        <v>3310.43</v>
      </c>
      <c r="AY149" s="7">
        <f t="shared" si="296"/>
        <v>38992.13</v>
      </c>
      <c r="AZ149" s="8"/>
      <c r="BA149" s="9"/>
      <c r="BB149" s="10"/>
      <c r="BC149" s="10"/>
    </row>
    <row r="150">
      <c r="A150" s="11">
        <v>2024.0</v>
      </c>
      <c r="B150" s="11" t="s">
        <v>54</v>
      </c>
      <c r="C150" s="12">
        <v>45561.0</v>
      </c>
      <c r="D150" s="44">
        <v>9.0</v>
      </c>
      <c r="E150" s="26">
        <v>409306.86</v>
      </c>
      <c r="F150" s="26">
        <v>21932.16</v>
      </c>
      <c r="G150" s="26">
        <v>2845.13</v>
      </c>
      <c r="H150" s="26">
        <v>1104.0</v>
      </c>
      <c r="I150" s="26">
        <v>1453.48</v>
      </c>
      <c r="J150" s="26">
        <v>1365.67</v>
      </c>
      <c r="K150" s="26">
        <v>10794.45</v>
      </c>
      <c r="L150" s="26">
        <v>7269.8</v>
      </c>
      <c r="M150" s="15">
        <v>2.0</v>
      </c>
      <c r="N150" s="16">
        <v>155000.0</v>
      </c>
      <c r="O150" s="16">
        <f t="shared" si="286"/>
        <v>6200</v>
      </c>
      <c r="P150" s="16">
        <f t="shared" si="287"/>
        <v>2604</v>
      </c>
      <c r="Q150" s="16">
        <f t="shared" si="288"/>
        <v>1104</v>
      </c>
      <c r="R150" s="16">
        <f t="shared" si="289"/>
        <v>478.38</v>
      </c>
      <c r="S150" s="17">
        <f t="shared" si="290"/>
        <v>786.84</v>
      </c>
      <c r="T150" s="17">
        <f t="shared" si="291"/>
        <v>276</v>
      </c>
      <c r="U150" s="7">
        <v>3760.61</v>
      </c>
      <c r="V150" s="18">
        <f t="shared" si="292"/>
        <v>2604</v>
      </c>
      <c r="W150" s="7">
        <f t="shared" si="293"/>
        <v>1931.86</v>
      </c>
      <c r="X150" s="7">
        <f t="shared" si="294"/>
        <v>1365.67</v>
      </c>
      <c r="Y150" s="18">
        <f t="shared" si="297"/>
        <v>6200</v>
      </c>
      <c r="Z150" s="18">
        <f t="shared" si="298"/>
        <v>1104</v>
      </c>
      <c r="AA150" s="18">
        <f t="shared" si="295"/>
        <v>16966.14</v>
      </c>
      <c r="AB150" s="56">
        <v>2.0</v>
      </c>
      <c r="AC150" s="24">
        <v>100753.17</v>
      </c>
      <c r="AD150" s="24">
        <v>4937.18</v>
      </c>
      <c r="AE150" s="24">
        <v>697.54</v>
      </c>
      <c r="AF150" s="24">
        <v>276.0</v>
      </c>
      <c r="AG150" s="24">
        <v>284.78</v>
      </c>
      <c r="AH150" s="24">
        <v>0.0</v>
      </c>
      <c r="AI150" s="24">
        <v>1986.21</v>
      </c>
      <c r="AJ150" s="24">
        <v>1692.65</v>
      </c>
      <c r="AK150" s="15">
        <v>6.0</v>
      </c>
      <c r="AL150" s="16">
        <v>690516.86</v>
      </c>
      <c r="AM150" s="16">
        <v>26114.0</v>
      </c>
      <c r="AN150" s="16">
        <v>11622.0</v>
      </c>
      <c r="AO150" s="16">
        <v>3600.0</v>
      </c>
      <c r="AP150" s="16">
        <v>2765.85</v>
      </c>
      <c r="AQ150" s="16">
        <v>2565.01</v>
      </c>
      <c r="AR150" s="16">
        <v>0.0</v>
      </c>
      <c r="AS150" s="7">
        <v>11278.66</v>
      </c>
      <c r="AT150" s="7">
        <v>7968.0</v>
      </c>
      <c r="AU150" s="7">
        <v>2202.02</v>
      </c>
      <c r="AV150" s="7">
        <v>2426.55</v>
      </c>
      <c r="AW150" s="7">
        <v>17904.0</v>
      </c>
      <c r="AX150" s="7">
        <f>11149.45-AT150</f>
        <v>3181.45</v>
      </c>
      <c r="AY150" s="7">
        <f t="shared" si="296"/>
        <v>44960.68</v>
      </c>
      <c r="AZ150" s="8"/>
      <c r="BA150" s="9"/>
      <c r="BB150" s="10"/>
      <c r="BC150" s="10"/>
    </row>
    <row r="151">
      <c r="A151" s="11">
        <v>2024.0</v>
      </c>
      <c r="B151" s="11" t="s">
        <v>54</v>
      </c>
      <c r="C151" s="12">
        <v>45562.0</v>
      </c>
      <c r="D151" s="44">
        <v>6.0</v>
      </c>
      <c r="E151" s="26">
        <v>501987.56</v>
      </c>
      <c r="F151" s="26">
        <v>22285.26</v>
      </c>
      <c r="G151" s="26">
        <v>2883.08</v>
      </c>
      <c r="H151" s="26">
        <v>828.0</v>
      </c>
      <c r="I151" s="26">
        <v>844.09</v>
      </c>
      <c r="J151" s="26">
        <v>868.18</v>
      </c>
      <c r="K151" s="26">
        <v>9296.7</v>
      </c>
      <c r="L151" s="26">
        <v>8433.39</v>
      </c>
      <c r="M151" s="15">
        <v>2.0</v>
      </c>
      <c r="N151" s="16">
        <v>130000.0</v>
      </c>
      <c r="O151" s="16">
        <f t="shared" si="286"/>
        <v>5200</v>
      </c>
      <c r="P151" s="16">
        <f t="shared" si="287"/>
        <v>2184</v>
      </c>
      <c r="Q151" s="16">
        <f t="shared" si="288"/>
        <v>1104</v>
      </c>
      <c r="R151" s="16">
        <f t="shared" si="289"/>
        <v>478.38</v>
      </c>
      <c r="S151" s="17">
        <f t="shared" si="290"/>
        <v>786.84</v>
      </c>
      <c r="T151" s="17">
        <f t="shared" si="291"/>
        <v>276</v>
      </c>
      <c r="U151" s="7">
        <v>7137.95</v>
      </c>
      <c r="V151" s="18">
        <f t="shared" si="292"/>
        <v>2184</v>
      </c>
      <c r="W151" s="7">
        <f t="shared" si="293"/>
        <v>1322.47</v>
      </c>
      <c r="X151" s="7">
        <f t="shared" si="294"/>
        <v>868.18</v>
      </c>
      <c r="Y151" s="18">
        <f t="shared" si="297"/>
        <v>5200</v>
      </c>
      <c r="Z151" s="18">
        <f t="shared" si="298"/>
        <v>1104</v>
      </c>
      <c r="AA151" s="18">
        <f t="shared" si="295"/>
        <v>17816.6</v>
      </c>
      <c r="AB151" s="56">
        <v>4.0</v>
      </c>
      <c r="AC151" s="24">
        <v>234004.92</v>
      </c>
      <c r="AD151" s="24">
        <v>11356.93</v>
      </c>
      <c r="AE151" s="24">
        <v>1525.25</v>
      </c>
      <c r="AF151" s="24">
        <v>552.0</v>
      </c>
      <c r="AG151" s="24">
        <v>647.89</v>
      </c>
      <c r="AH151" s="24">
        <v>0.0</v>
      </c>
      <c r="AI151" s="24">
        <v>4700.51</v>
      </c>
      <c r="AJ151" s="24">
        <v>3931.28</v>
      </c>
      <c r="AK151" s="15">
        <v>4.0</v>
      </c>
      <c r="AL151" s="16">
        <v>375510.7</v>
      </c>
      <c r="AM151" s="16">
        <v>14202.0</v>
      </c>
      <c r="AN151" s="16">
        <v>6321.0</v>
      </c>
      <c r="AO151" s="16">
        <v>2400.0</v>
      </c>
      <c r="AP151" s="16">
        <v>1753.26</v>
      </c>
      <c r="AQ151" s="16">
        <v>1434.19</v>
      </c>
      <c r="AR151" s="16">
        <v>0.0</v>
      </c>
      <c r="AS151" s="7">
        <v>4113.2</v>
      </c>
      <c r="AT151" s="7">
        <v>9975.0</v>
      </c>
      <c r="AU151" s="7">
        <v>3642.44</v>
      </c>
      <c r="AV151" s="7">
        <v>2464.29</v>
      </c>
      <c r="AW151" s="7">
        <v>22412.0</v>
      </c>
      <c r="AX151" s="7">
        <f>17613.18-AT151</f>
        <v>7638.18</v>
      </c>
      <c r="AY151" s="7">
        <f t="shared" si="296"/>
        <v>50245.11</v>
      </c>
      <c r="AZ151" s="8"/>
      <c r="BA151" s="9"/>
      <c r="BB151" s="10"/>
      <c r="BC151" s="10"/>
    </row>
    <row r="152">
      <c r="A152" s="11">
        <v>2024.0</v>
      </c>
      <c r="B152" s="11" t="s">
        <v>54</v>
      </c>
      <c r="C152" s="1"/>
      <c r="D152" s="2">
        <v>97.0</v>
      </c>
      <c r="E152" s="2"/>
      <c r="F152" s="59">
        <v>231879.09</v>
      </c>
      <c r="G152" s="33"/>
      <c r="H152" s="33"/>
      <c r="I152" s="33"/>
      <c r="J152" s="33"/>
      <c r="K152" s="33"/>
      <c r="L152" s="33"/>
      <c r="M152" s="15">
        <v>5.0</v>
      </c>
      <c r="N152" s="51">
        <v>780000.0</v>
      </c>
      <c r="O152" s="35"/>
      <c r="P152" s="35"/>
      <c r="Q152" s="35"/>
      <c r="R152" s="35"/>
      <c r="S152" s="35"/>
      <c r="T152" s="35"/>
      <c r="U152" s="37"/>
      <c r="V152" s="48"/>
      <c r="W152" s="48"/>
      <c r="X152" s="37"/>
      <c r="Y152" s="48"/>
      <c r="Z152" s="48"/>
      <c r="AA152" s="48"/>
      <c r="AB152" s="2"/>
      <c r="AC152" s="33"/>
      <c r="AD152" s="2"/>
      <c r="AE152" s="33"/>
      <c r="AF152" s="33"/>
      <c r="AG152" s="33"/>
      <c r="AH152" s="33"/>
      <c r="AI152" s="33"/>
      <c r="AJ152" s="33"/>
      <c r="AK152" s="4"/>
      <c r="AL152" s="4"/>
      <c r="AM152" s="35"/>
      <c r="AN152" s="35"/>
      <c r="AO152" s="35"/>
      <c r="AP152" s="35"/>
      <c r="AQ152" s="35"/>
      <c r="AR152" s="35"/>
      <c r="AS152" s="37"/>
      <c r="AT152" s="48"/>
      <c r="AU152" s="48"/>
      <c r="AV152" s="48"/>
      <c r="AW152" s="48"/>
      <c r="AX152" s="48"/>
      <c r="AY152" s="48"/>
      <c r="AZ152" s="38"/>
      <c r="BA152" s="39"/>
      <c r="BB152" s="40"/>
      <c r="BC152" s="40"/>
    </row>
    <row r="153">
      <c r="A153" s="1">
        <v>2024.0</v>
      </c>
      <c r="B153" s="1" t="s">
        <v>54</v>
      </c>
      <c r="C153" s="1" t="s">
        <v>49</v>
      </c>
      <c r="D153" s="33">
        <f t="shared" ref="D153:AJ153" si="299">SUM(D145:D151)</f>
        <v>63</v>
      </c>
      <c r="E153" s="34">
        <f t="shared" si="299"/>
        <v>3905857.82</v>
      </c>
      <c r="F153" s="34">
        <f t="shared" si="299"/>
        <v>187595.07</v>
      </c>
      <c r="G153" s="34">
        <f t="shared" si="299"/>
        <v>24681.53</v>
      </c>
      <c r="H153" s="34">
        <f t="shared" si="299"/>
        <v>8280</v>
      </c>
      <c r="I153" s="34">
        <f t="shared" si="299"/>
        <v>9729.5</v>
      </c>
      <c r="J153" s="34">
        <f t="shared" si="299"/>
        <v>8142.05</v>
      </c>
      <c r="K153" s="34">
        <f t="shared" si="299"/>
        <v>85594.23</v>
      </c>
      <c r="L153" s="34">
        <f t="shared" si="299"/>
        <v>67860</v>
      </c>
      <c r="M153" s="35">
        <f t="shared" si="299"/>
        <v>8</v>
      </c>
      <c r="N153" s="36">
        <f t="shared" si="299"/>
        <v>524000</v>
      </c>
      <c r="O153" s="36">
        <f t="shared" si="299"/>
        <v>20960</v>
      </c>
      <c r="P153" s="36">
        <f t="shared" si="299"/>
        <v>8803.2</v>
      </c>
      <c r="Q153" s="36">
        <f t="shared" si="299"/>
        <v>4416</v>
      </c>
      <c r="R153" s="36">
        <f t="shared" si="299"/>
        <v>1913.52</v>
      </c>
      <c r="S153" s="36">
        <f t="shared" si="299"/>
        <v>3147.36</v>
      </c>
      <c r="T153" s="36">
        <f t="shared" si="299"/>
        <v>1104</v>
      </c>
      <c r="U153" s="37">
        <f t="shared" si="299"/>
        <v>55704.75</v>
      </c>
      <c r="V153" s="37">
        <f t="shared" si="299"/>
        <v>8803.2</v>
      </c>
      <c r="W153" s="37">
        <f t="shared" si="299"/>
        <v>11643.02</v>
      </c>
      <c r="X153" s="37">
        <f t="shared" si="299"/>
        <v>8142.05</v>
      </c>
      <c r="Y153" s="37">
        <f t="shared" si="299"/>
        <v>20960</v>
      </c>
      <c r="Z153" s="37">
        <f t="shared" si="299"/>
        <v>4416</v>
      </c>
      <c r="AA153" s="37">
        <f t="shared" si="299"/>
        <v>109669.02</v>
      </c>
      <c r="AB153" s="33">
        <f t="shared" si="299"/>
        <v>41</v>
      </c>
      <c r="AC153" s="34">
        <f t="shared" si="299"/>
        <v>2518380.84</v>
      </c>
      <c r="AD153" s="34">
        <f t="shared" si="299"/>
        <v>120442.35</v>
      </c>
      <c r="AE153" s="34">
        <f t="shared" si="299"/>
        <v>15078.77</v>
      </c>
      <c r="AF153" s="34">
        <f t="shared" si="299"/>
        <v>5382</v>
      </c>
      <c r="AG153" s="34">
        <f t="shared" si="299"/>
        <v>5931.49</v>
      </c>
      <c r="AH153" s="34">
        <f t="shared" si="299"/>
        <v>0</v>
      </c>
      <c r="AI153" s="34">
        <f t="shared" si="299"/>
        <v>51310.39</v>
      </c>
      <c r="AJ153" s="34">
        <f t="shared" si="299"/>
        <v>42739.7</v>
      </c>
      <c r="AK153" s="35">
        <f t="shared" ref="AK153:AL153" si="300">SUM(AK145:AK152)</f>
        <v>16</v>
      </c>
      <c r="AL153" s="36">
        <f t="shared" si="300"/>
        <v>1463583.77</v>
      </c>
      <c r="AM153" s="36">
        <f t="shared" ref="AM153:AY153" si="301">SUM(AM145:AM151)</f>
        <v>52514</v>
      </c>
      <c r="AN153" s="36">
        <f t="shared" si="301"/>
        <v>25596</v>
      </c>
      <c r="AO153" s="36">
        <f t="shared" si="301"/>
        <v>14400</v>
      </c>
      <c r="AP153" s="36">
        <f t="shared" si="301"/>
        <v>7807.77</v>
      </c>
      <c r="AQ153" s="36">
        <f t="shared" si="301"/>
        <v>5525.51</v>
      </c>
      <c r="AR153" s="36">
        <f t="shared" si="301"/>
        <v>0</v>
      </c>
      <c r="AS153" s="37">
        <f t="shared" si="301"/>
        <v>51344.66</v>
      </c>
      <c r="AT153" s="37">
        <f t="shared" si="301"/>
        <v>25898</v>
      </c>
      <c r="AU153" s="37">
        <f t="shared" si="301"/>
        <v>18479.54</v>
      </c>
      <c r="AV153" s="37">
        <f t="shared" si="301"/>
        <v>10654.78</v>
      </c>
      <c r="AW153" s="37">
        <f t="shared" si="301"/>
        <v>58186</v>
      </c>
      <c r="AX153" s="37">
        <f t="shared" si="301"/>
        <v>18399.63</v>
      </c>
      <c r="AY153" s="37">
        <f t="shared" si="301"/>
        <v>182962.61</v>
      </c>
      <c r="AZ153" s="38"/>
      <c r="BA153" s="39"/>
      <c r="BB153" s="40"/>
      <c r="BC153" s="40"/>
    </row>
    <row r="154">
      <c r="A154" s="11">
        <v>2024.0</v>
      </c>
      <c r="B154" s="11" t="s">
        <v>54</v>
      </c>
      <c r="C154" s="12">
        <v>45563.0</v>
      </c>
      <c r="D154" s="44">
        <v>14.0</v>
      </c>
      <c r="E154" s="26">
        <v>1213815.91</v>
      </c>
      <c r="F154" s="26">
        <v>53326.96</v>
      </c>
      <c r="G154" s="26">
        <v>6164.85</v>
      </c>
      <c r="H154" s="26">
        <v>1656.0</v>
      </c>
      <c r="I154" s="26">
        <v>2333.11</v>
      </c>
      <c r="J154" s="26">
        <v>4452.55</v>
      </c>
      <c r="K154" s="26">
        <v>23820.59</v>
      </c>
      <c r="L154" s="26">
        <v>21027.92</v>
      </c>
      <c r="M154" s="15">
        <v>0.0</v>
      </c>
      <c r="N154" s="16">
        <v>0.0</v>
      </c>
      <c r="O154" s="16">
        <f t="shared" ref="O154:O160" si="302">N154*4%</f>
        <v>0</v>
      </c>
      <c r="P154" s="16">
        <f t="shared" ref="P154:P160" si="303">N154*1.68%</f>
        <v>0</v>
      </c>
      <c r="Q154" s="16">
        <f t="shared" ref="Q154:Q160" si="304">M154*(250+300+2)</f>
        <v>0</v>
      </c>
      <c r="R154" s="16">
        <f t="shared" ref="R154:R160" si="305">M154*239.19</f>
        <v>0</v>
      </c>
      <c r="S154" s="17">
        <f t="shared" ref="S154:S160" si="306">M154*393.42</f>
        <v>0</v>
      </c>
      <c r="T154" s="17">
        <f t="shared" ref="T154:T160" si="307">M154*138</f>
        <v>0</v>
      </c>
      <c r="U154" s="7">
        <v>15064.45</v>
      </c>
      <c r="V154" s="18">
        <f t="shared" ref="V154:V160" si="308">P154</f>
        <v>0</v>
      </c>
      <c r="W154" s="7">
        <f t="shared" ref="W154:W160" si="309">I154+R154</f>
        <v>2333.11</v>
      </c>
      <c r="X154" s="7">
        <f t="shared" ref="X154:X160" si="310">J154</f>
        <v>4452.55</v>
      </c>
      <c r="Y154" s="7">
        <v>0.0</v>
      </c>
      <c r="Z154" s="7">
        <v>0.0</v>
      </c>
      <c r="AA154" s="18">
        <f t="shared" ref="AA154:AA160" si="311">SUM(U154:Z154)</f>
        <v>21850.11</v>
      </c>
      <c r="AB154" s="56">
        <v>5.0</v>
      </c>
      <c r="AC154" s="24">
        <v>221167.79</v>
      </c>
      <c r="AD154" s="24">
        <v>10860.6</v>
      </c>
      <c r="AE154" s="24">
        <v>924.44</v>
      </c>
      <c r="AF154" s="24">
        <v>414.0</v>
      </c>
      <c r="AG154" s="24">
        <v>517.57</v>
      </c>
      <c r="AH154" s="24">
        <v>0.0</v>
      </c>
      <c r="AI154" s="24">
        <v>5197.04</v>
      </c>
      <c r="AJ154" s="24">
        <v>3807.55</v>
      </c>
      <c r="AK154" s="15">
        <v>0.0</v>
      </c>
      <c r="AL154" s="16">
        <v>0.0</v>
      </c>
      <c r="AM154" s="16">
        <v>0.0</v>
      </c>
      <c r="AN154" s="16">
        <v>0.0</v>
      </c>
      <c r="AO154" s="16">
        <v>0.0</v>
      </c>
      <c r="AP154" s="16">
        <v>0.0</v>
      </c>
      <c r="AQ154" s="16">
        <v>0.0</v>
      </c>
      <c r="AR154" s="16">
        <v>0.0</v>
      </c>
      <c r="AS154" s="7">
        <v>5624.38</v>
      </c>
      <c r="AT154" s="7">
        <v>0.0</v>
      </c>
      <c r="AU154" s="7">
        <v>1554.82</v>
      </c>
      <c r="AV154" s="7">
        <v>1711.43</v>
      </c>
      <c r="AW154" s="7">
        <v>0.0</v>
      </c>
      <c r="AX154" s="7">
        <v>1.55</v>
      </c>
      <c r="AY154" s="7">
        <f t="shared" ref="AY154:AY160" si="312">SUM(AS154:AX154)</f>
        <v>8892.18</v>
      </c>
      <c r="AZ154" s="8"/>
      <c r="BA154" s="9"/>
      <c r="BB154" s="10"/>
      <c r="BC154" s="10"/>
    </row>
    <row r="155">
      <c r="A155" s="11">
        <v>2024.0</v>
      </c>
      <c r="B155" s="11" t="s">
        <v>54</v>
      </c>
      <c r="C155" s="12">
        <v>45564.0</v>
      </c>
      <c r="D155" s="44">
        <v>12.0</v>
      </c>
      <c r="E155" s="26">
        <v>1056695.06</v>
      </c>
      <c r="F155" s="26">
        <v>49272.96</v>
      </c>
      <c r="G155" s="26">
        <v>5788.37</v>
      </c>
      <c r="H155" s="26">
        <v>1518.0</v>
      </c>
      <c r="I155" s="26">
        <v>1499.25</v>
      </c>
      <c r="J155" s="26">
        <v>0.0</v>
      </c>
      <c r="K155" s="26">
        <v>15795.35</v>
      </c>
      <c r="L155" s="26">
        <v>24671.99</v>
      </c>
      <c r="M155" s="15">
        <v>0.0</v>
      </c>
      <c r="N155" s="16">
        <v>0.0</v>
      </c>
      <c r="O155" s="16">
        <f t="shared" si="302"/>
        <v>0</v>
      </c>
      <c r="P155" s="16">
        <f t="shared" si="303"/>
        <v>0</v>
      </c>
      <c r="Q155" s="16">
        <f t="shared" si="304"/>
        <v>0</v>
      </c>
      <c r="R155" s="16">
        <f t="shared" si="305"/>
        <v>0</v>
      </c>
      <c r="S155" s="17">
        <f t="shared" si="306"/>
        <v>0</v>
      </c>
      <c r="T155" s="17">
        <f t="shared" si="307"/>
        <v>0</v>
      </c>
      <c r="U155" s="7">
        <v>29274.95</v>
      </c>
      <c r="V155" s="18">
        <f t="shared" si="308"/>
        <v>0</v>
      </c>
      <c r="W155" s="7">
        <f t="shared" si="309"/>
        <v>1499.25</v>
      </c>
      <c r="X155" s="7">
        <f t="shared" si="310"/>
        <v>0</v>
      </c>
      <c r="Y155" s="7">
        <v>0.0</v>
      </c>
      <c r="Z155" s="7">
        <v>0.0</v>
      </c>
      <c r="AA155" s="18">
        <f t="shared" si="311"/>
        <v>30774.2</v>
      </c>
      <c r="AB155" s="56">
        <v>7.0</v>
      </c>
      <c r="AC155" s="24">
        <v>538362.15</v>
      </c>
      <c r="AD155" s="24">
        <v>23362.78</v>
      </c>
      <c r="AE155" s="24">
        <v>2614.53</v>
      </c>
      <c r="AF155" s="24">
        <v>828.0</v>
      </c>
      <c r="AG155" s="24">
        <v>713.36</v>
      </c>
      <c r="AH155" s="24">
        <v>0.0</v>
      </c>
      <c r="AI155" s="24">
        <v>9981.33</v>
      </c>
      <c r="AJ155" s="24">
        <v>9225.56</v>
      </c>
      <c r="AK155" s="15">
        <v>0.0</v>
      </c>
      <c r="AL155" s="16">
        <v>0.0</v>
      </c>
      <c r="AM155" s="16">
        <v>0.0</v>
      </c>
      <c r="AN155" s="16">
        <v>0.0</v>
      </c>
      <c r="AO155" s="16">
        <v>0.0</v>
      </c>
      <c r="AP155" s="16">
        <v>0.0</v>
      </c>
      <c r="AQ155" s="16">
        <v>0.0</v>
      </c>
      <c r="AR155" s="16">
        <v>0.0</v>
      </c>
      <c r="AS155" s="7">
        <v>0.0</v>
      </c>
      <c r="AT155" s="7">
        <v>0.0</v>
      </c>
      <c r="AU155" s="7">
        <v>0.0</v>
      </c>
      <c r="AV155" s="7">
        <v>0.0</v>
      </c>
      <c r="AW155" s="7">
        <v>0.0</v>
      </c>
      <c r="AX155" s="7">
        <v>0.0</v>
      </c>
      <c r="AY155" s="7">
        <f t="shared" si="312"/>
        <v>0</v>
      </c>
      <c r="AZ155" s="8"/>
      <c r="BA155" s="9"/>
      <c r="BB155" s="10"/>
      <c r="BC155" s="10"/>
    </row>
    <row r="156">
      <c r="A156" s="11">
        <v>2024.0</v>
      </c>
      <c r="B156" s="11" t="s">
        <v>54</v>
      </c>
      <c r="C156" s="12">
        <v>45565.0</v>
      </c>
      <c r="D156" s="44">
        <v>222.0</v>
      </c>
      <c r="E156" s="26">
        <v>1.386295609E7</v>
      </c>
      <c r="F156" s="26">
        <v>569812.49</v>
      </c>
      <c r="G156" s="26">
        <v>71574.54</v>
      </c>
      <c r="H156" s="26">
        <v>21804.0</v>
      </c>
      <c r="I156" s="26">
        <v>52603.63</v>
      </c>
      <c r="J156" s="26">
        <v>21876.41</v>
      </c>
      <c r="K156" s="26">
        <v>201729.51</v>
      </c>
      <c r="L156" s="26">
        <v>206877.59</v>
      </c>
      <c r="M156" s="15">
        <v>2.0</v>
      </c>
      <c r="N156" s="16">
        <v>95000.0</v>
      </c>
      <c r="O156" s="16">
        <f t="shared" si="302"/>
        <v>3800</v>
      </c>
      <c r="P156" s="16">
        <f t="shared" si="303"/>
        <v>1596</v>
      </c>
      <c r="Q156" s="16">
        <f t="shared" si="304"/>
        <v>1104</v>
      </c>
      <c r="R156" s="16">
        <f t="shared" si="305"/>
        <v>478.38</v>
      </c>
      <c r="S156" s="17">
        <f t="shared" si="306"/>
        <v>786.84</v>
      </c>
      <c r="T156" s="17">
        <f t="shared" si="307"/>
        <v>276</v>
      </c>
      <c r="U156" s="7">
        <f>122074.29+1776.13</f>
        <v>123850.42</v>
      </c>
      <c r="V156" s="18">
        <f t="shared" si="308"/>
        <v>1596</v>
      </c>
      <c r="W156" s="7">
        <f t="shared" si="309"/>
        <v>53082.01</v>
      </c>
      <c r="X156" s="7">
        <f t="shared" si="310"/>
        <v>21876.41</v>
      </c>
      <c r="Y156" s="7">
        <f t="shared" ref="Y156:Y160" si="313">O156</f>
        <v>3800</v>
      </c>
      <c r="Z156" s="7">
        <f t="shared" ref="Z156:Z160" si="314">Q156</f>
        <v>1104</v>
      </c>
      <c r="AA156" s="18">
        <f t="shared" si="311"/>
        <v>205308.84</v>
      </c>
      <c r="AB156" s="56">
        <v>153.0</v>
      </c>
      <c r="AC156" s="24">
        <v>1.02811147E7</v>
      </c>
      <c r="AD156" s="24">
        <v>413680.11</v>
      </c>
      <c r="AE156" s="24">
        <v>50618.56</v>
      </c>
      <c r="AF156" s="24">
        <v>14628.0</v>
      </c>
      <c r="AG156" s="24">
        <v>38885.23</v>
      </c>
      <c r="AH156" s="24">
        <v>0.0</v>
      </c>
      <c r="AI156" s="24">
        <v>122152.13</v>
      </c>
      <c r="AJ156" s="24">
        <v>137462.96</v>
      </c>
      <c r="AK156" s="15">
        <v>3.0</v>
      </c>
      <c r="AL156" s="16">
        <v>196966.43</v>
      </c>
      <c r="AM156" s="16">
        <v>7450.0</v>
      </c>
      <c r="AN156" s="16">
        <v>3315.0</v>
      </c>
      <c r="AO156" s="16">
        <v>1800.0</v>
      </c>
      <c r="AP156" s="16">
        <v>1261.43</v>
      </c>
      <c r="AQ156" s="16">
        <v>845.0</v>
      </c>
      <c r="AR156" s="16">
        <v>0.0</v>
      </c>
      <c r="AS156" s="7">
        <v>139118.19</v>
      </c>
      <c r="AT156" s="7">
        <v>3315.0</v>
      </c>
      <c r="AU156" s="7">
        <v>20028.78</v>
      </c>
      <c r="AV156" s="7">
        <v>3779.52</v>
      </c>
      <c r="AW156" s="7">
        <v>9836.0</v>
      </c>
      <c r="AX156" s="7">
        <f>16325.21-AT156</f>
        <v>13010.21</v>
      </c>
      <c r="AY156" s="7">
        <f t="shared" si="312"/>
        <v>189087.7</v>
      </c>
      <c r="AZ156" s="8"/>
      <c r="BA156" s="9"/>
      <c r="BB156" s="10"/>
      <c r="BC156" s="10"/>
    </row>
    <row r="157">
      <c r="A157" s="11">
        <v>2024.0</v>
      </c>
      <c r="B157" s="11" t="s">
        <v>57</v>
      </c>
      <c r="C157" s="12">
        <v>45566.0</v>
      </c>
      <c r="D157" s="44">
        <v>11.0</v>
      </c>
      <c r="E157" s="26">
        <v>576545.93</v>
      </c>
      <c r="F157" s="26">
        <v>27273.93</v>
      </c>
      <c r="G157" s="26">
        <v>3718.52</v>
      </c>
      <c r="H157" s="26">
        <v>1518.0</v>
      </c>
      <c r="I157" s="26">
        <v>1535.46</v>
      </c>
      <c r="J157" s="26">
        <v>0.0</v>
      </c>
      <c r="K157" s="26">
        <v>9085.91</v>
      </c>
      <c r="L157" s="26">
        <v>11416.04</v>
      </c>
      <c r="M157" s="15">
        <v>1.0</v>
      </c>
      <c r="N157" s="16">
        <v>105000.0</v>
      </c>
      <c r="O157" s="16">
        <f t="shared" si="302"/>
        <v>4200</v>
      </c>
      <c r="P157" s="16">
        <f t="shared" si="303"/>
        <v>1764</v>
      </c>
      <c r="Q157" s="16">
        <f t="shared" si="304"/>
        <v>552</v>
      </c>
      <c r="R157" s="16">
        <f t="shared" si="305"/>
        <v>239.19</v>
      </c>
      <c r="S157" s="17">
        <f t="shared" si="306"/>
        <v>393.42</v>
      </c>
      <c r="T157" s="17">
        <f t="shared" si="307"/>
        <v>138</v>
      </c>
      <c r="U157" s="7">
        <v>6841.46</v>
      </c>
      <c r="V157" s="18">
        <f t="shared" si="308"/>
        <v>1764</v>
      </c>
      <c r="W157" s="7">
        <f t="shared" si="309"/>
        <v>1774.65</v>
      </c>
      <c r="X157" s="7">
        <f t="shared" si="310"/>
        <v>0</v>
      </c>
      <c r="Y157" s="18">
        <f t="shared" si="313"/>
        <v>4200</v>
      </c>
      <c r="Z157" s="18">
        <f t="shared" si="314"/>
        <v>552</v>
      </c>
      <c r="AA157" s="18">
        <f t="shared" si="311"/>
        <v>15132.11</v>
      </c>
      <c r="AB157" s="56">
        <v>9.0</v>
      </c>
      <c r="AC157" s="24">
        <v>484757.4</v>
      </c>
      <c r="AD157" s="24">
        <v>21670.35</v>
      </c>
      <c r="AE157" s="24">
        <v>2942.09</v>
      </c>
      <c r="AF157" s="24">
        <v>1242.0</v>
      </c>
      <c r="AG157" s="24">
        <v>1337.12</v>
      </c>
      <c r="AH157" s="24">
        <v>0.0</v>
      </c>
      <c r="AI157" s="24">
        <v>8005.22</v>
      </c>
      <c r="AJ157" s="24">
        <v>8143.92</v>
      </c>
      <c r="AK157" s="15">
        <v>0.0</v>
      </c>
      <c r="AL157" s="16">
        <v>0.0</v>
      </c>
      <c r="AM157" s="16">
        <v>0.0</v>
      </c>
      <c r="AN157" s="16">
        <v>0.0</v>
      </c>
      <c r="AO157" s="16">
        <v>0.0</v>
      </c>
      <c r="AP157" s="16">
        <v>0.0</v>
      </c>
      <c r="AQ157" s="16">
        <v>0.0</v>
      </c>
      <c r="AR157" s="16">
        <v>0.0</v>
      </c>
      <c r="AS157" s="7">
        <v>552.0</v>
      </c>
      <c r="AT157" s="7">
        <v>0.0</v>
      </c>
      <c r="AU157" s="7">
        <v>1150.78</v>
      </c>
      <c r="AV157" s="7">
        <v>1200.0</v>
      </c>
      <c r="AW157" s="7">
        <v>0.0</v>
      </c>
      <c r="AX157" s="7">
        <v>2015.0</v>
      </c>
      <c r="AY157" s="7">
        <f t="shared" si="312"/>
        <v>4917.78</v>
      </c>
      <c r="AZ157" s="8"/>
      <c r="BA157" s="9"/>
      <c r="BB157" s="10"/>
      <c r="BC157" s="10"/>
    </row>
    <row r="158">
      <c r="A158" s="11">
        <v>2024.0</v>
      </c>
      <c r="B158" s="11" t="s">
        <v>57</v>
      </c>
      <c r="C158" s="12">
        <v>45567.0</v>
      </c>
      <c r="D158" s="44">
        <v>6.0</v>
      </c>
      <c r="E158" s="26">
        <v>431202.56</v>
      </c>
      <c r="F158" s="26">
        <v>21224.67</v>
      </c>
      <c r="G158" s="26">
        <v>2238.67</v>
      </c>
      <c r="H158" s="26">
        <v>828.0</v>
      </c>
      <c r="I158" s="26">
        <v>1352.01</v>
      </c>
      <c r="J158" s="26">
        <v>4310.72</v>
      </c>
      <c r="K158" s="26">
        <v>17912.92</v>
      </c>
      <c r="L158" s="26">
        <v>7762.36</v>
      </c>
      <c r="M158" s="15">
        <v>1.0</v>
      </c>
      <c r="N158" s="16">
        <v>60000.0</v>
      </c>
      <c r="O158" s="16">
        <f t="shared" si="302"/>
        <v>2400</v>
      </c>
      <c r="P158" s="16">
        <f t="shared" si="303"/>
        <v>1008</v>
      </c>
      <c r="Q158" s="16">
        <f t="shared" si="304"/>
        <v>552</v>
      </c>
      <c r="R158" s="16">
        <f t="shared" si="305"/>
        <v>239.19</v>
      </c>
      <c r="S158" s="17">
        <f t="shared" si="306"/>
        <v>393.42</v>
      </c>
      <c r="T158" s="17">
        <f t="shared" si="307"/>
        <v>138</v>
      </c>
      <c r="U158" s="7">
        <v>10254.46</v>
      </c>
      <c r="V158" s="18">
        <f t="shared" si="308"/>
        <v>1008</v>
      </c>
      <c r="W158" s="7">
        <f t="shared" si="309"/>
        <v>1591.2</v>
      </c>
      <c r="X158" s="7">
        <f t="shared" si="310"/>
        <v>4310.72</v>
      </c>
      <c r="Y158" s="18">
        <f t="shared" si="313"/>
        <v>2400</v>
      </c>
      <c r="Z158" s="18">
        <f t="shared" si="314"/>
        <v>552</v>
      </c>
      <c r="AA158" s="18">
        <f t="shared" si="311"/>
        <v>20116.38</v>
      </c>
      <c r="AB158" s="56">
        <v>2.0</v>
      </c>
      <c r="AC158" s="24">
        <v>112304.73</v>
      </c>
      <c r="AD158" s="24">
        <v>4843.47</v>
      </c>
      <c r="AE158" s="24">
        <v>740.38</v>
      </c>
      <c r="AF158" s="24">
        <v>276.0</v>
      </c>
      <c r="AG158" s="24">
        <v>478.38</v>
      </c>
      <c r="AH158" s="24">
        <v>0.0</v>
      </c>
      <c r="AI158" s="24">
        <v>1461.99</v>
      </c>
      <c r="AJ158" s="24">
        <v>1886.72</v>
      </c>
      <c r="AK158" s="15">
        <v>2.0</v>
      </c>
      <c r="AL158" s="16">
        <v>146900.13</v>
      </c>
      <c r="AM158" s="16">
        <v>5556.0</v>
      </c>
      <c r="AN158" s="16">
        <v>2473.0</v>
      </c>
      <c r="AO158" s="16">
        <v>1200.0</v>
      </c>
      <c r="AP158" s="16">
        <v>951.69</v>
      </c>
      <c r="AQ158" s="16">
        <v>544.44</v>
      </c>
      <c r="AR158" s="16">
        <v>0.0</v>
      </c>
      <c r="AS158" s="7">
        <v>320.0</v>
      </c>
      <c r="AT158" s="7">
        <v>0.0</v>
      </c>
      <c r="AU158" s="7">
        <v>1010.0</v>
      </c>
      <c r="AV158" s="7">
        <v>260.0</v>
      </c>
      <c r="AW158" s="7">
        <v>0.0</v>
      </c>
      <c r="AX158" s="7">
        <v>1602.1</v>
      </c>
      <c r="AY158" s="7">
        <f t="shared" si="312"/>
        <v>3192.1</v>
      </c>
      <c r="AZ158" s="8"/>
      <c r="BA158" s="9"/>
      <c r="BB158" s="10"/>
      <c r="BC158" s="10"/>
    </row>
    <row r="159">
      <c r="A159" s="11">
        <v>2024.0</v>
      </c>
      <c r="B159" s="11" t="s">
        <v>57</v>
      </c>
      <c r="C159" s="12">
        <v>45568.0</v>
      </c>
      <c r="D159" s="44">
        <v>8.0</v>
      </c>
      <c r="E159" s="26">
        <v>626848.17</v>
      </c>
      <c r="F159" s="26">
        <v>23749.6</v>
      </c>
      <c r="G159" s="26">
        <v>2265.22</v>
      </c>
      <c r="H159" s="26">
        <v>828.0</v>
      </c>
      <c r="I159" s="26">
        <v>1149.42</v>
      </c>
      <c r="J159" s="26">
        <v>0.0</v>
      </c>
      <c r="K159" s="26">
        <v>16070.7</v>
      </c>
      <c r="L159" s="26">
        <v>10444.66</v>
      </c>
      <c r="M159" s="15">
        <v>1.0</v>
      </c>
      <c r="N159" s="16">
        <v>175000.0</v>
      </c>
      <c r="O159" s="16">
        <f t="shared" si="302"/>
        <v>7000</v>
      </c>
      <c r="P159" s="16">
        <f t="shared" si="303"/>
        <v>2940</v>
      </c>
      <c r="Q159" s="16">
        <f t="shared" si="304"/>
        <v>552</v>
      </c>
      <c r="R159" s="16">
        <f t="shared" si="305"/>
        <v>239.19</v>
      </c>
      <c r="S159" s="17">
        <f t="shared" si="306"/>
        <v>393.42</v>
      </c>
      <c r="T159" s="17">
        <f t="shared" si="307"/>
        <v>138</v>
      </c>
      <c r="U159" s="7">
        <v>3450.97</v>
      </c>
      <c r="V159" s="18">
        <f t="shared" si="308"/>
        <v>2940</v>
      </c>
      <c r="W159" s="7">
        <f t="shared" si="309"/>
        <v>1388.61</v>
      </c>
      <c r="X159" s="7">
        <f t="shared" si="310"/>
        <v>0</v>
      </c>
      <c r="Y159" s="18">
        <f t="shared" si="313"/>
        <v>7000</v>
      </c>
      <c r="Z159" s="18">
        <f t="shared" si="314"/>
        <v>552</v>
      </c>
      <c r="AA159" s="18">
        <f t="shared" si="311"/>
        <v>15331.58</v>
      </c>
      <c r="AB159" s="56">
        <v>4.0</v>
      </c>
      <c r="AC159" s="24">
        <v>187205.75</v>
      </c>
      <c r="AD159" s="24">
        <v>8155.73</v>
      </c>
      <c r="AE159" s="24">
        <v>1262.78</v>
      </c>
      <c r="AF159" s="24">
        <v>552.0</v>
      </c>
      <c r="AG159" s="24">
        <v>712.61</v>
      </c>
      <c r="AH159" s="24">
        <v>0.0</v>
      </c>
      <c r="AI159" s="24">
        <v>2483.28</v>
      </c>
      <c r="AJ159" s="24">
        <v>3145.06</v>
      </c>
      <c r="AK159" s="15">
        <v>1.0</v>
      </c>
      <c r="AL159" s="16">
        <v>38613.59</v>
      </c>
      <c r="AM159" s="16">
        <v>1461.0</v>
      </c>
      <c r="AN159" s="16">
        <v>650.0</v>
      </c>
      <c r="AO159" s="16">
        <v>600.0</v>
      </c>
      <c r="AP159" s="16">
        <v>357.59</v>
      </c>
      <c r="AQ159" s="16">
        <v>245.0</v>
      </c>
      <c r="AR159" s="16">
        <v>0.0</v>
      </c>
      <c r="AS159" s="7">
        <v>430.0</v>
      </c>
      <c r="AT159" s="7">
        <v>0.0</v>
      </c>
      <c r="AU159" s="7">
        <v>863.0</v>
      </c>
      <c r="AV159" s="7">
        <v>300.0</v>
      </c>
      <c r="AW159" s="7">
        <v>0.0</v>
      </c>
      <c r="AX159" s="7">
        <v>1210.0</v>
      </c>
      <c r="AY159" s="7">
        <f t="shared" si="312"/>
        <v>2803</v>
      </c>
      <c r="AZ159" s="8"/>
      <c r="BA159" s="9"/>
      <c r="BB159" s="10"/>
      <c r="BC159" s="10"/>
    </row>
    <row r="160">
      <c r="A160" s="11">
        <v>2024.0</v>
      </c>
      <c r="B160" s="11" t="s">
        <v>57</v>
      </c>
      <c r="C160" s="12">
        <v>45569.0</v>
      </c>
      <c r="D160" s="44">
        <v>9.0</v>
      </c>
      <c r="E160" s="26">
        <v>409644.18</v>
      </c>
      <c r="F160" s="26">
        <v>20380.43</v>
      </c>
      <c r="G160" s="26">
        <v>3289.07</v>
      </c>
      <c r="H160" s="26">
        <v>1104.0</v>
      </c>
      <c r="I160" s="26">
        <v>1132.01</v>
      </c>
      <c r="J160" s="26">
        <v>436.17</v>
      </c>
      <c r="K160" s="26">
        <v>6617.14</v>
      </c>
      <c r="L160" s="26">
        <v>8238.21</v>
      </c>
      <c r="M160" s="15">
        <v>2.0</v>
      </c>
      <c r="N160" s="16">
        <v>81000.0</v>
      </c>
      <c r="O160" s="16">
        <f t="shared" si="302"/>
        <v>3240</v>
      </c>
      <c r="P160" s="16">
        <f t="shared" si="303"/>
        <v>1360.8</v>
      </c>
      <c r="Q160" s="16">
        <f t="shared" si="304"/>
        <v>1104</v>
      </c>
      <c r="R160" s="16">
        <f t="shared" si="305"/>
        <v>478.38</v>
      </c>
      <c r="S160" s="17">
        <f t="shared" si="306"/>
        <v>786.84</v>
      </c>
      <c r="T160" s="17">
        <f t="shared" si="307"/>
        <v>276</v>
      </c>
      <c r="U160" s="7">
        <v>2911.22</v>
      </c>
      <c r="V160" s="18">
        <f t="shared" si="308"/>
        <v>1360.8</v>
      </c>
      <c r="W160" s="7">
        <f t="shared" si="309"/>
        <v>1610.39</v>
      </c>
      <c r="X160" s="7">
        <f t="shared" si="310"/>
        <v>436.17</v>
      </c>
      <c r="Y160" s="18">
        <f t="shared" si="313"/>
        <v>3240</v>
      </c>
      <c r="Z160" s="18">
        <f t="shared" si="314"/>
        <v>1104</v>
      </c>
      <c r="AA160" s="18">
        <f t="shared" si="311"/>
        <v>10662.58</v>
      </c>
      <c r="AB160" s="56">
        <v>3.0</v>
      </c>
      <c r="AC160" s="24">
        <v>159939.55</v>
      </c>
      <c r="AD160" s="24">
        <v>7545.96</v>
      </c>
      <c r="AE160" s="24">
        <v>1158.79</v>
      </c>
      <c r="AF160" s="24">
        <v>414.0</v>
      </c>
      <c r="AG160" s="24">
        <v>420.79</v>
      </c>
      <c r="AH160" s="24">
        <v>0.0</v>
      </c>
      <c r="AI160" s="24">
        <v>2865.4</v>
      </c>
      <c r="AJ160" s="24">
        <v>2686.98</v>
      </c>
      <c r="AK160" s="15">
        <v>6.0</v>
      </c>
      <c r="AL160" s="16">
        <v>476040.78</v>
      </c>
      <c r="AM160" s="16">
        <v>18004.0</v>
      </c>
      <c r="AN160" s="16">
        <v>8013.0</v>
      </c>
      <c r="AO160" s="16">
        <v>3600.0</v>
      </c>
      <c r="AP160" s="16">
        <v>2664.88</v>
      </c>
      <c r="AQ160" s="16">
        <v>1768.9</v>
      </c>
      <c r="AR160" s="16">
        <v>0.0</v>
      </c>
      <c r="AS160" s="7">
        <v>363.0</v>
      </c>
      <c r="AT160" s="7">
        <v>0.0</v>
      </c>
      <c r="AU160" s="7">
        <v>600.0</v>
      </c>
      <c r="AV160" s="7">
        <v>0.0</v>
      </c>
      <c r="AW160" s="7">
        <v>0.0</v>
      </c>
      <c r="AX160" s="7">
        <v>2016.0</v>
      </c>
      <c r="AY160" s="7">
        <f t="shared" si="312"/>
        <v>2979</v>
      </c>
      <c r="AZ160" s="8"/>
      <c r="BA160" s="9"/>
      <c r="BB160" s="10"/>
      <c r="BC160" s="10"/>
    </row>
    <row r="161">
      <c r="A161" s="11">
        <v>2024.0</v>
      </c>
      <c r="B161" s="11" t="s">
        <v>57</v>
      </c>
      <c r="C161" s="1"/>
      <c r="D161" s="2">
        <v>80.0</v>
      </c>
      <c r="E161" s="2"/>
      <c r="F161" s="59">
        <v>199407.15</v>
      </c>
      <c r="G161" s="33"/>
      <c r="H161" s="33"/>
      <c r="I161" s="33"/>
      <c r="J161" s="33"/>
      <c r="K161" s="33"/>
      <c r="L161" s="33"/>
      <c r="M161" s="15">
        <v>9.0</v>
      </c>
      <c r="N161" s="51">
        <v>740000.0</v>
      </c>
      <c r="O161" s="35"/>
      <c r="P161" s="35"/>
      <c r="Q161" s="35"/>
      <c r="R161" s="35"/>
      <c r="S161" s="35"/>
      <c r="T161" s="35"/>
      <c r="U161" s="37"/>
      <c r="V161" s="48"/>
      <c r="W161" s="48"/>
      <c r="X161" s="37"/>
      <c r="Y161" s="48"/>
      <c r="Z161" s="48"/>
      <c r="AA161" s="48"/>
      <c r="AB161" s="2"/>
      <c r="AC161" s="33"/>
      <c r="AD161" s="2"/>
      <c r="AE161" s="33"/>
      <c r="AF161" s="33"/>
      <c r="AG161" s="33"/>
      <c r="AH161" s="33"/>
      <c r="AI161" s="33"/>
      <c r="AJ161" s="33"/>
      <c r="AK161" s="4"/>
      <c r="AL161" s="4"/>
      <c r="AM161" s="35"/>
      <c r="AN161" s="35"/>
      <c r="AO161" s="35"/>
      <c r="AP161" s="35"/>
      <c r="AQ161" s="35"/>
      <c r="AR161" s="35"/>
      <c r="AS161" s="37"/>
      <c r="AT161" s="48"/>
      <c r="AU161" s="48"/>
      <c r="AV161" s="48"/>
      <c r="AW161" s="48"/>
      <c r="AX161" s="48"/>
      <c r="AY161" s="48"/>
      <c r="AZ161" s="38"/>
      <c r="BA161" s="39"/>
      <c r="BB161" s="40"/>
      <c r="BC161" s="40"/>
    </row>
    <row r="162">
      <c r="A162" s="1">
        <v>2024.0</v>
      </c>
      <c r="B162" s="1" t="s">
        <v>57</v>
      </c>
      <c r="C162" s="1" t="s">
        <v>49</v>
      </c>
      <c r="D162" s="33">
        <f t="shared" ref="D162:L162" si="315">SUM(D154:D160)</f>
        <v>282</v>
      </c>
      <c r="E162" s="34">
        <f t="shared" si="315"/>
        <v>18177707.9</v>
      </c>
      <c r="F162" s="34">
        <f t="shared" si="315"/>
        <v>765041.04</v>
      </c>
      <c r="G162" s="34">
        <f t="shared" si="315"/>
        <v>95039.24</v>
      </c>
      <c r="H162" s="34">
        <f t="shared" si="315"/>
        <v>29256</v>
      </c>
      <c r="I162" s="34">
        <f t="shared" si="315"/>
        <v>61604.89</v>
      </c>
      <c r="J162" s="34">
        <f t="shared" si="315"/>
        <v>31075.85</v>
      </c>
      <c r="K162" s="34">
        <f t="shared" si="315"/>
        <v>291032.12</v>
      </c>
      <c r="L162" s="34">
        <f t="shared" si="315"/>
        <v>290438.77</v>
      </c>
      <c r="M162" s="35">
        <f t="shared" ref="M162:N162" si="316">SUM(M154:M161)</f>
        <v>16</v>
      </c>
      <c r="N162" s="36">
        <f t="shared" si="316"/>
        <v>1256000</v>
      </c>
      <c r="O162" s="36">
        <f t="shared" ref="O162:AJ162" si="317">SUM(O154:O160)</f>
        <v>20640</v>
      </c>
      <c r="P162" s="36">
        <f t="shared" si="317"/>
        <v>8668.8</v>
      </c>
      <c r="Q162" s="36">
        <f t="shared" si="317"/>
        <v>3864</v>
      </c>
      <c r="R162" s="36">
        <f t="shared" si="317"/>
        <v>1674.33</v>
      </c>
      <c r="S162" s="36">
        <f t="shared" si="317"/>
        <v>2753.94</v>
      </c>
      <c r="T162" s="36">
        <f t="shared" si="317"/>
        <v>966</v>
      </c>
      <c r="U162" s="37">
        <f t="shared" si="317"/>
        <v>191647.93</v>
      </c>
      <c r="V162" s="37">
        <f t="shared" si="317"/>
        <v>8668.8</v>
      </c>
      <c r="W162" s="37">
        <f t="shared" si="317"/>
        <v>63279.22</v>
      </c>
      <c r="X162" s="37">
        <f t="shared" si="317"/>
        <v>31075.85</v>
      </c>
      <c r="Y162" s="37">
        <f t="shared" si="317"/>
        <v>20640</v>
      </c>
      <c r="Z162" s="37">
        <f t="shared" si="317"/>
        <v>3864</v>
      </c>
      <c r="AA162" s="37">
        <f t="shared" si="317"/>
        <v>319175.8</v>
      </c>
      <c r="AB162" s="33">
        <f t="shared" si="317"/>
        <v>183</v>
      </c>
      <c r="AC162" s="34">
        <f t="shared" si="317"/>
        <v>11984852.07</v>
      </c>
      <c r="AD162" s="34">
        <f t="shared" si="317"/>
        <v>490119</v>
      </c>
      <c r="AE162" s="34">
        <f t="shared" si="317"/>
        <v>60261.57</v>
      </c>
      <c r="AF162" s="34">
        <f t="shared" si="317"/>
        <v>18354</v>
      </c>
      <c r="AG162" s="34">
        <f t="shared" si="317"/>
        <v>43065.06</v>
      </c>
      <c r="AH162" s="34">
        <f t="shared" si="317"/>
        <v>0</v>
      </c>
      <c r="AI162" s="34">
        <f t="shared" si="317"/>
        <v>152146.39</v>
      </c>
      <c r="AJ162" s="34">
        <f t="shared" si="317"/>
        <v>166358.75</v>
      </c>
      <c r="AK162" s="35">
        <f t="shared" ref="AK162:AL162" si="318">SUM(AK154:AK161)</f>
        <v>12</v>
      </c>
      <c r="AL162" s="36">
        <f t="shared" si="318"/>
        <v>858520.93</v>
      </c>
      <c r="AM162" s="36">
        <f t="shared" ref="AM162:AY162" si="319">SUM(AM154:AM160)</f>
        <v>32471</v>
      </c>
      <c r="AN162" s="36">
        <f t="shared" si="319"/>
        <v>14451</v>
      </c>
      <c r="AO162" s="36">
        <f t="shared" si="319"/>
        <v>7200</v>
      </c>
      <c r="AP162" s="36">
        <f t="shared" si="319"/>
        <v>5235.59</v>
      </c>
      <c r="AQ162" s="36">
        <f t="shared" si="319"/>
        <v>3403.34</v>
      </c>
      <c r="AR162" s="36">
        <f t="shared" si="319"/>
        <v>0</v>
      </c>
      <c r="AS162" s="37">
        <f t="shared" si="319"/>
        <v>146407.57</v>
      </c>
      <c r="AT162" s="37">
        <f t="shared" si="319"/>
        <v>3315</v>
      </c>
      <c r="AU162" s="37">
        <f t="shared" si="319"/>
        <v>25207.38</v>
      </c>
      <c r="AV162" s="37">
        <f t="shared" si="319"/>
        <v>7250.95</v>
      </c>
      <c r="AW162" s="37">
        <f t="shared" si="319"/>
        <v>9836</v>
      </c>
      <c r="AX162" s="37">
        <f t="shared" si="319"/>
        <v>19854.86</v>
      </c>
      <c r="AY162" s="37">
        <f t="shared" si="319"/>
        <v>211871.76</v>
      </c>
      <c r="AZ162" s="38"/>
      <c r="BA162" s="39"/>
      <c r="BB162" s="40"/>
      <c r="BC162" s="40"/>
    </row>
    <row r="163">
      <c r="A163" s="11">
        <v>2024.0</v>
      </c>
      <c r="B163" s="11" t="s">
        <v>57</v>
      </c>
      <c r="C163" s="12">
        <v>45570.0</v>
      </c>
      <c r="D163" s="44">
        <v>12.0</v>
      </c>
      <c r="E163" s="26">
        <v>931186.92</v>
      </c>
      <c r="F163" s="26">
        <v>37918.8</v>
      </c>
      <c r="G163" s="26">
        <v>4785.65</v>
      </c>
      <c r="H163" s="26">
        <v>1656.0</v>
      </c>
      <c r="I163" s="26">
        <v>1898.0</v>
      </c>
      <c r="J163" s="26">
        <v>18008.22</v>
      </c>
      <c r="K163" s="26">
        <v>59457.6</v>
      </c>
      <c r="L163" s="26">
        <v>15643.94</v>
      </c>
      <c r="M163" s="15">
        <v>0.0</v>
      </c>
      <c r="N163" s="16">
        <v>0.0</v>
      </c>
      <c r="O163" s="16">
        <f t="shared" ref="O163:O169" si="320">N163*4%</f>
        <v>0</v>
      </c>
      <c r="P163" s="16">
        <f t="shared" ref="P163:P169" si="321">N163*1.68%</f>
        <v>0</v>
      </c>
      <c r="Q163" s="16">
        <f t="shared" ref="Q163:Q169" si="322">M163*(250+300+2)</f>
        <v>0</v>
      </c>
      <c r="R163" s="16">
        <f t="shared" ref="R163:R169" si="323">M163*239.19</f>
        <v>0</v>
      </c>
      <c r="S163" s="17">
        <f t="shared" ref="S163:S169" si="324">M163*393.42</f>
        <v>0</v>
      </c>
      <c r="T163" s="17">
        <f t="shared" ref="T163:T169" si="325">M163*138</f>
        <v>0</v>
      </c>
      <c r="U163" s="7">
        <v>8770.29</v>
      </c>
      <c r="V163" s="18">
        <f t="shared" ref="V163:V169" si="326">P163</f>
        <v>0</v>
      </c>
      <c r="W163" s="7">
        <f t="shared" ref="W163:W169" si="327">I163+R163</f>
        <v>1898</v>
      </c>
      <c r="X163" s="7">
        <f t="shared" ref="X163:X169" si="328">J163</f>
        <v>18008.22</v>
      </c>
      <c r="Y163" s="7">
        <v>0.0</v>
      </c>
      <c r="Z163" s="7">
        <v>0.0</v>
      </c>
      <c r="AA163" s="18">
        <f t="shared" ref="AA163:AA169" si="329">SUM(U163:Z163)</f>
        <v>28676.51</v>
      </c>
      <c r="AB163" s="56">
        <v>6.0</v>
      </c>
      <c r="AC163" s="24">
        <v>551315.85</v>
      </c>
      <c r="AD163" s="24">
        <v>21514.89</v>
      </c>
      <c r="AE163" s="24">
        <v>2549.22</v>
      </c>
      <c r="AF163" s="24">
        <v>828.0</v>
      </c>
      <c r="AG163" s="24">
        <v>1137.29</v>
      </c>
      <c r="AH163" s="24">
        <v>0.0</v>
      </c>
      <c r="AI163" s="24">
        <v>7738.27</v>
      </c>
      <c r="AJ163" s="24">
        <v>9262.11</v>
      </c>
      <c r="AK163" s="15">
        <v>0.0</v>
      </c>
      <c r="AL163" s="16">
        <v>0.0</v>
      </c>
      <c r="AM163" s="16">
        <v>0.0</v>
      </c>
      <c r="AN163" s="16">
        <v>0.0</v>
      </c>
      <c r="AO163" s="16">
        <v>0.0</v>
      </c>
      <c r="AP163" s="16">
        <v>0.0</v>
      </c>
      <c r="AQ163" s="16">
        <v>0.0</v>
      </c>
      <c r="AR163" s="16">
        <v>0.0</v>
      </c>
      <c r="AS163" s="7">
        <v>0.0</v>
      </c>
      <c r="AT163" s="7">
        <v>0.0</v>
      </c>
      <c r="AU163" s="7">
        <v>0.0</v>
      </c>
      <c r="AV163" s="7">
        <v>0.0</v>
      </c>
      <c r="AW163" s="7">
        <v>0.0</v>
      </c>
      <c r="AX163" s="7">
        <v>0.0</v>
      </c>
      <c r="AY163" s="7">
        <v>0.0</v>
      </c>
      <c r="AZ163" s="8"/>
      <c r="BA163" s="9"/>
      <c r="BB163" s="10"/>
      <c r="BC163" s="10"/>
    </row>
    <row r="164">
      <c r="A164" s="11">
        <v>2024.0</v>
      </c>
      <c r="B164" s="11" t="s">
        <v>57</v>
      </c>
      <c r="C164" s="12">
        <v>45571.0</v>
      </c>
      <c r="D164" s="44">
        <v>11.0</v>
      </c>
      <c r="E164" s="26">
        <v>435039.76</v>
      </c>
      <c r="F164" s="26">
        <v>22060.85</v>
      </c>
      <c r="G164" s="26">
        <v>2973.3</v>
      </c>
      <c r="H164" s="26">
        <v>1380.0</v>
      </c>
      <c r="I164" s="26">
        <v>1222.09</v>
      </c>
      <c r="J164" s="26">
        <v>0.0</v>
      </c>
      <c r="K164" s="26">
        <v>9176.79</v>
      </c>
      <c r="L164" s="26">
        <v>7308.67</v>
      </c>
      <c r="M164" s="15">
        <v>0.0</v>
      </c>
      <c r="N164" s="16">
        <v>0.0</v>
      </c>
      <c r="O164" s="16">
        <f t="shared" si="320"/>
        <v>0</v>
      </c>
      <c r="P164" s="16">
        <f t="shared" si="321"/>
        <v>0</v>
      </c>
      <c r="Q164" s="16">
        <f t="shared" si="322"/>
        <v>0</v>
      </c>
      <c r="R164" s="16">
        <f t="shared" si="323"/>
        <v>0</v>
      </c>
      <c r="S164" s="17">
        <f t="shared" si="324"/>
        <v>0</v>
      </c>
      <c r="T164" s="17">
        <f t="shared" si="325"/>
        <v>0</v>
      </c>
      <c r="U164" s="7">
        <v>7832.74</v>
      </c>
      <c r="V164" s="18">
        <f t="shared" si="326"/>
        <v>0</v>
      </c>
      <c r="W164" s="7">
        <f t="shared" si="327"/>
        <v>1222.09</v>
      </c>
      <c r="X164" s="7">
        <f t="shared" si="328"/>
        <v>0</v>
      </c>
      <c r="Y164" s="7">
        <v>0.0</v>
      </c>
      <c r="Z164" s="7">
        <v>0.0</v>
      </c>
      <c r="AA164" s="18">
        <f t="shared" si="329"/>
        <v>9054.83</v>
      </c>
      <c r="AB164" s="56">
        <v>10.0</v>
      </c>
      <c r="AC164" s="24">
        <v>411202.86</v>
      </c>
      <c r="AD164" s="24">
        <v>20621.01</v>
      </c>
      <c r="AE164" s="24">
        <v>2747.9</v>
      </c>
      <c r="AF164" s="24">
        <v>1242.0</v>
      </c>
      <c r="AG164" s="24">
        <v>1134.54</v>
      </c>
      <c r="AH164" s="24">
        <v>0.0</v>
      </c>
      <c r="AI164" s="24">
        <v>8588.36</v>
      </c>
      <c r="AJ164" s="24">
        <v>6908.21</v>
      </c>
      <c r="AK164" s="15">
        <v>0.0</v>
      </c>
      <c r="AL164" s="16">
        <v>0.0</v>
      </c>
      <c r="AM164" s="16">
        <v>0.0</v>
      </c>
      <c r="AN164" s="16">
        <v>0.0</v>
      </c>
      <c r="AO164" s="16">
        <v>0.0</v>
      </c>
      <c r="AP164" s="16">
        <v>0.0</v>
      </c>
      <c r="AQ164" s="16">
        <v>0.0</v>
      </c>
      <c r="AR164" s="16">
        <v>0.0</v>
      </c>
      <c r="AS164" s="7">
        <v>0.0</v>
      </c>
      <c r="AT164" s="7">
        <v>0.0</v>
      </c>
      <c r="AU164" s="7">
        <v>0.0</v>
      </c>
      <c r="AV164" s="7">
        <v>0.0</v>
      </c>
      <c r="AW164" s="7">
        <v>0.0</v>
      </c>
      <c r="AX164" s="7">
        <v>0.0</v>
      </c>
      <c r="AY164" s="7">
        <v>0.0</v>
      </c>
      <c r="AZ164" s="8"/>
      <c r="BA164" s="9"/>
      <c r="BB164" s="10"/>
      <c r="BC164" s="10"/>
    </row>
    <row r="165">
      <c r="A165" s="11">
        <v>2024.0</v>
      </c>
      <c r="B165" s="11" t="s">
        <v>57</v>
      </c>
      <c r="C165" s="12">
        <v>45572.0</v>
      </c>
      <c r="D165" s="44">
        <v>18.0</v>
      </c>
      <c r="E165" s="26">
        <v>781609.53</v>
      </c>
      <c r="F165" s="26">
        <v>40491.94</v>
      </c>
      <c r="G165" s="26">
        <v>5830.94</v>
      </c>
      <c r="H165" s="26">
        <v>2484.0</v>
      </c>
      <c r="I165" s="26">
        <v>3080.12</v>
      </c>
      <c r="J165" s="26">
        <v>1660.11</v>
      </c>
      <c r="K165" s="26">
        <v>15493.48</v>
      </c>
      <c r="L165" s="26">
        <v>15724.54</v>
      </c>
      <c r="M165" s="15">
        <v>1.0</v>
      </c>
      <c r="N165" s="16">
        <v>115000.0</v>
      </c>
      <c r="O165" s="16">
        <f t="shared" si="320"/>
        <v>4600</v>
      </c>
      <c r="P165" s="16">
        <f t="shared" si="321"/>
        <v>1932</v>
      </c>
      <c r="Q165" s="16">
        <f t="shared" si="322"/>
        <v>552</v>
      </c>
      <c r="R165" s="16">
        <f t="shared" si="323"/>
        <v>239.19</v>
      </c>
      <c r="S165" s="17">
        <f t="shared" si="324"/>
        <v>393.42</v>
      </c>
      <c r="T165" s="17">
        <f t="shared" si="325"/>
        <v>138</v>
      </c>
      <c r="U165" s="7">
        <v>14622.04</v>
      </c>
      <c r="V165" s="18">
        <f t="shared" si="326"/>
        <v>1932</v>
      </c>
      <c r="W165" s="7">
        <f t="shared" si="327"/>
        <v>3319.31</v>
      </c>
      <c r="X165" s="7">
        <f t="shared" si="328"/>
        <v>1660.11</v>
      </c>
      <c r="Y165" s="7">
        <f t="shared" ref="Y165:Y169" si="330">O165</f>
        <v>4600</v>
      </c>
      <c r="Z165" s="7">
        <f t="shared" ref="Z165:Z169" si="331">Q165</f>
        <v>552</v>
      </c>
      <c r="AA165" s="18">
        <f t="shared" si="329"/>
        <v>26685.46</v>
      </c>
      <c r="AB165" s="56">
        <v>10.0</v>
      </c>
      <c r="AC165" s="24">
        <v>513656.32</v>
      </c>
      <c r="AD165" s="24">
        <v>24909.87</v>
      </c>
      <c r="AE165" s="24">
        <v>3663.17</v>
      </c>
      <c r="AF165" s="24">
        <v>1380.0</v>
      </c>
      <c r="AG165" s="24">
        <v>2090.97</v>
      </c>
      <c r="AH165" s="24">
        <v>0.0</v>
      </c>
      <c r="AI165" s="24">
        <v>6620.61</v>
      </c>
      <c r="AJ165" s="24">
        <v>11155.12</v>
      </c>
      <c r="AK165" s="15">
        <v>0.0</v>
      </c>
      <c r="AL165" s="16">
        <v>0.0</v>
      </c>
      <c r="AM165" s="16">
        <v>0.0</v>
      </c>
      <c r="AN165" s="16">
        <v>0.0</v>
      </c>
      <c r="AO165" s="16">
        <v>0.0</v>
      </c>
      <c r="AP165" s="16">
        <v>0.0</v>
      </c>
      <c r="AQ165" s="16">
        <v>0.0</v>
      </c>
      <c r="AR165" s="16">
        <v>0.0</v>
      </c>
      <c r="AS165" s="7">
        <v>59317.85</v>
      </c>
      <c r="AT165" s="7">
        <v>8663.0</v>
      </c>
      <c r="AU165" s="7">
        <v>16586.23</v>
      </c>
      <c r="AV165" s="7">
        <v>5051.37</v>
      </c>
      <c r="AW165" s="7">
        <v>21355.0</v>
      </c>
      <c r="AX165" s="7">
        <f>9294.27-8663</f>
        <v>631.27</v>
      </c>
      <c r="AY165" s="7">
        <f t="shared" ref="AY165:AY169" si="332">SUM(AS165:AX165)</f>
        <v>111604.72</v>
      </c>
      <c r="AZ165" s="8"/>
      <c r="BA165" s="9"/>
      <c r="BB165" s="10"/>
      <c r="BC165" s="10"/>
    </row>
    <row r="166">
      <c r="A166" s="11">
        <v>2024.0</v>
      </c>
      <c r="B166" s="11" t="s">
        <v>57</v>
      </c>
      <c r="C166" s="12">
        <v>45573.0</v>
      </c>
      <c r="D166" s="44">
        <v>11.0</v>
      </c>
      <c r="E166" s="26">
        <v>463894.54</v>
      </c>
      <c r="F166" s="26">
        <v>25085.0</v>
      </c>
      <c r="G166" s="26">
        <v>3716.24</v>
      </c>
      <c r="H166" s="26">
        <v>1518.0</v>
      </c>
      <c r="I166" s="26">
        <v>1637.82</v>
      </c>
      <c r="J166" s="26">
        <v>0.0</v>
      </c>
      <c r="K166" s="26">
        <v>9923.87</v>
      </c>
      <c r="L166" s="26">
        <v>8289.07</v>
      </c>
      <c r="M166" s="15">
        <v>1.0</v>
      </c>
      <c r="N166" s="16">
        <v>240000.0</v>
      </c>
      <c r="O166" s="16">
        <f t="shared" si="320"/>
        <v>9600</v>
      </c>
      <c r="P166" s="16">
        <f t="shared" si="321"/>
        <v>4032</v>
      </c>
      <c r="Q166" s="16">
        <f t="shared" si="322"/>
        <v>552</v>
      </c>
      <c r="R166" s="16">
        <f t="shared" si="323"/>
        <v>239.19</v>
      </c>
      <c r="S166" s="17">
        <f t="shared" si="324"/>
        <v>393.42</v>
      </c>
      <c r="T166" s="17">
        <f t="shared" si="325"/>
        <v>138</v>
      </c>
      <c r="U166" s="7">
        <v>6843.75</v>
      </c>
      <c r="V166" s="18">
        <f t="shared" si="326"/>
        <v>4032</v>
      </c>
      <c r="W166" s="7">
        <f t="shared" si="327"/>
        <v>1877.01</v>
      </c>
      <c r="X166" s="7">
        <f t="shared" si="328"/>
        <v>0</v>
      </c>
      <c r="Y166" s="18">
        <f t="shared" si="330"/>
        <v>9600</v>
      </c>
      <c r="Z166" s="18">
        <f t="shared" si="331"/>
        <v>552</v>
      </c>
      <c r="AA166" s="18">
        <f t="shared" si="329"/>
        <v>22904.76</v>
      </c>
      <c r="AB166" s="56">
        <v>7.0</v>
      </c>
      <c r="AC166" s="24">
        <v>277734.67</v>
      </c>
      <c r="AD166" s="24">
        <v>13520.25</v>
      </c>
      <c r="AE166" s="24">
        <v>2156.62</v>
      </c>
      <c r="AF166" s="24">
        <v>966.0</v>
      </c>
      <c r="AG166" s="24">
        <v>1028.89</v>
      </c>
      <c r="AH166" s="24">
        <v>0.0</v>
      </c>
      <c r="AI166" s="24">
        <v>4210.8</v>
      </c>
      <c r="AJ166" s="24">
        <v>5157.94</v>
      </c>
      <c r="AK166" s="15">
        <v>0.0</v>
      </c>
      <c r="AL166" s="16">
        <v>0.0</v>
      </c>
      <c r="AM166" s="16">
        <v>0.0</v>
      </c>
      <c r="AN166" s="16">
        <v>0.0</v>
      </c>
      <c r="AO166" s="16">
        <v>0.0</v>
      </c>
      <c r="AP166" s="16">
        <v>0.0</v>
      </c>
      <c r="AQ166" s="16">
        <v>0.0</v>
      </c>
      <c r="AR166" s="16">
        <v>0.0</v>
      </c>
      <c r="AS166" s="7">
        <v>24924.59</v>
      </c>
      <c r="AT166" s="7">
        <v>0.0</v>
      </c>
      <c r="AU166" s="7">
        <v>7764.26</v>
      </c>
      <c r="AV166" s="7">
        <v>7193.75</v>
      </c>
      <c r="AW166" s="7">
        <v>0.0</v>
      </c>
      <c r="AX166" s="7">
        <v>10.51</v>
      </c>
      <c r="AY166" s="7">
        <f t="shared" si="332"/>
        <v>39893.11</v>
      </c>
      <c r="AZ166" s="8"/>
      <c r="BA166" s="9"/>
      <c r="BB166" s="10"/>
      <c r="BC166" s="10"/>
    </row>
    <row r="167">
      <c r="A167" s="11">
        <v>2024.0</v>
      </c>
      <c r="B167" s="11" t="s">
        <v>57</v>
      </c>
      <c r="C167" s="12">
        <v>45574.0</v>
      </c>
      <c r="D167" s="44">
        <v>9.0</v>
      </c>
      <c r="E167" s="26">
        <v>580333.98</v>
      </c>
      <c r="F167" s="26">
        <v>28044.43</v>
      </c>
      <c r="G167" s="26">
        <v>3917.77</v>
      </c>
      <c r="H167" s="26">
        <v>966.0</v>
      </c>
      <c r="I167" s="26">
        <v>1297.69</v>
      </c>
      <c r="J167" s="26">
        <v>0.0</v>
      </c>
      <c r="K167" s="26">
        <v>9299.27</v>
      </c>
      <c r="L167" s="26">
        <v>12563.7</v>
      </c>
      <c r="M167" s="15">
        <v>1.0</v>
      </c>
      <c r="N167" s="16">
        <v>98000.0</v>
      </c>
      <c r="O167" s="16">
        <f t="shared" si="320"/>
        <v>3920</v>
      </c>
      <c r="P167" s="16">
        <f t="shared" si="321"/>
        <v>1646.4</v>
      </c>
      <c r="Q167" s="16">
        <f t="shared" si="322"/>
        <v>552</v>
      </c>
      <c r="R167" s="16">
        <f t="shared" si="323"/>
        <v>239.19</v>
      </c>
      <c r="S167" s="17">
        <f t="shared" si="324"/>
        <v>393.42</v>
      </c>
      <c r="T167" s="17">
        <f t="shared" si="325"/>
        <v>138</v>
      </c>
      <c r="U167" s="7">
        <v>6508.51</v>
      </c>
      <c r="V167" s="18">
        <f t="shared" si="326"/>
        <v>1646.4</v>
      </c>
      <c r="W167" s="7">
        <f t="shared" si="327"/>
        <v>1536.88</v>
      </c>
      <c r="X167" s="7">
        <f t="shared" si="328"/>
        <v>0</v>
      </c>
      <c r="Y167" s="18">
        <f t="shared" si="330"/>
        <v>3920</v>
      </c>
      <c r="Z167" s="18">
        <f t="shared" si="331"/>
        <v>552</v>
      </c>
      <c r="AA167" s="18">
        <f t="shared" si="329"/>
        <v>14163.79</v>
      </c>
      <c r="AB167" s="56">
        <v>2.0</v>
      </c>
      <c r="AC167" s="24">
        <v>155371.59</v>
      </c>
      <c r="AD167" s="24">
        <v>3770.36</v>
      </c>
      <c r="AE167" s="24">
        <v>281.06</v>
      </c>
      <c r="AF167" s="24">
        <v>0.0</v>
      </c>
      <c r="AG167" s="24">
        <v>0.0</v>
      </c>
      <c r="AH167" s="24">
        <v>0.0</v>
      </c>
      <c r="AI167" s="24">
        <v>566.86</v>
      </c>
      <c r="AJ167" s="24">
        <v>2922.44</v>
      </c>
      <c r="AK167" s="15">
        <v>1.0</v>
      </c>
      <c r="AL167" s="16">
        <v>47340.59</v>
      </c>
      <c r="AM167" s="16">
        <v>1791.0</v>
      </c>
      <c r="AN167" s="16">
        <v>979.0</v>
      </c>
      <c r="AO167" s="16">
        <v>600.0</v>
      </c>
      <c r="AP167" s="16">
        <v>357.59</v>
      </c>
      <c r="AQ167" s="16">
        <v>245.0</v>
      </c>
      <c r="AR167" s="16">
        <v>0.0</v>
      </c>
      <c r="AS167" s="7">
        <v>10354.4</v>
      </c>
      <c r="AT167" s="7">
        <v>797.0</v>
      </c>
      <c r="AU167" s="7">
        <v>6688.37</v>
      </c>
      <c r="AV167" s="7">
        <v>1681.86</v>
      </c>
      <c r="AW167" s="7">
        <v>1791.0</v>
      </c>
      <c r="AX167" s="7">
        <f>1878.4-AT167</f>
        <v>1081.4</v>
      </c>
      <c r="AY167" s="7">
        <f t="shared" si="332"/>
        <v>22394.03</v>
      </c>
      <c r="AZ167" s="8"/>
      <c r="BA167" s="9"/>
      <c r="BB167" s="10"/>
      <c r="BC167" s="10"/>
    </row>
    <row r="168">
      <c r="A168" s="11">
        <v>2024.0</v>
      </c>
      <c r="B168" s="11" t="s">
        <v>57</v>
      </c>
      <c r="C168" s="12">
        <v>45575.0</v>
      </c>
      <c r="D168" s="44">
        <v>7.0</v>
      </c>
      <c r="E168" s="26">
        <v>523854.33</v>
      </c>
      <c r="F168" s="26">
        <v>22724.18</v>
      </c>
      <c r="G168" s="26">
        <v>3115.59</v>
      </c>
      <c r="H168" s="26">
        <v>966.0</v>
      </c>
      <c r="I168" s="26">
        <v>1279.58</v>
      </c>
      <c r="J168" s="26">
        <v>2922.86</v>
      </c>
      <c r="K168" s="26">
        <v>7587.05</v>
      </c>
      <c r="L168" s="26">
        <v>9775.96</v>
      </c>
      <c r="M168" s="15">
        <v>1.0</v>
      </c>
      <c r="N168" s="16">
        <v>175000.0</v>
      </c>
      <c r="O168" s="16">
        <f t="shared" si="320"/>
        <v>7000</v>
      </c>
      <c r="P168" s="16">
        <f t="shared" si="321"/>
        <v>2940</v>
      </c>
      <c r="Q168" s="16">
        <f t="shared" si="322"/>
        <v>552</v>
      </c>
      <c r="R168" s="16">
        <f t="shared" si="323"/>
        <v>239.19</v>
      </c>
      <c r="S168" s="17">
        <f t="shared" si="324"/>
        <v>393.42</v>
      </c>
      <c r="T168" s="17">
        <f t="shared" si="325"/>
        <v>138</v>
      </c>
      <c r="U168" s="7">
        <v>1899.08</v>
      </c>
      <c r="V168" s="18">
        <f t="shared" si="326"/>
        <v>2940</v>
      </c>
      <c r="W168" s="7">
        <f t="shared" si="327"/>
        <v>1518.77</v>
      </c>
      <c r="X168" s="7">
        <f t="shared" si="328"/>
        <v>2922.86</v>
      </c>
      <c r="Y168" s="18">
        <f t="shared" si="330"/>
        <v>7000</v>
      </c>
      <c r="Z168" s="18">
        <f t="shared" si="331"/>
        <v>552</v>
      </c>
      <c r="AA168" s="18">
        <f t="shared" si="329"/>
        <v>16832.71</v>
      </c>
      <c r="AB168" s="56">
        <v>3.0</v>
      </c>
      <c r="AC168" s="24">
        <v>202023.53</v>
      </c>
      <c r="AD168" s="24">
        <v>9574.91</v>
      </c>
      <c r="AE168" s="24">
        <v>1400.78</v>
      </c>
      <c r="AF168" s="24">
        <v>414.0</v>
      </c>
      <c r="AG168" s="24">
        <v>682.79</v>
      </c>
      <c r="AH168" s="24">
        <v>0.0</v>
      </c>
      <c r="AI168" s="24">
        <v>2708.14</v>
      </c>
      <c r="AJ168" s="24">
        <v>4369.2</v>
      </c>
      <c r="AK168" s="15">
        <v>1.0</v>
      </c>
      <c r="AL168" s="16">
        <v>47387.67</v>
      </c>
      <c r="AM168" s="16">
        <v>1792.0</v>
      </c>
      <c r="AN168" s="16">
        <v>798.0</v>
      </c>
      <c r="AO168" s="16">
        <v>600.0</v>
      </c>
      <c r="AP168" s="16">
        <v>377.19</v>
      </c>
      <c r="AQ168" s="16">
        <v>270.48</v>
      </c>
      <c r="AR168" s="16">
        <v>0.0</v>
      </c>
      <c r="AS168" s="7">
        <v>7277.12</v>
      </c>
      <c r="AT168" s="7">
        <v>798.0</v>
      </c>
      <c r="AU168" s="7">
        <v>3691.82</v>
      </c>
      <c r="AV168" s="7">
        <v>2428.21</v>
      </c>
      <c r="AW168" s="7">
        <v>1792.0</v>
      </c>
      <c r="AX168" s="7">
        <f>2576.84-798</f>
        <v>1778.84</v>
      </c>
      <c r="AY168" s="7">
        <f t="shared" si="332"/>
        <v>17765.99</v>
      </c>
      <c r="AZ168" s="8"/>
      <c r="BA168" s="9"/>
      <c r="BB168" s="10"/>
      <c r="BC168" s="10"/>
    </row>
    <row r="169">
      <c r="A169" s="11">
        <v>2024.0</v>
      </c>
      <c r="B169" s="11" t="s">
        <v>57</v>
      </c>
      <c r="C169" s="12">
        <v>45576.0</v>
      </c>
      <c r="D169" s="44">
        <v>1.0</v>
      </c>
      <c r="E169" s="26">
        <v>52274.92</v>
      </c>
      <c r="F169" s="26">
        <v>2197.14</v>
      </c>
      <c r="G169" s="26">
        <v>302.56</v>
      </c>
      <c r="H169" s="26">
        <v>138.0</v>
      </c>
      <c r="I169" s="26">
        <v>139.19</v>
      </c>
      <c r="J169" s="26">
        <v>0.0</v>
      </c>
      <c r="K169" s="26">
        <v>739.17</v>
      </c>
      <c r="L169" s="26">
        <v>878.22</v>
      </c>
      <c r="M169" s="15">
        <v>3.0</v>
      </c>
      <c r="N169" s="16">
        <v>239000.0</v>
      </c>
      <c r="O169" s="16">
        <f t="shared" si="320"/>
        <v>9560</v>
      </c>
      <c r="P169" s="16">
        <f t="shared" si="321"/>
        <v>4015.2</v>
      </c>
      <c r="Q169" s="16">
        <f t="shared" si="322"/>
        <v>1656</v>
      </c>
      <c r="R169" s="16">
        <f t="shared" si="323"/>
        <v>717.57</v>
      </c>
      <c r="S169" s="17">
        <f t="shared" si="324"/>
        <v>1180.26</v>
      </c>
      <c r="T169" s="17">
        <f t="shared" si="325"/>
        <v>414</v>
      </c>
      <c r="U169" s="7">
        <v>2197.14</v>
      </c>
      <c r="V169" s="18">
        <f t="shared" si="326"/>
        <v>4015.2</v>
      </c>
      <c r="W169" s="7">
        <f t="shared" si="327"/>
        <v>856.76</v>
      </c>
      <c r="X169" s="7">
        <f t="shared" si="328"/>
        <v>0</v>
      </c>
      <c r="Y169" s="18">
        <f t="shared" si="330"/>
        <v>9560</v>
      </c>
      <c r="Z169" s="18">
        <f t="shared" si="331"/>
        <v>1656</v>
      </c>
      <c r="AA169" s="18">
        <f t="shared" si="329"/>
        <v>18285.1</v>
      </c>
      <c r="AB169" s="56">
        <v>1.0</v>
      </c>
      <c r="AC169" s="24">
        <v>51535.75</v>
      </c>
      <c r="AD169" s="24">
        <v>2197.14</v>
      </c>
      <c r="AE169" s="24">
        <v>302.56</v>
      </c>
      <c r="AF169" s="24">
        <v>138.0</v>
      </c>
      <c r="AG169" s="24">
        <v>139.19</v>
      </c>
      <c r="AH169" s="24">
        <v>0.0</v>
      </c>
      <c r="AI169" s="24">
        <v>751.59</v>
      </c>
      <c r="AJ169" s="24">
        <v>865.8</v>
      </c>
      <c r="AK169" s="15">
        <v>3.0</v>
      </c>
      <c r="AL169" s="16">
        <v>421571.2</v>
      </c>
      <c r="AM169" s="16">
        <v>15943.0</v>
      </c>
      <c r="AN169" s="16">
        <v>7095.0</v>
      </c>
      <c r="AO169" s="16">
        <v>1800.0</v>
      </c>
      <c r="AP169" s="16">
        <v>1326.52</v>
      </c>
      <c r="AQ169" s="16">
        <v>2800.0</v>
      </c>
      <c r="AR169" s="16">
        <v>0.0</v>
      </c>
      <c r="AS169" s="7">
        <v>5095.38</v>
      </c>
      <c r="AT169" s="7">
        <v>0.0</v>
      </c>
      <c r="AU169" s="7">
        <v>1930.76</v>
      </c>
      <c r="AV169" s="7">
        <v>978.78</v>
      </c>
      <c r="AW169" s="7">
        <v>13447.0</v>
      </c>
      <c r="AX169" s="7">
        <v>8063.44</v>
      </c>
      <c r="AY169" s="7">
        <f t="shared" si="332"/>
        <v>29515.36</v>
      </c>
      <c r="AZ169" s="8"/>
      <c r="BA169" s="9"/>
      <c r="BB169" s="10"/>
      <c r="BC169" s="10"/>
    </row>
    <row r="170">
      <c r="A170" s="11">
        <v>2024.0</v>
      </c>
      <c r="B170" s="11" t="s">
        <v>57</v>
      </c>
      <c r="C170" s="1"/>
      <c r="D170" s="2">
        <v>106.0</v>
      </c>
      <c r="E170" s="2"/>
      <c r="F170" s="59">
        <v>266740.18</v>
      </c>
      <c r="G170" s="33"/>
      <c r="H170" s="33"/>
      <c r="I170" s="33"/>
      <c r="J170" s="33"/>
      <c r="K170" s="33"/>
      <c r="L170" s="33"/>
      <c r="M170" s="15">
        <v>15.0</v>
      </c>
      <c r="N170" s="51">
        <v>1166000.0</v>
      </c>
      <c r="O170" s="35"/>
      <c r="P170" s="35"/>
      <c r="Q170" s="35"/>
      <c r="R170" s="35"/>
      <c r="S170" s="35"/>
      <c r="T170" s="35"/>
      <c r="U170" s="37"/>
      <c r="V170" s="48"/>
      <c r="W170" s="48"/>
      <c r="X170" s="37"/>
      <c r="Y170" s="48"/>
      <c r="Z170" s="48"/>
      <c r="AA170" s="48"/>
      <c r="AB170" s="2"/>
      <c r="AC170" s="33"/>
      <c r="AD170" s="2"/>
      <c r="AE170" s="33"/>
      <c r="AF170" s="33"/>
      <c r="AG170" s="33"/>
      <c r="AH170" s="33"/>
      <c r="AI170" s="33"/>
      <c r="AJ170" s="33"/>
      <c r="AK170" s="4"/>
      <c r="AL170" s="4"/>
      <c r="AM170" s="35"/>
      <c r="AN170" s="35"/>
      <c r="AO170" s="35"/>
      <c r="AP170" s="35"/>
      <c r="AQ170" s="35"/>
      <c r="AR170" s="35"/>
      <c r="AS170" s="37"/>
      <c r="AT170" s="48"/>
      <c r="AU170" s="48"/>
      <c r="AV170" s="48"/>
      <c r="AW170" s="48"/>
      <c r="AX170" s="48"/>
      <c r="AY170" s="48"/>
      <c r="AZ170" s="38"/>
      <c r="BA170" s="39"/>
      <c r="BB170" s="40"/>
      <c r="BC170" s="40"/>
    </row>
    <row r="171">
      <c r="A171" s="1">
        <v>2024.0</v>
      </c>
      <c r="B171" s="1" t="s">
        <v>57</v>
      </c>
      <c r="C171" s="1" t="s">
        <v>49</v>
      </c>
      <c r="D171" s="33">
        <f t="shared" ref="D171:L171" si="333">SUM(D163:D169)</f>
        <v>69</v>
      </c>
      <c r="E171" s="34">
        <f t="shared" si="333"/>
        <v>3768193.98</v>
      </c>
      <c r="F171" s="34">
        <f t="shared" si="333"/>
        <v>178522.34</v>
      </c>
      <c r="G171" s="34">
        <f t="shared" si="333"/>
        <v>24642.05</v>
      </c>
      <c r="H171" s="34">
        <f t="shared" si="333"/>
        <v>9108</v>
      </c>
      <c r="I171" s="34">
        <f t="shared" si="333"/>
        <v>10554.49</v>
      </c>
      <c r="J171" s="34">
        <f t="shared" si="333"/>
        <v>22591.19</v>
      </c>
      <c r="K171" s="34">
        <f t="shared" si="333"/>
        <v>111677.23</v>
      </c>
      <c r="L171" s="34">
        <f t="shared" si="333"/>
        <v>70184.1</v>
      </c>
      <c r="M171" s="35">
        <f t="shared" ref="M171:N171" si="334">SUM(M163:M170)</f>
        <v>22</v>
      </c>
      <c r="N171" s="36">
        <f t="shared" si="334"/>
        <v>2033000</v>
      </c>
      <c r="O171" s="36">
        <f t="shared" ref="O171:AJ171" si="335">SUM(O163:O169)</f>
        <v>34680</v>
      </c>
      <c r="P171" s="36">
        <f t="shared" si="335"/>
        <v>14565.6</v>
      </c>
      <c r="Q171" s="36">
        <f t="shared" si="335"/>
        <v>3864</v>
      </c>
      <c r="R171" s="36">
        <f t="shared" si="335"/>
        <v>1674.33</v>
      </c>
      <c r="S171" s="36">
        <f t="shared" si="335"/>
        <v>2753.94</v>
      </c>
      <c r="T171" s="36">
        <f t="shared" si="335"/>
        <v>966</v>
      </c>
      <c r="U171" s="37">
        <f t="shared" si="335"/>
        <v>48673.55</v>
      </c>
      <c r="V171" s="37">
        <f t="shared" si="335"/>
        <v>14565.6</v>
      </c>
      <c r="W171" s="37">
        <f t="shared" si="335"/>
        <v>12228.82</v>
      </c>
      <c r="X171" s="37">
        <f t="shared" si="335"/>
        <v>22591.19</v>
      </c>
      <c r="Y171" s="37">
        <f t="shared" si="335"/>
        <v>34680</v>
      </c>
      <c r="Z171" s="37">
        <f t="shared" si="335"/>
        <v>3864</v>
      </c>
      <c r="AA171" s="37">
        <f t="shared" si="335"/>
        <v>136603.16</v>
      </c>
      <c r="AB171" s="33">
        <f t="shared" si="335"/>
        <v>39</v>
      </c>
      <c r="AC171" s="34">
        <f t="shared" si="335"/>
        <v>2162840.57</v>
      </c>
      <c r="AD171" s="34">
        <f t="shared" si="335"/>
        <v>96108.43</v>
      </c>
      <c r="AE171" s="34">
        <f t="shared" si="335"/>
        <v>13101.31</v>
      </c>
      <c r="AF171" s="34">
        <f t="shared" si="335"/>
        <v>4968</v>
      </c>
      <c r="AG171" s="34">
        <f t="shared" si="335"/>
        <v>6213.67</v>
      </c>
      <c r="AH171" s="34">
        <f t="shared" si="335"/>
        <v>0</v>
      </c>
      <c r="AI171" s="34">
        <f t="shared" si="335"/>
        <v>31184.63</v>
      </c>
      <c r="AJ171" s="34">
        <f t="shared" si="335"/>
        <v>40640.82</v>
      </c>
      <c r="AK171" s="35">
        <f t="shared" ref="AK171:AL171" si="336">SUM(AK163:AK170)</f>
        <v>5</v>
      </c>
      <c r="AL171" s="36">
        <f t="shared" si="336"/>
        <v>516299.46</v>
      </c>
      <c r="AM171" s="36">
        <f t="shared" ref="AM171:AY171" si="337">SUM(AM163:AM169)</f>
        <v>19526</v>
      </c>
      <c r="AN171" s="36">
        <f t="shared" si="337"/>
        <v>8872</v>
      </c>
      <c r="AO171" s="36">
        <f t="shared" si="337"/>
        <v>3000</v>
      </c>
      <c r="AP171" s="36">
        <f t="shared" si="337"/>
        <v>2061.3</v>
      </c>
      <c r="AQ171" s="36">
        <f t="shared" si="337"/>
        <v>3315.48</v>
      </c>
      <c r="AR171" s="36">
        <f t="shared" si="337"/>
        <v>0</v>
      </c>
      <c r="AS171" s="37">
        <f t="shared" si="337"/>
        <v>106969.34</v>
      </c>
      <c r="AT171" s="37">
        <f t="shared" si="337"/>
        <v>10258</v>
      </c>
      <c r="AU171" s="37">
        <f t="shared" si="337"/>
        <v>36661.44</v>
      </c>
      <c r="AV171" s="37">
        <f t="shared" si="337"/>
        <v>17333.97</v>
      </c>
      <c r="AW171" s="37">
        <f t="shared" si="337"/>
        <v>38385</v>
      </c>
      <c r="AX171" s="37">
        <f t="shared" si="337"/>
        <v>11565.46</v>
      </c>
      <c r="AY171" s="37">
        <f t="shared" si="337"/>
        <v>221173.21</v>
      </c>
      <c r="AZ171" s="38"/>
      <c r="BA171" s="39"/>
      <c r="BB171" s="40"/>
      <c r="BC171" s="40"/>
    </row>
    <row r="172">
      <c r="A172" s="11">
        <v>2024.0</v>
      </c>
      <c r="B172" s="11" t="s">
        <v>57</v>
      </c>
      <c r="C172" s="12">
        <v>45577.0</v>
      </c>
      <c r="D172" s="44">
        <v>2.0</v>
      </c>
      <c r="E172" s="26">
        <v>52387.38</v>
      </c>
      <c r="F172" s="26">
        <v>3244.56</v>
      </c>
      <c r="G172" s="26">
        <v>648.89</v>
      </c>
      <c r="H172" s="26">
        <v>276.0</v>
      </c>
      <c r="I172" s="26">
        <v>392.66</v>
      </c>
      <c r="J172" s="26">
        <v>0.0</v>
      </c>
      <c r="K172" s="26">
        <v>1046.9</v>
      </c>
      <c r="L172" s="26">
        <v>880.11</v>
      </c>
      <c r="M172" s="15">
        <v>0.0</v>
      </c>
      <c r="N172" s="16">
        <v>0.0</v>
      </c>
      <c r="O172" s="16">
        <f t="shared" ref="O172:O178" si="338">N172*4%</f>
        <v>0</v>
      </c>
      <c r="P172" s="16">
        <f t="shared" ref="P172:P178" si="339">N172*1.68%</f>
        <v>0</v>
      </c>
      <c r="Q172" s="16">
        <f t="shared" ref="Q172:Q178" si="340">M172*(250+300+2)</f>
        <v>0</v>
      </c>
      <c r="R172" s="16">
        <f t="shared" ref="R172:R178" si="341">M172*239.19</f>
        <v>0</v>
      </c>
      <c r="S172" s="17">
        <f t="shared" ref="S172:S178" si="342">M172*393.42</f>
        <v>0</v>
      </c>
      <c r="T172" s="17">
        <f t="shared" ref="T172:T178" si="343">M172*138</f>
        <v>0</v>
      </c>
      <c r="U172" s="7">
        <v>239.81</v>
      </c>
      <c r="V172" s="18">
        <f t="shared" ref="V172:V178" si="344">P172</f>
        <v>0</v>
      </c>
      <c r="W172" s="7">
        <f t="shared" ref="W172:W178" si="345">I172+R172</f>
        <v>392.66</v>
      </c>
      <c r="X172" s="7">
        <f t="shared" ref="X172:X178" si="346">J172</f>
        <v>0</v>
      </c>
      <c r="Y172" s="7">
        <v>0.0</v>
      </c>
      <c r="Z172" s="7">
        <v>0.0</v>
      </c>
      <c r="AA172" s="18">
        <f t="shared" ref="AA172:AA178" si="347">SUM(U172:Z172)</f>
        <v>632.47</v>
      </c>
      <c r="AB172" s="56">
        <v>2.0</v>
      </c>
      <c r="AC172" s="24">
        <v>52387.38</v>
      </c>
      <c r="AD172" s="24">
        <v>3244.56</v>
      </c>
      <c r="AE172" s="24">
        <v>648.89</v>
      </c>
      <c r="AF172" s="24">
        <v>276.0</v>
      </c>
      <c r="AG172" s="24">
        <v>392.66</v>
      </c>
      <c r="AH172" s="24">
        <v>0.0</v>
      </c>
      <c r="AI172" s="24">
        <v>1046.9</v>
      </c>
      <c r="AJ172" s="24">
        <v>880.11</v>
      </c>
      <c r="AK172" s="15">
        <v>0.0</v>
      </c>
      <c r="AL172" s="16">
        <v>0.0</v>
      </c>
      <c r="AM172" s="16">
        <v>0.0</v>
      </c>
      <c r="AN172" s="16">
        <v>0.0</v>
      </c>
      <c r="AO172" s="16">
        <v>0.0</v>
      </c>
      <c r="AP172" s="16">
        <v>0.0</v>
      </c>
      <c r="AQ172" s="16">
        <v>0.0</v>
      </c>
      <c r="AR172" s="16">
        <v>0.0</v>
      </c>
      <c r="AS172" s="7">
        <v>0.0</v>
      </c>
      <c r="AT172" s="7">
        <v>0.0</v>
      </c>
      <c r="AU172" s="7">
        <v>0.0</v>
      </c>
      <c r="AV172" s="7">
        <v>0.0</v>
      </c>
      <c r="AW172" s="7">
        <v>0.0</v>
      </c>
      <c r="AX172" s="7">
        <v>0.0</v>
      </c>
      <c r="AY172" s="7">
        <v>0.0</v>
      </c>
      <c r="AZ172" s="8"/>
      <c r="BA172" s="9"/>
      <c r="BB172" s="10"/>
      <c r="BC172" s="10"/>
    </row>
    <row r="173">
      <c r="A173" s="11">
        <v>2024.0</v>
      </c>
      <c r="B173" s="11" t="s">
        <v>57</v>
      </c>
      <c r="C173" s="12">
        <v>45578.0</v>
      </c>
      <c r="D173" s="44">
        <v>4.0</v>
      </c>
      <c r="E173" s="26">
        <v>230419.33</v>
      </c>
      <c r="F173" s="26">
        <v>14790.39</v>
      </c>
      <c r="G173" s="26">
        <v>1457.38</v>
      </c>
      <c r="H173" s="26">
        <v>414.0</v>
      </c>
      <c r="I173" s="26">
        <v>564.26</v>
      </c>
      <c r="J173" s="26">
        <v>0.0</v>
      </c>
      <c r="K173" s="26">
        <v>7574.29</v>
      </c>
      <c r="L173" s="26">
        <v>4780.46</v>
      </c>
      <c r="M173" s="15">
        <v>0.0</v>
      </c>
      <c r="N173" s="16">
        <v>0.0</v>
      </c>
      <c r="O173" s="16">
        <f t="shared" si="338"/>
        <v>0</v>
      </c>
      <c r="P173" s="16">
        <f t="shared" si="339"/>
        <v>0</v>
      </c>
      <c r="Q173" s="16">
        <f t="shared" si="340"/>
        <v>0</v>
      </c>
      <c r="R173" s="16">
        <f t="shared" si="341"/>
        <v>0</v>
      </c>
      <c r="S173" s="17">
        <f t="shared" si="342"/>
        <v>0</v>
      </c>
      <c r="T173" s="17">
        <f t="shared" si="343"/>
        <v>0</v>
      </c>
      <c r="U173" s="7">
        <v>1226.2</v>
      </c>
      <c r="V173" s="18">
        <f t="shared" si="344"/>
        <v>0</v>
      </c>
      <c r="W173" s="7">
        <f t="shared" si="345"/>
        <v>564.26</v>
      </c>
      <c r="X173" s="7">
        <f t="shared" si="346"/>
        <v>0</v>
      </c>
      <c r="Y173" s="7">
        <v>0.0</v>
      </c>
      <c r="Z173" s="7">
        <v>0.0</v>
      </c>
      <c r="AA173" s="18">
        <f t="shared" si="347"/>
        <v>1790.46</v>
      </c>
      <c r="AB173" s="56">
        <v>2.0</v>
      </c>
      <c r="AC173" s="24">
        <v>93990.22</v>
      </c>
      <c r="AD173" s="24">
        <v>4888.07</v>
      </c>
      <c r="AE173" s="24">
        <v>281.06</v>
      </c>
      <c r="AF173" s="24">
        <v>138.0</v>
      </c>
      <c r="AG173" s="24">
        <v>127.45</v>
      </c>
      <c r="AH173" s="24">
        <v>0.0</v>
      </c>
      <c r="AI173" s="24">
        <v>2149.97</v>
      </c>
      <c r="AJ173" s="24">
        <v>2191.59</v>
      </c>
      <c r="AK173" s="15">
        <v>0.0</v>
      </c>
      <c r="AL173" s="16">
        <v>0.0</v>
      </c>
      <c r="AM173" s="16">
        <v>0.0</v>
      </c>
      <c r="AN173" s="16">
        <v>0.0</v>
      </c>
      <c r="AO173" s="16">
        <v>0.0</v>
      </c>
      <c r="AP173" s="16">
        <v>0.0</v>
      </c>
      <c r="AQ173" s="16">
        <v>0.0</v>
      </c>
      <c r="AR173" s="16">
        <v>0.0</v>
      </c>
      <c r="AS173" s="7">
        <v>0.0</v>
      </c>
      <c r="AT173" s="7">
        <v>0.0</v>
      </c>
      <c r="AU173" s="7">
        <v>0.0</v>
      </c>
      <c r="AV173" s="7">
        <v>0.0</v>
      </c>
      <c r="AW173" s="7">
        <v>0.0</v>
      </c>
      <c r="AX173" s="7">
        <v>0.0</v>
      </c>
      <c r="AY173" s="7">
        <v>0.0</v>
      </c>
      <c r="AZ173" s="8"/>
      <c r="BA173" s="9"/>
      <c r="BB173" s="10"/>
      <c r="BC173" s="10"/>
    </row>
    <row r="174">
      <c r="A174" s="11">
        <v>2024.0</v>
      </c>
      <c r="B174" s="11" t="s">
        <v>57</v>
      </c>
      <c r="C174" s="12">
        <v>45579.0</v>
      </c>
      <c r="D174" s="44">
        <v>17.0</v>
      </c>
      <c r="E174" s="26">
        <v>2595250.64</v>
      </c>
      <c r="F174" s="26">
        <v>87460.44</v>
      </c>
      <c r="G174" s="26">
        <v>4916.39</v>
      </c>
      <c r="H174" s="26">
        <v>2070.0</v>
      </c>
      <c r="I174" s="26">
        <v>2039.98</v>
      </c>
      <c r="J174" s="26">
        <v>65067.74</v>
      </c>
      <c r="K174" s="26">
        <v>68046.73</v>
      </c>
      <c r="L174" s="26">
        <v>49680.71</v>
      </c>
      <c r="M174" s="15">
        <v>1.0</v>
      </c>
      <c r="N174" s="16">
        <v>40987.59</v>
      </c>
      <c r="O174" s="16">
        <f t="shared" si="338"/>
        <v>1639.5036</v>
      </c>
      <c r="P174" s="16">
        <f t="shared" si="339"/>
        <v>688.591512</v>
      </c>
      <c r="Q174" s="16">
        <f t="shared" si="340"/>
        <v>552</v>
      </c>
      <c r="R174" s="16">
        <f t="shared" si="341"/>
        <v>239.19</v>
      </c>
      <c r="S174" s="17">
        <f t="shared" si="342"/>
        <v>393.42</v>
      </c>
      <c r="T174" s="17">
        <f t="shared" si="343"/>
        <v>138</v>
      </c>
      <c r="U174" s="7">
        <v>23154.08</v>
      </c>
      <c r="V174" s="18">
        <f t="shared" si="344"/>
        <v>688.591512</v>
      </c>
      <c r="W174" s="7">
        <f t="shared" si="345"/>
        <v>2279.17</v>
      </c>
      <c r="X174" s="7">
        <f t="shared" si="346"/>
        <v>65067.74</v>
      </c>
      <c r="Y174" s="7">
        <f t="shared" ref="Y174:Y178" si="348">O174</f>
        <v>1639.5036</v>
      </c>
      <c r="Z174" s="7">
        <f t="shared" ref="Z174:Z178" si="349">Q174</f>
        <v>552</v>
      </c>
      <c r="AA174" s="18">
        <f t="shared" si="347"/>
        <v>93381.08511</v>
      </c>
      <c r="AB174" s="56">
        <v>9.0</v>
      </c>
      <c r="AC174" s="24">
        <v>380233.24</v>
      </c>
      <c r="AD174" s="24">
        <v>18963.65</v>
      </c>
      <c r="AE174" s="24">
        <v>2910.51</v>
      </c>
      <c r="AF174" s="24">
        <v>1242.0</v>
      </c>
      <c r="AG174" s="24">
        <v>1218.89</v>
      </c>
      <c r="AH174" s="24">
        <v>0.0</v>
      </c>
      <c r="AI174" s="24">
        <v>6603.74</v>
      </c>
      <c r="AJ174" s="24">
        <v>6988.51</v>
      </c>
      <c r="AK174" s="15">
        <v>0.0</v>
      </c>
      <c r="AL174" s="16">
        <v>0.0</v>
      </c>
      <c r="AM174" s="16">
        <v>0.0</v>
      </c>
      <c r="AN174" s="16">
        <v>0.0</v>
      </c>
      <c r="AO174" s="16">
        <v>0.0</v>
      </c>
      <c r="AP174" s="16">
        <v>0.0</v>
      </c>
      <c r="AQ174" s="16">
        <v>0.0</v>
      </c>
      <c r="AR174" s="16">
        <v>0.0</v>
      </c>
      <c r="AS174" s="7">
        <v>27399.57</v>
      </c>
      <c r="AT174" s="7">
        <v>1111.0</v>
      </c>
      <c r="AU174" s="7">
        <v>3079.13</v>
      </c>
      <c r="AV174" s="7">
        <v>1280.22</v>
      </c>
      <c r="AW174" s="7">
        <v>2496.0</v>
      </c>
      <c r="AX174" s="7">
        <f>2171.03-AT174</f>
        <v>1060.03</v>
      </c>
      <c r="AY174" s="7">
        <f t="shared" ref="AY174:AY178" si="350">SUM(AS174:AX174)</f>
        <v>36425.95</v>
      </c>
      <c r="AZ174" s="8"/>
      <c r="BA174" s="9"/>
      <c r="BB174" s="10"/>
      <c r="BC174" s="10"/>
    </row>
    <row r="175">
      <c r="A175" s="11">
        <v>2024.0</v>
      </c>
      <c r="B175" s="11" t="s">
        <v>57</v>
      </c>
      <c r="C175" s="12">
        <v>45580.0</v>
      </c>
      <c r="D175" s="44">
        <v>41.0</v>
      </c>
      <c r="E175" s="26">
        <v>1794827.1</v>
      </c>
      <c r="F175" s="26">
        <v>90474.77</v>
      </c>
      <c r="G175" s="26">
        <v>12822.34</v>
      </c>
      <c r="H175" s="26">
        <v>3864.0</v>
      </c>
      <c r="I175" s="26">
        <v>9360.56</v>
      </c>
      <c r="J175" s="26">
        <v>2144.89</v>
      </c>
      <c r="K175" s="26">
        <v>25635.72</v>
      </c>
      <c r="L175" s="26">
        <v>18801.17</v>
      </c>
      <c r="M175" s="15">
        <v>1.0</v>
      </c>
      <c r="N175" s="16">
        <v>180000.0</v>
      </c>
      <c r="O175" s="16">
        <f t="shared" si="338"/>
        <v>7200</v>
      </c>
      <c r="P175" s="16">
        <f t="shared" si="339"/>
        <v>3024</v>
      </c>
      <c r="Q175" s="16">
        <f t="shared" si="340"/>
        <v>552</v>
      </c>
      <c r="R175" s="16">
        <f t="shared" si="341"/>
        <v>239.19</v>
      </c>
      <c r="S175" s="17">
        <f t="shared" si="342"/>
        <v>393.42</v>
      </c>
      <c r="T175" s="17">
        <f t="shared" si="343"/>
        <v>138</v>
      </c>
      <c r="U175" s="7">
        <v>19340.64</v>
      </c>
      <c r="V175" s="18">
        <f t="shared" si="344"/>
        <v>3024</v>
      </c>
      <c r="W175" s="7">
        <f t="shared" si="345"/>
        <v>9599.75</v>
      </c>
      <c r="X175" s="7">
        <f t="shared" si="346"/>
        <v>2144.89</v>
      </c>
      <c r="Y175" s="18">
        <f t="shared" si="348"/>
        <v>7200</v>
      </c>
      <c r="Z175" s="18">
        <f t="shared" si="349"/>
        <v>552</v>
      </c>
      <c r="AA175" s="18">
        <f t="shared" si="347"/>
        <v>41861.28</v>
      </c>
      <c r="AB175" s="56">
        <v>19.0</v>
      </c>
      <c r="AC175" s="24">
        <v>859865.13</v>
      </c>
      <c r="AD175" s="24">
        <v>36224.89</v>
      </c>
      <c r="AE175" s="24">
        <v>4666.06</v>
      </c>
      <c r="AF175" s="24">
        <v>1242.0</v>
      </c>
      <c r="AG175" s="24">
        <v>3720.91</v>
      </c>
      <c r="AH175" s="24">
        <v>0.0</v>
      </c>
      <c r="AI175" s="24">
        <v>8003.02</v>
      </c>
      <c r="AJ175" s="24">
        <v>7569.44</v>
      </c>
      <c r="AK175" s="15">
        <v>1.0</v>
      </c>
      <c r="AL175" s="16">
        <v>40987.59</v>
      </c>
      <c r="AM175" s="16">
        <v>1550.0</v>
      </c>
      <c r="AN175" s="16">
        <v>690.0</v>
      </c>
      <c r="AO175" s="16">
        <v>600.0</v>
      </c>
      <c r="AP175" s="16">
        <v>357.59</v>
      </c>
      <c r="AQ175" s="16">
        <v>245.0</v>
      </c>
      <c r="AR175" s="16">
        <v>0.0</v>
      </c>
      <c r="AS175" s="7">
        <v>10112.49</v>
      </c>
      <c r="AT175" s="7">
        <v>690.0</v>
      </c>
      <c r="AU175" s="7">
        <v>5801.83</v>
      </c>
      <c r="AV175" s="7">
        <v>4886.69</v>
      </c>
      <c r="AW175" s="7">
        <v>1550.0</v>
      </c>
      <c r="AX175" s="7">
        <f>1694.98-AT175</f>
        <v>1004.98</v>
      </c>
      <c r="AY175" s="7">
        <f t="shared" si="350"/>
        <v>24045.99</v>
      </c>
      <c r="AZ175" s="8"/>
      <c r="BA175" s="9"/>
      <c r="BB175" s="10"/>
      <c r="BC175" s="10"/>
    </row>
    <row r="176">
      <c r="A176" s="11">
        <v>2024.0</v>
      </c>
      <c r="B176" s="11" t="s">
        <v>57</v>
      </c>
      <c r="C176" s="12">
        <v>45581.0</v>
      </c>
      <c r="D176" s="44">
        <v>14.0</v>
      </c>
      <c r="E176" s="26">
        <v>1332966.3</v>
      </c>
      <c r="F176" s="26">
        <v>40899.43</v>
      </c>
      <c r="G176" s="26">
        <v>3956.99</v>
      </c>
      <c r="H176" s="26">
        <v>1518.0</v>
      </c>
      <c r="I176" s="26">
        <v>2014.21</v>
      </c>
      <c r="J176" s="26">
        <v>1286.89</v>
      </c>
      <c r="K176" s="26">
        <v>10803.29</v>
      </c>
      <c r="L176" s="26">
        <v>22438.94</v>
      </c>
      <c r="M176" s="15">
        <v>2.0</v>
      </c>
      <c r="N176" s="16">
        <v>115000.0</v>
      </c>
      <c r="O176" s="16">
        <f t="shared" si="338"/>
        <v>4600</v>
      </c>
      <c r="P176" s="16">
        <f t="shared" si="339"/>
        <v>1932</v>
      </c>
      <c r="Q176" s="16">
        <f t="shared" si="340"/>
        <v>1104</v>
      </c>
      <c r="R176" s="16">
        <f t="shared" si="341"/>
        <v>478.38</v>
      </c>
      <c r="S176" s="17">
        <f t="shared" si="342"/>
        <v>786.84</v>
      </c>
      <c r="T176" s="17">
        <f t="shared" si="343"/>
        <v>276</v>
      </c>
      <c r="U176" s="7">
        <v>13358.14</v>
      </c>
      <c r="V176" s="18">
        <f t="shared" si="344"/>
        <v>1932</v>
      </c>
      <c r="W176" s="7">
        <f t="shared" si="345"/>
        <v>2492.59</v>
      </c>
      <c r="X176" s="7">
        <f t="shared" si="346"/>
        <v>1286.89</v>
      </c>
      <c r="Y176" s="18">
        <f t="shared" si="348"/>
        <v>4600</v>
      </c>
      <c r="Z176" s="18">
        <f t="shared" si="349"/>
        <v>1104</v>
      </c>
      <c r="AA176" s="18">
        <f t="shared" si="347"/>
        <v>24773.62</v>
      </c>
      <c r="AB176" s="56">
        <v>10.0</v>
      </c>
      <c r="AC176" s="24">
        <v>1150444.58</v>
      </c>
      <c r="AD176" s="24">
        <v>31727.27</v>
      </c>
      <c r="AE176" s="24">
        <v>2621.46</v>
      </c>
      <c r="AF176" s="24">
        <v>966.0</v>
      </c>
      <c r="AG176" s="24">
        <v>1334.39</v>
      </c>
      <c r="AH176" s="24">
        <v>0.0</v>
      </c>
      <c r="AI176" s="24">
        <v>7210.85</v>
      </c>
      <c r="AJ176" s="24">
        <v>19594.57</v>
      </c>
      <c r="AK176" s="15">
        <v>3.0</v>
      </c>
      <c r="AL176" s="16">
        <v>159934.25</v>
      </c>
      <c r="AM176" s="16">
        <v>6105.0</v>
      </c>
      <c r="AN176" s="16">
        <v>3128.0</v>
      </c>
      <c r="AO176" s="16">
        <v>1800.0</v>
      </c>
      <c r="AP176" s="16">
        <v>1388.65</v>
      </c>
      <c r="AQ176" s="16">
        <v>743.13</v>
      </c>
      <c r="AR176" s="16">
        <v>0.0</v>
      </c>
      <c r="AS176" s="7">
        <v>16344.52</v>
      </c>
      <c r="AT176" s="7">
        <v>2860.0</v>
      </c>
      <c r="AU176" s="7">
        <v>6145.22</v>
      </c>
      <c r="AV176" s="7">
        <v>3317.51</v>
      </c>
      <c r="AW176" s="7">
        <v>6425.0</v>
      </c>
      <c r="AX176" s="7">
        <f>5339.75-AT176</f>
        <v>2479.75</v>
      </c>
      <c r="AY176" s="7">
        <f t="shared" si="350"/>
        <v>37572</v>
      </c>
      <c r="AZ176" s="8"/>
      <c r="BA176" s="9"/>
      <c r="BB176" s="10"/>
      <c r="BC176" s="10"/>
    </row>
    <row r="177">
      <c r="A177" s="11">
        <v>2024.0</v>
      </c>
      <c r="B177" s="11" t="s">
        <v>57</v>
      </c>
      <c r="C177" s="12">
        <v>45582.0</v>
      </c>
      <c r="D177" s="44">
        <v>12.0</v>
      </c>
      <c r="E177" s="26">
        <v>1152739.26</v>
      </c>
      <c r="F177" s="26">
        <v>42476.22</v>
      </c>
      <c r="G177" s="26">
        <v>3917.16</v>
      </c>
      <c r="H177" s="26">
        <v>1380.0</v>
      </c>
      <c r="I177" s="26">
        <v>1676.77</v>
      </c>
      <c r="J177" s="26">
        <v>18404.81</v>
      </c>
      <c r="K177" s="26">
        <v>45335.26</v>
      </c>
      <c r="L177" s="26">
        <v>21402.63</v>
      </c>
      <c r="M177" s="15">
        <v>1.0</v>
      </c>
      <c r="N177" s="16">
        <v>347000.0</v>
      </c>
      <c r="O177" s="16">
        <f t="shared" si="338"/>
        <v>13880</v>
      </c>
      <c r="P177" s="16">
        <f t="shared" si="339"/>
        <v>5829.6</v>
      </c>
      <c r="Q177" s="16">
        <f t="shared" si="340"/>
        <v>552</v>
      </c>
      <c r="R177" s="16">
        <f t="shared" si="341"/>
        <v>239.19</v>
      </c>
      <c r="S177" s="17">
        <f t="shared" si="342"/>
        <v>393.42</v>
      </c>
      <c r="T177" s="17">
        <f t="shared" si="343"/>
        <v>138</v>
      </c>
      <c r="U177" s="7">
        <v>9278.65</v>
      </c>
      <c r="V177" s="18">
        <f t="shared" si="344"/>
        <v>5829.6</v>
      </c>
      <c r="W177" s="7">
        <f t="shared" si="345"/>
        <v>1915.96</v>
      </c>
      <c r="X177" s="7">
        <f t="shared" si="346"/>
        <v>18404.81</v>
      </c>
      <c r="Y177" s="18">
        <f t="shared" si="348"/>
        <v>13880</v>
      </c>
      <c r="Z177" s="18">
        <f t="shared" si="349"/>
        <v>552</v>
      </c>
      <c r="AA177" s="18">
        <f t="shared" si="347"/>
        <v>49861.02</v>
      </c>
      <c r="AB177" s="56">
        <v>5.0</v>
      </c>
      <c r="AC177" s="24">
        <v>387247.15</v>
      </c>
      <c r="AD177" s="24">
        <v>17669.91</v>
      </c>
      <c r="AE177" s="24">
        <v>2068.81</v>
      </c>
      <c r="AF177" s="24">
        <v>552.0</v>
      </c>
      <c r="AG177" s="24">
        <v>816.57</v>
      </c>
      <c r="AH177" s="24">
        <v>0.0</v>
      </c>
      <c r="AI177" s="24">
        <v>7322.23</v>
      </c>
      <c r="AJ177" s="24">
        <v>6910.3</v>
      </c>
      <c r="AK177" s="15">
        <v>2.0</v>
      </c>
      <c r="AL177" s="16">
        <v>302753.45</v>
      </c>
      <c r="AM177" s="16">
        <v>11450.0</v>
      </c>
      <c r="AN177" s="16">
        <v>5096.0</v>
      </c>
      <c r="AO177" s="16">
        <v>1200.0</v>
      </c>
      <c r="AP177" s="16">
        <v>950.41</v>
      </c>
      <c r="AQ177" s="16">
        <v>1007.05</v>
      </c>
      <c r="AR177" s="16">
        <v>0.0</v>
      </c>
      <c r="AS177" s="7">
        <v>56541.28</v>
      </c>
      <c r="AT177" s="7">
        <v>5792.6</v>
      </c>
      <c r="AU177" s="7">
        <v>4167.69</v>
      </c>
      <c r="AV177" s="7">
        <v>35592.57</v>
      </c>
      <c r="AW177" s="7">
        <v>12091.0</v>
      </c>
      <c r="AX177" s="7">
        <f>8939.31-AT177</f>
        <v>3146.71</v>
      </c>
      <c r="AY177" s="7">
        <f t="shared" si="350"/>
        <v>117331.85</v>
      </c>
      <c r="AZ177" s="8"/>
      <c r="BA177" s="9"/>
      <c r="BB177" s="10"/>
      <c r="BC177" s="10"/>
    </row>
    <row r="178">
      <c r="A178" s="11">
        <v>2024.0</v>
      </c>
      <c r="B178" s="11" t="s">
        <v>57</v>
      </c>
      <c r="C178" s="12">
        <v>45583.0</v>
      </c>
      <c r="D178" s="44">
        <v>8.0</v>
      </c>
      <c r="E178" s="26">
        <v>274679.57</v>
      </c>
      <c r="F178" s="26">
        <v>18006.53</v>
      </c>
      <c r="G178" s="26">
        <v>2785.08</v>
      </c>
      <c r="H178" s="26">
        <v>1104.0</v>
      </c>
      <c r="I178" s="26">
        <v>767.8</v>
      </c>
      <c r="J178" s="26">
        <v>2429.43</v>
      </c>
      <c r="K178" s="26">
        <v>17670.86</v>
      </c>
      <c r="L178" s="26">
        <v>5144.69</v>
      </c>
      <c r="M178" s="15">
        <v>4.0</v>
      </c>
      <c r="N178" s="16">
        <v>455000.0</v>
      </c>
      <c r="O178" s="16">
        <f t="shared" si="338"/>
        <v>18200</v>
      </c>
      <c r="P178" s="16">
        <f t="shared" si="339"/>
        <v>7644</v>
      </c>
      <c r="Q178" s="16">
        <f t="shared" si="340"/>
        <v>2208</v>
      </c>
      <c r="R178" s="16">
        <f t="shared" si="341"/>
        <v>956.76</v>
      </c>
      <c r="S178" s="17">
        <f t="shared" si="342"/>
        <v>1573.68</v>
      </c>
      <c r="T178" s="17">
        <f t="shared" si="343"/>
        <v>552</v>
      </c>
      <c r="U178" s="7">
        <v>8944.94</v>
      </c>
      <c r="V178" s="18">
        <f t="shared" si="344"/>
        <v>7644</v>
      </c>
      <c r="W178" s="7">
        <f t="shared" si="345"/>
        <v>1724.56</v>
      </c>
      <c r="X178" s="7">
        <f t="shared" si="346"/>
        <v>2429.43</v>
      </c>
      <c r="Y178" s="18">
        <f t="shared" si="348"/>
        <v>18200</v>
      </c>
      <c r="Z178" s="18">
        <f t="shared" si="349"/>
        <v>2208</v>
      </c>
      <c r="AA178" s="18">
        <f t="shared" si="347"/>
        <v>41150.93</v>
      </c>
      <c r="AB178" s="56">
        <v>3.0</v>
      </c>
      <c r="AC178" s="24">
        <v>167403.98</v>
      </c>
      <c r="AD178" s="24">
        <v>8083.4</v>
      </c>
      <c r="AE178" s="24">
        <v>1133.19</v>
      </c>
      <c r="AF178" s="24">
        <v>414.0</v>
      </c>
      <c r="AG178" s="24">
        <v>384.54</v>
      </c>
      <c r="AH178" s="24">
        <v>0.0</v>
      </c>
      <c r="AI178" s="24">
        <v>3339.28</v>
      </c>
      <c r="AJ178" s="24">
        <v>2812.39</v>
      </c>
      <c r="AK178" s="15">
        <v>1.0</v>
      </c>
      <c r="AL178" s="16">
        <v>61596.75</v>
      </c>
      <c r="AM178" s="16">
        <v>2330.0</v>
      </c>
      <c r="AN178" s="16">
        <v>1037.0</v>
      </c>
      <c r="AO178" s="16">
        <v>600.0</v>
      </c>
      <c r="AP178" s="16">
        <v>434.75</v>
      </c>
      <c r="AQ178" s="16">
        <v>245.0</v>
      </c>
      <c r="AR178" s="16">
        <v>0.0</v>
      </c>
      <c r="AS178" s="7">
        <v>4913.45</v>
      </c>
      <c r="AT178" s="7">
        <v>0.0</v>
      </c>
      <c r="AU178" s="7">
        <v>2567.94</v>
      </c>
      <c r="AV178" s="7">
        <v>949.7</v>
      </c>
      <c r="AW178" s="7">
        <v>5035.0</v>
      </c>
      <c r="AX178" s="7">
        <v>4420.98</v>
      </c>
      <c r="AY178" s="7">
        <f t="shared" si="350"/>
        <v>17887.07</v>
      </c>
      <c r="AZ178" s="8"/>
      <c r="BA178" s="9"/>
      <c r="BB178" s="10"/>
      <c r="BC178" s="10"/>
    </row>
    <row r="179">
      <c r="A179" s="11">
        <v>2024.0</v>
      </c>
      <c r="B179" s="11" t="s">
        <v>57</v>
      </c>
      <c r="C179" s="1"/>
      <c r="D179" s="2">
        <v>93.0</v>
      </c>
      <c r="E179" s="2"/>
      <c r="F179" s="50" t="s">
        <v>58</v>
      </c>
      <c r="G179" s="33"/>
      <c r="H179" s="33"/>
      <c r="I179" s="33"/>
      <c r="J179" s="33"/>
      <c r="K179" s="33"/>
      <c r="L179" s="33"/>
      <c r="M179" s="15">
        <v>6.0</v>
      </c>
      <c r="N179" s="51">
        <v>393000.0</v>
      </c>
      <c r="O179" s="35"/>
      <c r="P179" s="35"/>
      <c r="Q179" s="35"/>
      <c r="R179" s="35"/>
      <c r="S179" s="35"/>
      <c r="T179" s="35"/>
      <c r="U179" s="37"/>
      <c r="V179" s="48"/>
      <c r="W179" s="48"/>
      <c r="X179" s="37"/>
      <c r="Y179" s="48"/>
      <c r="Z179" s="48"/>
      <c r="AA179" s="48"/>
      <c r="AB179" s="2"/>
      <c r="AC179" s="33"/>
      <c r="AD179" s="2"/>
      <c r="AE179" s="33"/>
      <c r="AF179" s="33"/>
      <c r="AG179" s="33"/>
      <c r="AH179" s="33"/>
      <c r="AI179" s="33"/>
      <c r="AJ179" s="33"/>
      <c r="AK179" s="4"/>
      <c r="AL179" s="4"/>
      <c r="AM179" s="35"/>
      <c r="AN179" s="35"/>
      <c r="AO179" s="35"/>
      <c r="AP179" s="35"/>
      <c r="AQ179" s="35"/>
      <c r="AR179" s="35"/>
      <c r="AS179" s="37"/>
      <c r="AT179" s="48"/>
      <c r="AU179" s="48"/>
      <c r="AV179" s="48"/>
      <c r="AW179" s="48"/>
      <c r="AX179" s="48"/>
      <c r="AY179" s="48"/>
      <c r="AZ179" s="38"/>
      <c r="BA179" s="39"/>
      <c r="BB179" s="40"/>
      <c r="BC179" s="40"/>
    </row>
    <row r="180">
      <c r="A180" s="1">
        <v>2024.0</v>
      </c>
      <c r="B180" s="1" t="s">
        <v>57</v>
      </c>
      <c r="C180" s="1" t="s">
        <v>49</v>
      </c>
      <c r="D180" s="33">
        <f t="shared" ref="D180:L180" si="351">SUM(D172:D178)</f>
        <v>98</v>
      </c>
      <c r="E180" s="34">
        <f t="shared" si="351"/>
        <v>7433269.58</v>
      </c>
      <c r="F180" s="34">
        <f t="shared" si="351"/>
        <v>297352.34</v>
      </c>
      <c r="G180" s="34">
        <f t="shared" si="351"/>
        <v>30504.23</v>
      </c>
      <c r="H180" s="34">
        <f t="shared" si="351"/>
        <v>10626</v>
      </c>
      <c r="I180" s="34">
        <f t="shared" si="351"/>
        <v>16816.24</v>
      </c>
      <c r="J180" s="34">
        <f t="shared" si="351"/>
        <v>89333.76</v>
      </c>
      <c r="K180" s="34">
        <f t="shared" si="351"/>
        <v>176113.05</v>
      </c>
      <c r="L180" s="34">
        <f t="shared" si="351"/>
        <v>123128.71</v>
      </c>
      <c r="M180" s="35">
        <f t="shared" ref="M180:N180" si="352">SUM(M172:M179)</f>
        <v>15</v>
      </c>
      <c r="N180" s="36">
        <f t="shared" si="352"/>
        <v>1530987.59</v>
      </c>
      <c r="O180" s="36">
        <f t="shared" ref="O180:AJ180" si="353">SUM(O172:O178)</f>
        <v>45519.5036</v>
      </c>
      <c r="P180" s="36">
        <f t="shared" si="353"/>
        <v>19118.19151</v>
      </c>
      <c r="Q180" s="36">
        <f t="shared" si="353"/>
        <v>4968</v>
      </c>
      <c r="R180" s="36">
        <f t="shared" si="353"/>
        <v>2152.71</v>
      </c>
      <c r="S180" s="36">
        <f t="shared" si="353"/>
        <v>3540.78</v>
      </c>
      <c r="T180" s="36">
        <f t="shared" si="353"/>
        <v>1242</v>
      </c>
      <c r="U180" s="37">
        <f t="shared" si="353"/>
        <v>75542.46</v>
      </c>
      <c r="V180" s="37">
        <f t="shared" si="353"/>
        <v>19118.19151</v>
      </c>
      <c r="W180" s="37">
        <f t="shared" si="353"/>
        <v>18968.95</v>
      </c>
      <c r="X180" s="37">
        <f t="shared" si="353"/>
        <v>89333.76</v>
      </c>
      <c r="Y180" s="37">
        <f t="shared" si="353"/>
        <v>45519.5036</v>
      </c>
      <c r="Z180" s="37">
        <f t="shared" si="353"/>
        <v>4968</v>
      </c>
      <c r="AA180" s="37">
        <f t="shared" si="353"/>
        <v>253450.8651</v>
      </c>
      <c r="AB180" s="33">
        <f t="shared" si="353"/>
        <v>50</v>
      </c>
      <c r="AC180" s="34">
        <f t="shared" si="353"/>
        <v>3091571.68</v>
      </c>
      <c r="AD180" s="34">
        <f t="shared" si="353"/>
        <v>120801.75</v>
      </c>
      <c r="AE180" s="34">
        <f t="shared" si="353"/>
        <v>14329.98</v>
      </c>
      <c r="AF180" s="34">
        <f t="shared" si="353"/>
        <v>4830</v>
      </c>
      <c r="AG180" s="34">
        <f t="shared" si="353"/>
        <v>7995.41</v>
      </c>
      <c r="AH180" s="34">
        <f t="shared" si="353"/>
        <v>0</v>
      </c>
      <c r="AI180" s="34">
        <f t="shared" si="353"/>
        <v>35675.99</v>
      </c>
      <c r="AJ180" s="34">
        <f t="shared" si="353"/>
        <v>46946.91</v>
      </c>
      <c r="AK180" s="35">
        <f t="shared" ref="AK180:AL180" si="354">SUM(AK172:AK179)</f>
        <v>7</v>
      </c>
      <c r="AL180" s="36">
        <f t="shared" si="354"/>
        <v>565272.04</v>
      </c>
      <c r="AM180" s="36">
        <f t="shared" ref="AM180:AY180" si="355">SUM(AM172:AM178)</f>
        <v>21435</v>
      </c>
      <c r="AN180" s="36">
        <f t="shared" si="355"/>
        <v>9951</v>
      </c>
      <c r="AO180" s="36">
        <f t="shared" si="355"/>
        <v>4200</v>
      </c>
      <c r="AP180" s="36">
        <f t="shared" si="355"/>
        <v>3131.4</v>
      </c>
      <c r="AQ180" s="36">
        <f t="shared" si="355"/>
        <v>2240.18</v>
      </c>
      <c r="AR180" s="36">
        <f t="shared" si="355"/>
        <v>0</v>
      </c>
      <c r="AS180" s="37">
        <f t="shared" si="355"/>
        <v>115311.31</v>
      </c>
      <c r="AT180" s="37">
        <f t="shared" si="355"/>
        <v>10453.6</v>
      </c>
      <c r="AU180" s="37">
        <f t="shared" si="355"/>
        <v>21761.81</v>
      </c>
      <c r="AV180" s="37">
        <f t="shared" si="355"/>
        <v>46026.69</v>
      </c>
      <c r="AW180" s="37">
        <f t="shared" si="355"/>
        <v>27597</v>
      </c>
      <c r="AX180" s="37">
        <f t="shared" si="355"/>
        <v>12112.45</v>
      </c>
      <c r="AY180" s="37">
        <f t="shared" si="355"/>
        <v>233262.86</v>
      </c>
      <c r="AZ180" s="38"/>
      <c r="BA180" s="39"/>
      <c r="BB180" s="40"/>
      <c r="BC180" s="40"/>
    </row>
    <row r="181">
      <c r="A181" s="11">
        <v>2024.0</v>
      </c>
      <c r="B181" s="11" t="s">
        <v>57</v>
      </c>
      <c r="C181" s="12">
        <v>45584.0</v>
      </c>
      <c r="D181" s="44">
        <v>15.0</v>
      </c>
      <c r="E181" s="26">
        <v>1033105.74</v>
      </c>
      <c r="F181" s="26">
        <v>39368.68</v>
      </c>
      <c r="G181" s="26">
        <v>4067.38</v>
      </c>
      <c r="H181" s="26">
        <v>1380.0</v>
      </c>
      <c r="I181" s="26">
        <v>1393.63</v>
      </c>
      <c r="J181" s="26">
        <v>0.0</v>
      </c>
      <c r="K181" s="26">
        <v>13657.17</v>
      </c>
      <c r="L181" s="26">
        <v>18360.59</v>
      </c>
      <c r="M181" s="15">
        <v>0.0</v>
      </c>
      <c r="N181" s="16">
        <v>0.0</v>
      </c>
      <c r="O181" s="16">
        <f t="shared" ref="O181:O187" si="356">N181*4%</f>
        <v>0</v>
      </c>
      <c r="P181" s="16">
        <f t="shared" ref="P181:P187" si="357">N181*1.68%</f>
        <v>0</v>
      </c>
      <c r="Q181" s="16">
        <f t="shared" ref="Q181:Q187" si="358">M181*(250+300+2)</f>
        <v>0</v>
      </c>
      <c r="R181" s="16">
        <f t="shared" ref="R181:R187" si="359">M181*239.19</f>
        <v>0</v>
      </c>
      <c r="S181" s="17">
        <f t="shared" ref="S181:S187" si="360">M181*393.42</f>
        <v>0</v>
      </c>
      <c r="T181" s="17">
        <f t="shared" ref="T181:T187" si="361">M181*138</f>
        <v>0</v>
      </c>
      <c r="U181" s="7">
        <v>5792.04</v>
      </c>
      <c r="V181" s="18">
        <f t="shared" ref="V181:V187" si="362">P181</f>
        <v>0</v>
      </c>
      <c r="W181" s="7">
        <f t="shared" ref="W181:W187" si="363">I181+R181</f>
        <v>1393.63</v>
      </c>
      <c r="X181" s="7">
        <f t="shared" ref="X181:X187" si="364">J181</f>
        <v>0</v>
      </c>
      <c r="Y181" s="7">
        <v>0.0</v>
      </c>
      <c r="Z181" s="7">
        <v>0.0</v>
      </c>
      <c r="AA181" s="18">
        <f t="shared" ref="AA181:AA187" si="365">SUM(U181:Z181)</f>
        <v>7185.67</v>
      </c>
      <c r="AB181" s="56">
        <v>11.0</v>
      </c>
      <c r="AC181" s="24">
        <v>970606.17</v>
      </c>
      <c r="AD181" s="24">
        <v>33023.46</v>
      </c>
      <c r="AE181" s="24">
        <v>3619.56</v>
      </c>
      <c r="AF181" s="24">
        <v>1242.0</v>
      </c>
      <c r="AG181" s="24">
        <v>1216.75</v>
      </c>
      <c r="AH181" s="24">
        <v>0.0</v>
      </c>
      <c r="AI181" s="24">
        <v>9731.28</v>
      </c>
      <c r="AJ181" s="24">
        <v>17213.87</v>
      </c>
      <c r="AK181" s="15">
        <v>0.0</v>
      </c>
      <c r="AL181" s="16">
        <v>0.0</v>
      </c>
      <c r="AM181" s="16">
        <v>0.0</v>
      </c>
      <c r="AN181" s="16">
        <v>0.0</v>
      </c>
      <c r="AO181" s="16">
        <v>0.0</v>
      </c>
      <c r="AP181" s="16">
        <v>0.0</v>
      </c>
      <c r="AQ181" s="16">
        <v>0.0</v>
      </c>
      <c r="AR181" s="16">
        <v>0.0</v>
      </c>
      <c r="AS181" s="7">
        <v>0.0</v>
      </c>
      <c r="AT181" s="7">
        <v>0.0</v>
      </c>
      <c r="AU181" s="7">
        <v>0.0</v>
      </c>
      <c r="AV181" s="7">
        <v>0.0</v>
      </c>
      <c r="AW181" s="7">
        <v>0.0</v>
      </c>
      <c r="AX181" s="7">
        <v>0.0</v>
      </c>
      <c r="AY181" s="7">
        <v>0.0</v>
      </c>
      <c r="AZ181" s="8"/>
      <c r="BA181" s="9"/>
      <c r="BB181" s="10"/>
      <c r="BC181" s="10"/>
    </row>
    <row r="182">
      <c r="A182" s="11">
        <v>2024.0</v>
      </c>
      <c r="B182" s="11" t="s">
        <v>57</v>
      </c>
      <c r="C182" s="12">
        <v>45585.0</v>
      </c>
      <c r="D182" s="44">
        <v>12.0</v>
      </c>
      <c r="E182" s="26">
        <v>755851.61</v>
      </c>
      <c r="F182" s="26">
        <v>34502.82</v>
      </c>
      <c r="G182" s="26">
        <v>4786.87</v>
      </c>
      <c r="H182" s="26">
        <v>1656.0</v>
      </c>
      <c r="I182" s="26">
        <v>1917.06</v>
      </c>
      <c r="J182" s="26">
        <v>1837.64</v>
      </c>
      <c r="K182" s="26">
        <v>12664.96</v>
      </c>
      <c r="L182" s="26">
        <v>13477.93</v>
      </c>
      <c r="M182" s="15">
        <v>0.0</v>
      </c>
      <c r="N182" s="16">
        <v>0.0</v>
      </c>
      <c r="O182" s="16">
        <f t="shared" si="356"/>
        <v>0</v>
      </c>
      <c r="P182" s="16">
        <f t="shared" si="357"/>
        <v>0</v>
      </c>
      <c r="Q182" s="16">
        <f t="shared" si="358"/>
        <v>0</v>
      </c>
      <c r="R182" s="16">
        <f t="shared" si="359"/>
        <v>0</v>
      </c>
      <c r="S182" s="17">
        <f t="shared" si="360"/>
        <v>0</v>
      </c>
      <c r="T182" s="17">
        <f t="shared" si="361"/>
        <v>0</v>
      </c>
      <c r="U182" s="7">
        <v>10669.28</v>
      </c>
      <c r="V182" s="18">
        <f t="shared" si="362"/>
        <v>0</v>
      </c>
      <c r="W182" s="7">
        <f t="shared" si="363"/>
        <v>1917.06</v>
      </c>
      <c r="X182" s="7">
        <f t="shared" si="364"/>
        <v>1837.64</v>
      </c>
      <c r="Y182" s="7">
        <v>0.0</v>
      </c>
      <c r="Z182" s="7">
        <v>0.0</v>
      </c>
      <c r="AA182" s="18">
        <f t="shared" si="365"/>
        <v>14423.98</v>
      </c>
      <c r="AB182" s="56">
        <v>5.0</v>
      </c>
      <c r="AC182" s="24">
        <v>292356.93</v>
      </c>
      <c r="AD182" s="24">
        <v>14046.48</v>
      </c>
      <c r="AE182" s="24">
        <v>2065.91</v>
      </c>
      <c r="AF182" s="24">
        <v>690.0</v>
      </c>
      <c r="AG182" s="24">
        <v>766.9</v>
      </c>
      <c r="AH182" s="24">
        <v>0.0</v>
      </c>
      <c r="AI182" s="24">
        <v>4839.03</v>
      </c>
      <c r="AJ182" s="24">
        <v>5684.64</v>
      </c>
      <c r="AK182" s="15">
        <v>0.0</v>
      </c>
      <c r="AL182" s="16">
        <v>0.0</v>
      </c>
      <c r="AM182" s="16">
        <v>0.0</v>
      </c>
      <c r="AN182" s="16">
        <v>0.0</v>
      </c>
      <c r="AO182" s="16">
        <v>0.0</v>
      </c>
      <c r="AP182" s="16">
        <v>0.0</v>
      </c>
      <c r="AQ182" s="16">
        <v>0.0</v>
      </c>
      <c r="AR182" s="16">
        <v>0.0</v>
      </c>
      <c r="AS182" s="7">
        <v>0.0</v>
      </c>
      <c r="AT182" s="7">
        <v>0.0</v>
      </c>
      <c r="AU182" s="7">
        <v>0.0</v>
      </c>
      <c r="AV182" s="7">
        <v>0.0</v>
      </c>
      <c r="AW182" s="7">
        <v>0.0</v>
      </c>
      <c r="AX182" s="7">
        <v>0.0</v>
      </c>
      <c r="AY182" s="7">
        <v>0.0</v>
      </c>
      <c r="AZ182" s="8"/>
      <c r="BA182" s="9"/>
      <c r="BB182" s="10"/>
      <c r="BC182" s="10"/>
    </row>
    <row r="183">
      <c r="A183" s="11">
        <v>2024.0</v>
      </c>
      <c r="B183" s="11" t="s">
        <v>57</v>
      </c>
      <c r="C183" s="12">
        <v>45586.0</v>
      </c>
      <c r="D183" s="44">
        <v>7.0</v>
      </c>
      <c r="E183" s="26">
        <v>396736.22</v>
      </c>
      <c r="F183" s="26">
        <v>16536.96</v>
      </c>
      <c r="G183" s="26">
        <v>2250.97</v>
      </c>
      <c r="H183" s="26">
        <v>966.0</v>
      </c>
      <c r="I183" s="26">
        <v>1183.3</v>
      </c>
      <c r="J183" s="26">
        <v>0.0</v>
      </c>
      <c r="K183" s="26">
        <v>5471.52</v>
      </c>
      <c r="L183" s="26">
        <v>6665.17</v>
      </c>
      <c r="M183" s="15">
        <v>1.0</v>
      </c>
      <c r="N183" s="16">
        <v>108144.78</v>
      </c>
      <c r="O183" s="16">
        <f t="shared" si="356"/>
        <v>4325.7912</v>
      </c>
      <c r="P183" s="16">
        <f t="shared" si="357"/>
        <v>1816.832304</v>
      </c>
      <c r="Q183" s="16">
        <f t="shared" si="358"/>
        <v>552</v>
      </c>
      <c r="R183" s="16">
        <f t="shared" si="359"/>
        <v>239.19</v>
      </c>
      <c r="S183" s="17">
        <f t="shared" si="360"/>
        <v>393.42</v>
      </c>
      <c r="T183" s="17">
        <f t="shared" si="361"/>
        <v>138</v>
      </c>
      <c r="U183" s="7">
        <v>1234.62</v>
      </c>
      <c r="V183" s="18">
        <f t="shared" si="362"/>
        <v>1816.832304</v>
      </c>
      <c r="W183" s="7">
        <f t="shared" si="363"/>
        <v>1422.49</v>
      </c>
      <c r="X183" s="7">
        <f t="shared" si="364"/>
        <v>0</v>
      </c>
      <c r="Y183" s="7">
        <f t="shared" ref="Y183:Y187" si="366">O183</f>
        <v>4325.7912</v>
      </c>
      <c r="Z183" s="7">
        <f t="shared" ref="Z183:Z187" si="367">Q183</f>
        <v>552</v>
      </c>
      <c r="AA183" s="18">
        <f t="shared" si="365"/>
        <v>9351.733504</v>
      </c>
      <c r="AB183" s="56">
        <v>6.0</v>
      </c>
      <c r="AC183" s="24">
        <v>283571.12</v>
      </c>
      <c r="AD183" s="24">
        <v>12413.0</v>
      </c>
      <c r="AE183" s="24">
        <v>1766.66</v>
      </c>
      <c r="AF183" s="24">
        <v>828.0</v>
      </c>
      <c r="AG183" s="24">
        <v>990.99</v>
      </c>
      <c r="AH183" s="24">
        <v>0.0</v>
      </c>
      <c r="AI183" s="24">
        <v>4063.36</v>
      </c>
      <c r="AJ183" s="24">
        <v>4763.99</v>
      </c>
      <c r="AK183" s="15">
        <v>0.0</v>
      </c>
      <c r="AL183" s="16">
        <v>0.0</v>
      </c>
      <c r="AM183" s="16">
        <v>0.0</v>
      </c>
      <c r="AN183" s="16">
        <v>0.0</v>
      </c>
      <c r="AO183" s="16">
        <v>0.0</v>
      </c>
      <c r="AP183" s="16">
        <v>0.0</v>
      </c>
      <c r="AQ183" s="16">
        <v>0.0</v>
      </c>
      <c r="AR183" s="16">
        <v>0.0</v>
      </c>
      <c r="AS183" s="7">
        <v>21676.74</v>
      </c>
      <c r="AT183" s="7">
        <v>0.0</v>
      </c>
      <c r="AU183" s="7">
        <v>5290.99</v>
      </c>
      <c r="AV183" s="7">
        <v>1735.61</v>
      </c>
      <c r="AW183" s="7">
        <v>0.0</v>
      </c>
      <c r="AX183" s="7">
        <v>115.11</v>
      </c>
      <c r="AY183" s="7">
        <f t="shared" ref="AY183:AY187" si="368">SUM(AS183:AX183)</f>
        <v>28818.45</v>
      </c>
      <c r="AZ183" s="8"/>
      <c r="BA183" s="9"/>
      <c r="BB183" s="10"/>
      <c r="BC183" s="10"/>
    </row>
    <row r="184">
      <c r="A184" s="11">
        <v>2024.0</v>
      </c>
      <c r="B184" s="11" t="s">
        <v>57</v>
      </c>
      <c r="C184" s="12">
        <v>45587.0</v>
      </c>
      <c r="D184" s="44">
        <v>11.0</v>
      </c>
      <c r="E184" s="26">
        <v>569382.72</v>
      </c>
      <c r="F184" s="26">
        <v>26369.28</v>
      </c>
      <c r="G184" s="26">
        <v>3798.47</v>
      </c>
      <c r="H184" s="26">
        <v>1518.0</v>
      </c>
      <c r="I184" s="26">
        <v>1500.61</v>
      </c>
      <c r="J184" s="26">
        <v>2670.01</v>
      </c>
      <c r="K184" s="26">
        <v>12734.75</v>
      </c>
      <c r="L184" s="26">
        <v>9942.3</v>
      </c>
      <c r="M184" s="15">
        <v>2.0</v>
      </c>
      <c r="N184" s="16">
        <v>210000.0</v>
      </c>
      <c r="O184" s="16">
        <f t="shared" si="356"/>
        <v>8400</v>
      </c>
      <c r="P184" s="16">
        <f t="shared" si="357"/>
        <v>3528</v>
      </c>
      <c r="Q184" s="16">
        <f t="shared" si="358"/>
        <v>1104</v>
      </c>
      <c r="R184" s="16">
        <f t="shared" si="359"/>
        <v>478.38</v>
      </c>
      <c r="S184" s="17">
        <f t="shared" si="360"/>
        <v>786.84</v>
      </c>
      <c r="T184" s="17">
        <f t="shared" si="361"/>
        <v>276</v>
      </c>
      <c r="U184" s="7">
        <v>5051.17</v>
      </c>
      <c r="V184" s="18">
        <f t="shared" si="362"/>
        <v>3528</v>
      </c>
      <c r="W184" s="7">
        <f t="shared" si="363"/>
        <v>1978.99</v>
      </c>
      <c r="X184" s="7">
        <f t="shared" si="364"/>
        <v>2670.01</v>
      </c>
      <c r="Y184" s="18">
        <f t="shared" si="366"/>
        <v>8400</v>
      </c>
      <c r="Z184" s="18">
        <f t="shared" si="367"/>
        <v>1104</v>
      </c>
      <c r="AA184" s="18">
        <f t="shared" si="365"/>
        <v>22732.17</v>
      </c>
      <c r="AB184" s="56">
        <v>7.0</v>
      </c>
      <c r="AC184" s="24">
        <v>278472.56</v>
      </c>
      <c r="AD184" s="24">
        <v>14245.67</v>
      </c>
      <c r="AE184" s="24">
        <v>2082.39</v>
      </c>
      <c r="AF184" s="24">
        <v>966.0</v>
      </c>
      <c r="AG184" s="24">
        <v>1130.18</v>
      </c>
      <c r="AH184" s="24">
        <v>0.0</v>
      </c>
      <c r="AI184" s="24">
        <v>5021.64</v>
      </c>
      <c r="AJ184" s="24">
        <v>5045.46</v>
      </c>
      <c r="AK184" s="15">
        <v>4.0</v>
      </c>
      <c r="AL184" s="16">
        <v>360234.39</v>
      </c>
      <c r="AM184" s="16">
        <v>13624.0</v>
      </c>
      <c r="AN184" s="16">
        <v>7063.0</v>
      </c>
      <c r="AO184" s="16">
        <v>2400.0</v>
      </c>
      <c r="AP184" s="16">
        <v>1500.58</v>
      </c>
      <c r="AQ184" s="16">
        <v>1841.81</v>
      </c>
      <c r="AR184" s="16">
        <v>0.0</v>
      </c>
      <c r="AS184" s="7">
        <v>17015.66</v>
      </c>
      <c r="AT184" s="7">
        <v>3724.0</v>
      </c>
      <c r="AU184" s="7">
        <v>5287.22</v>
      </c>
      <c r="AV184" s="7">
        <v>7320.31</v>
      </c>
      <c r="AW184" s="7">
        <v>8369.0</v>
      </c>
      <c r="AX184" s="7">
        <f>8379.38-AT184</f>
        <v>4655.38</v>
      </c>
      <c r="AY184" s="7">
        <f t="shared" si="368"/>
        <v>46371.57</v>
      </c>
      <c r="AZ184" s="8"/>
      <c r="BA184" s="9"/>
      <c r="BB184" s="10"/>
      <c r="BC184" s="10"/>
    </row>
    <row r="185">
      <c r="A185" s="11">
        <v>2024.0</v>
      </c>
      <c r="B185" s="11" t="s">
        <v>57</v>
      </c>
      <c r="C185" s="12">
        <v>45588.0</v>
      </c>
      <c r="D185" s="44">
        <v>14.0</v>
      </c>
      <c r="E185" s="26">
        <v>929716.54</v>
      </c>
      <c r="F185" s="26">
        <v>46510.94</v>
      </c>
      <c r="G185" s="26">
        <v>5486.87</v>
      </c>
      <c r="H185" s="26">
        <v>1794.0</v>
      </c>
      <c r="I185" s="26">
        <v>2270.95</v>
      </c>
      <c r="J185" s="26">
        <v>261.05</v>
      </c>
      <c r="K185" s="26">
        <v>19819.19</v>
      </c>
      <c r="L185" s="26">
        <v>17139.93</v>
      </c>
      <c r="M185" s="15">
        <v>2.0</v>
      </c>
      <c r="N185" s="16">
        <v>325000.0</v>
      </c>
      <c r="O185" s="16">
        <f t="shared" si="356"/>
        <v>13000</v>
      </c>
      <c r="P185" s="16">
        <f t="shared" si="357"/>
        <v>5460</v>
      </c>
      <c r="Q185" s="16">
        <f t="shared" si="358"/>
        <v>1104</v>
      </c>
      <c r="R185" s="16">
        <f t="shared" si="359"/>
        <v>478.38</v>
      </c>
      <c r="S185" s="17">
        <f t="shared" si="360"/>
        <v>786.84</v>
      </c>
      <c r="T185" s="17">
        <f t="shared" si="361"/>
        <v>276</v>
      </c>
      <c r="U185" s="7">
        <v>9478.14</v>
      </c>
      <c r="V185" s="18">
        <f t="shared" si="362"/>
        <v>5460</v>
      </c>
      <c r="W185" s="7">
        <f t="shared" si="363"/>
        <v>2749.33</v>
      </c>
      <c r="X185" s="7">
        <f t="shared" si="364"/>
        <v>261.05</v>
      </c>
      <c r="Y185" s="18">
        <f t="shared" si="366"/>
        <v>13000</v>
      </c>
      <c r="Z185" s="18">
        <f t="shared" si="367"/>
        <v>1104</v>
      </c>
      <c r="AA185" s="18">
        <f t="shared" si="365"/>
        <v>32052.52</v>
      </c>
      <c r="AB185" s="56">
        <v>8.0</v>
      </c>
      <c r="AC185" s="24">
        <v>441627.83</v>
      </c>
      <c r="AD185" s="24">
        <v>21657.58</v>
      </c>
      <c r="AE185" s="24">
        <v>2393.1</v>
      </c>
      <c r="AF185" s="24">
        <v>966.0</v>
      </c>
      <c r="AG185" s="24">
        <v>1043.16</v>
      </c>
      <c r="AH185" s="24">
        <v>0.0</v>
      </c>
      <c r="AI185" s="24">
        <v>9715.44</v>
      </c>
      <c r="AJ185" s="24">
        <v>7539.88</v>
      </c>
      <c r="AK185" s="15">
        <v>1.0</v>
      </c>
      <c r="AL185" s="16">
        <v>333447.06</v>
      </c>
      <c r="AM185" s="16">
        <v>12610.0</v>
      </c>
      <c r="AN185" s="16">
        <v>5612.0</v>
      </c>
      <c r="AO185" s="16">
        <v>600.0</v>
      </c>
      <c r="AP185" s="16">
        <v>559.29</v>
      </c>
      <c r="AQ185" s="16">
        <v>965.77</v>
      </c>
      <c r="AR185" s="16">
        <v>0.0</v>
      </c>
      <c r="AS185" s="7">
        <v>5806.47</v>
      </c>
      <c r="AT185" s="7">
        <v>8658.0</v>
      </c>
      <c r="AU185" s="7">
        <v>2776.26</v>
      </c>
      <c r="AV185" s="7">
        <v>2709.06</v>
      </c>
      <c r="AW185" s="7">
        <v>19454.0</v>
      </c>
      <c r="AX185" s="7">
        <f>12020.33-AT185</f>
        <v>3362.33</v>
      </c>
      <c r="AY185" s="7">
        <f t="shared" si="368"/>
        <v>42766.12</v>
      </c>
      <c r="AZ185" s="8"/>
      <c r="BA185" s="9"/>
      <c r="BB185" s="10"/>
      <c r="BC185" s="10"/>
    </row>
    <row r="186">
      <c r="A186" s="11">
        <v>2024.0</v>
      </c>
      <c r="B186" s="11" t="s">
        <v>57</v>
      </c>
      <c r="C186" s="12">
        <v>45589.0</v>
      </c>
      <c r="D186" s="44">
        <v>9.0</v>
      </c>
      <c r="E186" s="26">
        <v>474752.55</v>
      </c>
      <c r="F186" s="26">
        <v>25230.88</v>
      </c>
      <c r="G186" s="26">
        <v>3829.64</v>
      </c>
      <c r="H186" s="26">
        <v>1242.0</v>
      </c>
      <c r="I186" s="26">
        <v>1369.03</v>
      </c>
      <c r="J186" s="26">
        <v>0.0</v>
      </c>
      <c r="K186" s="26">
        <v>11534.62</v>
      </c>
      <c r="L186" s="26">
        <v>7255.59</v>
      </c>
      <c r="M186" s="15">
        <v>2.0</v>
      </c>
      <c r="N186" s="16">
        <v>265000.0</v>
      </c>
      <c r="O186" s="16">
        <f t="shared" si="356"/>
        <v>10600</v>
      </c>
      <c r="P186" s="16">
        <f t="shared" si="357"/>
        <v>4452</v>
      </c>
      <c r="Q186" s="16">
        <f t="shared" si="358"/>
        <v>1104</v>
      </c>
      <c r="R186" s="16">
        <f t="shared" si="359"/>
        <v>478.38</v>
      </c>
      <c r="S186" s="17">
        <f t="shared" si="360"/>
        <v>786.84</v>
      </c>
      <c r="T186" s="17">
        <f t="shared" si="361"/>
        <v>276</v>
      </c>
      <c r="U186" s="7">
        <v>8682.92</v>
      </c>
      <c r="V186" s="18">
        <f t="shared" si="362"/>
        <v>4452</v>
      </c>
      <c r="W186" s="7">
        <f t="shared" si="363"/>
        <v>1847.41</v>
      </c>
      <c r="X186" s="7">
        <f t="shared" si="364"/>
        <v>0</v>
      </c>
      <c r="Y186" s="18">
        <f t="shared" si="366"/>
        <v>10600</v>
      </c>
      <c r="Z186" s="18">
        <f t="shared" si="367"/>
        <v>1104</v>
      </c>
      <c r="AA186" s="18">
        <f t="shared" si="365"/>
        <v>26686.33</v>
      </c>
      <c r="AB186" s="56">
        <v>8.0</v>
      </c>
      <c r="AC186" s="24">
        <v>465940.51</v>
      </c>
      <c r="AD186" s="24">
        <v>25230.88</v>
      </c>
      <c r="AE186" s="24">
        <v>3604.24</v>
      </c>
      <c r="AF186" s="24">
        <v>1104.0</v>
      </c>
      <c r="AG186" s="24">
        <v>1307.8</v>
      </c>
      <c r="AH186" s="24">
        <v>0.0</v>
      </c>
      <c r="AI186" s="24">
        <v>12097.71</v>
      </c>
      <c r="AJ186" s="24">
        <v>7117.13</v>
      </c>
      <c r="AK186" s="15">
        <v>2.0</v>
      </c>
      <c r="AL186" s="16">
        <v>178272.68</v>
      </c>
      <c r="AM186" s="16">
        <v>6742.0</v>
      </c>
      <c r="AN186" s="16">
        <v>3001.0</v>
      </c>
      <c r="AO186" s="16">
        <v>1200.0</v>
      </c>
      <c r="AP186" s="16">
        <v>771.06</v>
      </c>
      <c r="AQ186" s="16">
        <v>763.62</v>
      </c>
      <c r="AR186" s="16">
        <v>0.0</v>
      </c>
      <c r="AS186" s="7">
        <v>5299.28</v>
      </c>
      <c r="AT186" s="7">
        <v>0.0</v>
      </c>
      <c r="AU186" s="7">
        <v>4080.15</v>
      </c>
      <c r="AV186" s="7">
        <v>7307.48</v>
      </c>
      <c r="AW186" s="7">
        <v>0.0</v>
      </c>
      <c r="AX186" s="7">
        <v>152.48</v>
      </c>
      <c r="AY186" s="7">
        <f t="shared" si="368"/>
        <v>16839.39</v>
      </c>
      <c r="AZ186" s="8"/>
      <c r="BA186" s="9"/>
      <c r="BB186" s="10"/>
      <c r="BC186" s="10"/>
    </row>
    <row r="187">
      <c r="A187" s="11">
        <v>2024.0</v>
      </c>
      <c r="B187" s="11" t="s">
        <v>57</v>
      </c>
      <c r="C187" s="12">
        <v>45590.0</v>
      </c>
      <c r="D187" s="44">
        <v>7.0</v>
      </c>
      <c r="E187" s="26">
        <v>602245.08</v>
      </c>
      <c r="F187" s="26">
        <v>29912.83</v>
      </c>
      <c r="G187" s="26">
        <v>3965.53</v>
      </c>
      <c r="H187" s="26">
        <v>966.0</v>
      </c>
      <c r="I187" s="26">
        <v>1247.23</v>
      </c>
      <c r="J187" s="26">
        <v>1098.04</v>
      </c>
      <c r="K187" s="26">
        <v>12991.39</v>
      </c>
      <c r="L187" s="26">
        <v>10742.68</v>
      </c>
      <c r="M187" s="15">
        <v>3.0</v>
      </c>
      <c r="N187" s="16">
        <v>255000.0</v>
      </c>
      <c r="O187" s="16">
        <f t="shared" si="356"/>
        <v>10200</v>
      </c>
      <c r="P187" s="16">
        <f t="shared" si="357"/>
        <v>4284</v>
      </c>
      <c r="Q187" s="16">
        <f t="shared" si="358"/>
        <v>1656</v>
      </c>
      <c r="R187" s="16">
        <f t="shared" si="359"/>
        <v>717.57</v>
      </c>
      <c r="S187" s="17">
        <f t="shared" si="360"/>
        <v>1180.26</v>
      </c>
      <c r="T187" s="17">
        <f t="shared" si="361"/>
        <v>414</v>
      </c>
      <c r="U187" s="7">
        <v>0.0</v>
      </c>
      <c r="V187" s="18">
        <f t="shared" si="362"/>
        <v>4284</v>
      </c>
      <c r="W187" s="7">
        <f t="shared" si="363"/>
        <v>1964.8</v>
      </c>
      <c r="X187" s="7">
        <f t="shared" si="364"/>
        <v>1098.04</v>
      </c>
      <c r="Y187" s="18">
        <f t="shared" si="366"/>
        <v>10200</v>
      </c>
      <c r="Z187" s="18">
        <f t="shared" si="367"/>
        <v>1656</v>
      </c>
      <c r="AA187" s="18">
        <f t="shared" si="365"/>
        <v>19202.84</v>
      </c>
      <c r="AB187" s="56">
        <v>2.0</v>
      </c>
      <c r="AC187" s="24">
        <v>292412.88</v>
      </c>
      <c r="AD187" s="24">
        <v>14971.83</v>
      </c>
      <c r="AE187" s="24">
        <v>1686.22</v>
      </c>
      <c r="AF187" s="24">
        <v>276.0</v>
      </c>
      <c r="AG187" s="24">
        <v>296.84</v>
      </c>
      <c r="AH187" s="24">
        <v>0.0</v>
      </c>
      <c r="AI187" s="24">
        <v>7800.23</v>
      </c>
      <c r="AJ187" s="24">
        <v>4912.54</v>
      </c>
      <c r="AK187" s="15">
        <v>1.0</v>
      </c>
      <c r="AL187" s="16">
        <v>60146.25</v>
      </c>
      <c r="AM187" s="16">
        <v>0.0</v>
      </c>
      <c r="AN187" s="16">
        <v>1013.0</v>
      </c>
      <c r="AO187" s="16">
        <v>0.0</v>
      </c>
      <c r="AP187" s="16">
        <v>413.25</v>
      </c>
      <c r="AQ187" s="16">
        <v>245.0</v>
      </c>
      <c r="AR187" s="16">
        <v>0.0</v>
      </c>
      <c r="AS187" s="7">
        <v>9075.69</v>
      </c>
      <c r="AT187" s="7">
        <v>4801.0</v>
      </c>
      <c r="AU187" s="7">
        <v>3619.78</v>
      </c>
      <c r="AV187" s="7">
        <v>4206.3</v>
      </c>
      <c r="AW187" s="7">
        <v>10785.0</v>
      </c>
      <c r="AX187" s="7">
        <f>8743-AT187</f>
        <v>3942</v>
      </c>
      <c r="AY187" s="7">
        <f t="shared" si="368"/>
        <v>36429.77</v>
      </c>
      <c r="AZ187" s="8"/>
      <c r="BA187" s="9"/>
      <c r="BB187" s="10"/>
      <c r="BC187" s="10"/>
    </row>
    <row r="188">
      <c r="A188" s="11">
        <v>2024.0</v>
      </c>
      <c r="B188" s="11" t="s">
        <v>57</v>
      </c>
      <c r="C188" s="1"/>
      <c r="D188" s="2">
        <v>95.0</v>
      </c>
      <c r="E188" s="2"/>
      <c r="F188" s="59">
        <v>285198.62</v>
      </c>
      <c r="G188" s="33"/>
      <c r="H188" s="33"/>
      <c r="I188" s="33"/>
      <c r="J188" s="33"/>
      <c r="K188" s="33"/>
      <c r="L188" s="33"/>
      <c r="M188" s="15">
        <v>6.0</v>
      </c>
      <c r="N188" s="51">
        <v>380000.0</v>
      </c>
      <c r="O188" s="35"/>
      <c r="P188" s="35"/>
      <c r="Q188" s="35"/>
      <c r="R188" s="35"/>
      <c r="S188" s="35"/>
      <c r="T188" s="35"/>
      <c r="U188" s="37"/>
      <c r="V188" s="48"/>
      <c r="W188" s="48"/>
      <c r="X188" s="37"/>
      <c r="Y188" s="48"/>
      <c r="Z188" s="48"/>
      <c r="AA188" s="48"/>
      <c r="AB188" s="2"/>
      <c r="AC188" s="33"/>
      <c r="AD188" s="2"/>
      <c r="AE188" s="33"/>
      <c r="AF188" s="33"/>
      <c r="AG188" s="33"/>
      <c r="AH188" s="33"/>
      <c r="AI188" s="33"/>
      <c r="AJ188" s="33"/>
      <c r="AK188" s="4"/>
      <c r="AL188" s="4"/>
      <c r="AM188" s="35"/>
      <c r="AN188" s="35"/>
      <c r="AO188" s="35"/>
      <c r="AP188" s="35"/>
      <c r="AQ188" s="35"/>
      <c r="AR188" s="35"/>
      <c r="AS188" s="37"/>
      <c r="AT188" s="48"/>
      <c r="AU188" s="48"/>
      <c r="AV188" s="48"/>
      <c r="AW188" s="48"/>
      <c r="AX188" s="48"/>
      <c r="AY188" s="48"/>
      <c r="AZ188" s="38"/>
      <c r="BA188" s="39"/>
      <c r="BB188" s="40"/>
      <c r="BC188" s="40"/>
    </row>
    <row r="189">
      <c r="A189" s="1">
        <v>2024.0</v>
      </c>
      <c r="B189" s="1" t="s">
        <v>57</v>
      </c>
      <c r="C189" s="1" t="s">
        <v>49</v>
      </c>
      <c r="D189" s="33">
        <f t="shared" ref="D189:L189" si="369">SUM(D181:D187)</f>
        <v>75</v>
      </c>
      <c r="E189" s="34">
        <f t="shared" si="369"/>
        <v>4761790.46</v>
      </c>
      <c r="F189" s="34">
        <f t="shared" si="369"/>
        <v>218432.39</v>
      </c>
      <c r="G189" s="34">
        <f t="shared" si="369"/>
        <v>28185.73</v>
      </c>
      <c r="H189" s="34">
        <f t="shared" si="369"/>
        <v>9522</v>
      </c>
      <c r="I189" s="34">
        <f t="shared" si="369"/>
        <v>10881.81</v>
      </c>
      <c r="J189" s="34">
        <f t="shared" si="369"/>
        <v>5866.74</v>
      </c>
      <c r="K189" s="34">
        <f t="shared" si="369"/>
        <v>88873.6</v>
      </c>
      <c r="L189" s="34">
        <f t="shared" si="369"/>
        <v>83584.19</v>
      </c>
      <c r="M189" s="35">
        <f t="shared" ref="M189:N189" si="370">SUM(M181:M188)</f>
        <v>16</v>
      </c>
      <c r="N189" s="36">
        <f t="shared" si="370"/>
        <v>1543144.78</v>
      </c>
      <c r="O189" s="36">
        <f t="shared" ref="O189:AJ189" si="371">SUM(O181:O187)</f>
        <v>46525.7912</v>
      </c>
      <c r="P189" s="36">
        <f t="shared" si="371"/>
        <v>19540.8323</v>
      </c>
      <c r="Q189" s="36">
        <f t="shared" si="371"/>
        <v>5520</v>
      </c>
      <c r="R189" s="36">
        <f t="shared" si="371"/>
        <v>2391.9</v>
      </c>
      <c r="S189" s="36">
        <f t="shared" si="371"/>
        <v>3934.2</v>
      </c>
      <c r="T189" s="36">
        <f t="shared" si="371"/>
        <v>1380</v>
      </c>
      <c r="U189" s="37">
        <f t="shared" si="371"/>
        <v>40908.17</v>
      </c>
      <c r="V189" s="37">
        <f t="shared" si="371"/>
        <v>19540.8323</v>
      </c>
      <c r="W189" s="37">
        <f t="shared" si="371"/>
        <v>13273.71</v>
      </c>
      <c r="X189" s="37">
        <f t="shared" si="371"/>
        <v>5866.74</v>
      </c>
      <c r="Y189" s="37">
        <f t="shared" si="371"/>
        <v>46525.7912</v>
      </c>
      <c r="Z189" s="37">
        <f t="shared" si="371"/>
        <v>5520</v>
      </c>
      <c r="AA189" s="37">
        <f t="shared" si="371"/>
        <v>131635.2435</v>
      </c>
      <c r="AB189" s="33">
        <f t="shared" si="371"/>
        <v>47</v>
      </c>
      <c r="AC189" s="34">
        <f t="shared" si="371"/>
        <v>3024988</v>
      </c>
      <c r="AD189" s="34">
        <f t="shared" si="371"/>
        <v>135588.9</v>
      </c>
      <c r="AE189" s="34">
        <f t="shared" si="371"/>
        <v>17218.08</v>
      </c>
      <c r="AF189" s="34">
        <f t="shared" si="371"/>
        <v>6072</v>
      </c>
      <c r="AG189" s="34">
        <f t="shared" si="371"/>
        <v>6752.62</v>
      </c>
      <c r="AH189" s="34">
        <f t="shared" si="371"/>
        <v>0</v>
      </c>
      <c r="AI189" s="34">
        <f t="shared" si="371"/>
        <v>53268.69</v>
      </c>
      <c r="AJ189" s="34">
        <f t="shared" si="371"/>
        <v>52277.51</v>
      </c>
      <c r="AK189" s="35">
        <f t="shared" ref="AK189:AL189" si="372">SUM(AK181:AK188)</f>
        <v>8</v>
      </c>
      <c r="AL189" s="36">
        <f t="shared" si="372"/>
        <v>932100.38</v>
      </c>
      <c r="AM189" s="36">
        <f t="shared" ref="AM189:AY189" si="373">SUM(AM181:AM187)</f>
        <v>32976</v>
      </c>
      <c r="AN189" s="36">
        <f t="shared" si="373"/>
        <v>16689</v>
      </c>
      <c r="AO189" s="36">
        <f t="shared" si="373"/>
        <v>4200</v>
      </c>
      <c r="AP189" s="36">
        <f t="shared" si="373"/>
        <v>3244.18</v>
      </c>
      <c r="AQ189" s="36">
        <f t="shared" si="373"/>
        <v>3816.2</v>
      </c>
      <c r="AR189" s="36">
        <f t="shared" si="373"/>
        <v>0</v>
      </c>
      <c r="AS189" s="37">
        <f t="shared" si="373"/>
        <v>58873.84</v>
      </c>
      <c r="AT189" s="37">
        <f t="shared" si="373"/>
        <v>17183</v>
      </c>
      <c r="AU189" s="37">
        <f t="shared" si="373"/>
        <v>21054.4</v>
      </c>
      <c r="AV189" s="37">
        <f t="shared" si="373"/>
        <v>23278.76</v>
      </c>
      <c r="AW189" s="37">
        <f t="shared" si="373"/>
        <v>38608</v>
      </c>
      <c r="AX189" s="37">
        <f t="shared" si="373"/>
        <v>12227.3</v>
      </c>
      <c r="AY189" s="37">
        <f t="shared" si="373"/>
        <v>171225.3</v>
      </c>
      <c r="AZ189" s="38"/>
      <c r="BA189" s="39"/>
      <c r="BB189" s="40"/>
      <c r="BC189" s="40"/>
    </row>
    <row r="190">
      <c r="A190" s="11">
        <v>2024.0</v>
      </c>
      <c r="B190" s="11" t="s">
        <v>57</v>
      </c>
      <c r="C190" s="12">
        <v>45591.0</v>
      </c>
      <c r="D190" s="44">
        <v>8.0</v>
      </c>
      <c r="E190" s="26">
        <v>359681.11</v>
      </c>
      <c r="F190" s="26">
        <v>20397.46</v>
      </c>
      <c r="G190" s="26">
        <v>2619.73</v>
      </c>
      <c r="H190" s="26">
        <v>966.0</v>
      </c>
      <c r="I190" s="26">
        <v>1314.29</v>
      </c>
      <c r="J190" s="26">
        <v>2347.37</v>
      </c>
      <c r="K190" s="26">
        <v>13938.72</v>
      </c>
      <c r="L190" s="26">
        <v>6275.29</v>
      </c>
      <c r="M190" s="15">
        <v>0.0</v>
      </c>
      <c r="N190" s="16">
        <v>0.0</v>
      </c>
      <c r="O190" s="16">
        <f t="shared" ref="O190:O196" si="374">N190*4%</f>
        <v>0</v>
      </c>
      <c r="P190" s="16">
        <f t="shared" ref="P190:P196" si="375">N190*1.68%</f>
        <v>0</v>
      </c>
      <c r="Q190" s="16">
        <f t="shared" ref="Q190:Q196" si="376">M190*(250+300+2)</f>
        <v>0</v>
      </c>
      <c r="R190" s="16">
        <f t="shared" ref="R190:R196" si="377">M190*239.19</f>
        <v>0</v>
      </c>
      <c r="S190" s="17">
        <f t="shared" ref="S190:S196" si="378">M190*393.42</f>
        <v>0</v>
      </c>
      <c r="T190" s="17">
        <f t="shared" ref="T190:T196" si="379">M190*138</f>
        <v>0</v>
      </c>
      <c r="U190" s="7">
        <v>1041.03</v>
      </c>
      <c r="V190" s="18">
        <f t="shared" ref="V190:V196" si="380">P190</f>
        <v>0</v>
      </c>
      <c r="W190" s="7">
        <f t="shared" ref="W190:W196" si="381">I190+R190</f>
        <v>1314.29</v>
      </c>
      <c r="X190" s="7">
        <f t="shared" ref="X190:X196" si="382">J190</f>
        <v>2347.37</v>
      </c>
      <c r="Y190" s="7">
        <v>0.0</v>
      </c>
      <c r="Z190" s="7">
        <v>0.0</v>
      </c>
      <c r="AA190" s="18">
        <f t="shared" ref="AA190:AA196" si="383">SUM(U190:Z190)</f>
        <v>4702.69</v>
      </c>
      <c r="AB190" s="56">
        <v>4.0</v>
      </c>
      <c r="AC190" s="24">
        <v>209801.1</v>
      </c>
      <c r="AD190" s="24">
        <v>11617.61</v>
      </c>
      <c r="AE190" s="24">
        <v>1411.43</v>
      </c>
      <c r="AF190" s="24">
        <v>552.0</v>
      </c>
      <c r="AG190" s="24">
        <v>663.99</v>
      </c>
      <c r="AH190" s="24">
        <v>0.0</v>
      </c>
      <c r="AI190" s="24">
        <v>5465.53</v>
      </c>
      <c r="AJ190" s="24">
        <v>3524.66</v>
      </c>
      <c r="AK190" s="15">
        <v>0.0</v>
      </c>
      <c r="AL190" s="16">
        <v>0.0</v>
      </c>
      <c r="AM190" s="16">
        <v>0.0</v>
      </c>
      <c r="AN190" s="16">
        <v>0.0</v>
      </c>
      <c r="AO190" s="16">
        <v>0.0</v>
      </c>
      <c r="AP190" s="16">
        <v>0.0</v>
      </c>
      <c r="AQ190" s="16">
        <v>0.0</v>
      </c>
      <c r="AR190" s="16">
        <v>0.0</v>
      </c>
      <c r="AS190" s="7">
        <v>0.0</v>
      </c>
      <c r="AT190" s="7">
        <v>0.0</v>
      </c>
      <c r="AU190" s="7">
        <v>0.0</v>
      </c>
      <c r="AV190" s="7">
        <v>0.0</v>
      </c>
      <c r="AW190" s="7">
        <v>0.0</v>
      </c>
      <c r="AX190" s="7">
        <v>0.0</v>
      </c>
      <c r="AY190" s="7">
        <v>0.0</v>
      </c>
      <c r="AZ190" s="8"/>
      <c r="BA190" s="9"/>
      <c r="BB190" s="10"/>
      <c r="BC190" s="10"/>
    </row>
    <row r="191">
      <c r="A191" s="11">
        <v>2024.0</v>
      </c>
      <c r="B191" s="11" t="s">
        <v>57</v>
      </c>
      <c r="C191" s="12">
        <v>45592.0</v>
      </c>
      <c r="D191" s="44">
        <v>5.0</v>
      </c>
      <c r="E191" s="26">
        <v>340157.89</v>
      </c>
      <c r="F191" s="26">
        <v>15988.75</v>
      </c>
      <c r="G191" s="26">
        <v>2058.21</v>
      </c>
      <c r="H191" s="26">
        <v>690.0</v>
      </c>
      <c r="I191" s="26">
        <v>699.0</v>
      </c>
      <c r="J191" s="26">
        <v>0.0</v>
      </c>
      <c r="K191" s="26">
        <v>6826.89</v>
      </c>
      <c r="L191" s="26">
        <v>5714.65</v>
      </c>
      <c r="M191" s="15">
        <v>0.0</v>
      </c>
      <c r="N191" s="16">
        <v>0.0</v>
      </c>
      <c r="O191" s="16">
        <f t="shared" si="374"/>
        <v>0</v>
      </c>
      <c r="P191" s="16">
        <f t="shared" si="375"/>
        <v>0</v>
      </c>
      <c r="Q191" s="16">
        <f t="shared" si="376"/>
        <v>0</v>
      </c>
      <c r="R191" s="16">
        <f t="shared" si="377"/>
        <v>0</v>
      </c>
      <c r="S191" s="17">
        <f t="shared" si="378"/>
        <v>0</v>
      </c>
      <c r="T191" s="17">
        <f t="shared" si="379"/>
        <v>0</v>
      </c>
      <c r="U191" s="7">
        <v>2022.44</v>
      </c>
      <c r="V191" s="18">
        <f t="shared" si="380"/>
        <v>0</v>
      </c>
      <c r="W191" s="7">
        <f t="shared" si="381"/>
        <v>699</v>
      </c>
      <c r="X191" s="7">
        <f t="shared" si="382"/>
        <v>0</v>
      </c>
      <c r="Y191" s="7">
        <v>0.0</v>
      </c>
      <c r="Z191" s="7">
        <v>0.0</v>
      </c>
      <c r="AA191" s="18">
        <f t="shared" si="383"/>
        <v>2721.44</v>
      </c>
      <c r="AB191" s="56">
        <v>4.0</v>
      </c>
      <c r="AC191" s="24">
        <v>226415.37</v>
      </c>
      <c r="AD191" s="24">
        <v>11356.93</v>
      </c>
      <c r="AE191" s="24">
        <v>1525.25</v>
      </c>
      <c r="AF191" s="24">
        <v>552.0</v>
      </c>
      <c r="AG191" s="24">
        <v>647.89</v>
      </c>
      <c r="AH191" s="24">
        <v>0.0</v>
      </c>
      <c r="AI191" s="24">
        <v>4828.01</v>
      </c>
      <c r="AJ191" s="24">
        <v>3803.78</v>
      </c>
      <c r="AK191" s="15">
        <v>0.0</v>
      </c>
      <c r="AL191" s="16">
        <v>0.0</v>
      </c>
      <c r="AM191" s="16">
        <v>0.0</v>
      </c>
      <c r="AN191" s="16">
        <v>0.0</v>
      </c>
      <c r="AO191" s="16">
        <v>0.0</v>
      </c>
      <c r="AP191" s="16">
        <v>0.0</v>
      </c>
      <c r="AQ191" s="16">
        <v>0.0</v>
      </c>
      <c r="AR191" s="16">
        <v>0.0</v>
      </c>
      <c r="AS191" s="7">
        <v>0.0</v>
      </c>
      <c r="AT191" s="7">
        <v>0.0</v>
      </c>
      <c r="AU191" s="7">
        <v>0.0</v>
      </c>
      <c r="AV191" s="7">
        <v>0.0</v>
      </c>
      <c r="AW191" s="7">
        <v>0.0</v>
      </c>
      <c r="AX191" s="7">
        <v>0.0</v>
      </c>
      <c r="AY191" s="7">
        <v>0.0</v>
      </c>
      <c r="AZ191" s="8"/>
      <c r="BA191" s="9"/>
      <c r="BB191" s="10"/>
      <c r="BC191" s="10"/>
    </row>
    <row r="192">
      <c r="A192" s="11">
        <v>2024.0</v>
      </c>
      <c r="B192" s="11" t="s">
        <v>57</v>
      </c>
      <c r="C192" s="12">
        <v>45593.0</v>
      </c>
      <c r="D192" s="44">
        <v>12.0</v>
      </c>
      <c r="E192" s="26">
        <v>881696.59</v>
      </c>
      <c r="F192" s="26">
        <v>41073.95</v>
      </c>
      <c r="G192" s="26">
        <v>4588.09</v>
      </c>
      <c r="H192" s="26">
        <v>1380.0</v>
      </c>
      <c r="I192" s="26">
        <v>1924.75</v>
      </c>
      <c r="J192" s="26">
        <v>3795.36</v>
      </c>
      <c r="K192" s="26">
        <v>22448.97</v>
      </c>
      <c r="L192" s="26">
        <v>15437.4</v>
      </c>
      <c r="M192" s="15">
        <v>3.0</v>
      </c>
      <c r="N192" s="16">
        <v>398171.87</v>
      </c>
      <c r="O192" s="16">
        <f t="shared" si="374"/>
        <v>15926.8748</v>
      </c>
      <c r="P192" s="16">
        <f t="shared" si="375"/>
        <v>6689.287416</v>
      </c>
      <c r="Q192" s="16">
        <f t="shared" si="376"/>
        <v>1656</v>
      </c>
      <c r="R192" s="16">
        <f t="shared" si="377"/>
        <v>717.57</v>
      </c>
      <c r="S192" s="17">
        <f t="shared" si="378"/>
        <v>1180.26</v>
      </c>
      <c r="T192" s="17">
        <f t="shared" si="379"/>
        <v>414</v>
      </c>
      <c r="U192" s="7">
        <v>6964.57</v>
      </c>
      <c r="V192" s="18">
        <f t="shared" si="380"/>
        <v>6689.287416</v>
      </c>
      <c r="W192" s="7">
        <f t="shared" si="381"/>
        <v>2642.32</v>
      </c>
      <c r="X192" s="7">
        <f t="shared" si="382"/>
        <v>3795.36</v>
      </c>
      <c r="Y192" s="7">
        <f t="shared" ref="Y192:Y196" si="384">O192</f>
        <v>15926.8748</v>
      </c>
      <c r="Z192" s="7">
        <f t="shared" ref="Z192:Z196" si="385">Q192</f>
        <v>1656</v>
      </c>
      <c r="AA192" s="18">
        <f t="shared" si="383"/>
        <v>37674.41222</v>
      </c>
      <c r="AB192" s="56">
        <v>4.0</v>
      </c>
      <c r="AC192" s="24">
        <v>293605.82</v>
      </c>
      <c r="AD192" s="24">
        <v>11942.41</v>
      </c>
      <c r="AE192" s="24">
        <v>1408.79</v>
      </c>
      <c r="AF192" s="24">
        <v>414.0</v>
      </c>
      <c r="AG192" s="24">
        <v>622.99</v>
      </c>
      <c r="AH192" s="24">
        <v>0.0</v>
      </c>
      <c r="AI192" s="24">
        <v>4474.3</v>
      </c>
      <c r="AJ192" s="24">
        <v>5022.33</v>
      </c>
      <c r="AK192" s="15">
        <v>0.0</v>
      </c>
      <c r="AL192" s="16">
        <v>0.0</v>
      </c>
      <c r="AM192" s="16">
        <v>0.0</v>
      </c>
      <c r="AN192" s="16">
        <v>0.0</v>
      </c>
      <c r="AO192" s="16">
        <v>0.0</v>
      </c>
      <c r="AP192" s="16">
        <v>0.0</v>
      </c>
      <c r="AQ192" s="16">
        <v>0.0</v>
      </c>
      <c r="AR192" s="16">
        <v>0.0</v>
      </c>
      <c r="AS192" s="7">
        <v>17614.62</v>
      </c>
      <c r="AT192" s="7">
        <v>0.0</v>
      </c>
      <c r="AU192" s="7">
        <v>6947.51</v>
      </c>
      <c r="AV192" s="7">
        <v>1321.15</v>
      </c>
      <c r="AW192" s="7">
        <v>0.0</v>
      </c>
      <c r="AX192" s="7">
        <v>0.0</v>
      </c>
      <c r="AY192" s="7">
        <f t="shared" ref="AY192:AY195" si="386">SUM(AS192:AX192)</f>
        <v>25883.28</v>
      </c>
      <c r="AZ192" s="8"/>
      <c r="BA192" s="9"/>
      <c r="BB192" s="10"/>
      <c r="BC192" s="10"/>
    </row>
    <row r="193">
      <c r="A193" s="11">
        <v>2024.0</v>
      </c>
      <c r="B193" s="11" t="s">
        <v>57</v>
      </c>
      <c r="C193" s="12">
        <v>45594.0</v>
      </c>
      <c r="D193" s="44">
        <v>12.0</v>
      </c>
      <c r="E193" s="26">
        <v>1032541.31</v>
      </c>
      <c r="F193" s="26">
        <v>49272.96</v>
      </c>
      <c r="G193" s="26">
        <v>5788.37</v>
      </c>
      <c r="H193" s="26">
        <v>1518.0</v>
      </c>
      <c r="I193" s="26">
        <v>1499.25</v>
      </c>
      <c r="J193" s="26">
        <v>320.28</v>
      </c>
      <c r="K193" s="26">
        <v>16342.54</v>
      </c>
      <c r="L193" s="26">
        <v>24124.8</v>
      </c>
      <c r="M193" s="15">
        <v>2.0</v>
      </c>
      <c r="N193" s="16">
        <v>153850.11</v>
      </c>
      <c r="O193" s="16">
        <f t="shared" si="374"/>
        <v>6154.0044</v>
      </c>
      <c r="P193" s="16">
        <f t="shared" si="375"/>
        <v>2584.681848</v>
      </c>
      <c r="Q193" s="16">
        <f t="shared" si="376"/>
        <v>1104</v>
      </c>
      <c r="R193" s="16">
        <f t="shared" si="377"/>
        <v>478.38</v>
      </c>
      <c r="S193" s="17">
        <f t="shared" si="378"/>
        <v>786.84</v>
      </c>
      <c r="T193" s="17">
        <f t="shared" si="379"/>
        <v>276</v>
      </c>
      <c r="U193" s="7">
        <v>27050.29</v>
      </c>
      <c r="V193" s="18">
        <f t="shared" si="380"/>
        <v>2584.681848</v>
      </c>
      <c r="W193" s="7">
        <f t="shared" si="381"/>
        <v>1977.63</v>
      </c>
      <c r="X193" s="7">
        <f t="shared" si="382"/>
        <v>320.28</v>
      </c>
      <c r="Y193" s="18">
        <f t="shared" si="384"/>
        <v>6154.0044</v>
      </c>
      <c r="Z193" s="18">
        <f t="shared" si="385"/>
        <v>1104</v>
      </c>
      <c r="AA193" s="18">
        <f t="shared" si="383"/>
        <v>39190.88625</v>
      </c>
      <c r="AB193" s="56">
        <v>5.0</v>
      </c>
      <c r="AC193" s="24">
        <v>384364.31</v>
      </c>
      <c r="AD193" s="24">
        <v>17421.6</v>
      </c>
      <c r="AE193" s="24">
        <v>1828.14</v>
      </c>
      <c r="AF193" s="24">
        <v>552.0</v>
      </c>
      <c r="AG193" s="24">
        <v>407.57</v>
      </c>
      <c r="AH193" s="24">
        <v>0.0</v>
      </c>
      <c r="AI193" s="24">
        <v>7995.49</v>
      </c>
      <c r="AJ193" s="24">
        <v>6638.4</v>
      </c>
      <c r="AK193" s="15">
        <v>2.0</v>
      </c>
      <c r="AL193" s="16">
        <v>194439.57</v>
      </c>
      <c r="AM193" s="16">
        <v>7353.0</v>
      </c>
      <c r="AN193" s="16">
        <v>3273.0</v>
      </c>
      <c r="AO193" s="16">
        <v>1200.0</v>
      </c>
      <c r="AP193" s="16">
        <v>936.39</v>
      </c>
      <c r="AQ193" s="16">
        <v>677.18</v>
      </c>
      <c r="AR193" s="16">
        <v>0.0</v>
      </c>
      <c r="AS193" s="7">
        <v>28640.2</v>
      </c>
      <c r="AT193" s="7">
        <v>0.0</v>
      </c>
      <c r="AU193" s="7">
        <v>9563.79</v>
      </c>
      <c r="AV193" s="7">
        <v>4635.72</v>
      </c>
      <c r="AW193" s="7">
        <v>0.0</v>
      </c>
      <c r="AX193" s="7">
        <v>14.46</v>
      </c>
      <c r="AY193" s="7">
        <f t="shared" si="386"/>
        <v>42854.17</v>
      </c>
      <c r="AZ193" s="8"/>
      <c r="BA193" s="9"/>
      <c r="BB193" s="10"/>
      <c r="BC193" s="10"/>
    </row>
    <row r="194">
      <c r="A194" s="11">
        <v>2024.0</v>
      </c>
      <c r="B194" s="11" t="s">
        <v>57</v>
      </c>
      <c r="C194" s="12">
        <v>45595.0</v>
      </c>
      <c r="D194" s="44">
        <v>222.0</v>
      </c>
      <c r="E194" s="26">
        <v>1.418316892E7</v>
      </c>
      <c r="F194" s="26">
        <v>584012.94</v>
      </c>
      <c r="G194" s="26">
        <v>73421.6</v>
      </c>
      <c r="H194" s="26">
        <v>21804.0</v>
      </c>
      <c r="I194" s="26">
        <v>52498.1</v>
      </c>
      <c r="J194" s="26">
        <v>28603.65</v>
      </c>
      <c r="K194" s="26">
        <v>235603.85</v>
      </c>
      <c r="L194" s="26">
        <v>237512.93</v>
      </c>
      <c r="M194" s="15">
        <v>3.0</v>
      </c>
      <c r="N194" s="16">
        <v>280000.0</v>
      </c>
      <c r="O194" s="16">
        <f t="shared" si="374"/>
        <v>11200</v>
      </c>
      <c r="P194" s="16">
        <f t="shared" si="375"/>
        <v>4704</v>
      </c>
      <c r="Q194" s="16">
        <f t="shared" si="376"/>
        <v>1656</v>
      </c>
      <c r="R194" s="16">
        <f t="shared" si="377"/>
        <v>717.57</v>
      </c>
      <c r="S194" s="17">
        <f t="shared" si="378"/>
        <v>1180.26</v>
      </c>
      <c r="T194" s="17">
        <f t="shared" si="379"/>
        <v>414</v>
      </c>
      <c r="U194" s="7">
        <v>72812.57</v>
      </c>
      <c r="V194" s="18">
        <f t="shared" si="380"/>
        <v>4704</v>
      </c>
      <c r="W194" s="7">
        <f t="shared" si="381"/>
        <v>53215.67</v>
      </c>
      <c r="X194" s="7">
        <f t="shared" si="382"/>
        <v>28603.65</v>
      </c>
      <c r="Y194" s="18">
        <f t="shared" si="384"/>
        <v>11200</v>
      </c>
      <c r="Z194" s="18">
        <f t="shared" si="385"/>
        <v>1656</v>
      </c>
      <c r="AA194" s="18">
        <f t="shared" si="383"/>
        <v>172191.89</v>
      </c>
      <c r="AB194" s="56">
        <v>156.0</v>
      </c>
      <c r="AC194" s="24">
        <v>1.04784584E7</v>
      </c>
      <c r="AD194" s="24">
        <v>434015.25</v>
      </c>
      <c r="AE194" s="24">
        <v>54797.35</v>
      </c>
      <c r="AF194" s="24">
        <v>15180.0</v>
      </c>
      <c r="AG194" s="24">
        <v>39989.35</v>
      </c>
      <c r="AH194" s="24">
        <v>0.0</v>
      </c>
      <c r="AI194" s="24">
        <v>149766.79</v>
      </c>
      <c r="AJ194" s="24">
        <v>175422.78</v>
      </c>
      <c r="AK194" s="15">
        <v>3.0</v>
      </c>
      <c r="AL194" s="16">
        <v>259139.55</v>
      </c>
      <c r="AM194" s="16">
        <v>9801.0</v>
      </c>
      <c r="AN194" s="16">
        <v>4362.0</v>
      </c>
      <c r="AO194" s="16">
        <v>1800.0</v>
      </c>
      <c r="AP194" s="16">
        <v>1303.86</v>
      </c>
      <c r="AQ194" s="16">
        <v>1227.7</v>
      </c>
      <c r="AR194" s="16">
        <v>0.0</v>
      </c>
      <c r="AS194" s="7">
        <v>41903.99</v>
      </c>
      <c r="AT194" s="7">
        <v>5130.0</v>
      </c>
      <c r="AU194" s="7">
        <v>16436.28</v>
      </c>
      <c r="AV194" s="7">
        <v>3750.04</v>
      </c>
      <c r="AW194" s="7">
        <v>11525.0</v>
      </c>
      <c r="AX194" s="7">
        <f>16285.92-AT194</f>
        <v>11155.92</v>
      </c>
      <c r="AY194" s="7">
        <f t="shared" si="386"/>
        <v>89901.23</v>
      </c>
      <c r="AZ194" s="8"/>
      <c r="BA194" s="9"/>
      <c r="BB194" s="10"/>
      <c r="BC194" s="10"/>
    </row>
    <row r="195">
      <c r="A195" s="11">
        <v>2024.0</v>
      </c>
      <c r="B195" s="11" t="s">
        <v>57</v>
      </c>
      <c r="C195" s="12">
        <v>45596.0</v>
      </c>
      <c r="D195" s="44">
        <v>7.0</v>
      </c>
      <c r="E195" s="26">
        <v>577361.17</v>
      </c>
      <c r="F195" s="26">
        <v>20115.41</v>
      </c>
      <c r="G195" s="26">
        <v>2745.76</v>
      </c>
      <c r="H195" s="26">
        <v>966.0</v>
      </c>
      <c r="I195" s="26">
        <v>1480.65</v>
      </c>
      <c r="J195" s="26">
        <v>629.44</v>
      </c>
      <c r="K195" s="26">
        <v>5223.33</v>
      </c>
      <c r="L195" s="26">
        <v>9699.67</v>
      </c>
      <c r="M195" s="15">
        <v>2.0</v>
      </c>
      <c r="N195" s="16">
        <v>301000.0</v>
      </c>
      <c r="O195" s="16">
        <f t="shared" si="374"/>
        <v>12040</v>
      </c>
      <c r="P195" s="16">
        <f t="shared" si="375"/>
        <v>5056.8</v>
      </c>
      <c r="Q195" s="16">
        <f t="shared" si="376"/>
        <v>1104</v>
      </c>
      <c r="R195" s="16">
        <f t="shared" si="377"/>
        <v>478.38</v>
      </c>
      <c r="S195" s="17">
        <f t="shared" si="378"/>
        <v>786.84</v>
      </c>
      <c r="T195" s="17">
        <f t="shared" si="379"/>
        <v>276</v>
      </c>
      <c r="U195" s="7">
        <v>1311.75</v>
      </c>
      <c r="V195" s="18">
        <f t="shared" si="380"/>
        <v>5056.8</v>
      </c>
      <c r="W195" s="7">
        <f t="shared" si="381"/>
        <v>1959.03</v>
      </c>
      <c r="X195" s="7">
        <f t="shared" si="382"/>
        <v>629.44</v>
      </c>
      <c r="Y195" s="18">
        <f t="shared" si="384"/>
        <v>12040</v>
      </c>
      <c r="Z195" s="18">
        <f t="shared" si="385"/>
        <v>1104</v>
      </c>
      <c r="AA195" s="18">
        <f t="shared" si="383"/>
        <v>22101.02</v>
      </c>
      <c r="AB195" s="56">
        <v>2.0</v>
      </c>
      <c r="AC195" s="24">
        <v>369551.32</v>
      </c>
      <c r="AD195" s="24">
        <v>11234.74</v>
      </c>
      <c r="AE195" s="24">
        <v>1391.44</v>
      </c>
      <c r="AF195" s="24">
        <v>276.0</v>
      </c>
      <c r="AG195" s="24">
        <v>584.7</v>
      </c>
      <c r="AH195" s="24">
        <v>0.0</v>
      </c>
      <c r="AI195" s="24">
        <v>2774.14</v>
      </c>
      <c r="AJ195" s="24">
        <v>6208.46</v>
      </c>
      <c r="AK195" s="15">
        <v>9.0</v>
      </c>
      <c r="AL195" s="16">
        <v>598687.41</v>
      </c>
      <c r="AM195" s="16">
        <v>15286.0</v>
      </c>
      <c r="AN195" s="16">
        <v>10376.08</v>
      </c>
      <c r="AO195" s="16">
        <v>3000.0</v>
      </c>
      <c r="AP195" s="16">
        <v>3591.97</v>
      </c>
      <c r="AQ195" s="16">
        <v>2879.49</v>
      </c>
      <c r="AR195" s="16">
        <v>0.0</v>
      </c>
      <c r="AS195" s="7">
        <v>47761.62</v>
      </c>
      <c r="AT195" s="7">
        <v>4878.0</v>
      </c>
      <c r="AU195" s="7">
        <v>19504.64</v>
      </c>
      <c r="AV195" s="7">
        <v>5276.87</v>
      </c>
      <c r="AW195" s="7">
        <v>10960.0</v>
      </c>
      <c r="AX195" s="7">
        <f>9140.09-AT195</f>
        <v>4262.09</v>
      </c>
      <c r="AY195" s="7">
        <f t="shared" si="386"/>
        <v>92643.22</v>
      </c>
      <c r="AZ195" s="8"/>
      <c r="BA195" s="9"/>
      <c r="BB195" s="10"/>
      <c r="BC195" s="10"/>
    </row>
    <row r="196">
      <c r="A196" s="11">
        <v>2024.0</v>
      </c>
      <c r="B196" s="11" t="s">
        <v>57</v>
      </c>
      <c r="C196" s="12">
        <v>45597.0</v>
      </c>
      <c r="D196" s="44">
        <v>11.0</v>
      </c>
      <c r="E196" s="26">
        <v>491503.16</v>
      </c>
      <c r="F196" s="26">
        <v>27273.93</v>
      </c>
      <c r="G196" s="26">
        <v>3718.52</v>
      </c>
      <c r="H196" s="26">
        <v>1518.0</v>
      </c>
      <c r="I196" s="26">
        <v>1535.46</v>
      </c>
      <c r="J196" s="26">
        <v>335.47</v>
      </c>
      <c r="K196" s="26">
        <v>12244.7</v>
      </c>
      <c r="L196" s="26">
        <v>8257.25</v>
      </c>
      <c r="M196" s="15">
        <v>0.0</v>
      </c>
      <c r="N196" s="16">
        <v>0.0</v>
      </c>
      <c r="O196" s="16">
        <f t="shared" si="374"/>
        <v>0</v>
      </c>
      <c r="P196" s="16">
        <f t="shared" si="375"/>
        <v>0</v>
      </c>
      <c r="Q196" s="16">
        <f t="shared" si="376"/>
        <v>0</v>
      </c>
      <c r="R196" s="16">
        <f t="shared" si="377"/>
        <v>0</v>
      </c>
      <c r="S196" s="17">
        <f t="shared" si="378"/>
        <v>0</v>
      </c>
      <c r="T196" s="17">
        <f t="shared" si="379"/>
        <v>0</v>
      </c>
      <c r="U196" s="7">
        <v>6359.92</v>
      </c>
      <c r="V196" s="18">
        <f t="shared" si="380"/>
        <v>0</v>
      </c>
      <c r="W196" s="7">
        <f t="shared" si="381"/>
        <v>1535.46</v>
      </c>
      <c r="X196" s="7">
        <f t="shared" si="382"/>
        <v>335.47</v>
      </c>
      <c r="Y196" s="18">
        <f t="shared" si="384"/>
        <v>0</v>
      </c>
      <c r="Z196" s="18">
        <f t="shared" si="385"/>
        <v>0</v>
      </c>
      <c r="AA196" s="18">
        <f t="shared" si="383"/>
        <v>8230.85</v>
      </c>
      <c r="AB196" s="56">
        <v>6.0</v>
      </c>
      <c r="AC196" s="24">
        <v>361685.38</v>
      </c>
      <c r="AD196" s="24">
        <v>15919.68</v>
      </c>
      <c r="AE196" s="24">
        <v>2174.84</v>
      </c>
      <c r="AF196" s="24">
        <v>828.0</v>
      </c>
      <c r="AG196" s="24">
        <v>837.38</v>
      </c>
      <c r="AH196" s="24">
        <v>0.0</v>
      </c>
      <c r="AI196" s="24">
        <v>6003.15</v>
      </c>
      <c r="AJ196" s="24">
        <v>6076.31</v>
      </c>
      <c r="AK196" s="15">
        <v>0.0</v>
      </c>
      <c r="AL196" s="16">
        <v>0.0</v>
      </c>
      <c r="AM196" s="16">
        <v>0.0</v>
      </c>
      <c r="AN196" s="16">
        <v>0.0</v>
      </c>
      <c r="AO196" s="16">
        <v>0.0</v>
      </c>
      <c r="AP196" s="16">
        <v>0.0</v>
      </c>
      <c r="AQ196" s="16">
        <v>0.0</v>
      </c>
      <c r="AR196" s="16">
        <v>0.0</v>
      </c>
      <c r="AS196" s="7">
        <v>0.0</v>
      </c>
      <c r="AT196" s="7">
        <v>0.0</v>
      </c>
      <c r="AU196" s="7">
        <v>0.0</v>
      </c>
      <c r="AV196" s="7">
        <v>0.0</v>
      </c>
      <c r="AW196" s="7">
        <v>0.0</v>
      </c>
      <c r="AX196" s="7">
        <v>0.0</v>
      </c>
      <c r="AY196" s="7">
        <v>0.0</v>
      </c>
      <c r="AZ196" s="8"/>
      <c r="BA196" s="9"/>
      <c r="BB196" s="10"/>
      <c r="BC196" s="10"/>
    </row>
    <row r="197">
      <c r="A197" s="11">
        <v>2024.0</v>
      </c>
      <c r="B197" s="11" t="s">
        <v>57</v>
      </c>
      <c r="C197" s="1"/>
      <c r="D197" s="2">
        <v>84.0</v>
      </c>
      <c r="E197" s="2"/>
      <c r="F197" s="59">
        <v>260002.07</v>
      </c>
      <c r="G197" s="33"/>
      <c r="H197" s="33"/>
      <c r="I197" s="33"/>
      <c r="J197" s="33"/>
      <c r="K197" s="33"/>
      <c r="L197" s="33"/>
      <c r="M197" s="15">
        <v>11.0</v>
      </c>
      <c r="N197" s="51">
        <v>875000.0</v>
      </c>
      <c r="O197" s="35"/>
      <c r="P197" s="35"/>
      <c r="Q197" s="35"/>
      <c r="R197" s="35"/>
      <c r="S197" s="35"/>
      <c r="T197" s="35"/>
      <c r="U197" s="37"/>
      <c r="V197" s="48"/>
      <c r="W197" s="48"/>
      <c r="X197" s="37"/>
      <c r="Y197" s="48"/>
      <c r="Z197" s="48"/>
      <c r="AA197" s="48"/>
      <c r="AB197" s="2"/>
      <c r="AC197" s="33"/>
      <c r="AD197" s="2"/>
      <c r="AE197" s="33"/>
      <c r="AF197" s="33"/>
      <c r="AG197" s="33"/>
      <c r="AH197" s="33"/>
      <c r="AI197" s="33"/>
      <c r="AJ197" s="33"/>
      <c r="AK197" s="4"/>
      <c r="AL197" s="4"/>
      <c r="AM197" s="35"/>
      <c r="AN197" s="35"/>
      <c r="AO197" s="35"/>
      <c r="AP197" s="35"/>
      <c r="AQ197" s="35"/>
      <c r="AR197" s="35"/>
      <c r="AS197" s="37"/>
      <c r="AT197" s="48"/>
      <c r="AU197" s="48"/>
      <c r="AV197" s="48"/>
      <c r="AW197" s="48"/>
      <c r="AX197" s="48"/>
      <c r="AY197" s="48"/>
      <c r="AZ197" s="38"/>
      <c r="BA197" s="39"/>
      <c r="BB197" s="40"/>
      <c r="BC197" s="40"/>
    </row>
    <row r="198">
      <c r="A198" s="1">
        <v>2024.0</v>
      </c>
      <c r="B198" s="1" t="s">
        <v>57</v>
      </c>
      <c r="C198" s="1" t="s">
        <v>49</v>
      </c>
      <c r="D198" s="33">
        <f t="shared" ref="D198:L198" si="387">SUM(D190:D196)</f>
        <v>277</v>
      </c>
      <c r="E198" s="34">
        <f t="shared" si="387"/>
        <v>17866110.15</v>
      </c>
      <c r="F198" s="34">
        <f t="shared" si="387"/>
        <v>758135.4</v>
      </c>
      <c r="G198" s="34">
        <f t="shared" si="387"/>
        <v>94940.28</v>
      </c>
      <c r="H198" s="34">
        <f t="shared" si="387"/>
        <v>28842</v>
      </c>
      <c r="I198" s="34">
        <f t="shared" si="387"/>
        <v>60951.5</v>
      </c>
      <c r="J198" s="34">
        <f t="shared" si="387"/>
        <v>36031.57</v>
      </c>
      <c r="K198" s="34">
        <f t="shared" si="387"/>
        <v>312629</v>
      </c>
      <c r="L198" s="34">
        <f t="shared" si="387"/>
        <v>307021.99</v>
      </c>
      <c r="M198" s="35">
        <f t="shared" ref="M198:N198" si="388">SUM(M190:M197)</f>
        <v>21</v>
      </c>
      <c r="N198" s="36">
        <f t="shared" si="388"/>
        <v>2008021.98</v>
      </c>
      <c r="O198" s="36">
        <f t="shared" ref="O198:AJ198" si="389">SUM(O190:O196)</f>
        <v>45320.8792</v>
      </c>
      <c r="P198" s="36">
        <f t="shared" si="389"/>
        <v>19034.76926</v>
      </c>
      <c r="Q198" s="36">
        <f t="shared" si="389"/>
        <v>5520</v>
      </c>
      <c r="R198" s="36">
        <f t="shared" si="389"/>
        <v>2391.9</v>
      </c>
      <c r="S198" s="36">
        <f t="shared" si="389"/>
        <v>3934.2</v>
      </c>
      <c r="T198" s="36">
        <f t="shared" si="389"/>
        <v>1380</v>
      </c>
      <c r="U198" s="37">
        <f t="shared" si="389"/>
        <v>117562.57</v>
      </c>
      <c r="V198" s="37">
        <f t="shared" si="389"/>
        <v>19034.76926</v>
      </c>
      <c r="W198" s="37">
        <f t="shared" si="389"/>
        <v>63343.4</v>
      </c>
      <c r="X198" s="37">
        <f t="shared" si="389"/>
        <v>36031.57</v>
      </c>
      <c r="Y198" s="37">
        <f t="shared" si="389"/>
        <v>45320.8792</v>
      </c>
      <c r="Z198" s="37">
        <f t="shared" si="389"/>
        <v>5520</v>
      </c>
      <c r="AA198" s="37">
        <f t="shared" si="389"/>
        <v>286813.1885</v>
      </c>
      <c r="AB198" s="33">
        <f t="shared" si="389"/>
        <v>181</v>
      </c>
      <c r="AC198" s="34">
        <f t="shared" si="389"/>
        <v>12323881.7</v>
      </c>
      <c r="AD198" s="34">
        <f t="shared" si="389"/>
        <v>513508.22</v>
      </c>
      <c r="AE198" s="34">
        <f t="shared" si="389"/>
        <v>64537.24</v>
      </c>
      <c r="AF198" s="34">
        <f t="shared" si="389"/>
        <v>18354</v>
      </c>
      <c r="AG198" s="34">
        <f t="shared" si="389"/>
        <v>43753.87</v>
      </c>
      <c r="AH198" s="34">
        <f t="shared" si="389"/>
        <v>0</v>
      </c>
      <c r="AI198" s="34">
        <f t="shared" si="389"/>
        <v>181307.41</v>
      </c>
      <c r="AJ198" s="34">
        <f t="shared" si="389"/>
        <v>206696.72</v>
      </c>
      <c r="AK198" s="35">
        <f t="shared" ref="AK198:AL198" si="390">SUM(AK190:AK197)</f>
        <v>14</v>
      </c>
      <c r="AL198" s="36">
        <f t="shared" si="390"/>
        <v>1052266.53</v>
      </c>
      <c r="AM198" s="36">
        <f t="shared" ref="AM198:AY198" si="391">SUM(AM190:AM196)</f>
        <v>32440</v>
      </c>
      <c r="AN198" s="36">
        <f t="shared" si="391"/>
        <v>18011.08</v>
      </c>
      <c r="AO198" s="36">
        <f t="shared" si="391"/>
        <v>6000</v>
      </c>
      <c r="AP198" s="36">
        <f t="shared" si="391"/>
        <v>5832.22</v>
      </c>
      <c r="AQ198" s="36">
        <f t="shared" si="391"/>
        <v>4784.37</v>
      </c>
      <c r="AR198" s="36">
        <f t="shared" si="391"/>
        <v>0</v>
      </c>
      <c r="AS198" s="37">
        <f t="shared" si="391"/>
        <v>135920.43</v>
      </c>
      <c r="AT198" s="37">
        <f t="shared" si="391"/>
        <v>10008</v>
      </c>
      <c r="AU198" s="37">
        <f t="shared" si="391"/>
        <v>52452.22</v>
      </c>
      <c r="AV198" s="37">
        <f t="shared" si="391"/>
        <v>14983.78</v>
      </c>
      <c r="AW198" s="37">
        <f t="shared" si="391"/>
        <v>22485</v>
      </c>
      <c r="AX198" s="37">
        <f t="shared" si="391"/>
        <v>15432.47</v>
      </c>
      <c r="AY198" s="37">
        <f t="shared" si="391"/>
        <v>251281.9</v>
      </c>
      <c r="AZ198" s="38"/>
      <c r="BA198" s="39"/>
      <c r="BB198" s="40"/>
      <c r="BC198" s="40"/>
    </row>
    <row r="199">
      <c r="A199" s="11">
        <v>2024.0</v>
      </c>
      <c r="B199" s="11" t="s">
        <v>59</v>
      </c>
      <c r="C199" s="12">
        <v>45598.0</v>
      </c>
      <c r="D199" s="44">
        <v>6.0</v>
      </c>
      <c r="E199" s="26">
        <v>417314.21</v>
      </c>
      <c r="F199" s="26">
        <v>21224.67</v>
      </c>
      <c r="G199" s="26">
        <v>2238.67</v>
      </c>
      <c r="H199" s="26">
        <v>828.0</v>
      </c>
      <c r="I199" s="26">
        <v>1352.01</v>
      </c>
      <c r="J199" s="26">
        <v>1899.65</v>
      </c>
      <c r="K199" s="26">
        <v>9282.04</v>
      </c>
      <c r="L199" s="26">
        <v>7523.95</v>
      </c>
      <c r="M199" s="15">
        <v>0.0</v>
      </c>
      <c r="N199" s="16">
        <v>0.0</v>
      </c>
      <c r="O199" s="16">
        <f t="shared" ref="O199:O205" si="392">N199*4%</f>
        <v>0</v>
      </c>
      <c r="P199" s="16">
        <f t="shared" ref="P199:P205" si="393">N199*1.68%</f>
        <v>0</v>
      </c>
      <c r="Q199" s="16">
        <f t="shared" ref="Q199:Q205" si="394">M199*(250+300+2)</f>
        <v>0</v>
      </c>
      <c r="R199" s="16">
        <f t="shared" ref="R199:R205" si="395">M199*239.19</f>
        <v>0</v>
      </c>
      <c r="S199" s="17">
        <f t="shared" ref="S199:S205" si="396">M199*393.42</f>
        <v>0</v>
      </c>
      <c r="T199" s="17">
        <f t="shared" ref="T199:T205" si="397">M199*138</f>
        <v>0</v>
      </c>
      <c r="U199" s="7">
        <v>0.0</v>
      </c>
      <c r="V199" s="18">
        <f t="shared" ref="V199:V205" si="398">P199</f>
        <v>0</v>
      </c>
      <c r="W199" s="7">
        <f t="shared" ref="W199:W205" si="399">I199+R199</f>
        <v>1352.01</v>
      </c>
      <c r="X199" s="7">
        <f t="shared" ref="X199:X205" si="400">J199</f>
        <v>1899.65</v>
      </c>
      <c r="Y199" s="7">
        <v>0.0</v>
      </c>
      <c r="Z199" s="7">
        <v>0.0</v>
      </c>
      <c r="AA199" s="18">
        <f t="shared" ref="AA199:AA205" si="401">SUM(U199:Z199)</f>
        <v>3251.66</v>
      </c>
      <c r="AB199" s="56">
        <v>3.0</v>
      </c>
      <c r="AC199" s="24">
        <v>138337.78</v>
      </c>
      <c r="AD199" s="24">
        <v>6776.05</v>
      </c>
      <c r="AE199" s="24">
        <v>1056.82</v>
      </c>
      <c r="AF199" s="24">
        <v>414.0</v>
      </c>
      <c r="AG199" s="24">
        <v>617.58</v>
      </c>
      <c r="AH199" s="24">
        <v>0.0</v>
      </c>
      <c r="AI199" s="24">
        <v>1850.5</v>
      </c>
      <c r="AJ199" s="24">
        <v>2837.15</v>
      </c>
      <c r="AK199" s="15">
        <v>0.0</v>
      </c>
      <c r="AL199" s="16">
        <v>0.0</v>
      </c>
      <c r="AM199" s="16">
        <v>0.0</v>
      </c>
      <c r="AN199" s="16">
        <v>0.0</v>
      </c>
      <c r="AO199" s="16">
        <v>0.0</v>
      </c>
      <c r="AP199" s="16">
        <v>0.0</v>
      </c>
      <c r="AQ199" s="16">
        <v>0.0</v>
      </c>
      <c r="AR199" s="16">
        <v>0.0</v>
      </c>
      <c r="AS199" s="7">
        <v>0.0</v>
      </c>
      <c r="AT199" s="7">
        <v>0.0</v>
      </c>
      <c r="AU199" s="7">
        <v>0.0</v>
      </c>
      <c r="AV199" s="7">
        <v>0.0</v>
      </c>
      <c r="AW199" s="7">
        <v>0.0</v>
      </c>
      <c r="AX199" s="7">
        <v>0.0</v>
      </c>
      <c r="AY199" s="7">
        <v>0.0</v>
      </c>
      <c r="AZ199" s="8"/>
      <c r="BA199" s="9"/>
      <c r="BB199" s="10"/>
      <c r="BC199" s="10"/>
    </row>
    <row r="200">
      <c r="A200" s="11">
        <v>2024.0</v>
      </c>
      <c r="B200" s="11" t="s">
        <v>59</v>
      </c>
      <c r="C200" s="12">
        <v>45599.0</v>
      </c>
      <c r="D200" s="44">
        <v>8.0</v>
      </c>
      <c r="E200" s="26">
        <v>624515.0</v>
      </c>
      <c r="F200" s="26">
        <v>23749.6</v>
      </c>
      <c r="G200" s="26">
        <v>2265.22</v>
      </c>
      <c r="H200" s="26">
        <v>828.0</v>
      </c>
      <c r="I200" s="26">
        <v>1149.42</v>
      </c>
      <c r="J200" s="26">
        <v>63.44</v>
      </c>
      <c r="K200" s="26">
        <v>16109.89</v>
      </c>
      <c r="L200" s="26">
        <v>10405.47</v>
      </c>
      <c r="M200" s="15">
        <v>0.0</v>
      </c>
      <c r="N200" s="16">
        <v>0.0</v>
      </c>
      <c r="O200" s="16">
        <f t="shared" si="392"/>
        <v>0</v>
      </c>
      <c r="P200" s="16">
        <f t="shared" si="393"/>
        <v>0</v>
      </c>
      <c r="Q200" s="16">
        <f t="shared" si="394"/>
        <v>0</v>
      </c>
      <c r="R200" s="16">
        <f t="shared" si="395"/>
        <v>0</v>
      </c>
      <c r="S200" s="17">
        <f t="shared" si="396"/>
        <v>0</v>
      </c>
      <c r="T200" s="17">
        <f t="shared" si="397"/>
        <v>0</v>
      </c>
      <c r="U200" s="7">
        <v>1838.49</v>
      </c>
      <c r="V200" s="18">
        <f t="shared" si="398"/>
        <v>0</v>
      </c>
      <c r="W200" s="7">
        <f t="shared" si="399"/>
        <v>1149.42</v>
      </c>
      <c r="X200" s="7">
        <f t="shared" si="400"/>
        <v>63.44</v>
      </c>
      <c r="Y200" s="7">
        <v>0.0</v>
      </c>
      <c r="Z200" s="7">
        <v>0.0</v>
      </c>
      <c r="AA200" s="18">
        <f t="shared" si="401"/>
        <v>3051.35</v>
      </c>
      <c r="AB200" s="56">
        <v>5.0</v>
      </c>
      <c r="AC200" s="24">
        <v>442037.39</v>
      </c>
      <c r="AD200" s="24">
        <v>14835.42</v>
      </c>
      <c r="AE200" s="24">
        <v>1308.55</v>
      </c>
      <c r="AF200" s="24">
        <v>552.0</v>
      </c>
      <c r="AG200" s="24">
        <v>612.61</v>
      </c>
      <c r="AH200" s="24">
        <v>0.0</v>
      </c>
      <c r="AI200" s="24">
        <v>4936.03</v>
      </c>
      <c r="AJ200" s="24">
        <v>7426.23</v>
      </c>
      <c r="AK200" s="15">
        <v>0.0</v>
      </c>
      <c r="AL200" s="16">
        <v>0.0</v>
      </c>
      <c r="AM200" s="16">
        <v>0.0</v>
      </c>
      <c r="AN200" s="16">
        <v>0.0</v>
      </c>
      <c r="AO200" s="16">
        <v>0.0</v>
      </c>
      <c r="AP200" s="16">
        <v>0.0</v>
      </c>
      <c r="AQ200" s="16">
        <v>0.0</v>
      </c>
      <c r="AR200" s="16">
        <v>0.0</v>
      </c>
      <c r="AS200" s="7">
        <v>0.0</v>
      </c>
      <c r="AT200" s="7">
        <v>0.0</v>
      </c>
      <c r="AU200" s="7">
        <v>0.0</v>
      </c>
      <c r="AV200" s="7">
        <v>0.0</v>
      </c>
      <c r="AW200" s="7">
        <v>0.0</v>
      </c>
      <c r="AX200" s="7">
        <v>0.0</v>
      </c>
      <c r="AY200" s="7">
        <v>0.0</v>
      </c>
      <c r="AZ200" s="8"/>
      <c r="BA200" s="9"/>
      <c r="BB200" s="10"/>
      <c r="BC200" s="10"/>
    </row>
    <row r="201">
      <c r="A201" s="11">
        <v>2024.0</v>
      </c>
      <c r="B201" s="11" t="s">
        <v>59</v>
      </c>
      <c r="C201" s="12">
        <v>45600.0</v>
      </c>
      <c r="D201" s="44">
        <v>9.0</v>
      </c>
      <c r="E201" s="26">
        <v>406047.26</v>
      </c>
      <c r="F201" s="26">
        <v>20380.43</v>
      </c>
      <c r="G201" s="26">
        <v>3289.07</v>
      </c>
      <c r="H201" s="26">
        <v>1104.0</v>
      </c>
      <c r="I201" s="26">
        <v>1132.01</v>
      </c>
      <c r="J201" s="26">
        <v>429.39</v>
      </c>
      <c r="K201" s="26">
        <v>6679.55</v>
      </c>
      <c r="L201" s="26">
        <v>8175.8</v>
      </c>
      <c r="M201" s="15">
        <v>0.0</v>
      </c>
      <c r="N201" s="16">
        <v>0.0</v>
      </c>
      <c r="O201" s="16">
        <f t="shared" si="392"/>
        <v>0</v>
      </c>
      <c r="P201" s="16">
        <f t="shared" si="393"/>
        <v>0</v>
      </c>
      <c r="Q201" s="16">
        <f t="shared" si="394"/>
        <v>0</v>
      </c>
      <c r="R201" s="16">
        <f t="shared" si="395"/>
        <v>0</v>
      </c>
      <c r="S201" s="17">
        <f t="shared" si="396"/>
        <v>0</v>
      </c>
      <c r="T201" s="17">
        <f t="shared" si="397"/>
        <v>0</v>
      </c>
      <c r="U201" s="7">
        <v>2911.22</v>
      </c>
      <c r="V201" s="18">
        <f t="shared" si="398"/>
        <v>0</v>
      </c>
      <c r="W201" s="7">
        <f t="shared" si="399"/>
        <v>1132.01</v>
      </c>
      <c r="X201" s="7">
        <f t="shared" si="400"/>
        <v>429.39</v>
      </c>
      <c r="Y201" s="7">
        <f t="shared" ref="Y201:Y205" si="402">O201</f>
        <v>0</v>
      </c>
      <c r="Z201" s="7">
        <f t="shared" ref="Z201:Z205" si="403">Q201</f>
        <v>0</v>
      </c>
      <c r="AA201" s="18">
        <f t="shared" si="401"/>
        <v>4472.62</v>
      </c>
      <c r="AB201" s="56">
        <v>6.0</v>
      </c>
      <c r="AC201" s="24">
        <v>304297.98</v>
      </c>
      <c r="AD201" s="24">
        <v>15655.79</v>
      </c>
      <c r="AE201" s="24">
        <v>2530.32</v>
      </c>
      <c r="AF201" s="24">
        <v>690.0</v>
      </c>
      <c r="AG201" s="24">
        <v>669.2</v>
      </c>
      <c r="AH201" s="24">
        <v>0.0</v>
      </c>
      <c r="AI201" s="24">
        <v>5523.15</v>
      </c>
      <c r="AJ201" s="24">
        <v>6243.12</v>
      </c>
      <c r="AK201" s="15">
        <v>0.0</v>
      </c>
      <c r="AL201" s="16">
        <v>0.0</v>
      </c>
      <c r="AM201" s="16">
        <v>0.0</v>
      </c>
      <c r="AN201" s="16">
        <v>0.0</v>
      </c>
      <c r="AO201" s="16">
        <v>0.0</v>
      </c>
      <c r="AP201" s="16">
        <v>0.0</v>
      </c>
      <c r="AQ201" s="16">
        <v>0.0</v>
      </c>
      <c r="AR201" s="16">
        <v>0.0</v>
      </c>
      <c r="AS201" s="7">
        <v>15530.0</v>
      </c>
      <c r="AT201" s="7">
        <v>0.0</v>
      </c>
      <c r="AU201" s="7">
        <v>350.0</v>
      </c>
      <c r="AV201" s="7">
        <v>460.0</v>
      </c>
      <c r="AW201" s="7">
        <v>0.0</v>
      </c>
      <c r="AX201" s="7">
        <v>250.0</v>
      </c>
      <c r="AY201" s="7">
        <f t="shared" ref="AY201:AY205" si="404">SUM(AS201:AX201)</f>
        <v>16590</v>
      </c>
      <c r="AZ201" s="8"/>
      <c r="BA201" s="9"/>
      <c r="BB201" s="10"/>
      <c r="BC201" s="10"/>
    </row>
    <row r="202">
      <c r="A202" s="11">
        <v>2024.0</v>
      </c>
      <c r="B202" s="11" t="s">
        <v>59</v>
      </c>
      <c r="C202" s="12">
        <v>45570.0</v>
      </c>
      <c r="D202" s="44">
        <v>12.0</v>
      </c>
      <c r="E202" s="26">
        <v>921869.52</v>
      </c>
      <c r="F202" s="26">
        <v>37918.8</v>
      </c>
      <c r="G202" s="26">
        <v>4785.65</v>
      </c>
      <c r="H202" s="26">
        <v>1656.0</v>
      </c>
      <c r="I202" s="26">
        <v>1898.0</v>
      </c>
      <c r="J202" s="26">
        <v>21263.76</v>
      </c>
      <c r="K202" s="26">
        <v>68583.82</v>
      </c>
      <c r="L202" s="26">
        <v>15487.41</v>
      </c>
      <c r="M202" s="15">
        <v>2.0</v>
      </c>
      <c r="N202" s="16">
        <v>316484.35</v>
      </c>
      <c r="O202" s="16">
        <f t="shared" si="392"/>
        <v>12659.374</v>
      </c>
      <c r="P202" s="16">
        <f t="shared" si="393"/>
        <v>5316.93708</v>
      </c>
      <c r="Q202" s="16">
        <f t="shared" si="394"/>
        <v>1104</v>
      </c>
      <c r="R202" s="16">
        <f t="shared" si="395"/>
        <v>478.38</v>
      </c>
      <c r="S202" s="17">
        <f t="shared" si="396"/>
        <v>786.84</v>
      </c>
      <c r="T202" s="17">
        <f t="shared" si="397"/>
        <v>276</v>
      </c>
      <c r="U202" s="7">
        <v>4293.02</v>
      </c>
      <c r="V202" s="18">
        <f t="shared" si="398"/>
        <v>5316.93708</v>
      </c>
      <c r="W202" s="7">
        <f t="shared" si="399"/>
        <v>2376.38</v>
      </c>
      <c r="X202" s="7">
        <f t="shared" si="400"/>
        <v>21263.76</v>
      </c>
      <c r="Y202" s="18">
        <f t="shared" si="402"/>
        <v>12659.374</v>
      </c>
      <c r="Z202" s="18">
        <f t="shared" si="403"/>
        <v>1104</v>
      </c>
      <c r="AA202" s="18">
        <f t="shared" si="401"/>
        <v>47013.47108</v>
      </c>
      <c r="AB202" s="56">
        <v>7.0</v>
      </c>
      <c r="AC202" s="24">
        <v>458399.82</v>
      </c>
      <c r="AD202" s="24">
        <v>19820.26</v>
      </c>
      <c r="AE202" s="24">
        <v>2454.9</v>
      </c>
      <c r="AF202" s="24">
        <v>966.0</v>
      </c>
      <c r="AG202" s="24">
        <v>1089.06</v>
      </c>
      <c r="AH202" s="24">
        <v>0.0</v>
      </c>
      <c r="AI202" s="24">
        <v>7609.18</v>
      </c>
      <c r="AJ202" s="24">
        <v>7701.12</v>
      </c>
      <c r="AK202" s="15">
        <v>1.0</v>
      </c>
      <c r="AL202" s="16">
        <v>107137.42</v>
      </c>
      <c r="AM202" s="16">
        <v>4052.0</v>
      </c>
      <c r="AN202" s="16">
        <v>1803.0</v>
      </c>
      <c r="AO202" s="16">
        <v>600.0</v>
      </c>
      <c r="AP202" s="16">
        <v>435.62</v>
      </c>
      <c r="AQ202" s="16">
        <v>646.8</v>
      </c>
      <c r="AR202" s="16">
        <v>0.0</v>
      </c>
      <c r="AS202" s="7">
        <v>11000.0</v>
      </c>
      <c r="AT202" s="7">
        <v>0.0</v>
      </c>
      <c r="AU202" s="7">
        <v>220.0</v>
      </c>
      <c r="AV202" s="7">
        <v>50.9</v>
      </c>
      <c r="AW202" s="7">
        <v>0.0</v>
      </c>
      <c r="AX202" s="7">
        <v>5.0</v>
      </c>
      <c r="AY202" s="7">
        <f t="shared" si="404"/>
        <v>11275.9</v>
      </c>
      <c r="AZ202" s="8"/>
      <c r="BA202" s="9"/>
      <c r="BB202" s="10"/>
      <c r="BC202" s="10"/>
    </row>
    <row r="203">
      <c r="A203" s="11">
        <v>2024.0</v>
      </c>
      <c r="B203" s="11" t="s">
        <v>59</v>
      </c>
      <c r="C203" s="12">
        <v>45602.0</v>
      </c>
      <c r="D203" s="44">
        <v>11.0</v>
      </c>
      <c r="E203" s="26">
        <v>426755.78</v>
      </c>
      <c r="F203" s="26">
        <v>22060.85</v>
      </c>
      <c r="G203" s="26">
        <v>2973.3</v>
      </c>
      <c r="H203" s="26">
        <v>1380.0</v>
      </c>
      <c r="I203" s="26">
        <v>1222.09</v>
      </c>
      <c r="J203" s="26">
        <v>0.0</v>
      </c>
      <c r="K203" s="26">
        <v>9315.96</v>
      </c>
      <c r="L203" s="26">
        <v>7169.5</v>
      </c>
      <c r="M203" s="15">
        <v>2.0</v>
      </c>
      <c r="N203" s="16">
        <v>220000.0</v>
      </c>
      <c r="O203" s="16">
        <f t="shared" si="392"/>
        <v>8800</v>
      </c>
      <c r="P203" s="16">
        <f t="shared" si="393"/>
        <v>3696</v>
      </c>
      <c r="Q203" s="16">
        <f t="shared" si="394"/>
        <v>1104</v>
      </c>
      <c r="R203" s="16">
        <f t="shared" si="395"/>
        <v>478.38</v>
      </c>
      <c r="S203" s="17">
        <f t="shared" si="396"/>
        <v>786.84</v>
      </c>
      <c r="T203" s="17">
        <f t="shared" si="397"/>
        <v>276</v>
      </c>
      <c r="U203" s="7">
        <v>7094.6</v>
      </c>
      <c r="V203" s="18">
        <f t="shared" si="398"/>
        <v>3696</v>
      </c>
      <c r="W203" s="7">
        <f t="shared" si="399"/>
        <v>1700.47</v>
      </c>
      <c r="X203" s="7">
        <f t="shared" si="400"/>
        <v>0</v>
      </c>
      <c r="Y203" s="18">
        <f t="shared" si="402"/>
        <v>8800</v>
      </c>
      <c r="Z203" s="18">
        <f t="shared" si="403"/>
        <v>1104</v>
      </c>
      <c r="AA203" s="18">
        <f t="shared" si="401"/>
        <v>22395.07</v>
      </c>
      <c r="AB203" s="56">
        <v>6.0</v>
      </c>
      <c r="AC203" s="24">
        <v>157416.95</v>
      </c>
      <c r="AD203" s="24">
        <v>9126.43</v>
      </c>
      <c r="AE203" s="24">
        <v>1394.54</v>
      </c>
      <c r="AF203" s="24">
        <v>828.0</v>
      </c>
      <c r="AG203" s="24">
        <v>917.24</v>
      </c>
      <c r="AH203" s="24">
        <v>0.0</v>
      </c>
      <c r="AI203" s="24">
        <v>3342.05</v>
      </c>
      <c r="AJ203" s="24">
        <v>2644.6</v>
      </c>
      <c r="AK203" s="15">
        <v>0.0</v>
      </c>
      <c r="AL203" s="16">
        <v>0.0</v>
      </c>
      <c r="AM203" s="16">
        <v>0.0</v>
      </c>
      <c r="AN203" s="16">
        <v>0.0</v>
      </c>
      <c r="AO203" s="16">
        <v>0.0</v>
      </c>
      <c r="AP203" s="16">
        <v>0.0</v>
      </c>
      <c r="AQ203" s="16">
        <v>0.0</v>
      </c>
      <c r="AR203" s="16">
        <v>0.0</v>
      </c>
      <c r="AS203" s="7">
        <v>10121.63</v>
      </c>
      <c r="AT203" s="7">
        <v>1046.35</v>
      </c>
      <c r="AU203" s="7">
        <v>16352.86</v>
      </c>
      <c r="AV203" s="7">
        <v>1773.72</v>
      </c>
      <c r="AW203" s="7">
        <v>4052.0</v>
      </c>
      <c r="AX203" s="7">
        <f>16228.69-AT203</f>
        <v>15182.34</v>
      </c>
      <c r="AY203" s="7">
        <f t="shared" si="404"/>
        <v>48528.9</v>
      </c>
      <c r="AZ203" s="8"/>
      <c r="BA203" s="9"/>
      <c r="BB203" s="10"/>
      <c r="BC203" s="10"/>
    </row>
    <row r="204">
      <c r="A204" s="11">
        <v>2024.0</v>
      </c>
      <c r="B204" s="11" t="s">
        <v>59</v>
      </c>
      <c r="C204" s="12">
        <v>45603.0</v>
      </c>
      <c r="D204" s="44">
        <v>18.0</v>
      </c>
      <c r="E204" s="26">
        <v>774481.29</v>
      </c>
      <c r="F204" s="26">
        <v>40491.94</v>
      </c>
      <c r="G204" s="26">
        <v>5830.94</v>
      </c>
      <c r="H204" s="26">
        <v>2484.0</v>
      </c>
      <c r="I204" s="26">
        <v>3080.12</v>
      </c>
      <c r="J204" s="26">
        <v>2327.27</v>
      </c>
      <c r="K204" s="26">
        <v>15613.23</v>
      </c>
      <c r="L204" s="26">
        <v>15604.79</v>
      </c>
      <c r="M204" s="15">
        <v>1.0</v>
      </c>
      <c r="N204" s="16">
        <v>350000.0</v>
      </c>
      <c r="O204" s="16">
        <f t="shared" si="392"/>
        <v>14000</v>
      </c>
      <c r="P204" s="16">
        <f t="shared" si="393"/>
        <v>5880</v>
      </c>
      <c r="Q204" s="16">
        <f t="shared" si="394"/>
        <v>552</v>
      </c>
      <c r="R204" s="16">
        <f t="shared" si="395"/>
        <v>239.19</v>
      </c>
      <c r="S204" s="17">
        <f t="shared" si="396"/>
        <v>393.42</v>
      </c>
      <c r="T204" s="17">
        <f t="shared" si="397"/>
        <v>138</v>
      </c>
      <c r="U204" s="7">
        <v>11377.35</v>
      </c>
      <c r="V204" s="18">
        <f t="shared" si="398"/>
        <v>5880</v>
      </c>
      <c r="W204" s="7">
        <f t="shared" si="399"/>
        <v>3319.31</v>
      </c>
      <c r="X204" s="7">
        <f t="shared" si="400"/>
        <v>2327.27</v>
      </c>
      <c r="Y204" s="18">
        <f t="shared" si="402"/>
        <v>14000</v>
      </c>
      <c r="Z204" s="18">
        <f t="shared" si="403"/>
        <v>552</v>
      </c>
      <c r="AA204" s="18">
        <f t="shared" si="401"/>
        <v>37455.93</v>
      </c>
      <c r="AB204" s="56">
        <v>6.0</v>
      </c>
      <c r="AC204" s="24">
        <v>274120.05</v>
      </c>
      <c r="AD204" s="24">
        <v>12597.28</v>
      </c>
      <c r="AE204" s="24">
        <v>1860.13</v>
      </c>
      <c r="AF204" s="24">
        <v>828.0</v>
      </c>
      <c r="AG204" s="24">
        <v>981.31</v>
      </c>
      <c r="AH204" s="24">
        <v>0.0</v>
      </c>
      <c r="AI204" s="24">
        <v>4322.62</v>
      </c>
      <c r="AJ204" s="24">
        <v>4605.22</v>
      </c>
      <c r="AK204" s="15">
        <v>0.0</v>
      </c>
      <c r="AL204" s="16">
        <v>0.0</v>
      </c>
      <c r="AM204" s="16">
        <v>0.0</v>
      </c>
      <c r="AN204" s="16">
        <v>0.0</v>
      </c>
      <c r="AO204" s="16">
        <v>0.0</v>
      </c>
      <c r="AP204" s="16">
        <v>0.0</v>
      </c>
      <c r="AQ204" s="16">
        <v>0.0</v>
      </c>
      <c r="AR204" s="16">
        <v>0.0</v>
      </c>
      <c r="AS204" s="7">
        <v>19469.72</v>
      </c>
      <c r="AT204" s="7">
        <v>0.0</v>
      </c>
      <c r="AU204" s="7">
        <v>7164.73</v>
      </c>
      <c r="AV204" s="7">
        <v>1994.13</v>
      </c>
      <c r="AW204" s="7">
        <v>0.0</v>
      </c>
      <c r="AX204" s="7">
        <v>366.85</v>
      </c>
      <c r="AY204" s="7">
        <f t="shared" si="404"/>
        <v>28995.43</v>
      </c>
      <c r="AZ204" s="8"/>
      <c r="BA204" s="9"/>
      <c r="BB204" s="10"/>
      <c r="BC204" s="10"/>
    </row>
    <row r="205">
      <c r="A205" s="11">
        <v>2024.0</v>
      </c>
      <c r="B205" s="11" t="s">
        <v>59</v>
      </c>
      <c r="C205" s="12">
        <v>45604.0</v>
      </c>
      <c r="D205" s="44">
        <v>11.0</v>
      </c>
      <c r="E205" s="26">
        <v>459641.92</v>
      </c>
      <c r="F205" s="26">
        <v>25085.0</v>
      </c>
      <c r="G205" s="26">
        <v>3716.24</v>
      </c>
      <c r="H205" s="26">
        <v>1518.0</v>
      </c>
      <c r="I205" s="26">
        <v>1637.82</v>
      </c>
      <c r="J205" s="26">
        <v>0.0</v>
      </c>
      <c r="K205" s="26">
        <v>9998.96</v>
      </c>
      <c r="L205" s="26">
        <v>8213.98</v>
      </c>
      <c r="M205" s="15">
        <v>1.0</v>
      </c>
      <c r="N205" s="16">
        <v>276900.0</v>
      </c>
      <c r="O205" s="16">
        <f t="shared" si="392"/>
        <v>11076</v>
      </c>
      <c r="P205" s="16">
        <f t="shared" si="393"/>
        <v>4651.92</v>
      </c>
      <c r="Q205" s="16">
        <f t="shared" si="394"/>
        <v>552</v>
      </c>
      <c r="R205" s="16">
        <f t="shared" si="395"/>
        <v>239.19</v>
      </c>
      <c r="S205" s="17">
        <f t="shared" si="396"/>
        <v>393.42</v>
      </c>
      <c r="T205" s="17">
        <f t="shared" si="397"/>
        <v>138</v>
      </c>
      <c r="U205" s="7">
        <v>4330.96</v>
      </c>
      <c r="V205" s="18">
        <f t="shared" si="398"/>
        <v>4651.92</v>
      </c>
      <c r="W205" s="7">
        <f t="shared" si="399"/>
        <v>1877.01</v>
      </c>
      <c r="X205" s="7">
        <f t="shared" si="400"/>
        <v>0</v>
      </c>
      <c r="Y205" s="18">
        <f t="shared" si="402"/>
        <v>11076</v>
      </c>
      <c r="Z205" s="18">
        <f t="shared" si="403"/>
        <v>552</v>
      </c>
      <c r="AA205" s="18">
        <f t="shared" si="401"/>
        <v>22487.89</v>
      </c>
      <c r="AB205" s="56">
        <v>3.0</v>
      </c>
      <c r="AC205" s="24">
        <v>113531.77</v>
      </c>
      <c r="AD205" s="24">
        <v>6243.59</v>
      </c>
      <c r="AE205" s="24">
        <v>1044.86</v>
      </c>
      <c r="AF205" s="24">
        <v>414.0</v>
      </c>
      <c r="AG205" s="24">
        <v>517.82</v>
      </c>
      <c r="AH205" s="24">
        <v>0.0</v>
      </c>
      <c r="AI205" s="24">
        <v>1867.58</v>
      </c>
      <c r="AJ205" s="24">
        <v>2399.33</v>
      </c>
      <c r="AK205" s="15">
        <v>8.0</v>
      </c>
      <c r="AL205" s="16">
        <v>1154173.48</v>
      </c>
      <c r="AM205" s="16">
        <v>43986.0</v>
      </c>
      <c r="AN205" s="16">
        <v>22029.84</v>
      </c>
      <c r="AO205" s="16">
        <v>6354.0</v>
      </c>
      <c r="AP205" s="16">
        <v>5286.53</v>
      </c>
      <c r="AQ205" s="16">
        <v>3375.26</v>
      </c>
      <c r="AR205" s="16">
        <v>0.0</v>
      </c>
      <c r="AS205" s="7">
        <v>11098.57</v>
      </c>
      <c r="AT205" s="7">
        <v>18434.84</v>
      </c>
      <c r="AU205" s="7">
        <v>4452.79</v>
      </c>
      <c r="AV205" s="7">
        <v>2376.99</v>
      </c>
      <c r="AW205" s="7">
        <v>37539.0</v>
      </c>
      <c r="AX205" s="7">
        <f>24667.24-AT205</f>
        <v>6232.4</v>
      </c>
      <c r="AY205" s="7">
        <f t="shared" si="404"/>
        <v>80134.59</v>
      </c>
      <c r="AZ205" s="8"/>
      <c r="BA205" s="9"/>
      <c r="BB205" s="10"/>
      <c r="BC205" s="10"/>
    </row>
    <row r="206">
      <c r="A206" s="11">
        <v>2024.0</v>
      </c>
      <c r="B206" s="11" t="s">
        <v>59</v>
      </c>
      <c r="C206" s="1"/>
      <c r="D206" s="2">
        <v>149.0</v>
      </c>
      <c r="E206" s="2"/>
      <c r="F206" s="59">
        <v>433647.9</v>
      </c>
      <c r="G206" s="33"/>
      <c r="H206" s="33"/>
      <c r="I206" s="33"/>
      <c r="J206" s="33"/>
      <c r="K206" s="33"/>
      <c r="L206" s="33"/>
      <c r="M206" s="15">
        <v>9.0</v>
      </c>
      <c r="N206" s="51">
        <v>878000.0</v>
      </c>
      <c r="O206" s="35"/>
      <c r="P206" s="35"/>
      <c r="Q206" s="35"/>
      <c r="R206" s="35"/>
      <c r="S206" s="35"/>
      <c r="T206" s="35"/>
      <c r="U206" s="37"/>
      <c r="V206" s="48"/>
      <c r="W206" s="48"/>
      <c r="X206" s="37"/>
      <c r="Y206" s="48"/>
      <c r="Z206" s="48"/>
      <c r="AA206" s="48"/>
      <c r="AB206" s="2"/>
      <c r="AC206" s="33"/>
      <c r="AD206" s="2"/>
      <c r="AE206" s="33"/>
      <c r="AF206" s="33"/>
      <c r="AG206" s="33"/>
      <c r="AH206" s="33"/>
      <c r="AI206" s="33"/>
      <c r="AJ206" s="33"/>
      <c r="AK206" s="4"/>
      <c r="AL206" s="4"/>
      <c r="AM206" s="35"/>
      <c r="AN206" s="35"/>
      <c r="AO206" s="35"/>
      <c r="AP206" s="35"/>
      <c r="AQ206" s="35"/>
      <c r="AR206" s="35"/>
      <c r="AS206" s="37"/>
      <c r="AT206" s="48"/>
      <c r="AU206" s="48"/>
      <c r="AV206" s="48"/>
      <c r="AW206" s="48"/>
      <c r="AX206" s="48"/>
      <c r="AY206" s="48"/>
      <c r="AZ206" s="38"/>
      <c r="BA206" s="39"/>
      <c r="BB206" s="40"/>
      <c r="BC206" s="40"/>
    </row>
    <row r="207">
      <c r="A207" s="1">
        <v>2024.0</v>
      </c>
      <c r="B207" s="1" t="s">
        <v>59</v>
      </c>
      <c r="C207" s="1" t="s">
        <v>49</v>
      </c>
      <c r="D207" s="33">
        <f t="shared" ref="D207:L207" si="405">SUM(D199:D205)</f>
        <v>75</v>
      </c>
      <c r="E207" s="34">
        <f t="shared" si="405"/>
        <v>4030624.98</v>
      </c>
      <c r="F207" s="34">
        <f t="shared" si="405"/>
        <v>190911.29</v>
      </c>
      <c r="G207" s="34">
        <f t="shared" si="405"/>
        <v>25099.09</v>
      </c>
      <c r="H207" s="34">
        <f t="shared" si="405"/>
        <v>9798</v>
      </c>
      <c r="I207" s="34">
        <f t="shared" si="405"/>
        <v>11471.47</v>
      </c>
      <c r="J207" s="34">
        <f t="shared" si="405"/>
        <v>25983.51</v>
      </c>
      <c r="K207" s="34">
        <f t="shared" si="405"/>
        <v>135583.45</v>
      </c>
      <c r="L207" s="34">
        <f t="shared" si="405"/>
        <v>72580.9</v>
      </c>
      <c r="M207" s="35">
        <f t="shared" ref="M207:N207" si="406">SUM(M199:M206)</f>
        <v>15</v>
      </c>
      <c r="N207" s="36">
        <f t="shared" si="406"/>
        <v>2041384.35</v>
      </c>
      <c r="O207" s="36">
        <f t="shared" ref="O207:AJ207" si="407">SUM(O199:O205)</f>
        <v>46535.374</v>
      </c>
      <c r="P207" s="36">
        <f t="shared" si="407"/>
        <v>19544.85708</v>
      </c>
      <c r="Q207" s="36">
        <f t="shared" si="407"/>
        <v>3312</v>
      </c>
      <c r="R207" s="36">
        <f t="shared" si="407"/>
        <v>1435.14</v>
      </c>
      <c r="S207" s="36">
        <f t="shared" si="407"/>
        <v>2360.52</v>
      </c>
      <c r="T207" s="36">
        <f t="shared" si="407"/>
        <v>828</v>
      </c>
      <c r="U207" s="37">
        <f t="shared" si="407"/>
        <v>31845.64</v>
      </c>
      <c r="V207" s="37">
        <f t="shared" si="407"/>
        <v>19544.85708</v>
      </c>
      <c r="W207" s="37">
        <f t="shared" si="407"/>
        <v>12906.61</v>
      </c>
      <c r="X207" s="37">
        <f t="shared" si="407"/>
        <v>25983.51</v>
      </c>
      <c r="Y207" s="37">
        <f t="shared" si="407"/>
        <v>46535.374</v>
      </c>
      <c r="Z207" s="37">
        <f t="shared" si="407"/>
        <v>3312</v>
      </c>
      <c r="AA207" s="37">
        <f t="shared" si="407"/>
        <v>140127.9911</v>
      </c>
      <c r="AB207" s="33">
        <f t="shared" si="407"/>
        <v>36</v>
      </c>
      <c r="AC207" s="34">
        <f t="shared" si="407"/>
        <v>1888141.74</v>
      </c>
      <c r="AD207" s="34">
        <f t="shared" si="407"/>
        <v>85054.82</v>
      </c>
      <c r="AE207" s="34">
        <f t="shared" si="407"/>
        <v>11650.12</v>
      </c>
      <c r="AF207" s="34">
        <f t="shared" si="407"/>
        <v>4692</v>
      </c>
      <c r="AG207" s="34">
        <f t="shared" si="407"/>
        <v>5404.82</v>
      </c>
      <c r="AH207" s="34">
        <f t="shared" si="407"/>
        <v>0</v>
      </c>
      <c r="AI207" s="34">
        <f t="shared" si="407"/>
        <v>29451.11</v>
      </c>
      <c r="AJ207" s="34">
        <f t="shared" si="407"/>
        <v>33856.77</v>
      </c>
      <c r="AK207" s="35">
        <f t="shared" ref="AK207:AL207" si="408">SUM(AK199:AK206)</f>
        <v>9</v>
      </c>
      <c r="AL207" s="36">
        <f t="shared" si="408"/>
        <v>1261310.9</v>
      </c>
      <c r="AM207" s="36">
        <f t="shared" ref="AM207:AY207" si="409">SUM(AM199:AM205)</f>
        <v>48038</v>
      </c>
      <c r="AN207" s="36">
        <f t="shared" si="409"/>
        <v>23832.84</v>
      </c>
      <c r="AO207" s="36">
        <f t="shared" si="409"/>
        <v>6954</v>
      </c>
      <c r="AP207" s="36">
        <f t="shared" si="409"/>
        <v>5722.15</v>
      </c>
      <c r="AQ207" s="36">
        <f t="shared" si="409"/>
        <v>4022.06</v>
      </c>
      <c r="AR207" s="36">
        <f t="shared" si="409"/>
        <v>0</v>
      </c>
      <c r="AS207" s="37">
        <f t="shared" si="409"/>
        <v>67219.92</v>
      </c>
      <c r="AT207" s="37">
        <f t="shared" si="409"/>
        <v>19481.19</v>
      </c>
      <c r="AU207" s="37">
        <f t="shared" si="409"/>
        <v>28540.38</v>
      </c>
      <c r="AV207" s="37">
        <f t="shared" si="409"/>
        <v>6655.74</v>
      </c>
      <c r="AW207" s="37">
        <f t="shared" si="409"/>
        <v>41591</v>
      </c>
      <c r="AX207" s="37">
        <f t="shared" si="409"/>
        <v>22036.59</v>
      </c>
      <c r="AY207" s="37">
        <f t="shared" si="409"/>
        <v>185524.82</v>
      </c>
      <c r="AZ207" s="38"/>
      <c r="BA207" s="39"/>
      <c r="BB207" s="40"/>
      <c r="BC207" s="40"/>
    </row>
    <row r="208">
      <c r="A208" s="11">
        <v>2024.0</v>
      </c>
      <c r="B208" s="11" t="s">
        <v>59</v>
      </c>
      <c r="C208" s="12">
        <v>45605.0</v>
      </c>
      <c r="D208" s="44">
        <v>9.0</v>
      </c>
      <c r="E208" s="26">
        <v>573802.08</v>
      </c>
      <c r="F208" s="26">
        <v>28044.43</v>
      </c>
      <c r="G208" s="26">
        <v>3917.77</v>
      </c>
      <c r="H208" s="26">
        <v>966.0</v>
      </c>
      <c r="I208" s="26">
        <v>1297.69</v>
      </c>
      <c r="J208" s="26">
        <v>3749.73</v>
      </c>
      <c r="K208" s="26">
        <v>9409.01</v>
      </c>
      <c r="L208" s="26">
        <v>12453.96</v>
      </c>
      <c r="M208" s="15">
        <v>0.0</v>
      </c>
      <c r="N208" s="16">
        <v>0.0</v>
      </c>
      <c r="O208" s="16">
        <f t="shared" ref="O208:O214" si="410">N208*4%</f>
        <v>0</v>
      </c>
      <c r="P208" s="16">
        <f t="shared" ref="P208:P214" si="411">N208*1.68%</f>
        <v>0</v>
      </c>
      <c r="Q208" s="16">
        <f t="shared" ref="Q208:Q214" si="412">M208*(250+300+2)</f>
        <v>0</v>
      </c>
      <c r="R208" s="16">
        <f t="shared" ref="R208:R214" si="413">M208*239.19</f>
        <v>0</v>
      </c>
      <c r="S208" s="17">
        <f t="shared" ref="S208:S214" si="414">M208*393.42</f>
        <v>0</v>
      </c>
      <c r="T208" s="17">
        <f t="shared" ref="T208:T214" si="415">M208*138</f>
        <v>0</v>
      </c>
      <c r="U208" s="7">
        <v>5465.07</v>
      </c>
      <c r="V208" s="18">
        <f t="shared" ref="V208:V214" si="416">P208</f>
        <v>0</v>
      </c>
      <c r="W208" s="7">
        <f t="shared" ref="W208:W214" si="417">I208+R208</f>
        <v>1297.69</v>
      </c>
      <c r="X208" s="7">
        <f t="shared" ref="X208:X214" si="418">J208</f>
        <v>3749.73</v>
      </c>
      <c r="Y208" s="7">
        <v>0.0</v>
      </c>
      <c r="Z208" s="7">
        <v>0.0</v>
      </c>
      <c r="AA208" s="18">
        <f t="shared" ref="AA208:AA214" si="419">SUM(U208:Z208)</f>
        <v>10512.49</v>
      </c>
      <c r="AB208" s="56">
        <v>4.0</v>
      </c>
      <c r="AC208" s="24">
        <v>251764.15</v>
      </c>
      <c r="AD208" s="24">
        <v>9632.83</v>
      </c>
      <c r="AE208" s="24">
        <v>960.41</v>
      </c>
      <c r="AF208" s="24">
        <v>276.0</v>
      </c>
      <c r="AG208" s="24">
        <v>378.38</v>
      </c>
      <c r="AH208" s="24">
        <v>0.0</v>
      </c>
      <c r="AI208" s="24">
        <v>3476.2</v>
      </c>
      <c r="AJ208" s="24">
        <v>4541.84</v>
      </c>
      <c r="AK208" s="15">
        <v>0.0</v>
      </c>
      <c r="AL208" s="16">
        <v>0.0</v>
      </c>
      <c r="AM208" s="16">
        <v>0.0</v>
      </c>
      <c r="AN208" s="16">
        <v>0.0</v>
      </c>
      <c r="AO208" s="16">
        <v>0.0</v>
      </c>
      <c r="AP208" s="16">
        <v>0.0</v>
      </c>
      <c r="AQ208" s="16">
        <v>0.0</v>
      </c>
      <c r="AR208" s="16">
        <v>0.0</v>
      </c>
      <c r="AS208" s="7">
        <v>6203.02</v>
      </c>
      <c r="AT208" s="7">
        <v>0.0</v>
      </c>
      <c r="AU208" s="7">
        <v>2465.15</v>
      </c>
      <c r="AV208" s="7">
        <v>5541.79</v>
      </c>
      <c r="AW208" s="7">
        <v>0.0</v>
      </c>
      <c r="AX208" s="7">
        <v>46.63</v>
      </c>
      <c r="AY208" s="7">
        <f>SUM(AS208:AX208)</f>
        <v>14256.59</v>
      </c>
      <c r="AZ208" s="8"/>
      <c r="BA208" s="9"/>
      <c r="BB208" s="10"/>
      <c r="BC208" s="10"/>
    </row>
    <row r="209">
      <c r="A209" s="11">
        <v>2024.0</v>
      </c>
      <c r="B209" s="11" t="s">
        <v>59</v>
      </c>
      <c r="C209" s="12">
        <v>45606.0</v>
      </c>
      <c r="D209" s="44">
        <v>6.0</v>
      </c>
      <c r="E209" s="26">
        <v>454255.38</v>
      </c>
      <c r="F209" s="26">
        <v>19888.7</v>
      </c>
      <c r="G209" s="26">
        <v>2667.77</v>
      </c>
      <c r="H209" s="26">
        <v>828.0</v>
      </c>
      <c r="I209" s="26">
        <v>1102.7</v>
      </c>
      <c r="J209" s="26">
        <v>1225.27</v>
      </c>
      <c r="K209" s="26">
        <v>6683.53</v>
      </c>
      <c r="L209" s="26">
        <v>8606.7</v>
      </c>
      <c r="M209" s="15">
        <v>0.0</v>
      </c>
      <c r="N209" s="16">
        <v>0.0</v>
      </c>
      <c r="O209" s="16">
        <f t="shared" si="410"/>
        <v>0</v>
      </c>
      <c r="P209" s="16">
        <f t="shared" si="411"/>
        <v>0</v>
      </c>
      <c r="Q209" s="16">
        <f t="shared" si="412"/>
        <v>0</v>
      </c>
      <c r="R209" s="16">
        <f t="shared" si="413"/>
        <v>0</v>
      </c>
      <c r="S209" s="17">
        <f t="shared" si="414"/>
        <v>0</v>
      </c>
      <c r="T209" s="17">
        <f t="shared" si="415"/>
        <v>0</v>
      </c>
      <c r="U209" s="7">
        <v>317.5</v>
      </c>
      <c r="V209" s="18">
        <f t="shared" si="416"/>
        <v>0</v>
      </c>
      <c r="W209" s="7">
        <f t="shared" si="417"/>
        <v>1102.7</v>
      </c>
      <c r="X209" s="7">
        <f t="shared" si="418"/>
        <v>1225.27</v>
      </c>
      <c r="Y209" s="7">
        <v>0.0</v>
      </c>
      <c r="Z209" s="7">
        <v>0.0</v>
      </c>
      <c r="AA209" s="18">
        <f t="shared" si="419"/>
        <v>2645.47</v>
      </c>
      <c r="AB209" s="56">
        <v>3.0</v>
      </c>
      <c r="AC209" s="24">
        <v>197425.55</v>
      </c>
      <c r="AD209" s="24">
        <v>9574.91</v>
      </c>
      <c r="AE209" s="24">
        <v>1400.78</v>
      </c>
      <c r="AF209" s="24">
        <v>414.0</v>
      </c>
      <c r="AG209" s="24">
        <v>682.79</v>
      </c>
      <c r="AH209" s="24">
        <v>0.0</v>
      </c>
      <c r="AI209" s="24">
        <v>2799.95</v>
      </c>
      <c r="AJ209" s="24">
        <v>4277.39</v>
      </c>
      <c r="AK209" s="15">
        <v>0.0</v>
      </c>
      <c r="AL209" s="16">
        <v>0.0</v>
      </c>
      <c r="AM209" s="16">
        <v>0.0</v>
      </c>
      <c r="AN209" s="16">
        <v>0.0</v>
      </c>
      <c r="AO209" s="16">
        <v>0.0</v>
      </c>
      <c r="AP209" s="16">
        <v>0.0</v>
      </c>
      <c r="AQ209" s="16">
        <v>0.0</v>
      </c>
      <c r="AR209" s="16">
        <v>0.0</v>
      </c>
      <c r="AS209" s="7">
        <v>0.0</v>
      </c>
      <c r="AT209" s="7">
        <v>0.0</v>
      </c>
      <c r="AU209" s="7">
        <v>0.0</v>
      </c>
      <c r="AV209" s="7">
        <v>0.0</v>
      </c>
      <c r="AW209" s="7">
        <v>0.0</v>
      </c>
      <c r="AX209" s="7">
        <v>0.0</v>
      </c>
      <c r="AY209" s="7">
        <v>0.0</v>
      </c>
      <c r="AZ209" s="8"/>
      <c r="BA209" s="9"/>
      <c r="BB209" s="10"/>
      <c r="BC209" s="10"/>
    </row>
    <row r="210">
      <c r="A210" s="11">
        <v>2024.0</v>
      </c>
      <c r="B210" s="11" t="s">
        <v>59</v>
      </c>
      <c r="C210" s="12">
        <v>45607.0</v>
      </c>
      <c r="D210" s="44">
        <v>1.0</v>
      </c>
      <c r="E210" s="26">
        <v>51535.75</v>
      </c>
      <c r="F210" s="26">
        <v>2197.14</v>
      </c>
      <c r="G210" s="26">
        <v>302.56</v>
      </c>
      <c r="H210" s="26">
        <v>138.0</v>
      </c>
      <c r="I210" s="26">
        <v>139.19</v>
      </c>
      <c r="J210" s="26">
        <v>0.0</v>
      </c>
      <c r="K210" s="26">
        <v>751.59</v>
      </c>
      <c r="L210" s="26">
        <v>865.8</v>
      </c>
      <c r="M210" s="15">
        <v>1.0</v>
      </c>
      <c r="N210" s="16">
        <v>57000.0</v>
      </c>
      <c r="O210" s="16">
        <f t="shared" si="410"/>
        <v>2280</v>
      </c>
      <c r="P210" s="16">
        <f t="shared" si="411"/>
        <v>957.6</v>
      </c>
      <c r="Q210" s="16">
        <f t="shared" si="412"/>
        <v>552</v>
      </c>
      <c r="R210" s="16">
        <f t="shared" si="413"/>
        <v>239.19</v>
      </c>
      <c r="S210" s="17">
        <f t="shared" si="414"/>
        <v>393.42</v>
      </c>
      <c r="T210" s="17">
        <f t="shared" si="415"/>
        <v>138</v>
      </c>
      <c r="U210" s="7">
        <v>0.0</v>
      </c>
      <c r="V210" s="18">
        <f t="shared" si="416"/>
        <v>957.6</v>
      </c>
      <c r="W210" s="7">
        <f t="shared" si="417"/>
        <v>378.38</v>
      </c>
      <c r="X210" s="7">
        <f t="shared" si="418"/>
        <v>0</v>
      </c>
      <c r="Y210" s="7">
        <f t="shared" ref="Y210:Y214" si="420">O210</f>
        <v>2280</v>
      </c>
      <c r="Z210" s="7">
        <f t="shared" ref="Z210:Z214" si="421">Q210</f>
        <v>552</v>
      </c>
      <c r="AA210" s="18">
        <f t="shared" si="419"/>
        <v>4167.98</v>
      </c>
      <c r="AB210" s="56">
        <v>1.0</v>
      </c>
      <c r="AC210" s="24">
        <v>50784.16</v>
      </c>
      <c r="AD210" s="24">
        <v>2197.14</v>
      </c>
      <c r="AE210" s="24">
        <v>302.56</v>
      </c>
      <c r="AF210" s="24">
        <v>138.0</v>
      </c>
      <c r="AG210" s="24">
        <v>139.19</v>
      </c>
      <c r="AH210" s="24">
        <v>0.0</v>
      </c>
      <c r="AI210" s="24">
        <v>764.22</v>
      </c>
      <c r="AJ210" s="24">
        <v>853.17</v>
      </c>
      <c r="AK210" s="15">
        <v>1.0</v>
      </c>
      <c r="AL210" s="16">
        <v>98302.78</v>
      </c>
      <c r="AM210" s="16">
        <v>3718.0</v>
      </c>
      <c r="AN210" s="16">
        <v>1655.0</v>
      </c>
      <c r="AO210" s="16">
        <v>600.0</v>
      </c>
      <c r="AP210" s="16">
        <v>510.65</v>
      </c>
      <c r="AQ210" s="16">
        <v>324.14</v>
      </c>
      <c r="AR210" s="16">
        <v>0.0</v>
      </c>
      <c r="AS210" s="7">
        <v>17126.24</v>
      </c>
      <c r="AT210" s="7">
        <v>6475.6</v>
      </c>
      <c r="AU210" s="7">
        <v>5421.96</v>
      </c>
      <c r="AV210" s="7">
        <v>2470.22</v>
      </c>
      <c r="AW210" s="7">
        <v>12918.0</v>
      </c>
      <c r="AX210" s="7">
        <f>9685.56-AT210</f>
        <v>3209.96</v>
      </c>
      <c r="AY210" s="7">
        <f t="shared" ref="AY210:AY214" si="422">SUM(AS210:AX210)</f>
        <v>47621.98</v>
      </c>
      <c r="AZ210" s="8"/>
      <c r="BA210" s="9"/>
      <c r="BB210" s="10"/>
      <c r="BC210" s="10"/>
    </row>
    <row r="211">
      <c r="A211" s="11">
        <v>2024.0</v>
      </c>
      <c r="B211" s="11" t="s">
        <v>59</v>
      </c>
      <c r="C211" s="12">
        <v>45608.0</v>
      </c>
      <c r="D211" s="44">
        <v>2.0</v>
      </c>
      <c r="E211" s="26">
        <v>51340.48</v>
      </c>
      <c r="F211" s="26">
        <v>3244.56</v>
      </c>
      <c r="G211" s="26">
        <v>648.89</v>
      </c>
      <c r="H211" s="26">
        <v>276.0</v>
      </c>
      <c r="I211" s="26">
        <v>392.66</v>
      </c>
      <c r="J211" s="26">
        <v>0.0</v>
      </c>
      <c r="K211" s="26">
        <v>1064.49</v>
      </c>
      <c r="L211" s="26">
        <v>862.52</v>
      </c>
      <c r="M211" s="15">
        <v>1.0</v>
      </c>
      <c r="N211" s="16">
        <v>150000.0</v>
      </c>
      <c r="O211" s="16">
        <f t="shared" si="410"/>
        <v>6000</v>
      </c>
      <c r="P211" s="16">
        <f t="shared" si="411"/>
        <v>2520</v>
      </c>
      <c r="Q211" s="16">
        <f t="shared" si="412"/>
        <v>552</v>
      </c>
      <c r="R211" s="16">
        <f t="shared" si="413"/>
        <v>239.19</v>
      </c>
      <c r="S211" s="17">
        <f t="shared" si="414"/>
        <v>393.42</v>
      </c>
      <c r="T211" s="17">
        <f t="shared" si="415"/>
        <v>138</v>
      </c>
      <c r="U211" s="7">
        <v>239.81</v>
      </c>
      <c r="V211" s="18">
        <f t="shared" si="416"/>
        <v>2520</v>
      </c>
      <c r="W211" s="7">
        <f t="shared" si="417"/>
        <v>631.85</v>
      </c>
      <c r="X211" s="7">
        <f t="shared" si="418"/>
        <v>0</v>
      </c>
      <c r="Y211" s="18">
        <f t="shared" si="420"/>
        <v>6000</v>
      </c>
      <c r="Z211" s="18">
        <f t="shared" si="421"/>
        <v>552</v>
      </c>
      <c r="AA211" s="18">
        <f t="shared" si="419"/>
        <v>9943.66</v>
      </c>
      <c r="AB211" s="56">
        <v>2.0</v>
      </c>
      <c r="AC211" s="24">
        <v>50791.75</v>
      </c>
      <c r="AD211" s="24">
        <v>3244.56</v>
      </c>
      <c r="AE211" s="24">
        <v>648.89</v>
      </c>
      <c r="AF211" s="24">
        <v>276.0</v>
      </c>
      <c r="AG211" s="24">
        <v>392.66</v>
      </c>
      <c r="AH211" s="24">
        <v>0.0</v>
      </c>
      <c r="AI211" s="24">
        <v>1073.71</v>
      </c>
      <c r="AJ211" s="24">
        <v>853.3</v>
      </c>
      <c r="AK211" s="15">
        <v>1.0</v>
      </c>
      <c r="AL211" s="16">
        <v>56919.25</v>
      </c>
      <c r="AM211" s="16">
        <v>2153.0</v>
      </c>
      <c r="AN211" s="16">
        <v>958.0</v>
      </c>
      <c r="AO211" s="16">
        <v>600.0</v>
      </c>
      <c r="AP211" s="16">
        <v>413.25</v>
      </c>
      <c r="AQ211" s="16">
        <v>245.0</v>
      </c>
      <c r="AR211" s="16">
        <v>0.0</v>
      </c>
      <c r="AS211" s="7">
        <v>28183.68</v>
      </c>
      <c r="AT211" s="7">
        <v>1655.0</v>
      </c>
      <c r="AU211" s="7">
        <v>4982.73</v>
      </c>
      <c r="AV211" s="7">
        <v>718.41</v>
      </c>
      <c r="AW211" s="7">
        <v>3718.0</v>
      </c>
      <c r="AX211" s="7">
        <f>4615.85-AT211</f>
        <v>2960.85</v>
      </c>
      <c r="AY211" s="7">
        <f t="shared" si="422"/>
        <v>42218.67</v>
      </c>
      <c r="AZ211" s="8"/>
      <c r="BA211" s="9"/>
      <c r="BB211" s="10"/>
      <c r="BC211" s="10"/>
    </row>
    <row r="212">
      <c r="A212" s="11">
        <v>2024.0</v>
      </c>
      <c r="B212" s="11" t="s">
        <v>59</v>
      </c>
      <c r="C212" s="12">
        <v>45609.0</v>
      </c>
      <c r="D212" s="44">
        <v>5.0</v>
      </c>
      <c r="E212" s="26">
        <v>228979.43</v>
      </c>
      <c r="F212" s="26">
        <v>14790.39</v>
      </c>
      <c r="G212" s="26">
        <v>1457.38</v>
      </c>
      <c r="H212" s="26">
        <v>414.0</v>
      </c>
      <c r="I212" s="26">
        <v>564.26</v>
      </c>
      <c r="J212" s="26">
        <v>1708.14</v>
      </c>
      <c r="K212" s="26">
        <v>7600.94</v>
      </c>
      <c r="L212" s="26">
        <v>4753.81</v>
      </c>
      <c r="M212" s="15">
        <v>1.0</v>
      </c>
      <c r="N212" s="16">
        <v>19600.0</v>
      </c>
      <c r="O212" s="16">
        <f t="shared" si="410"/>
        <v>784</v>
      </c>
      <c r="P212" s="16">
        <f t="shared" si="411"/>
        <v>329.28</v>
      </c>
      <c r="Q212" s="16">
        <f t="shared" si="412"/>
        <v>552</v>
      </c>
      <c r="R212" s="16">
        <f t="shared" si="413"/>
        <v>239.19</v>
      </c>
      <c r="S212" s="17">
        <f t="shared" si="414"/>
        <v>393.42</v>
      </c>
      <c r="T212" s="17">
        <f t="shared" si="415"/>
        <v>138</v>
      </c>
      <c r="U212" s="7">
        <v>707.01</v>
      </c>
      <c r="V212" s="18">
        <f t="shared" si="416"/>
        <v>329.28</v>
      </c>
      <c r="W212" s="7">
        <f t="shared" si="417"/>
        <v>803.45</v>
      </c>
      <c r="X212" s="7">
        <f t="shared" si="418"/>
        <v>1708.14</v>
      </c>
      <c r="Y212" s="18">
        <f t="shared" si="420"/>
        <v>784</v>
      </c>
      <c r="Z212" s="18">
        <f t="shared" si="421"/>
        <v>552</v>
      </c>
      <c r="AA212" s="18">
        <f t="shared" si="419"/>
        <v>4883.88</v>
      </c>
      <c r="AB212" s="56">
        <v>1.0</v>
      </c>
      <c r="AC212" s="24">
        <v>68365.71</v>
      </c>
      <c r="AD212" s="24">
        <v>2595.92</v>
      </c>
      <c r="AE212" s="24">
        <v>0.0</v>
      </c>
      <c r="AF212" s="24">
        <v>0.0</v>
      </c>
      <c r="AG212" s="24">
        <v>0.0</v>
      </c>
      <c r="AH212" s="24">
        <v>0.0</v>
      </c>
      <c r="AI212" s="24">
        <v>834.82</v>
      </c>
      <c r="AJ212" s="24">
        <v>1761.1</v>
      </c>
      <c r="AK212" s="15">
        <v>1.0</v>
      </c>
      <c r="AL212" s="16">
        <v>131129.58</v>
      </c>
      <c r="AM212" s="16">
        <v>4959.0</v>
      </c>
      <c r="AN212" s="16">
        <v>2207.0</v>
      </c>
      <c r="AO212" s="16">
        <v>600.0</v>
      </c>
      <c r="AP212" s="16">
        <v>502.88</v>
      </c>
      <c r="AQ212" s="16">
        <v>465.7</v>
      </c>
      <c r="AR212" s="16">
        <v>0.0</v>
      </c>
      <c r="AS212" s="7">
        <v>8861.42</v>
      </c>
      <c r="AT212" s="7">
        <v>958.0</v>
      </c>
      <c r="AU212" s="7">
        <v>2732.0</v>
      </c>
      <c r="AV212" s="7">
        <v>279.27</v>
      </c>
      <c r="AW212" s="7">
        <v>2153.0</v>
      </c>
      <c r="AX212" s="7">
        <f>1972.23-AT212</f>
        <v>1014.23</v>
      </c>
      <c r="AY212" s="7">
        <f t="shared" si="422"/>
        <v>15997.92</v>
      </c>
      <c r="AZ212" s="8"/>
      <c r="BA212" s="9"/>
      <c r="BB212" s="10"/>
      <c r="BC212" s="10"/>
    </row>
    <row r="213">
      <c r="A213" s="11">
        <v>2024.0</v>
      </c>
      <c r="B213" s="11" t="s">
        <v>59</v>
      </c>
      <c r="C213" s="12">
        <v>45610.0</v>
      </c>
      <c r="D213" s="44">
        <v>15.0</v>
      </c>
      <c r="E213" s="26">
        <v>2476546.22</v>
      </c>
      <c r="F213" s="26">
        <v>86068.93</v>
      </c>
      <c r="G213" s="26">
        <v>4690.99</v>
      </c>
      <c r="H213" s="26">
        <v>1932.0</v>
      </c>
      <c r="I213" s="26">
        <v>1918.62</v>
      </c>
      <c r="J213" s="26">
        <v>26990.24</v>
      </c>
      <c r="K213" s="26">
        <v>30041.93</v>
      </c>
      <c r="L213" s="26">
        <v>47485.4</v>
      </c>
      <c r="M213" s="15">
        <v>2.0</v>
      </c>
      <c r="N213" s="16">
        <v>420000.0</v>
      </c>
      <c r="O213" s="16">
        <f t="shared" si="410"/>
        <v>16800</v>
      </c>
      <c r="P213" s="16">
        <f t="shared" si="411"/>
        <v>7056</v>
      </c>
      <c r="Q213" s="16">
        <f t="shared" si="412"/>
        <v>1104</v>
      </c>
      <c r="R213" s="16">
        <f t="shared" si="413"/>
        <v>478.38</v>
      </c>
      <c r="S213" s="17">
        <f t="shared" si="414"/>
        <v>786.84</v>
      </c>
      <c r="T213" s="17">
        <f t="shared" si="415"/>
        <v>276</v>
      </c>
      <c r="U213" s="7">
        <v>9798.1</v>
      </c>
      <c r="V213" s="18">
        <f t="shared" si="416"/>
        <v>7056</v>
      </c>
      <c r="W213" s="7">
        <f t="shared" si="417"/>
        <v>2397</v>
      </c>
      <c r="X213" s="7">
        <f t="shared" si="418"/>
        <v>26990.24</v>
      </c>
      <c r="Y213" s="18">
        <f t="shared" si="420"/>
        <v>16800</v>
      </c>
      <c r="Z213" s="18">
        <f t="shared" si="421"/>
        <v>1104</v>
      </c>
      <c r="AA213" s="18">
        <f t="shared" si="419"/>
        <v>64145.34</v>
      </c>
      <c r="AB213" s="56">
        <v>6.0</v>
      </c>
      <c r="AC213" s="24">
        <v>288730.81</v>
      </c>
      <c r="AD213" s="24">
        <v>14543.11</v>
      </c>
      <c r="AE213" s="24">
        <v>2234.31</v>
      </c>
      <c r="AF213" s="24">
        <v>828.0</v>
      </c>
      <c r="AG213" s="24">
        <v>930.31</v>
      </c>
      <c r="AH213" s="24">
        <v>0.0</v>
      </c>
      <c r="AI213" s="24">
        <v>5110.05</v>
      </c>
      <c r="AJ213" s="24">
        <v>5440.44</v>
      </c>
      <c r="AK213" s="15">
        <v>1.0</v>
      </c>
      <c r="AL213" s="16">
        <v>50566.59</v>
      </c>
      <c r="AM213" s="16">
        <v>1913.0</v>
      </c>
      <c r="AN213" s="16">
        <v>0.0</v>
      </c>
      <c r="AO213" s="16">
        <v>600.0</v>
      </c>
      <c r="AP213" s="16">
        <v>357.59</v>
      </c>
      <c r="AQ213" s="16">
        <v>245.0</v>
      </c>
      <c r="AR213" s="16">
        <v>0.0</v>
      </c>
      <c r="AS213" s="7">
        <v>7444.18</v>
      </c>
      <c r="AT213" s="7">
        <v>3058.0</v>
      </c>
      <c r="AU213" s="7">
        <v>4324.77</v>
      </c>
      <c r="AV213" s="7">
        <v>3083.19</v>
      </c>
      <c r="AW213" s="7">
        <v>6872.0</v>
      </c>
      <c r="AX213" s="7">
        <v>5119.25</v>
      </c>
      <c r="AY213" s="7">
        <f t="shared" si="422"/>
        <v>29901.39</v>
      </c>
      <c r="AZ213" s="8"/>
      <c r="BA213" s="9"/>
      <c r="BB213" s="10"/>
      <c r="BC213" s="10"/>
    </row>
    <row r="214">
      <c r="A214" s="11">
        <v>2024.0</v>
      </c>
      <c r="B214" s="11" t="s">
        <v>59</v>
      </c>
      <c r="C214" s="12">
        <v>45611.0</v>
      </c>
      <c r="D214" s="44">
        <v>39.0</v>
      </c>
      <c r="E214" s="26">
        <v>1667508.83</v>
      </c>
      <c r="F214" s="26">
        <v>85088.37</v>
      </c>
      <c r="G214" s="26">
        <v>11996.16</v>
      </c>
      <c r="H214" s="26">
        <v>3588.0</v>
      </c>
      <c r="I214" s="26">
        <v>9181.04</v>
      </c>
      <c r="J214" s="26">
        <v>4317.62</v>
      </c>
      <c r="K214" s="26">
        <v>33220.15</v>
      </c>
      <c r="L214" s="26">
        <v>29538.05</v>
      </c>
      <c r="M214" s="15">
        <v>1.0</v>
      </c>
      <c r="N214" s="16">
        <v>257000.0</v>
      </c>
      <c r="O214" s="16">
        <f t="shared" si="410"/>
        <v>10280</v>
      </c>
      <c r="P214" s="16">
        <f t="shared" si="411"/>
        <v>4317.6</v>
      </c>
      <c r="Q214" s="16">
        <f t="shared" si="412"/>
        <v>552</v>
      </c>
      <c r="R214" s="16">
        <f t="shared" si="413"/>
        <v>239.19</v>
      </c>
      <c r="S214" s="17">
        <f t="shared" si="414"/>
        <v>393.42</v>
      </c>
      <c r="T214" s="17">
        <f t="shared" si="415"/>
        <v>138</v>
      </c>
      <c r="U214" s="7">
        <v>16565.47</v>
      </c>
      <c r="V214" s="18">
        <f t="shared" si="416"/>
        <v>4317.6</v>
      </c>
      <c r="W214" s="7">
        <f t="shared" si="417"/>
        <v>9420.23</v>
      </c>
      <c r="X214" s="7">
        <f t="shared" si="418"/>
        <v>4317.62</v>
      </c>
      <c r="Y214" s="18">
        <f t="shared" si="420"/>
        <v>10280</v>
      </c>
      <c r="Z214" s="18">
        <f t="shared" si="421"/>
        <v>552</v>
      </c>
      <c r="AA214" s="18">
        <f t="shared" si="419"/>
        <v>45452.92</v>
      </c>
      <c r="AB214" s="56">
        <v>18.0</v>
      </c>
      <c r="AC214" s="24">
        <v>870091.38</v>
      </c>
      <c r="AD214" s="24">
        <v>40378.87</v>
      </c>
      <c r="AE214" s="24">
        <v>5379.01</v>
      </c>
      <c r="AF214" s="24">
        <v>1518.0</v>
      </c>
      <c r="AG214" s="24">
        <v>4107.81</v>
      </c>
      <c r="AH214" s="24">
        <v>0.0</v>
      </c>
      <c r="AI214" s="24">
        <v>14162.86</v>
      </c>
      <c r="AJ214" s="24">
        <v>15211.19</v>
      </c>
      <c r="AK214" s="15">
        <v>2.0</v>
      </c>
      <c r="AL214" s="16">
        <v>216768.65</v>
      </c>
      <c r="AM214" s="16">
        <v>8198.0</v>
      </c>
      <c r="AN214" s="16">
        <v>3648.0</v>
      </c>
      <c r="AO214" s="16">
        <v>814.77</v>
      </c>
      <c r="AP214" s="16">
        <v>857.88</v>
      </c>
      <c r="AQ214" s="16">
        <v>814.77</v>
      </c>
      <c r="AR214" s="16">
        <v>0.0</v>
      </c>
      <c r="AS214" s="7">
        <v>16723.68</v>
      </c>
      <c r="AT214" s="7">
        <v>855.0</v>
      </c>
      <c r="AU214" s="7">
        <v>10025.16</v>
      </c>
      <c r="AV214" s="7">
        <v>5133.76</v>
      </c>
      <c r="AW214" s="7">
        <v>1922.0</v>
      </c>
      <c r="AX214" s="7">
        <f>1925.72-AT214</f>
        <v>1070.72</v>
      </c>
      <c r="AY214" s="7">
        <f t="shared" si="422"/>
        <v>35730.32</v>
      </c>
      <c r="AZ214" s="8"/>
      <c r="BA214" s="9"/>
      <c r="BB214" s="10"/>
      <c r="BC214" s="10"/>
    </row>
    <row r="215">
      <c r="A215" s="11">
        <v>2024.0</v>
      </c>
      <c r="B215" s="11" t="s">
        <v>59</v>
      </c>
      <c r="C215" s="1"/>
      <c r="D215" s="2">
        <v>106.0</v>
      </c>
      <c r="E215" s="2"/>
      <c r="F215" s="59">
        <v>325403.64</v>
      </c>
      <c r="G215" s="33"/>
      <c r="H215" s="33"/>
      <c r="I215" s="33"/>
      <c r="J215" s="33"/>
      <c r="K215" s="33"/>
      <c r="L215" s="33"/>
      <c r="M215" s="15">
        <v>8.0</v>
      </c>
      <c r="N215" s="51">
        <v>668000.0</v>
      </c>
      <c r="O215" s="35"/>
      <c r="P215" s="35"/>
      <c r="Q215" s="35"/>
      <c r="R215" s="35"/>
      <c r="S215" s="35"/>
      <c r="T215" s="35"/>
      <c r="U215" s="37"/>
      <c r="V215" s="48"/>
      <c r="W215" s="48"/>
      <c r="X215" s="37"/>
      <c r="Y215" s="48"/>
      <c r="Z215" s="48"/>
      <c r="AA215" s="48"/>
      <c r="AB215" s="2"/>
      <c r="AC215" s="33"/>
      <c r="AD215" s="2"/>
      <c r="AE215" s="33"/>
      <c r="AF215" s="33"/>
      <c r="AG215" s="33"/>
      <c r="AH215" s="33"/>
      <c r="AI215" s="33"/>
      <c r="AJ215" s="33"/>
      <c r="AK215" s="4"/>
      <c r="AL215" s="4"/>
      <c r="AM215" s="35"/>
      <c r="AN215" s="35"/>
      <c r="AO215" s="35"/>
      <c r="AP215" s="35"/>
      <c r="AQ215" s="35"/>
      <c r="AR215" s="35"/>
      <c r="AS215" s="37"/>
      <c r="AT215" s="48"/>
      <c r="AU215" s="48"/>
      <c r="AV215" s="48"/>
      <c r="AW215" s="48"/>
      <c r="AX215" s="48"/>
      <c r="AY215" s="48"/>
      <c r="AZ215" s="38"/>
      <c r="BA215" s="39"/>
      <c r="BB215" s="40"/>
      <c r="BC215" s="40"/>
    </row>
    <row r="216">
      <c r="A216" s="1">
        <v>2024.0</v>
      </c>
      <c r="B216" s="1" t="s">
        <v>59</v>
      </c>
      <c r="C216" s="1" t="s">
        <v>49</v>
      </c>
      <c r="D216" s="33">
        <f t="shared" ref="D216:L216" si="423">SUM(D208:D214)</f>
        <v>77</v>
      </c>
      <c r="E216" s="34">
        <f t="shared" si="423"/>
        <v>5503968.17</v>
      </c>
      <c r="F216" s="34">
        <f t="shared" si="423"/>
        <v>239322.52</v>
      </c>
      <c r="G216" s="34">
        <f t="shared" si="423"/>
        <v>25681.52</v>
      </c>
      <c r="H216" s="34">
        <f t="shared" si="423"/>
        <v>8142</v>
      </c>
      <c r="I216" s="34">
        <f t="shared" si="423"/>
        <v>14596.16</v>
      </c>
      <c r="J216" s="34">
        <f t="shared" si="423"/>
        <v>37991</v>
      </c>
      <c r="K216" s="34">
        <f t="shared" si="423"/>
        <v>88771.64</v>
      </c>
      <c r="L216" s="34">
        <f t="shared" si="423"/>
        <v>104566.24</v>
      </c>
      <c r="M216" s="35">
        <f t="shared" ref="M216:N216" si="424">SUM(M208:M215)</f>
        <v>14</v>
      </c>
      <c r="N216" s="36">
        <f t="shared" si="424"/>
        <v>1571600</v>
      </c>
      <c r="O216" s="36">
        <f t="shared" ref="O216:AJ216" si="425">SUM(O208:O214)</f>
        <v>36144</v>
      </c>
      <c r="P216" s="36">
        <f t="shared" si="425"/>
        <v>15180.48</v>
      </c>
      <c r="Q216" s="36">
        <f t="shared" si="425"/>
        <v>3312</v>
      </c>
      <c r="R216" s="36">
        <f t="shared" si="425"/>
        <v>1435.14</v>
      </c>
      <c r="S216" s="36">
        <f t="shared" si="425"/>
        <v>2360.52</v>
      </c>
      <c r="T216" s="36">
        <f t="shared" si="425"/>
        <v>828</v>
      </c>
      <c r="U216" s="37">
        <f t="shared" si="425"/>
        <v>33092.96</v>
      </c>
      <c r="V216" s="37">
        <f t="shared" si="425"/>
        <v>15180.48</v>
      </c>
      <c r="W216" s="37">
        <f t="shared" si="425"/>
        <v>16031.3</v>
      </c>
      <c r="X216" s="37">
        <f t="shared" si="425"/>
        <v>37991</v>
      </c>
      <c r="Y216" s="37">
        <f t="shared" si="425"/>
        <v>36144</v>
      </c>
      <c r="Z216" s="37">
        <f t="shared" si="425"/>
        <v>3312</v>
      </c>
      <c r="AA216" s="37">
        <f t="shared" si="425"/>
        <v>141751.74</v>
      </c>
      <c r="AB216" s="33">
        <f t="shared" si="425"/>
        <v>35</v>
      </c>
      <c r="AC216" s="34">
        <f t="shared" si="425"/>
        <v>1777953.51</v>
      </c>
      <c r="AD216" s="34">
        <f t="shared" si="425"/>
        <v>82167.34</v>
      </c>
      <c r="AE216" s="34">
        <f t="shared" si="425"/>
        <v>10925.96</v>
      </c>
      <c r="AF216" s="34">
        <f t="shared" si="425"/>
        <v>3450</v>
      </c>
      <c r="AG216" s="34">
        <f t="shared" si="425"/>
        <v>6631.14</v>
      </c>
      <c r="AH216" s="34">
        <f t="shared" si="425"/>
        <v>0</v>
      </c>
      <c r="AI216" s="34">
        <f t="shared" si="425"/>
        <v>28221.81</v>
      </c>
      <c r="AJ216" s="34">
        <f t="shared" si="425"/>
        <v>32938.43</v>
      </c>
      <c r="AK216" s="35">
        <f t="shared" ref="AK216:AL216" si="426">SUM(AK208:AK215)</f>
        <v>6</v>
      </c>
      <c r="AL216" s="36">
        <f t="shared" si="426"/>
        <v>553686.85</v>
      </c>
      <c r="AM216" s="36">
        <f t="shared" ref="AM216:AY216" si="427">SUM(AM208:AM214)</f>
        <v>20941</v>
      </c>
      <c r="AN216" s="36">
        <f t="shared" si="427"/>
        <v>8468</v>
      </c>
      <c r="AO216" s="36">
        <f t="shared" si="427"/>
        <v>3214.77</v>
      </c>
      <c r="AP216" s="36">
        <f t="shared" si="427"/>
        <v>2642.25</v>
      </c>
      <c r="AQ216" s="36">
        <f t="shared" si="427"/>
        <v>2094.61</v>
      </c>
      <c r="AR216" s="36">
        <f t="shared" si="427"/>
        <v>0</v>
      </c>
      <c r="AS216" s="37">
        <f t="shared" si="427"/>
        <v>84542.22</v>
      </c>
      <c r="AT216" s="37">
        <f t="shared" si="427"/>
        <v>13001.6</v>
      </c>
      <c r="AU216" s="37">
        <f t="shared" si="427"/>
        <v>29951.77</v>
      </c>
      <c r="AV216" s="37">
        <f t="shared" si="427"/>
        <v>17226.64</v>
      </c>
      <c r="AW216" s="37">
        <f t="shared" si="427"/>
        <v>27583</v>
      </c>
      <c r="AX216" s="37">
        <f t="shared" si="427"/>
        <v>13421.64</v>
      </c>
      <c r="AY216" s="37">
        <f t="shared" si="427"/>
        <v>185726.87</v>
      </c>
      <c r="AZ216" s="38"/>
      <c r="BA216" s="39"/>
      <c r="BB216" s="40"/>
      <c r="BC216" s="40"/>
    </row>
    <row r="217">
      <c r="A217" s="11">
        <v>2024.0</v>
      </c>
      <c r="B217" s="11" t="s">
        <v>59</v>
      </c>
      <c r="C217" s="12">
        <v>45612.0</v>
      </c>
      <c r="D217" s="44">
        <v>14.0</v>
      </c>
      <c r="E217" s="26">
        <v>1315853.82</v>
      </c>
      <c r="F217" s="26">
        <v>40899.43</v>
      </c>
      <c r="G217" s="26">
        <v>3956.99</v>
      </c>
      <c r="H217" s="26">
        <v>1518.0</v>
      </c>
      <c r="I217" s="26">
        <v>2014.21</v>
      </c>
      <c r="J217" s="26">
        <v>929.53</v>
      </c>
      <c r="K217" s="26">
        <v>12538.35</v>
      </c>
      <c r="L217" s="26">
        <v>22373.45</v>
      </c>
      <c r="M217" s="15">
        <v>0.0</v>
      </c>
      <c r="N217" s="16">
        <v>0.0</v>
      </c>
      <c r="O217" s="16">
        <f t="shared" ref="O217:O223" si="428">N217*4%</f>
        <v>0</v>
      </c>
      <c r="P217" s="16">
        <f t="shared" ref="P217:P223" si="429">N217*1.68%</f>
        <v>0</v>
      </c>
      <c r="Q217" s="16">
        <f t="shared" ref="Q217:Q223" si="430">M217*(250+300+2)</f>
        <v>0</v>
      </c>
      <c r="R217" s="16">
        <f t="shared" ref="R217:R223" si="431">M217*239.19</f>
        <v>0</v>
      </c>
      <c r="S217" s="17">
        <f t="shared" ref="S217:S223" si="432">M217*393.42</f>
        <v>0</v>
      </c>
      <c r="T217" s="17">
        <f t="shared" ref="T217:T223" si="433">M217*138</f>
        <v>0</v>
      </c>
      <c r="U217" s="7">
        <v>2865.9</v>
      </c>
      <c r="V217" s="18">
        <f t="shared" ref="V217:V223" si="434">P217</f>
        <v>0</v>
      </c>
      <c r="W217" s="7">
        <f t="shared" ref="W217:W223" si="435">I217+R217</f>
        <v>2014.21</v>
      </c>
      <c r="X217" s="7">
        <f t="shared" ref="X217:X223" si="436">J217</f>
        <v>929.53</v>
      </c>
      <c r="Y217" s="7">
        <v>0.0</v>
      </c>
      <c r="Z217" s="7">
        <v>0.0</v>
      </c>
      <c r="AA217" s="18">
        <f t="shared" ref="AA217:AA223" si="437">SUM(U217:Z217)</f>
        <v>5809.64</v>
      </c>
      <c r="AB217" s="56">
        <v>10.0</v>
      </c>
      <c r="AC217" s="24">
        <v>1008036.18</v>
      </c>
      <c r="AD217" s="24">
        <v>27473.59</v>
      </c>
      <c r="AE217" s="24">
        <v>2239.25</v>
      </c>
      <c r="AF217" s="24">
        <v>966.0</v>
      </c>
      <c r="AG217" s="24">
        <v>1255.82</v>
      </c>
      <c r="AH217" s="24">
        <v>0.0</v>
      </c>
      <c r="AI217" s="24">
        <v>5814.62</v>
      </c>
      <c r="AJ217" s="24">
        <v>17197.9</v>
      </c>
      <c r="AK217" s="15">
        <v>0.0</v>
      </c>
      <c r="AL217" s="16">
        <v>0.0</v>
      </c>
      <c r="AM217" s="16">
        <v>0.0</v>
      </c>
      <c r="AN217" s="16">
        <v>0.0</v>
      </c>
      <c r="AO217" s="16">
        <v>0.0</v>
      </c>
      <c r="AP217" s="16">
        <v>0.0</v>
      </c>
      <c r="AQ217" s="16">
        <v>0.0</v>
      </c>
      <c r="AR217" s="16">
        <v>0.0</v>
      </c>
      <c r="AS217" s="7">
        <v>0.0</v>
      </c>
      <c r="AT217" s="7">
        <v>0.0</v>
      </c>
      <c r="AU217" s="7">
        <v>0.0</v>
      </c>
      <c r="AV217" s="7">
        <v>0.0</v>
      </c>
      <c r="AW217" s="7">
        <v>0.0</v>
      </c>
      <c r="AX217" s="7">
        <v>0.0</v>
      </c>
      <c r="AY217" s="7">
        <v>0.0</v>
      </c>
      <c r="AZ217" s="8"/>
      <c r="BA217" s="9"/>
      <c r="BB217" s="10"/>
      <c r="BC217" s="10"/>
    </row>
    <row r="218">
      <c r="A218" s="11">
        <v>2024.0</v>
      </c>
      <c r="B218" s="11" t="s">
        <v>59</v>
      </c>
      <c r="C218" s="12">
        <v>45613.0</v>
      </c>
      <c r="D218" s="44">
        <v>12.0</v>
      </c>
      <c r="E218" s="26">
        <v>1116818.86</v>
      </c>
      <c r="F218" s="26">
        <v>42476.22</v>
      </c>
      <c r="G218" s="26">
        <v>3917.16</v>
      </c>
      <c r="H218" s="26">
        <v>1380.0</v>
      </c>
      <c r="I218" s="26">
        <v>1676.77</v>
      </c>
      <c r="J218" s="26">
        <v>9146.88</v>
      </c>
      <c r="K218" s="26">
        <v>16920.15</v>
      </c>
      <c r="L218" s="26">
        <v>20417.74</v>
      </c>
      <c r="M218" s="15">
        <v>0.0</v>
      </c>
      <c r="N218" s="16">
        <v>0.0</v>
      </c>
      <c r="O218" s="16">
        <f t="shared" si="428"/>
        <v>0</v>
      </c>
      <c r="P218" s="16">
        <f t="shared" si="429"/>
        <v>0</v>
      </c>
      <c r="Q218" s="16">
        <f t="shared" si="430"/>
        <v>0</v>
      </c>
      <c r="R218" s="16">
        <f t="shared" si="431"/>
        <v>0</v>
      </c>
      <c r="S218" s="17">
        <f t="shared" si="432"/>
        <v>0</v>
      </c>
      <c r="T218" s="17">
        <f t="shared" si="433"/>
        <v>0</v>
      </c>
      <c r="U218" s="7">
        <v>2750.12</v>
      </c>
      <c r="V218" s="18">
        <f t="shared" si="434"/>
        <v>0</v>
      </c>
      <c r="W218" s="7">
        <f t="shared" si="435"/>
        <v>1676.77</v>
      </c>
      <c r="X218" s="7">
        <f t="shared" si="436"/>
        <v>9146.88</v>
      </c>
      <c r="Y218" s="7">
        <v>0.0</v>
      </c>
      <c r="Z218" s="7">
        <v>0.0</v>
      </c>
      <c r="AA218" s="18">
        <f t="shared" si="437"/>
        <v>13573.77</v>
      </c>
      <c r="AB218" s="56">
        <v>4.0</v>
      </c>
      <c r="AC218" s="24">
        <v>215065.98</v>
      </c>
      <c r="AD218" s="24">
        <v>12045.03</v>
      </c>
      <c r="AE218" s="24">
        <v>1313.82</v>
      </c>
      <c r="AF218" s="24">
        <v>414.0</v>
      </c>
      <c r="AG218" s="24">
        <v>576.0</v>
      </c>
      <c r="AH218" s="24">
        <v>0.0</v>
      </c>
      <c r="AI218" s="24">
        <v>6059.51</v>
      </c>
      <c r="AJ218" s="24">
        <v>3681.7</v>
      </c>
      <c r="AK218" s="15">
        <v>0.0</v>
      </c>
      <c r="AL218" s="16">
        <v>0.0</v>
      </c>
      <c r="AM218" s="16">
        <v>0.0</v>
      </c>
      <c r="AN218" s="16">
        <v>0.0</v>
      </c>
      <c r="AO218" s="16">
        <v>0.0</v>
      </c>
      <c r="AP218" s="16">
        <v>0.0</v>
      </c>
      <c r="AQ218" s="16">
        <v>0.0</v>
      </c>
      <c r="AR218" s="16">
        <v>0.0</v>
      </c>
      <c r="AS218" s="7">
        <v>0.0</v>
      </c>
      <c r="AT218" s="7">
        <v>0.0</v>
      </c>
      <c r="AU218" s="7">
        <v>0.0</v>
      </c>
      <c r="AV218" s="7">
        <v>0.0</v>
      </c>
      <c r="AW218" s="7">
        <v>0.0</v>
      </c>
      <c r="AX218" s="7">
        <v>0.0</v>
      </c>
      <c r="AY218" s="7">
        <v>0.0</v>
      </c>
      <c r="AZ218" s="8"/>
      <c r="BA218" s="9"/>
      <c r="BB218" s="10"/>
      <c r="BC218" s="10"/>
    </row>
    <row r="219">
      <c r="A219" s="11">
        <v>2024.0</v>
      </c>
      <c r="B219" s="11" t="s">
        <v>59</v>
      </c>
      <c r="C219" s="12">
        <v>45614.0</v>
      </c>
      <c r="D219" s="44">
        <v>8.0</v>
      </c>
      <c r="E219" s="26">
        <v>228078.16</v>
      </c>
      <c r="F219" s="26">
        <v>16183.36</v>
      </c>
      <c r="G219" s="26">
        <v>2559.68</v>
      </c>
      <c r="H219" s="26">
        <v>966.0</v>
      </c>
      <c r="I219" s="26">
        <v>528.61</v>
      </c>
      <c r="J219" s="26">
        <v>3250.79</v>
      </c>
      <c r="K219" s="26">
        <v>19153.32</v>
      </c>
      <c r="L219" s="26">
        <v>4334.83</v>
      </c>
      <c r="M219" s="15">
        <v>1.0</v>
      </c>
      <c r="N219" s="16">
        <v>79956.12</v>
      </c>
      <c r="O219" s="16">
        <f t="shared" si="428"/>
        <v>3198.2448</v>
      </c>
      <c r="P219" s="16">
        <f t="shared" si="429"/>
        <v>1343.262816</v>
      </c>
      <c r="Q219" s="16">
        <f t="shared" si="430"/>
        <v>552</v>
      </c>
      <c r="R219" s="16">
        <f t="shared" si="431"/>
        <v>239.19</v>
      </c>
      <c r="S219" s="17">
        <f t="shared" si="432"/>
        <v>393.42</v>
      </c>
      <c r="T219" s="17">
        <f t="shared" si="433"/>
        <v>138</v>
      </c>
      <c r="U219" s="7">
        <v>2283.37</v>
      </c>
      <c r="V219" s="18">
        <f t="shared" si="434"/>
        <v>1343.262816</v>
      </c>
      <c r="W219" s="7">
        <f t="shared" si="435"/>
        <v>767.8</v>
      </c>
      <c r="X219" s="7">
        <f t="shared" si="436"/>
        <v>3250.79</v>
      </c>
      <c r="Y219" s="7">
        <f t="shared" ref="Y219:Y223" si="438">O219</f>
        <v>3198.2448</v>
      </c>
      <c r="Z219" s="7">
        <f t="shared" ref="Z219:Z223" si="439">Q219</f>
        <v>552</v>
      </c>
      <c r="AA219" s="18">
        <f t="shared" si="437"/>
        <v>11395.46762</v>
      </c>
      <c r="AB219" s="56">
        <v>4.0</v>
      </c>
      <c r="AC219" s="24">
        <v>153084.61</v>
      </c>
      <c r="AD219" s="24">
        <v>10005.02</v>
      </c>
      <c r="AE219" s="24">
        <v>1617.66</v>
      </c>
      <c r="AF219" s="24">
        <v>552.0</v>
      </c>
      <c r="AG219" s="24">
        <v>242.19</v>
      </c>
      <c r="AH219" s="24">
        <v>0.0</v>
      </c>
      <c r="AI219" s="24">
        <v>4546.09</v>
      </c>
      <c r="AJ219" s="24">
        <v>3047.08</v>
      </c>
      <c r="AK219" s="15">
        <v>0.0</v>
      </c>
      <c r="AL219" s="16">
        <v>0.0</v>
      </c>
      <c r="AM219" s="16">
        <v>0.0</v>
      </c>
      <c r="AN219" s="16">
        <v>0.0</v>
      </c>
      <c r="AO219" s="16">
        <v>0.0</v>
      </c>
      <c r="AP219" s="16">
        <v>0.0</v>
      </c>
      <c r="AQ219" s="16">
        <v>0.0</v>
      </c>
      <c r="AR219" s="16">
        <v>0.0</v>
      </c>
      <c r="AS219" s="7">
        <v>28750.97</v>
      </c>
      <c r="AT219" s="7">
        <v>2793.0</v>
      </c>
      <c r="AU219" s="7">
        <v>11770.59</v>
      </c>
      <c r="AV219" s="7">
        <v>6274.04</v>
      </c>
      <c r="AW219" s="7">
        <v>6276.0</v>
      </c>
      <c r="AX219" s="7">
        <f>3920.75-AT219</f>
        <v>1127.75</v>
      </c>
      <c r="AY219" s="7">
        <f t="shared" ref="AY219:AY223" si="440">SUM(AS219:AX219)</f>
        <v>56992.35</v>
      </c>
      <c r="AZ219" s="8"/>
      <c r="BA219" s="9"/>
      <c r="BB219" s="10"/>
      <c r="BC219" s="10"/>
    </row>
    <row r="220">
      <c r="A220" s="11">
        <v>2024.0</v>
      </c>
      <c r="B220" s="11" t="s">
        <v>59</v>
      </c>
      <c r="C220" s="12">
        <v>45615.0</v>
      </c>
      <c r="D220" s="44">
        <v>15.0</v>
      </c>
      <c r="E220" s="26">
        <v>1041256.49</v>
      </c>
      <c r="F220" s="26">
        <v>39262.96</v>
      </c>
      <c r="G220" s="26">
        <v>3922.12</v>
      </c>
      <c r="H220" s="26">
        <v>1380.0</v>
      </c>
      <c r="I220" s="26">
        <v>1355.94</v>
      </c>
      <c r="J220" s="26">
        <v>0.0</v>
      </c>
      <c r="K220" s="26">
        <v>14092.99</v>
      </c>
      <c r="L220" s="26">
        <v>18511.91</v>
      </c>
      <c r="M220" s="15">
        <v>2.0</v>
      </c>
      <c r="N220" s="16">
        <v>111000.0</v>
      </c>
      <c r="O220" s="16">
        <f t="shared" si="428"/>
        <v>4440</v>
      </c>
      <c r="P220" s="16">
        <f t="shared" si="429"/>
        <v>1864.8</v>
      </c>
      <c r="Q220" s="16">
        <f t="shared" si="430"/>
        <v>1104</v>
      </c>
      <c r="R220" s="16">
        <f t="shared" si="431"/>
        <v>478.38</v>
      </c>
      <c r="S220" s="17">
        <f t="shared" si="432"/>
        <v>786.84</v>
      </c>
      <c r="T220" s="17">
        <f t="shared" si="433"/>
        <v>276</v>
      </c>
      <c r="U220" s="7">
        <v>4646.86</v>
      </c>
      <c r="V220" s="18">
        <f t="shared" si="434"/>
        <v>1864.8</v>
      </c>
      <c r="W220" s="7">
        <f t="shared" si="435"/>
        <v>1834.32</v>
      </c>
      <c r="X220" s="7">
        <f t="shared" si="436"/>
        <v>0</v>
      </c>
      <c r="Y220" s="18">
        <f t="shared" si="438"/>
        <v>4440</v>
      </c>
      <c r="Z220" s="18">
        <f t="shared" si="439"/>
        <v>1104</v>
      </c>
      <c r="AA220" s="18">
        <f t="shared" si="437"/>
        <v>13889.98</v>
      </c>
      <c r="AB220" s="56">
        <v>9.0</v>
      </c>
      <c r="AC220" s="24">
        <v>912041.76</v>
      </c>
      <c r="AD220" s="24">
        <v>30338.82</v>
      </c>
      <c r="AE220" s="24">
        <v>3317.0</v>
      </c>
      <c r="AF220" s="24">
        <v>1104.0</v>
      </c>
      <c r="AG220" s="24">
        <v>1077.56</v>
      </c>
      <c r="AH220" s="24">
        <v>0.0</v>
      </c>
      <c r="AI220" s="24">
        <v>8542.82</v>
      </c>
      <c r="AJ220" s="24">
        <v>16297.44</v>
      </c>
      <c r="AK220" s="15">
        <v>1.0</v>
      </c>
      <c r="AL220" s="16">
        <v>79956.12</v>
      </c>
      <c r="AM220" s="16">
        <v>3024.0</v>
      </c>
      <c r="AN220" s="16">
        <v>1346.0</v>
      </c>
      <c r="AO220" s="16">
        <v>600.0</v>
      </c>
      <c r="AP220" s="16">
        <v>483.6</v>
      </c>
      <c r="AQ220" s="16">
        <v>317.52</v>
      </c>
      <c r="AR220" s="16">
        <v>0.0</v>
      </c>
      <c r="AS220" s="7">
        <v>23715.62</v>
      </c>
      <c r="AT220" s="7">
        <v>0.0</v>
      </c>
      <c r="AU220" s="7">
        <v>2857.23</v>
      </c>
      <c r="AV220" s="7">
        <v>3967.27</v>
      </c>
      <c r="AW220" s="7">
        <v>0.0</v>
      </c>
      <c r="AX220" s="7">
        <v>19.53</v>
      </c>
      <c r="AY220" s="7">
        <f t="shared" si="440"/>
        <v>30559.65</v>
      </c>
      <c r="AZ220" s="8"/>
      <c r="BA220" s="9"/>
      <c r="BB220" s="10"/>
      <c r="BC220" s="10"/>
    </row>
    <row r="221">
      <c r="A221" s="11">
        <v>2024.0</v>
      </c>
      <c r="B221" s="11" t="s">
        <v>59</v>
      </c>
      <c r="C221" s="12">
        <v>45616.0</v>
      </c>
      <c r="D221" s="44">
        <v>12.0</v>
      </c>
      <c r="E221" s="26">
        <v>746982.89</v>
      </c>
      <c r="F221" s="26">
        <v>34502.82</v>
      </c>
      <c r="G221" s="26">
        <v>4786.87</v>
      </c>
      <c r="H221" s="26">
        <v>1656.0</v>
      </c>
      <c r="I221" s="26">
        <v>1917.06</v>
      </c>
      <c r="J221" s="26">
        <v>2134.8</v>
      </c>
      <c r="K221" s="26">
        <v>16414.77</v>
      </c>
      <c r="L221" s="26">
        <v>13322.36</v>
      </c>
      <c r="M221" s="15">
        <v>2.0</v>
      </c>
      <c r="N221" s="16">
        <v>95000.0</v>
      </c>
      <c r="O221" s="16">
        <f t="shared" si="428"/>
        <v>3800</v>
      </c>
      <c r="P221" s="16">
        <f t="shared" si="429"/>
        <v>1596</v>
      </c>
      <c r="Q221" s="16">
        <f t="shared" si="430"/>
        <v>1104</v>
      </c>
      <c r="R221" s="16">
        <f t="shared" si="431"/>
        <v>478.38</v>
      </c>
      <c r="S221" s="17">
        <f t="shared" si="432"/>
        <v>786.84</v>
      </c>
      <c r="T221" s="17">
        <f t="shared" si="433"/>
        <v>276</v>
      </c>
      <c r="U221" s="7">
        <v>4683.43</v>
      </c>
      <c r="V221" s="18">
        <f t="shared" si="434"/>
        <v>1596</v>
      </c>
      <c r="W221" s="7">
        <f t="shared" si="435"/>
        <v>2395.44</v>
      </c>
      <c r="X221" s="7">
        <f t="shared" si="436"/>
        <v>2134.8</v>
      </c>
      <c r="Y221" s="18">
        <f t="shared" si="438"/>
        <v>3800</v>
      </c>
      <c r="Z221" s="18">
        <f t="shared" si="439"/>
        <v>1104</v>
      </c>
      <c r="AA221" s="18">
        <f t="shared" si="437"/>
        <v>15713.67</v>
      </c>
      <c r="AB221" s="56">
        <v>4.0</v>
      </c>
      <c r="AC221" s="24">
        <v>255510.18</v>
      </c>
      <c r="AD221" s="24">
        <v>12001.48</v>
      </c>
      <c r="AE221" s="24">
        <v>1616.38</v>
      </c>
      <c r="AF221" s="24">
        <v>552.0</v>
      </c>
      <c r="AG221" s="24">
        <v>415.18</v>
      </c>
      <c r="AH221" s="24">
        <v>0.0</v>
      </c>
      <c r="AI221" s="24">
        <v>5125.35</v>
      </c>
      <c r="AJ221" s="24">
        <v>4292.57</v>
      </c>
      <c r="AK221" s="15">
        <v>4.0</v>
      </c>
      <c r="AL221" s="16">
        <v>304632.01</v>
      </c>
      <c r="AM221" s="16">
        <v>11524.0</v>
      </c>
      <c r="AN221" s="16">
        <v>5128.0</v>
      </c>
      <c r="AO221" s="16">
        <v>2400.0</v>
      </c>
      <c r="AP221" s="16">
        <v>1437.96</v>
      </c>
      <c r="AQ221" s="16">
        <v>1355.05</v>
      </c>
      <c r="AR221" s="16">
        <v>0.0</v>
      </c>
      <c r="AS221" s="7">
        <v>30356.08</v>
      </c>
      <c r="AT221" s="7">
        <v>2052.0</v>
      </c>
      <c r="AU221" s="7">
        <v>4177.13</v>
      </c>
      <c r="AV221" s="7">
        <v>2402.64</v>
      </c>
      <c r="AW221" s="7">
        <v>4610.0</v>
      </c>
      <c r="AX221" s="7">
        <f>4224.78-AT221</f>
        <v>2172.78</v>
      </c>
      <c r="AY221" s="7">
        <f t="shared" si="440"/>
        <v>45770.63</v>
      </c>
      <c r="AZ221" s="8"/>
      <c r="BA221" s="9"/>
      <c r="BB221" s="10"/>
      <c r="BC221" s="10"/>
    </row>
    <row r="222">
      <c r="A222" s="11">
        <v>2024.0</v>
      </c>
      <c r="B222" s="11" t="s">
        <v>59</v>
      </c>
      <c r="C222" s="12">
        <v>45617.0</v>
      </c>
      <c r="D222" s="44">
        <v>6.0</v>
      </c>
      <c r="E222" s="26">
        <v>338454.31</v>
      </c>
      <c r="F222" s="26">
        <v>14487.8</v>
      </c>
      <c r="G222" s="26">
        <v>1983.43</v>
      </c>
      <c r="H222" s="26">
        <v>828.0</v>
      </c>
      <c r="I222" s="26">
        <v>944.11</v>
      </c>
      <c r="J222" s="26">
        <v>0.0</v>
      </c>
      <c r="K222" s="26">
        <v>5046.23</v>
      </c>
      <c r="L222" s="26">
        <v>5686.03</v>
      </c>
      <c r="M222" s="15">
        <v>1.0</v>
      </c>
      <c r="N222" s="16">
        <v>360000.0</v>
      </c>
      <c r="O222" s="16">
        <f t="shared" si="428"/>
        <v>14400</v>
      </c>
      <c r="P222" s="16">
        <f t="shared" si="429"/>
        <v>6048</v>
      </c>
      <c r="Q222" s="16">
        <f t="shared" si="430"/>
        <v>552</v>
      </c>
      <c r="R222" s="16">
        <f t="shared" si="431"/>
        <v>239.19</v>
      </c>
      <c r="S222" s="17">
        <f t="shared" si="432"/>
        <v>393.42</v>
      </c>
      <c r="T222" s="17">
        <f t="shared" si="433"/>
        <v>138</v>
      </c>
      <c r="U222" s="7">
        <v>824.79</v>
      </c>
      <c r="V222" s="18">
        <f t="shared" si="434"/>
        <v>6048</v>
      </c>
      <c r="W222" s="7">
        <f t="shared" si="435"/>
        <v>1183.3</v>
      </c>
      <c r="X222" s="7">
        <f t="shared" si="436"/>
        <v>0</v>
      </c>
      <c r="Y222" s="18">
        <f t="shared" si="438"/>
        <v>14400</v>
      </c>
      <c r="Z222" s="18">
        <f t="shared" si="439"/>
        <v>552</v>
      </c>
      <c r="AA222" s="18">
        <f t="shared" si="437"/>
        <v>23008.09</v>
      </c>
      <c r="AB222" s="56">
        <v>4.0</v>
      </c>
      <c r="AC222" s="24">
        <v>171298.0</v>
      </c>
      <c r="AD222" s="24">
        <v>7921.57</v>
      </c>
      <c r="AE222" s="24">
        <v>1182.67</v>
      </c>
      <c r="AF222" s="24">
        <v>552.0</v>
      </c>
      <c r="AG222" s="24">
        <v>512.61</v>
      </c>
      <c r="AH222" s="24">
        <v>0.0</v>
      </c>
      <c r="AI222" s="24">
        <v>2796.48</v>
      </c>
      <c r="AJ222" s="24">
        <v>2877.81</v>
      </c>
      <c r="AK222" s="15">
        <v>5.0</v>
      </c>
      <c r="AL222" s="16">
        <v>265859.54</v>
      </c>
      <c r="AM222" s="16">
        <v>8195.0</v>
      </c>
      <c r="AN222" s="16">
        <v>4476.0</v>
      </c>
      <c r="AO222" s="16">
        <v>2400.0</v>
      </c>
      <c r="AP222" s="16">
        <v>2094.96</v>
      </c>
      <c r="AQ222" s="16">
        <v>1282.53</v>
      </c>
      <c r="AR222" s="16">
        <v>0.0</v>
      </c>
      <c r="AS222" s="7">
        <v>6698.62</v>
      </c>
      <c r="AT222" s="7">
        <v>6931.0</v>
      </c>
      <c r="AU222" s="7">
        <v>1100.72</v>
      </c>
      <c r="AV222" s="7">
        <v>264.35</v>
      </c>
      <c r="AW222" s="7">
        <v>15572.0</v>
      </c>
      <c r="AX222" s="7">
        <f>12797.94-AT222</f>
        <v>5866.94</v>
      </c>
      <c r="AY222" s="7">
        <f t="shared" si="440"/>
        <v>36433.63</v>
      </c>
      <c r="AZ222" s="8"/>
      <c r="BA222" s="9"/>
      <c r="BB222" s="10"/>
      <c r="BC222" s="10"/>
    </row>
    <row r="223">
      <c r="A223" s="11">
        <v>2024.0</v>
      </c>
      <c r="B223" s="11" t="s">
        <v>59</v>
      </c>
      <c r="C223" s="12">
        <v>45618.0</v>
      </c>
      <c r="D223" s="44">
        <v>11.0</v>
      </c>
      <c r="E223" s="26">
        <v>556867.23</v>
      </c>
      <c r="F223" s="26">
        <v>26369.28</v>
      </c>
      <c r="G223" s="26">
        <v>3798.47</v>
      </c>
      <c r="H223" s="26">
        <v>1518.0</v>
      </c>
      <c r="I223" s="26">
        <v>1500.61</v>
      </c>
      <c r="J223" s="26">
        <v>2621.91</v>
      </c>
      <c r="K223" s="26">
        <v>12954.56</v>
      </c>
      <c r="L223" s="26">
        <v>9722.49</v>
      </c>
      <c r="M223" s="15">
        <v>4.0</v>
      </c>
      <c r="N223" s="16">
        <v>315223.39</v>
      </c>
      <c r="O223" s="16">
        <f t="shared" si="428"/>
        <v>12608.9356</v>
      </c>
      <c r="P223" s="16">
        <f t="shared" si="429"/>
        <v>5295.752952</v>
      </c>
      <c r="Q223" s="16">
        <f t="shared" si="430"/>
        <v>2208</v>
      </c>
      <c r="R223" s="16">
        <f t="shared" si="431"/>
        <v>956.76</v>
      </c>
      <c r="S223" s="17">
        <f t="shared" si="432"/>
        <v>1573.68</v>
      </c>
      <c r="T223" s="17">
        <f t="shared" si="433"/>
        <v>552</v>
      </c>
      <c r="U223" s="7">
        <v>2180.48</v>
      </c>
      <c r="V223" s="18">
        <f t="shared" si="434"/>
        <v>5295.752952</v>
      </c>
      <c r="W223" s="7">
        <f t="shared" si="435"/>
        <v>2457.37</v>
      </c>
      <c r="X223" s="7">
        <f t="shared" si="436"/>
        <v>2621.91</v>
      </c>
      <c r="Y223" s="18">
        <f t="shared" si="438"/>
        <v>12608.9356</v>
      </c>
      <c r="Z223" s="18">
        <f t="shared" si="439"/>
        <v>2208</v>
      </c>
      <c r="AA223" s="18">
        <f t="shared" si="437"/>
        <v>27372.44855</v>
      </c>
      <c r="AB223" s="56">
        <v>5.0</v>
      </c>
      <c r="AC223" s="24">
        <v>206908.42</v>
      </c>
      <c r="AD223" s="24">
        <v>11037.07</v>
      </c>
      <c r="AE223" s="24">
        <v>1547.31</v>
      </c>
      <c r="AF223" s="24">
        <v>690.0</v>
      </c>
      <c r="AG223" s="24">
        <v>851.8</v>
      </c>
      <c r="AH223" s="24">
        <v>0.0</v>
      </c>
      <c r="AI223" s="24">
        <v>4104.78</v>
      </c>
      <c r="AJ223" s="24">
        <v>3843.18</v>
      </c>
      <c r="AK223" s="15">
        <v>5.0</v>
      </c>
      <c r="AL223" s="16">
        <v>644354.08</v>
      </c>
      <c r="AM223" s="16">
        <v>24835.0</v>
      </c>
      <c r="AN223" s="16">
        <v>14443.56</v>
      </c>
      <c r="AO223" s="16">
        <v>3700.0</v>
      </c>
      <c r="AP223" s="16">
        <v>2729.84</v>
      </c>
      <c r="AQ223" s="16">
        <v>2762.07</v>
      </c>
      <c r="AR223" s="16">
        <v>0.0</v>
      </c>
      <c r="AS223" s="7">
        <v>4340.14</v>
      </c>
      <c r="AT223" s="7">
        <v>8028.0</v>
      </c>
      <c r="AU223" s="7">
        <v>2281.15</v>
      </c>
      <c r="AV223" s="7">
        <v>0.0</v>
      </c>
      <c r="AW223" s="7">
        <v>18037.0</v>
      </c>
      <c r="AX223" s="7">
        <f>11300.03-AT223</f>
        <v>3272.03</v>
      </c>
      <c r="AY223" s="7">
        <f t="shared" si="440"/>
        <v>35958.32</v>
      </c>
      <c r="AZ223" s="8"/>
      <c r="BA223" s="9"/>
      <c r="BB223" s="10"/>
      <c r="BC223" s="10"/>
    </row>
    <row r="224">
      <c r="A224" s="11">
        <v>2024.0</v>
      </c>
      <c r="B224" s="11" t="s">
        <v>59</v>
      </c>
      <c r="C224" s="1"/>
      <c r="D224" s="2">
        <v>94.0</v>
      </c>
      <c r="E224" s="2"/>
      <c r="F224" s="59" t="s">
        <v>60</v>
      </c>
      <c r="G224" s="33"/>
      <c r="H224" s="33"/>
      <c r="I224" s="33"/>
      <c r="J224" s="33"/>
      <c r="K224" s="33"/>
      <c r="L224" s="33"/>
      <c r="M224" s="15">
        <v>7.0</v>
      </c>
      <c r="N224" s="16">
        <v>740000.0</v>
      </c>
      <c r="O224" s="35"/>
      <c r="P224" s="35"/>
      <c r="Q224" s="35"/>
      <c r="R224" s="35"/>
      <c r="S224" s="35"/>
      <c r="T224" s="35"/>
      <c r="U224" s="37"/>
      <c r="V224" s="48"/>
      <c r="W224" s="48"/>
      <c r="X224" s="37"/>
      <c r="Y224" s="48"/>
      <c r="Z224" s="48"/>
      <c r="AA224" s="48"/>
      <c r="AB224" s="2"/>
      <c r="AC224" s="33"/>
      <c r="AD224" s="2"/>
      <c r="AE224" s="33"/>
      <c r="AF224" s="33"/>
      <c r="AG224" s="33"/>
      <c r="AH224" s="33"/>
      <c r="AI224" s="33"/>
      <c r="AJ224" s="33"/>
      <c r="AK224" s="4"/>
      <c r="AL224" s="4"/>
      <c r="AM224" s="35"/>
      <c r="AN224" s="35"/>
      <c r="AO224" s="35"/>
      <c r="AP224" s="35"/>
      <c r="AQ224" s="35"/>
      <c r="AR224" s="35"/>
      <c r="AS224" s="37"/>
      <c r="AT224" s="48"/>
      <c r="AU224" s="48"/>
      <c r="AV224" s="48"/>
      <c r="AW224" s="48"/>
      <c r="AX224" s="48"/>
      <c r="AY224" s="48"/>
      <c r="AZ224" s="38"/>
      <c r="BA224" s="39"/>
      <c r="BB224" s="40"/>
      <c r="BC224" s="40"/>
    </row>
    <row r="225">
      <c r="A225" s="1">
        <v>2024.0</v>
      </c>
      <c r="B225" s="1" t="s">
        <v>59</v>
      </c>
      <c r="C225" s="1" t="s">
        <v>49</v>
      </c>
      <c r="D225" s="33">
        <f t="shared" ref="D225:L225" si="441">SUM(D217:D223)</f>
        <v>78</v>
      </c>
      <c r="E225" s="34">
        <f t="shared" si="441"/>
        <v>5344311.76</v>
      </c>
      <c r="F225" s="34">
        <f t="shared" si="441"/>
        <v>214181.87</v>
      </c>
      <c r="G225" s="34">
        <f t="shared" si="441"/>
        <v>24924.72</v>
      </c>
      <c r="H225" s="34">
        <f t="shared" si="441"/>
        <v>9246</v>
      </c>
      <c r="I225" s="34">
        <f t="shared" si="441"/>
        <v>9937.31</v>
      </c>
      <c r="J225" s="34">
        <f t="shared" si="441"/>
        <v>18083.91</v>
      </c>
      <c r="K225" s="34">
        <f t="shared" si="441"/>
        <v>97120.37</v>
      </c>
      <c r="L225" s="34">
        <f t="shared" si="441"/>
        <v>94368.81</v>
      </c>
      <c r="M225" s="35">
        <f t="shared" ref="M225:N225" si="442">SUM(M217:M224)</f>
        <v>17</v>
      </c>
      <c r="N225" s="36">
        <f t="shared" si="442"/>
        <v>1701179.51</v>
      </c>
      <c r="O225" s="36">
        <f t="shared" ref="O225:AJ225" si="443">SUM(O217:O223)</f>
        <v>38447.1804</v>
      </c>
      <c r="P225" s="36">
        <f t="shared" si="443"/>
        <v>16147.81577</v>
      </c>
      <c r="Q225" s="36">
        <f t="shared" si="443"/>
        <v>5520</v>
      </c>
      <c r="R225" s="36">
        <f t="shared" si="443"/>
        <v>2391.9</v>
      </c>
      <c r="S225" s="36">
        <f t="shared" si="443"/>
        <v>3934.2</v>
      </c>
      <c r="T225" s="36">
        <f t="shared" si="443"/>
        <v>1380</v>
      </c>
      <c r="U225" s="37">
        <f t="shared" si="443"/>
        <v>20234.95</v>
      </c>
      <c r="V225" s="37">
        <f t="shared" si="443"/>
        <v>16147.81577</v>
      </c>
      <c r="W225" s="37">
        <f t="shared" si="443"/>
        <v>12329.21</v>
      </c>
      <c r="X225" s="37">
        <f t="shared" si="443"/>
        <v>18083.91</v>
      </c>
      <c r="Y225" s="37">
        <f t="shared" si="443"/>
        <v>38447.1804</v>
      </c>
      <c r="Z225" s="37">
        <f t="shared" si="443"/>
        <v>5520</v>
      </c>
      <c r="AA225" s="37">
        <f t="shared" si="443"/>
        <v>110763.0662</v>
      </c>
      <c r="AB225" s="33">
        <f t="shared" si="443"/>
        <v>40</v>
      </c>
      <c r="AC225" s="34">
        <f t="shared" si="443"/>
        <v>2921945.13</v>
      </c>
      <c r="AD225" s="34">
        <f t="shared" si="443"/>
        <v>110822.58</v>
      </c>
      <c r="AE225" s="34">
        <f t="shared" si="443"/>
        <v>12834.09</v>
      </c>
      <c r="AF225" s="34">
        <f t="shared" si="443"/>
        <v>4830</v>
      </c>
      <c r="AG225" s="34">
        <f t="shared" si="443"/>
        <v>4931.16</v>
      </c>
      <c r="AH225" s="34">
        <f t="shared" si="443"/>
        <v>0</v>
      </c>
      <c r="AI225" s="34">
        <f t="shared" si="443"/>
        <v>36989.65</v>
      </c>
      <c r="AJ225" s="34">
        <f t="shared" si="443"/>
        <v>51237.68</v>
      </c>
      <c r="AK225" s="35">
        <f t="shared" ref="AK225:AL225" si="444">SUM(AK217:AK224)</f>
        <v>15</v>
      </c>
      <c r="AL225" s="36">
        <f t="shared" si="444"/>
        <v>1294801.75</v>
      </c>
      <c r="AM225" s="36">
        <f t="shared" ref="AM225:AY225" si="445">SUM(AM217:AM223)</f>
        <v>47578</v>
      </c>
      <c r="AN225" s="36">
        <f t="shared" si="445"/>
        <v>25393.56</v>
      </c>
      <c r="AO225" s="36">
        <f t="shared" si="445"/>
        <v>9100</v>
      </c>
      <c r="AP225" s="36">
        <f t="shared" si="445"/>
        <v>6746.36</v>
      </c>
      <c r="AQ225" s="36">
        <f t="shared" si="445"/>
        <v>5717.17</v>
      </c>
      <c r="AR225" s="36">
        <f t="shared" si="445"/>
        <v>0</v>
      </c>
      <c r="AS225" s="37">
        <f t="shared" si="445"/>
        <v>93861.43</v>
      </c>
      <c r="AT225" s="37">
        <f t="shared" si="445"/>
        <v>19804</v>
      </c>
      <c r="AU225" s="37">
        <f t="shared" si="445"/>
        <v>22186.82</v>
      </c>
      <c r="AV225" s="37">
        <f t="shared" si="445"/>
        <v>12908.3</v>
      </c>
      <c r="AW225" s="37">
        <f t="shared" si="445"/>
        <v>44495</v>
      </c>
      <c r="AX225" s="37">
        <f t="shared" si="445"/>
        <v>12459.03</v>
      </c>
      <c r="AY225" s="37">
        <f t="shared" si="445"/>
        <v>205714.58</v>
      </c>
      <c r="AZ225" s="38"/>
      <c r="BA225" s="39"/>
      <c r="BB225" s="40"/>
      <c r="BC225" s="40"/>
    </row>
    <row r="226">
      <c r="A226" s="11">
        <v>2024.0</v>
      </c>
      <c r="B226" s="11" t="s">
        <v>59</v>
      </c>
      <c r="C226" s="12">
        <v>45619.0</v>
      </c>
      <c r="D226" s="44">
        <v>14.0</v>
      </c>
      <c r="E226" s="26">
        <v>902709.42</v>
      </c>
      <c r="F226" s="26">
        <v>46510.94</v>
      </c>
      <c r="G226" s="26">
        <v>5486.87</v>
      </c>
      <c r="H226" s="26">
        <v>1794.0</v>
      </c>
      <c r="I226" s="26">
        <v>2270.95</v>
      </c>
      <c r="J226" s="26">
        <v>2927.57</v>
      </c>
      <c r="K226" s="26">
        <v>23505.9</v>
      </c>
      <c r="L226" s="26">
        <v>16675.03</v>
      </c>
      <c r="M226" s="15">
        <v>0.0</v>
      </c>
      <c r="N226" s="16">
        <v>0.0</v>
      </c>
      <c r="O226" s="16">
        <f t="shared" ref="O226:O232" si="446">N226*4%</f>
        <v>0</v>
      </c>
      <c r="P226" s="16">
        <f t="shared" ref="P226:P232" si="447">N226*1.68%</f>
        <v>0</v>
      </c>
      <c r="Q226" s="16">
        <f t="shared" ref="Q226:Q232" si="448">M226*(250+300+2)</f>
        <v>0</v>
      </c>
      <c r="R226" s="16">
        <f t="shared" ref="R226:R232" si="449">M226*239.19</f>
        <v>0</v>
      </c>
      <c r="S226" s="17">
        <f t="shared" ref="S226:S232" si="450">M226*393.42</f>
        <v>0</v>
      </c>
      <c r="T226" s="17">
        <f t="shared" ref="T226:T232" si="451">M226*138</f>
        <v>0</v>
      </c>
      <c r="U226" s="7">
        <v>4255.94</v>
      </c>
      <c r="V226" s="18">
        <f t="shared" ref="V226:V232" si="452">P226</f>
        <v>0</v>
      </c>
      <c r="W226" s="7">
        <f t="shared" ref="W226:W232" si="453">I226+R226</f>
        <v>2270.95</v>
      </c>
      <c r="X226" s="7">
        <f t="shared" ref="X226:X232" si="454">J226</f>
        <v>2927.57</v>
      </c>
      <c r="Y226" s="7">
        <v>0.0</v>
      </c>
      <c r="Z226" s="7">
        <v>0.0</v>
      </c>
      <c r="AA226" s="18">
        <f t="shared" ref="AA226:AA232" si="455">SUM(U226:Z226)</f>
        <v>9454.46</v>
      </c>
      <c r="AB226" s="56">
        <v>10.0</v>
      </c>
      <c r="AC226" s="24">
        <v>683077.34</v>
      </c>
      <c r="AD226" s="24">
        <v>31777.85</v>
      </c>
      <c r="AE226" s="24">
        <v>3592.81</v>
      </c>
      <c r="AF226" s="24">
        <v>1242.0</v>
      </c>
      <c r="AG226" s="24">
        <v>1562.44</v>
      </c>
      <c r="AH226" s="24">
        <v>0.0</v>
      </c>
      <c r="AI226" s="24">
        <v>12809.62</v>
      </c>
      <c r="AJ226" s="24">
        <v>12570.98</v>
      </c>
      <c r="AK226" s="15">
        <v>0.0</v>
      </c>
      <c r="AL226" s="16">
        <v>0.0</v>
      </c>
      <c r="AM226" s="16">
        <v>0.0</v>
      </c>
      <c r="AN226" s="16">
        <v>0.0</v>
      </c>
      <c r="AO226" s="16">
        <v>0.0</v>
      </c>
      <c r="AP226" s="16">
        <v>0.0</v>
      </c>
      <c r="AQ226" s="16">
        <v>0.0</v>
      </c>
      <c r="AR226" s="16">
        <v>0.0</v>
      </c>
      <c r="AS226" s="7">
        <v>0.0</v>
      </c>
      <c r="AT226" s="7">
        <v>0.0</v>
      </c>
      <c r="AU226" s="7">
        <v>0.0</v>
      </c>
      <c r="AV226" s="7">
        <v>0.0</v>
      </c>
      <c r="AW226" s="7">
        <v>0.0</v>
      </c>
      <c r="AX226" s="7">
        <v>0.0</v>
      </c>
      <c r="AY226" s="7">
        <f t="shared" ref="AY226:AY232" si="456">SUM(AS226:AX226)</f>
        <v>0</v>
      </c>
      <c r="AZ226" s="8"/>
      <c r="BA226" s="9"/>
      <c r="BB226" s="10"/>
      <c r="BC226" s="10"/>
    </row>
    <row r="227">
      <c r="A227" s="11">
        <v>2024.0</v>
      </c>
      <c r="B227" s="11" t="s">
        <v>59</v>
      </c>
      <c r="C227" s="12">
        <v>45620.0</v>
      </c>
      <c r="D227" s="44">
        <v>10.0</v>
      </c>
      <c r="E227" s="26">
        <v>650165.84</v>
      </c>
      <c r="F227" s="26">
        <v>32211.77</v>
      </c>
      <c r="G227" s="26">
        <v>4686.57</v>
      </c>
      <c r="H227" s="26">
        <v>1380.0</v>
      </c>
      <c r="I227" s="26">
        <v>1456.63</v>
      </c>
      <c r="J227" s="26">
        <v>5980.37</v>
      </c>
      <c r="K227" s="26">
        <v>20746.67</v>
      </c>
      <c r="L227" s="26">
        <v>10922.79</v>
      </c>
      <c r="M227" s="15">
        <v>0.0</v>
      </c>
      <c r="N227" s="16">
        <v>0.0</v>
      </c>
      <c r="O227" s="16">
        <f t="shared" si="446"/>
        <v>0</v>
      </c>
      <c r="P227" s="16">
        <f t="shared" si="447"/>
        <v>0</v>
      </c>
      <c r="Q227" s="16">
        <f t="shared" si="448"/>
        <v>0</v>
      </c>
      <c r="R227" s="16">
        <f t="shared" si="449"/>
        <v>0</v>
      </c>
      <c r="S227" s="17">
        <f t="shared" si="450"/>
        <v>0</v>
      </c>
      <c r="T227" s="17">
        <f t="shared" si="451"/>
        <v>0</v>
      </c>
      <c r="U227" s="7">
        <v>3362.09</v>
      </c>
      <c r="V227" s="18">
        <f t="shared" si="452"/>
        <v>0</v>
      </c>
      <c r="W227" s="7">
        <f t="shared" si="453"/>
        <v>1456.63</v>
      </c>
      <c r="X227" s="7">
        <f t="shared" si="454"/>
        <v>5980.37</v>
      </c>
      <c r="Y227" s="7">
        <v>0.0</v>
      </c>
      <c r="Z227" s="7">
        <v>0.0</v>
      </c>
      <c r="AA227" s="18">
        <f t="shared" si="455"/>
        <v>10799.09</v>
      </c>
      <c r="AB227" s="56">
        <v>7.0</v>
      </c>
      <c r="AC227" s="24">
        <v>385905.64</v>
      </c>
      <c r="AD227" s="24">
        <v>21474.28</v>
      </c>
      <c r="AE227" s="24">
        <v>2657.74</v>
      </c>
      <c r="AF227" s="24">
        <v>966.0</v>
      </c>
      <c r="AG227" s="24">
        <v>998.61</v>
      </c>
      <c r="AH227" s="24">
        <v>0.0</v>
      </c>
      <c r="AI227" s="24">
        <v>11079.39</v>
      </c>
      <c r="AJ227" s="24">
        <v>5772.54</v>
      </c>
      <c r="AK227" s="15">
        <v>0.0</v>
      </c>
      <c r="AL227" s="16">
        <v>0.0</v>
      </c>
      <c r="AM227" s="16">
        <v>0.0</v>
      </c>
      <c r="AN227" s="16">
        <v>0.0</v>
      </c>
      <c r="AO227" s="16">
        <v>0.0</v>
      </c>
      <c r="AP227" s="16">
        <v>0.0</v>
      </c>
      <c r="AQ227" s="16">
        <v>0.0</v>
      </c>
      <c r="AR227" s="16">
        <v>0.0</v>
      </c>
      <c r="AS227" s="7">
        <v>0.0</v>
      </c>
      <c r="AT227" s="7">
        <v>0.0</v>
      </c>
      <c r="AU227" s="7">
        <v>0.0</v>
      </c>
      <c r="AV227" s="7">
        <v>0.0</v>
      </c>
      <c r="AW227" s="7">
        <v>0.0</v>
      </c>
      <c r="AX227" s="7">
        <v>0.0</v>
      </c>
      <c r="AY227" s="7">
        <f t="shared" si="456"/>
        <v>0</v>
      </c>
      <c r="AZ227" s="8"/>
      <c r="BA227" s="9"/>
      <c r="BB227" s="10"/>
      <c r="BC227" s="10"/>
    </row>
    <row r="228">
      <c r="A228" s="11">
        <v>2024.0</v>
      </c>
      <c r="B228" s="11" t="s">
        <v>59</v>
      </c>
      <c r="C228" s="12">
        <v>45621.0</v>
      </c>
      <c r="D228" s="44">
        <v>7.0</v>
      </c>
      <c r="E228" s="26">
        <v>591362.86</v>
      </c>
      <c r="F228" s="26">
        <v>29912.83</v>
      </c>
      <c r="G228" s="26">
        <v>3965.53</v>
      </c>
      <c r="H228" s="26">
        <v>966.0</v>
      </c>
      <c r="I228" s="26">
        <v>1247.23</v>
      </c>
      <c r="J228" s="26">
        <v>1092.49</v>
      </c>
      <c r="K228" s="26">
        <v>13179.39</v>
      </c>
      <c r="L228" s="26">
        <v>10554.68</v>
      </c>
      <c r="M228" s="15">
        <v>2.0</v>
      </c>
      <c r="N228" s="16">
        <v>117640.88</v>
      </c>
      <c r="O228" s="16">
        <f t="shared" si="446"/>
        <v>4705.6352</v>
      </c>
      <c r="P228" s="16">
        <f t="shared" si="447"/>
        <v>1976.366784</v>
      </c>
      <c r="Q228" s="16">
        <f t="shared" si="448"/>
        <v>1104</v>
      </c>
      <c r="R228" s="16">
        <f t="shared" si="449"/>
        <v>478.38</v>
      </c>
      <c r="S228" s="17">
        <f t="shared" si="450"/>
        <v>786.84</v>
      </c>
      <c r="T228" s="17">
        <f t="shared" si="451"/>
        <v>276</v>
      </c>
      <c r="U228" s="7">
        <v>0.0</v>
      </c>
      <c r="V228" s="18">
        <f t="shared" si="452"/>
        <v>1976.366784</v>
      </c>
      <c r="W228" s="7">
        <f t="shared" si="453"/>
        <v>1725.61</v>
      </c>
      <c r="X228" s="7">
        <f t="shared" si="454"/>
        <v>1092.49</v>
      </c>
      <c r="Y228" s="7">
        <f t="shared" ref="Y228:Y232" si="457">O228</f>
        <v>4705.6352</v>
      </c>
      <c r="Z228" s="7">
        <f t="shared" ref="Z228:Z232" si="458">Q228</f>
        <v>1104</v>
      </c>
      <c r="AA228" s="18">
        <f t="shared" si="455"/>
        <v>10604.10198</v>
      </c>
      <c r="AB228" s="56">
        <v>4.0</v>
      </c>
      <c r="AC228" s="24">
        <v>446679.92</v>
      </c>
      <c r="AD228" s="24">
        <v>22233.57</v>
      </c>
      <c r="AE228" s="24">
        <v>2594.01</v>
      </c>
      <c r="AF228" s="24">
        <v>552.0</v>
      </c>
      <c r="AG228" s="24">
        <v>632.31</v>
      </c>
      <c r="AH228" s="24">
        <v>0.0</v>
      </c>
      <c r="AI228" s="24">
        <v>10951.03</v>
      </c>
      <c r="AJ228" s="24">
        <v>7504.22</v>
      </c>
      <c r="AK228" s="15">
        <v>1.0</v>
      </c>
      <c r="AL228" s="16">
        <v>42468.59</v>
      </c>
      <c r="AM228" s="16">
        <v>1606.0</v>
      </c>
      <c r="AN228" s="16">
        <v>715.0</v>
      </c>
      <c r="AO228" s="16">
        <v>600.0</v>
      </c>
      <c r="AP228" s="16">
        <v>357.59</v>
      </c>
      <c r="AQ228" s="16">
        <v>245.0</v>
      </c>
      <c r="AR228" s="16">
        <v>0.0</v>
      </c>
      <c r="AS228" s="7">
        <v>14088.53</v>
      </c>
      <c r="AT228" s="7">
        <v>8382.56</v>
      </c>
      <c r="AU228" s="7">
        <v>7226.28</v>
      </c>
      <c r="AV228" s="7">
        <v>573.5</v>
      </c>
      <c r="AW228" s="7">
        <v>11217.0</v>
      </c>
      <c r="AX228" s="7">
        <f>14591.62-AT228</f>
        <v>6209.06</v>
      </c>
      <c r="AY228" s="7">
        <f t="shared" si="456"/>
        <v>47696.93</v>
      </c>
      <c r="AZ228" s="8"/>
      <c r="BA228" s="9"/>
      <c r="BB228" s="10"/>
      <c r="BC228" s="10"/>
    </row>
    <row r="229">
      <c r="A229" s="11">
        <v>2024.0</v>
      </c>
      <c r="B229" s="11" t="s">
        <v>59</v>
      </c>
      <c r="C229" s="12">
        <v>45622.0</v>
      </c>
      <c r="D229" s="44">
        <v>7.0</v>
      </c>
      <c r="E229" s="26">
        <v>309109.04</v>
      </c>
      <c r="F229" s="26">
        <v>18026.76</v>
      </c>
      <c r="G229" s="26">
        <v>2352.19</v>
      </c>
      <c r="H229" s="26">
        <v>966.0</v>
      </c>
      <c r="I229" s="26">
        <v>1175.1</v>
      </c>
      <c r="J229" s="26">
        <v>116.06</v>
      </c>
      <c r="K229" s="26">
        <v>8107.79</v>
      </c>
      <c r="L229" s="26">
        <v>5425.68</v>
      </c>
      <c r="M229" s="15">
        <v>1.0</v>
      </c>
      <c r="N229" s="16">
        <v>135000.0</v>
      </c>
      <c r="O229" s="16">
        <f t="shared" si="446"/>
        <v>5400</v>
      </c>
      <c r="P229" s="16">
        <f t="shared" si="447"/>
        <v>2268</v>
      </c>
      <c r="Q229" s="16">
        <f t="shared" si="448"/>
        <v>552</v>
      </c>
      <c r="R229" s="16">
        <f t="shared" si="449"/>
        <v>239.19</v>
      </c>
      <c r="S229" s="17">
        <f t="shared" si="450"/>
        <v>393.42</v>
      </c>
      <c r="T229" s="17">
        <f t="shared" si="451"/>
        <v>138</v>
      </c>
      <c r="U229" s="7">
        <v>1041.03</v>
      </c>
      <c r="V229" s="18">
        <f t="shared" si="452"/>
        <v>2268</v>
      </c>
      <c r="W229" s="7">
        <f t="shared" si="453"/>
        <v>1414.29</v>
      </c>
      <c r="X229" s="7">
        <f t="shared" si="454"/>
        <v>116.06</v>
      </c>
      <c r="Y229" s="18">
        <f t="shared" si="457"/>
        <v>5400</v>
      </c>
      <c r="Z229" s="18">
        <f t="shared" si="458"/>
        <v>552</v>
      </c>
      <c r="AA229" s="18">
        <f t="shared" si="455"/>
        <v>10791.38</v>
      </c>
      <c r="AB229" s="56">
        <v>3.0</v>
      </c>
      <c r="AC229" s="24">
        <v>117914.42</v>
      </c>
      <c r="AD229" s="24">
        <v>6901.04</v>
      </c>
      <c r="AE229" s="24">
        <v>1000.1</v>
      </c>
      <c r="AF229" s="24">
        <v>414.0</v>
      </c>
      <c r="AG229" s="24">
        <v>366.37</v>
      </c>
      <c r="AH229" s="24">
        <v>0.0</v>
      </c>
      <c r="AI229" s="24">
        <v>3139.61</v>
      </c>
      <c r="AJ229" s="24">
        <v>1980.96</v>
      </c>
      <c r="AK229" s="15">
        <v>3.0</v>
      </c>
      <c r="AL229" s="16">
        <v>214315.64</v>
      </c>
      <c r="AM229" s="16">
        <v>8106.0</v>
      </c>
      <c r="AN229" s="16">
        <v>3608.0</v>
      </c>
      <c r="AO229" s="16">
        <v>1800.0</v>
      </c>
      <c r="AP229" s="16">
        <v>1378.81</v>
      </c>
      <c r="AQ229" s="16">
        <v>877.84</v>
      </c>
      <c r="AR229" s="16">
        <v>0.0</v>
      </c>
      <c r="AS229" s="7">
        <v>7027.43</v>
      </c>
      <c r="AT229" s="7">
        <v>1468.0</v>
      </c>
      <c r="AU229" s="7">
        <v>3454.47</v>
      </c>
      <c r="AV229" s="7">
        <v>3466.52</v>
      </c>
      <c r="AW229" s="7">
        <v>3299.0</v>
      </c>
      <c r="AX229" s="7">
        <f>3683.88-AT229</f>
        <v>2215.88</v>
      </c>
      <c r="AY229" s="7">
        <f t="shared" si="456"/>
        <v>20931.3</v>
      </c>
      <c r="AZ229" s="8"/>
      <c r="BA229" s="9"/>
      <c r="BB229" s="10"/>
      <c r="BC229" s="10"/>
    </row>
    <row r="230">
      <c r="A230" s="11">
        <v>2024.0</v>
      </c>
      <c r="B230" s="11" t="s">
        <v>59</v>
      </c>
      <c r="C230" s="12">
        <v>45623.0</v>
      </c>
      <c r="D230" s="44">
        <v>5.0</v>
      </c>
      <c r="E230" s="26">
        <v>333499.26</v>
      </c>
      <c r="F230" s="26">
        <v>15988.75</v>
      </c>
      <c r="G230" s="26">
        <v>2058.21</v>
      </c>
      <c r="H230" s="26">
        <v>690.0</v>
      </c>
      <c r="I230" s="26">
        <v>699.0</v>
      </c>
      <c r="J230" s="26">
        <v>1199.34</v>
      </c>
      <c r="K230" s="26">
        <v>6938.75</v>
      </c>
      <c r="L230" s="26">
        <v>5602.79</v>
      </c>
      <c r="M230" s="15">
        <v>1.0</v>
      </c>
      <c r="N230" s="16">
        <v>540000.0</v>
      </c>
      <c r="O230" s="16">
        <f t="shared" si="446"/>
        <v>21600</v>
      </c>
      <c r="P230" s="16">
        <f t="shared" si="447"/>
        <v>9072</v>
      </c>
      <c r="Q230" s="16">
        <f t="shared" si="448"/>
        <v>552</v>
      </c>
      <c r="R230" s="16">
        <f t="shared" si="449"/>
        <v>239.19</v>
      </c>
      <c r="S230" s="17">
        <f t="shared" si="450"/>
        <v>393.42</v>
      </c>
      <c r="T230" s="17">
        <f t="shared" si="451"/>
        <v>138</v>
      </c>
      <c r="U230" s="7">
        <v>404.49</v>
      </c>
      <c r="V230" s="18">
        <f t="shared" si="452"/>
        <v>9072</v>
      </c>
      <c r="W230" s="7">
        <f t="shared" si="453"/>
        <v>938.19</v>
      </c>
      <c r="X230" s="7">
        <f t="shared" si="454"/>
        <v>1199.34</v>
      </c>
      <c r="Y230" s="18">
        <f t="shared" si="457"/>
        <v>21600</v>
      </c>
      <c r="Z230" s="18">
        <f t="shared" si="458"/>
        <v>552</v>
      </c>
      <c r="AA230" s="18">
        <f t="shared" si="455"/>
        <v>33766.02</v>
      </c>
      <c r="AB230" s="56">
        <v>4.0</v>
      </c>
      <c r="AC230" s="24">
        <v>222689.71</v>
      </c>
      <c r="AD230" s="24">
        <v>11356.93</v>
      </c>
      <c r="AE230" s="24">
        <v>1525.25</v>
      </c>
      <c r="AF230" s="24">
        <v>552.0</v>
      </c>
      <c r="AG230" s="24">
        <v>647.89</v>
      </c>
      <c r="AH230" s="24">
        <v>0.0</v>
      </c>
      <c r="AI230" s="24">
        <v>4890.6</v>
      </c>
      <c r="AJ230" s="24">
        <v>3741.19</v>
      </c>
      <c r="AK230" s="15">
        <v>4.0</v>
      </c>
      <c r="AL230" s="16">
        <v>442386.77</v>
      </c>
      <c r="AM230" s="16">
        <v>16731.0</v>
      </c>
      <c r="AN230" s="16">
        <v>7446.0</v>
      </c>
      <c r="AO230" s="16">
        <v>2400.0</v>
      </c>
      <c r="AP230" s="16">
        <v>1837.46</v>
      </c>
      <c r="AQ230" s="16">
        <v>1507.33</v>
      </c>
      <c r="AR230" s="16">
        <v>0.0</v>
      </c>
      <c r="AS230" s="7">
        <v>20574.58</v>
      </c>
      <c r="AT230" s="7">
        <v>4216.0</v>
      </c>
      <c r="AU230" s="7">
        <v>7152.28</v>
      </c>
      <c r="AV230" s="7">
        <v>4107.75</v>
      </c>
      <c r="AW230" s="7">
        <v>9471.0</v>
      </c>
      <c r="AX230" s="7">
        <f>7584.47-AT230</f>
        <v>3368.47</v>
      </c>
      <c r="AY230" s="7">
        <f t="shared" si="456"/>
        <v>48890.08</v>
      </c>
      <c r="AZ230" s="8"/>
      <c r="BA230" s="9"/>
      <c r="BB230" s="10"/>
      <c r="BC230" s="10"/>
    </row>
    <row r="231">
      <c r="A231" s="11">
        <v>2024.0</v>
      </c>
      <c r="B231" s="11" t="s">
        <v>59</v>
      </c>
      <c r="C231" s="12">
        <v>45624.0</v>
      </c>
      <c r="D231" s="44">
        <v>12.0</v>
      </c>
      <c r="E231" s="26">
        <v>853227.51</v>
      </c>
      <c r="F231" s="26">
        <v>41073.94</v>
      </c>
      <c r="G231" s="26">
        <v>4588.09</v>
      </c>
      <c r="H231" s="26">
        <v>1380.0</v>
      </c>
      <c r="I231" s="26">
        <v>1924.75</v>
      </c>
      <c r="J231" s="26">
        <v>2655.12</v>
      </c>
      <c r="K231" s="26">
        <v>22936.11</v>
      </c>
      <c r="L231" s="26">
        <v>14950.25</v>
      </c>
      <c r="M231" s="15">
        <v>2.0</v>
      </c>
      <c r="N231" s="16">
        <v>140940.59</v>
      </c>
      <c r="O231" s="16">
        <f t="shared" si="446"/>
        <v>5637.6236</v>
      </c>
      <c r="P231" s="16">
        <f t="shared" si="447"/>
        <v>2367.801912</v>
      </c>
      <c r="Q231" s="16">
        <f t="shared" si="448"/>
        <v>1104</v>
      </c>
      <c r="R231" s="16">
        <f t="shared" si="449"/>
        <v>478.38</v>
      </c>
      <c r="S231" s="17">
        <f t="shared" si="450"/>
        <v>786.84</v>
      </c>
      <c r="T231" s="17">
        <f t="shared" si="451"/>
        <v>276</v>
      </c>
      <c r="U231" s="7">
        <v>3574.51</v>
      </c>
      <c r="V231" s="18">
        <f t="shared" si="452"/>
        <v>2367.801912</v>
      </c>
      <c r="W231" s="7">
        <f t="shared" si="453"/>
        <v>2403.13</v>
      </c>
      <c r="X231" s="7">
        <f t="shared" si="454"/>
        <v>2655.12</v>
      </c>
      <c r="Y231" s="18">
        <f t="shared" si="457"/>
        <v>5637.6236</v>
      </c>
      <c r="Z231" s="18">
        <f t="shared" si="458"/>
        <v>1104</v>
      </c>
      <c r="AA231" s="18">
        <f t="shared" si="455"/>
        <v>17742.18551</v>
      </c>
      <c r="AB231" s="56">
        <v>5.0</v>
      </c>
      <c r="AC231" s="24">
        <v>196288.96</v>
      </c>
      <c r="AD231" s="24">
        <v>9625.92</v>
      </c>
      <c r="AE231" s="24">
        <v>1191.98</v>
      </c>
      <c r="AF231" s="24">
        <v>552.0</v>
      </c>
      <c r="AG231" s="24">
        <v>756.76</v>
      </c>
      <c r="AH231" s="24">
        <v>0.0</v>
      </c>
      <c r="AI231" s="24">
        <v>3737.78</v>
      </c>
      <c r="AJ231" s="24">
        <v>3387.4</v>
      </c>
      <c r="AK231" s="15">
        <v>2.0</v>
      </c>
      <c r="AL231" s="16">
        <v>56901.88</v>
      </c>
      <c r="AM231" s="16">
        <v>2153.0</v>
      </c>
      <c r="AN231" s="16">
        <v>958.0</v>
      </c>
      <c r="AO231" s="16">
        <v>1200.0</v>
      </c>
      <c r="AP231" s="16">
        <v>850.44</v>
      </c>
      <c r="AQ231" s="16">
        <v>490.0</v>
      </c>
      <c r="AR231" s="16">
        <v>0.0</v>
      </c>
      <c r="AS231" s="7">
        <v>11646.54</v>
      </c>
      <c r="AT231" s="7">
        <v>6206.0</v>
      </c>
      <c r="AU231" s="7">
        <v>5421.36</v>
      </c>
      <c r="AV231" s="7">
        <v>1712.82</v>
      </c>
      <c r="AW231" s="7">
        <v>14619.0</v>
      </c>
      <c r="AX231" s="7">
        <f>16953.56-AT231</f>
        <v>10747.56</v>
      </c>
      <c r="AY231" s="7">
        <f t="shared" si="456"/>
        <v>50353.28</v>
      </c>
      <c r="AZ231" s="8"/>
      <c r="BA231" s="9"/>
      <c r="BB231" s="10"/>
      <c r="BC231" s="10"/>
    </row>
    <row r="232">
      <c r="A232" s="11">
        <v>2024.0</v>
      </c>
      <c r="B232" s="11" t="s">
        <v>59</v>
      </c>
      <c r="C232" s="12">
        <v>45625.0</v>
      </c>
      <c r="D232" s="44">
        <v>12.0</v>
      </c>
      <c r="E232" s="26">
        <v>1017359.34</v>
      </c>
      <c r="F232" s="26">
        <v>49272.96</v>
      </c>
      <c r="G232" s="26">
        <v>5788.37</v>
      </c>
      <c r="H232" s="26">
        <v>1518.0</v>
      </c>
      <c r="I232" s="26">
        <v>1499.25</v>
      </c>
      <c r="J232" s="26">
        <v>9560.08</v>
      </c>
      <c r="K232" s="26">
        <v>16662.33</v>
      </c>
      <c r="L232" s="26">
        <v>23805.01</v>
      </c>
      <c r="M232" s="15">
        <v>5.0</v>
      </c>
      <c r="N232" s="16">
        <v>432000.0</v>
      </c>
      <c r="O232" s="16">
        <f t="shared" si="446"/>
        <v>17280</v>
      </c>
      <c r="P232" s="16">
        <f t="shared" si="447"/>
        <v>7257.6</v>
      </c>
      <c r="Q232" s="16">
        <f t="shared" si="448"/>
        <v>2760</v>
      </c>
      <c r="R232" s="16">
        <f t="shared" si="449"/>
        <v>1195.95</v>
      </c>
      <c r="S232" s="17">
        <f t="shared" si="450"/>
        <v>1967.1</v>
      </c>
      <c r="T232" s="17">
        <f t="shared" si="451"/>
        <v>690</v>
      </c>
      <c r="U232" s="7">
        <v>6219.88</v>
      </c>
      <c r="V232" s="18">
        <f t="shared" si="452"/>
        <v>7257.6</v>
      </c>
      <c r="W232" s="7">
        <f t="shared" si="453"/>
        <v>2695.2</v>
      </c>
      <c r="X232" s="7">
        <f t="shared" si="454"/>
        <v>9560.08</v>
      </c>
      <c r="Y232" s="18">
        <f t="shared" si="457"/>
        <v>17280</v>
      </c>
      <c r="Z232" s="18">
        <f t="shared" si="458"/>
        <v>2760</v>
      </c>
      <c r="AA232" s="18">
        <f t="shared" si="455"/>
        <v>45772.76</v>
      </c>
      <c r="AB232" s="56">
        <v>1.0</v>
      </c>
      <c r="AC232" s="24">
        <v>26592.63</v>
      </c>
      <c r="AD232" s="24">
        <v>1882.45</v>
      </c>
      <c r="AE232" s="24">
        <v>378.71</v>
      </c>
      <c r="AF232" s="24">
        <v>138.0</v>
      </c>
      <c r="AG232" s="24">
        <v>10.2</v>
      </c>
      <c r="AH232" s="24">
        <v>0.0</v>
      </c>
      <c r="AI232" s="24">
        <v>908.78</v>
      </c>
      <c r="AJ232" s="24">
        <v>446.76</v>
      </c>
      <c r="AK232" s="15">
        <v>4.0</v>
      </c>
      <c r="AL232" s="16">
        <v>378297.15</v>
      </c>
      <c r="AM232" s="16">
        <v>11722.0</v>
      </c>
      <c r="AN232" s="16">
        <v>6368.0</v>
      </c>
      <c r="AO232" s="16">
        <v>1800.0</v>
      </c>
      <c r="AP232" s="16">
        <v>1738.3</v>
      </c>
      <c r="AQ232" s="16">
        <v>1356.85</v>
      </c>
      <c r="AR232" s="16">
        <v>0.0</v>
      </c>
      <c r="AS232" s="7">
        <v>36218.98</v>
      </c>
      <c r="AT232" s="7">
        <v>1687.0</v>
      </c>
      <c r="AU232" s="7">
        <v>8840.7</v>
      </c>
      <c r="AV232" s="7">
        <v>3593.82</v>
      </c>
      <c r="AW232" s="7">
        <v>3791.0</v>
      </c>
      <c r="AX232" s="7">
        <f>4073.39-AT232</f>
        <v>2386.39</v>
      </c>
      <c r="AY232" s="7">
        <f t="shared" si="456"/>
        <v>56517.89</v>
      </c>
      <c r="AZ232" s="8"/>
      <c r="BA232" s="9"/>
      <c r="BB232" s="10"/>
      <c r="BC232" s="10"/>
    </row>
    <row r="233">
      <c r="A233" s="11">
        <v>2024.0</v>
      </c>
      <c r="B233" s="11" t="s">
        <v>59</v>
      </c>
      <c r="C233" s="1"/>
      <c r="D233" s="2">
        <v>86.0</v>
      </c>
      <c r="E233" s="2"/>
      <c r="F233" s="59" t="s">
        <v>61</v>
      </c>
      <c r="G233" s="33"/>
      <c r="H233" s="33"/>
      <c r="I233" s="33"/>
      <c r="J233" s="33"/>
      <c r="K233" s="33"/>
      <c r="L233" s="33"/>
      <c r="M233" s="15">
        <v>8.0</v>
      </c>
      <c r="N233" s="16">
        <v>845000.0</v>
      </c>
      <c r="O233" s="35"/>
      <c r="P233" s="35"/>
      <c r="Q233" s="35"/>
      <c r="R233" s="35"/>
      <c r="S233" s="35"/>
      <c r="T233" s="35"/>
      <c r="U233" s="37"/>
      <c r="V233" s="48"/>
      <c r="W233" s="48"/>
      <c r="X233" s="37"/>
      <c r="Y233" s="48"/>
      <c r="Z233" s="48"/>
      <c r="AA233" s="48"/>
      <c r="AB233" s="2"/>
      <c r="AC233" s="33"/>
      <c r="AD233" s="2"/>
      <c r="AE233" s="33"/>
      <c r="AF233" s="33"/>
      <c r="AG233" s="33"/>
      <c r="AH233" s="33"/>
      <c r="AI233" s="33"/>
      <c r="AJ233" s="33"/>
      <c r="AK233" s="4"/>
      <c r="AL233" s="4"/>
      <c r="AM233" s="35"/>
      <c r="AN233" s="35"/>
      <c r="AO233" s="35"/>
      <c r="AP233" s="35"/>
      <c r="AQ233" s="35"/>
      <c r="AR233" s="35"/>
      <c r="AS233" s="37"/>
      <c r="AT233" s="48"/>
      <c r="AU233" s="48"/>
      <c r="AV233" s="48"/>
      <c r="AW233" s="48"/>
      <c r="AX233" s="48"/>
      <c r="AY233" s="48"/>
      <c r="AZ233" s="38"/>
      <c r="BA233" s="39"/>
      <c r="BB233" s="40"/>
      <c r="BC233" s="40"/>
    </row>
    <row r="234">
      <c r="A234" s="1">
        <v>2024.0</v>
      </c>
      <c r="B234" s="1" t="s">
        <v>59</v>
      </c>
      <c r="C234" s="1" t="s">
        <v>49</v>
      </c>
      <c r="D234" s="33">
        <f t="shared" ref="D234:L234" si="459">SUM(D226:D232)</f>
        <v>67</v>
      </c>
      <c r="E234" s="34">
        <f t="shared" si="459"/>
        <v>4657433.27</v>
      </c>
      <c r="F234" s="34">
        <f t="shared" si="459"/>
        <v>232997.95</v>
      </c>
      <c r="G234" s="34">
        <f t="shared" si="459"/>
        <v>28925.83</v>
      </c>
      <c r="H234" s="34">
        <f t="shared" si="459"/>
        <v>8694</v>
      </c>
      <c r="I234" s="34">
        <f t="shared" si="459"/>
        <v>10272.91</v>
      </c>
      <c r="J234" s="34">
        <f t="shared" si="459"/>
        <v>23531.03</v>
      </c>
      <c r="K234" s="34">
        <f t="shared" si="459"/>
        <v>112076.94</v>
      </c>
      <c r="L234" s="34">
        <f t="shared" si="459"/>
        <v>87936.23</v>
      </c>
      <c r="M234" s="35">
        <f t="shared" ref="M234:N234" si="460">SUM(M226:M233)</f>
        <v>19</v>
      </c>
      <c r="N234" s="36">
        <f t="shared" si="460"/>
        <v>2210581.47</v>
      </c>
      <c r="O234" s="36">
        <f t="shared" ref="O234:AJ234" si="461">SUM(O226:O232)</f>
        <v>54623.2588</v>
      </c>
      <c r="P234" s="36">
        <f t="shared" si="461"/>
        <v>22941.7687</v>
      </c>
      <c r="Q234" s="36">
        <f t="shared" si="461"/>
        <v>6072</v>
      </c>
      <c r="R234" s="36">
        <f t="shared" si="461"/>
        <v>2631.09</v>
      </c>
      <c r="S234" s="36">
        <f t="shared" si="461"/>
        <v>4327.62</v>
      </c>
      <c r="T234" s="36">
        <f t="shared" si="461"/>
        <v>1518</v>
      </c>
      <c r="U234" s="37">
        <f t="shared" si="461"/>
        <v>18857.94</v>
      </c>
      <c r="V234" s="37">
        <f t="shared" si="461"/>
        <v>22941.7687</v>
      </c>
      <c r="W234" s="37">
        <f t="shared" si="461"/>
        <v>12904</v>
      </c>
      <c r="X234" s="37">
        <f t="shared" si="461"/>
        <v>23531.03</v>
      </c>
      <c r="Y234" s="37">
        <f t="shared" si="461"/>
        <v>54623.2588</v>
      </c>
      <c r="Z234" s="37">
        <f t="shared" si="461"/>
        <v>6072</v>
      </c>
      <c r="AA234" s="37">
        <f t="shared" si="461"/>
        <v>138929.9975</v>
      </c>
      <c r="AB234" s="33">
        <f t="shared" si="461"/>
        <v>34</v>
      </c>
      <c r="AC234" s="34">
        <f t="shared" si="461"/>
        <v>2079148.62</v>
      </c>
      <c r="AD234" s="34">
        <f t="shared" si="461"/>
        <v>105252.04</v>
      </c>
      <c r="AE234" s="34">
        <f t="shared" si="461"/>
        <v>12940.6</v>
      </c>
      <c r="AF234" s="34">
        <f t="shared" si="461"/>
        <v>4416</v>
      </c>
      <c r="AG234" s="34">
        <f t="shared" si="461"/>
        <v>4974.58</v>
      </c>
      <c r="AH234" s="34">
        <f t="shared" si="461"/>
        <v>0</v>
      </c>
      <c r="AI234" s="34">
        <f t="shared" si="461"/>
        <v>47516.81</v>
      </c>
      <c r="AJ234" s="34">
        <f t="shared" si="461"/>
        <v>35404.05</v>
      </c>
      <c r="AK234" s="35">
        <f t="shared" ref="AK234:AL234" si="462">SUM(AK226:AK233)</f>
        <v>14</v>
      </c>
      <c r="AL234" s="36">
        <f t="shared" si="462"/>
        <v>1134370.03</v>
      </c>
      <c r="AM234" s="36">
        <f t="shared" ref="AM234:AY234" si="463">SUM(AM226:AM232)</f>
        <v>40318</v>
      </c>
      <c r="AN234" s="36">
        <f t="shared" si="463"/>
        <v>19095</v>
      </c>
      <c r="AO234" s="36">
        <f t="shared" si="463"/>
        <v>7800</v>
      </c>
      <c r="AP234" s="36">
        <f t="shared" si="463"/>
        <v>6162.6</v>
      </c>
      <c r="AQ234" s="36">
        <f t="shared" si="463"/>
        <v>4477.02</v>
      </c>
      <c r="AR234" s="36">
        <f t="shared" si="463"/>
        <v>0</v>
      </c>
      <c r="AS234" s="37">
        <f t="shared" si="463"/>
        <v>89556.06</v>
      </c>
      <c r="AT234" s="37">
        <f t="shared" si="463"/>
        <v>21959.56</v>
      </c>
      <c r="AU234" s="37">
        <f t="shared" si="463"/>
        <v>32095.09</v>
      </c>
      <c r="AV234" s="37">
        <f t="shared" si="463"/>
        <v>13454.41</v>
      </c>
      <c r="AW234" s="37">
        <f t="shared" si="463"/>
        <v>42397</v>
      </c>
      <c r="AX234" s="37">
        <f t="shared" si="463"/>
        <v>24927.36</v>
      </c>
      <c r="AY234" s="37">
        <f t="shared" si="463"/>
        <v>224389.48</v>
      </c>
      <c r="AZ234" s="38"/>
      <c r="BA234" s="39"/>
      <c r="BB234" s="40"/>
      <c r="BC234" s="40"/>
    </row>
    <row r="235">
      <c r="A235" s="11">
        <v>2024.0</v>
      </c>
      <c r="B235" s="11" t="s">
        <v>59</v>
      </c>
      <c r="C235" s="12">
        <v>45626.0</v>
      </c>
      <c r="D235" s="44">
        <v>220.0</v>
      </c>
      <c r="E235" s="26">
        <v>1.374822296E7</v>
      </c>
      <c r="F235" s="26">
        <v>575356.88</v>
      </c>
      <c r="G235" s="26">
        <v>73021.85</v>
      </c>
      <c r="H235" s="26">
        <v>21804.0</v>
      </c>
      <c r="I235" s="26">
        <v>52158.43</v>
      </c>
      <c r="J235" s="26">
        <v>37652.7</v>
      </c>
      <c r="K235" s="26">
        <v>259832.53</v>
      </c>
      <c r="L235" s="26">
        <v>229812.68</v>
      </c>
      <c r="M235" s="15">
        <v>0.0</v>
      </c>
      <c r="N235" s="16">
        <v>0.0</v>
      </c>
      <c r="O235" s="16">
        <f t="shared" ref="O235:O241" si="464">N235*4%</f>
        <v>0</v>
      </c>
      <c r="P235" s="16">
        <f t="shared" ref="P235:P241" si="465">N235*1.68%</f>
        <v>0</v>
      </c>
      <c r="Q235" s="16">
        <f t="shared" ref="Q235:Q241" si="466">M235*(250+300+2)</f>
        <v>0</v>
      </c>
      <c r="R235" s="16">
        <f t="shared" ref="R235:R241" si="467">M235*239.19</f>
        <v>0</v>
      </c>
      <c r="S235" s="17">
        <f t="shared" ref="S235:S241" si="468">M235*393.42</f>
        <v>0</v>
      </c>
      <c r="T235" s="17">
        <f t="shared" ref="T235:T241" si="469">M235*138</f>
        <v>0</v>
      </c>
      <c r="U235" s="7">
        <v>35585.68</v>
      </c>
      <c r="V235" s="18">
        <f t="shared" ref="V235:V241" si="470">P235</f>
        <v>0</v>
      </c>
      <c r="W235" s="7">
        <f t="shared" ref="W235:W241" si="471">I235+R235</f>
        <v>52158.43</v>
      </c>
      <c r="X235" s="7">
        <f t="shared" ref="X235:X241" si="472">J235</f>
        <v>37652.7</v>
      </c>
      <c r="Y235" s="7">
        <f t="shared" ref="Y235:Y241" si="473">O235</f>
        <v>0</v>
      </c>
      <c r="Z235" s="7">
        <f t="shared" ref="Z235:Z241" si="474">Q235</f>
        <v>0</v>
      </c>
      <c r="AA235" s="18">
        <f t="shared" ref="AA235:AA241" si="475">SUM(U235:Z235)</f>
        <v>125396.81</v>
      </c>
      <c r="AB235" s="56">
        <v>134.0</v>
      </c>
      <c r="AC235" s="24">
        <v>7813874.97</v>
      </c>
      <c r="AD235" s="24">
        <v>344082.55</v>
      </c>
      <c r="AE235" s="24">
        <v>44822.23</v>
      </c>
      <c r="AF235" s="24">
        <v>13524.0</v>
      </c>
      <c r="AG235" s="24">
        <v>32671.23</v>
      </c>
      <c r="AH235" s="24">
        <v>0.0</v>
      </c>
      <c r="AI235" s="24">
        <v>123413.42</v>
      </c>
      <c r="AJ235" s="24">
        <v>130796.69</v>
      </c>
      <c r="AK235" s="15">
        <v>0.0</v>
      </c>
      <c r="AL235" s="16">
        <v>0.0</v>
      </c>
      <c r="AM235" s="16">
        <v>0.0</v>
      </c>
      <c r="AN235" s="16">
        <v>0.0</v>
      </c>
      <c r="AO235" s="16">
        <v>0.0</v>
      </c>
      <c r="AP235" s="16">
        <v>0.0</v>
      </c>
      <c r="AQ235" s="16">
        <v>0.0</v>
      </c>
      <c r="AR235" s="16">
        <v>0.0</v>
      </c>
      <c r="AS235" s="7">
        <v>43070.4</v>
      </c>
      <c r="AT235" s="7">
        <v>5218.0</v>
      </c>
      <c r="AU235" s="7">
        <v>16517.21</v>
      </c>
      <c r="AV235" s="7">
        <v>4085.54</v>
      </c>
      <c r="AW235" s="7">
        <v>11722.0</v>
      </c>
      <c r="AX235" s="7">
        <f>8632.66-AT235</f>
        <v>3414.66</v>
      </c>
      <c r="AY235" s="7">
        <f>SUM(AS235:AX235)</f>
        <v>84027.81</v>
      </c>
      <c r="AZ235" s="8"/>
      <c r="BA235" s="9"/>
      <c r="BB235" s="10"/>
      <c r="BC235" s="10"/>
    </row>
    <row r="236">
      <c r="A236" s="11">
        <v>2024.0</v>
      </c>
      <c r="B236" s="11" t="s">
        <v>62</v>
      </c>
      <c r="C236" s="12">
        <v>45627.0</v>
      </c>
      <c r="D236" s="44">
        <v>11.0</v>
      </c>
      <c r="E236" s="26">
        <v>484757.4</v>
      </c>
      <c r="F236" s="26">
        <v>27273.93</v>
      </c>
      <c r="G236" s="26">
        <v>3718.52</v>
      </c>
      <c r="H236" s="26">
        <v>1518.0</v>
      </c>
      <c r="I236" s="26">
        <v>1535.46</v>
      </c>
      <c r="J236" s="26">
        <v>326.54</v>
      </c>
      <c r="K236" s="26">
        <v>12358.03</v>
      </c>
      <c r="L236" s="26">
        <v>8143.92</v>
      </c>
      <c r="M236" s="15">
        <v>0.0</v>
      </c>
      <c r="N236" s="16">
        <v>0.0</v>
      </c>
      <c r="O236" s="16">
        <f t="shared" si="464"/>
        <v>0</v>
      </c>
      <c r="P236" s="16">
        <f t="shared" si="465"/>
        <v>0</v>
      </c>
      <c r="Q236" s="16">
        <f t="shared" si="466"/>
        <v>0</v>
      </c>
      <c r="R236" s="16">
        <f t="shared" si="467"/>
        <v>0</v>
      </c>
      <c r="S236" s="17">
        <f t="shared" si="468"/>
        <v>0</v>
      </c>
      <c r="T236" s="17">
        <f t="shared" si="469"/>
        <v>0</v>
      </c>
      <c r="U236" s="7">
        <v>3614.31</v>
      </c>
      <c r="V236" s="18">
        <f t="shared" si="470"/>
        <v>0</v>
      </c>
      <c r="W236" s="7">
        <f t="shared" si="471"/>
        <v>1535.46</v>
      </c>
      <c r="X236" s="7">
        <f t="shared" si="472"/>
        <v>326.54</v>
      </c>
      <c r="Y236" s="7">
        <f t="shared" si="473"/>
        <v>0</v>
      </c>
      <c r="Z236" s="7">
        <f t="shared" si="474"/>
        <v>0</v>
      </c>
      <c r="AA236" s="18">
        <f t="shared" si="475"/>
        <v>5476.31</v>
      </c>
      <c r="AB236" s="56">
        <v>5.0</v>
      </c>
      <c r="AC236" s="24">
        <v>256323.27</v>
      </c>
      <c r="AD236" s="24">
        <v>10999.6</v>
      </c>
      <c r="AE236" s="24">
        <v>1502.18</v>
      </c>
      <c r="AF236" s="24">
        <v>690.0</v>
      </c>
      <c r="AG236" s="24">
        <v>781.85</v>
      </c>
      <c r="AH236" s="24">
        <v>0.0</v>
      </c>
      <c r="AI236" s="24">
        <v>3719.34</v>
      </c>
      <c r="AJ236" s="24">
        <v>4306.23</v>
      </c>
      <c r="AK236" s="15">
        <v>0.0</v>
      </c>
      <c r="AL236" s="16">
        <v>0.0</v>
      </c>
      <c r="AM236" s="16">
        <v>0.0</v>
      </c>
      <c r="AN236" s="16">
        <v>0.0</v>
      </c>
      <c r="AO236" s="16">
        <v>0.0</v>
      </c>
      <c r="AP236" s="16">
        <v>0.0</v>
      </c>
      <c r="AQ236" s="16">
        <v>0.0</v>
      </c>
      <c r="AR236" s="16">
        <v>0.0</v>
      </c>
      <c r="AS236" s="7">
        <v>0.0</v>
      </c>
      <c r="AT236" s="7">
        <v>0.0</v>
      </c>
      <c r="AU236" s="7">
        <v>0.0</v>
      </c>
      <c r="AV236" s="7">
        <v>0.0</v>
      </c>
      <c r="AW236" s="7">
        <v>0.0</v>
      </c>
      <c r="AX236" s="7">
        <v>0.0</v>
      </c>
      <c r="AY236" s="7">
        <v>0.0</v>
      </c>
      <c r="AZ236" s="8"/>
      <c r="BA236" s="9"/>
      <c r="BB236" s="10"/>
      <c r="BC236" s="10"/>
    </row>
    <row r="237">
      <c r="A237" s="11">
        <v>2024.0</v>
      </c>
      <c r="B237" s="11" t="s">
        <v>62</v>
      </c>
      <c r="C237" s="12">
        <v>45628.0</v>
      </c>
      <c r="D237" s="44">
        <v>6.0</v>
      </c>
      <c r="E237" s="26">
        <v>410743.3</v>
      </c>
      <c r="F237" s="26">
        <v>21224.67</v>
      </c>
      <c r="G237" s="26">
        <v>2238.67</v>
      </c>
      <c r="H237" s="26">
        <v>828.0</v>
      </c>
      <c r="I237" s="26">
        <v>1352.01</v>
      </c>
      <c r="J237" s="26">
        <v>4503.24</v>
      </c>
      <c r="K237" s="26">
        <v>18266.97</v>
      </c>
      <c r="L237" s="26">
        <v>7408.31</v>
      </c>
      <c r="M237" s="15">
        <v>0.0</v>
      </c>
      <c r="N237" s="16">
        <v>0.0</v>
      </c>
      <c r="O237" s="16">
        <f t="shared" si="464"/>
        <v>0</v>
      </c>
      <c r="P237" s="16">
        <f t="shared" si="465"/>
        <v>0</v>
      </c>
      <c r="Q237" s="16">
        <f t="shared" si="466"/>
        <v>0</v>
      </c>
      <c r="R237" s="16">
        <f t="shared" si="467"/>
        <v>0</v>
      </c>
      <c r="S237" s="17">
        <f t="shared" si="468"/>
        <v>0</v>
      </c>
      <c r="T237" s="17">
        <f t="shared" si="469"/>
        <v>0</v>
      </c>
      <c r="U237" s="7">
        <v>0.0</v>
      </c>
      <c r="V237" s="18">
        <f t="shared" si="470"/>
        <v>0</v>
      </c>
      <c r="W237" s="7">
        <f t="shared" si="471"/>
        <v>1352.01</v>
      </c>
      <c r="X237" s="7">
        <f t="shared" si="472"/>
        <v>4503.24</v>
      </c>
      <c r="Y237" s="7">
        <f t="shared" si="473"/>
        <v>0</v>
      </c>
      <c r="Z237" s="7">
        <f t="shared" si="474"/>
        <v>0</v>
      </c>
      <c r="AA237" s="18">
        <f t="shared" si="475"/>
        <v>5855.25</v>
      </c>
      <c r="AB237" s="56">
        <v>3.0</v>
      </c>
      <c r="AC237" s="24">
        <v>135950.66</v>
      </c>
      <c r="AD237" s="24">
        <v>6776.05</v>
      </c>
      <c r="AE237" s="24">
        <v>1056.82</v>
      </c>
      <c r="AF237" s="24">
        <v>414.0</v>
      </c>
      <c r="AG237" s="24">
        <v>617.58</v>
      </c>
      <c r="AH237" s="24">
        <v>0.0</v>
      </c>
      <c r="AI237" s="24">
        <v>1901.29</v>
      </c>
      <c r="AJ237" s="24">
        <v>2786.36</v>
      </c>
      <c r="AK237" s="15">
        <v>0.0</v>
      </c>
      <c r="AL237" s="16">
        <v>0.0</v>
      </c>
      <c r="AM237" s="16">
        <v>0.0</v>
      </c>
      <c r="AN237" s="16">
        <v>0.0</v>
      </c>
      <c r="AO237" s="16">
        <v>0.0</v>
      </c>
      <c r="AP237" s="16">
        <v>0.0</v>
      </c>
      <c r="AQ237" s="16">
        <v>0.0</v>
      </c>
      <c r="AR237" s="16">
        <v>0.0</v>
      </c>
      <c r="AS237" s="7">
        <v>4807.0</v>
      </c>
      <c r="AT237" s="7">
        <v>0.0</v>
      </c>
      <c r="AU237" s="7">
        <v>3212.0</v>
      </c>
      <c r="AV237" s="7">
        <v>0.0</v>
      </c>
      <c r="AW237" s="7">
        <v>0.0</v>
      </c>
      <c r="AX237" s="7">
        <v>0.0</v>
      </c>
      <c r="AY237" s="7">
        <f t="shared" ref="AY237:AY241" si="476">SUM(AS237:AX237)</f>
        <v>8019</v>
      </c>
      <c r="AZ237" s="8"/>
      <c r="BA237" s="9"/>
      <c r="BB237" s="10"/>
      <c r="BC237" s="10"/>
    </row>
    <row r="238">
      <c r="A238" s="11">
        <v>2024.0</v>
      </c>
      <c r="B238" s="11" t="s">
        <v>62</v>
      </c>
      <c r="C238" s="12">
        <v>45629.0</v>
      </c>
      <c r="D238" s="44">
        <v>7.0</v>
      </c>
      <c r="E238" s="26">
        <v>501873.27</v>
      </c>
      <c r="F238" s="26">
        <v>17823.56</v>
      </c>
      <c r="G238" s="26">
        <v>1671.45</v>
      </c>
      <c r="H238" s="26">
        <v>690.0</v>
      </c>
      <c r="I238" s="26">
        <v>851.8</v>
      </c>
      <c r="J238" s="26">
        <v>31.96</v>
      </c>
      <c r="K238" s="26">
        <v>13273.62</v>
      </c>
      <c r="L238" s="26">
        <v>8345.09</v>
      </c>
      <c r="M238" s="15">
        <v>2.0</v>
      </c>
      <c r="N238" s="16">
        <v>134000.0</v>
      </c>
      <c r="O238" s="16">
        <f t="shared" si="464"/>
        <v>5360</v>
      </c>
      <c r="P238" s="16">
        <f t="shared" si="465"/>
        <v>2251.2</v>
      </c>
      <c r="Q238" s="16">
        <f t="shared" si="466"/>
        <v>1104</v>
      </c>
      <c r="R238" s="16">
        <f t="shared" si="467"/>
        <v>478.38</v>
      </c>
      <c r="S238" s="17">
        <f t="shared" si="468"/>
        <v>786.84</v>
      </c>
      <c r="T238" s="17">
        <f t="shared" si="469"/>
        <v>276</v>
      </c>
      <c r="U238" s="7">
        <v>2562.69</v>
      </c>
      <c r="V238" s="18">
        <f t="shared" si="470"/>
        <v>2251.2</v>
      </c>
      <c r="W238" s="7">
        <f t="shared" si="471"/>
        <v>1330.18</v>
      </c>
      <c r="X238" s="7">
        <f t="shared" si="472"/>
        <v>31.96</v>
      </c>
      <c r="Y238" s="7">
        <f t="shared" si="473"/>
        <v>5360</v>
      </c>
      <c r="Z238" s="7">
        <f t="shared" si="474"/>
        <v>1104</v>
      </c>
      <c r="AA238" s="18">
        <f t="shared" si="475"/>
        <v>12640.03</v>
      </c>
      <c r="AB238" s="56">
        <v>4.0</v>
      </c>
      <c r="AC238" s="24">
        <v>437127.54</v>
      </c>
      <c r="AD238" s="24">
        <v>11242.77</v>
      </c>
      <c r="AE238" s="24">
        <v>899.88</v>
      </c>
      <c r="AF238" s="24">
        <v>414.0</v>
      </c>
      <c r="AG238" s="24">
        <v>473.42</v>
      </c>
      <c r="AH238" s="24">
        <v>0.0</v>
      </c>
      <c r="AI238" s="24">
        <v>2111.73</v>
      </c>
      <c r="AJ238" s="24">
        <v>7343.74</v>
      </c>
      <c r="AK238" s="15">
        <v>0.0</v>
      </c>
      <c r="AL238" s="16">
        <v>0.0</v>
      </c>
      <c r="AM238" s="16">
        <v>0.0</v>
      </c>
      <c r="AN238" s="16">
        <v>0.0</v>
      </c>
      <c r="AO238" s="16">
        <v>0.0</v>
      </c>
      <c r="AP238" s="16">
        <v>0.0</v>
      </c>
      <c r="AQ238" s="16">
        <v>0.0</v>
      </c>
      <c r="AR238" s="16">
        <v>0.0</v>
      </c>
      <c r="AS238" s="7">
        <v>4052.0</v>
      </c>
      <c r="AT238" s="7">
        <v>0.0</v>
      </c>
      <c r="AU238" s="7">
        <v>2595.0</v>
      </c>
      <c r="AV238" s="7">
        <v>0.0</v>
      </c>
      <c r="AW238" s="7">
        <v>0.0</v>
      </c>
      <c r="AX238" s="7">
        <v>0.0</v>
      </c>
      <c r="AY238" s="7">
        <f t="shared" si="476"/>
        <v>6647</v>
      </c>
      <c r="AZ238" s="8"/>
      <c r="BA238" s="9"/>
      <c r="BB238" s="10"/>
      <c r="BC238" s="10"/>
    </row>
    <row r="239">
      <c r="A239" s="11">
        <v>2024.0</v>
      </c>
      <c r="B239" s="11" t="s">
        <v>62</v>
      </c>
      <c r="C239" s="12">
        <v>45630.0</v>
      </c>
      <c r="D239" s="44">
        <v>10.0</v>
      </c>
      <c r="E239" s="26">
        <v>441140.77</v>
      </c>
      <c r="F239" s="26">
        <v>22581.67</v>
      </c>
      <c r="G239" s="26">
        <v>3697.74</v>
      </c>
      <c r="H239" s="26">
        <v>1242.0</v>
      </c>
      <c r="I239" s="26">
        <v>1142.21</v>
      </c>
      <c r="J239" s="26">
        <v>1660.71</v>
      </c>
      <c r="K239" s="26">
        <v>7765.52</v>
      </c>
      <c r="L239" s="26">
        <v>8734.2</v>
      </c>
      <c r="M239" s="15">
        <v>2.0</v>
      </c>
      <c r="N239" s="16">
        <v>180000.0</v>
      </c>
      <c r="O239" s="16">
        <f t="shared" si="464"/>
        <v>7200</v>
      </c>
      <c r="P239" s="16">
        <f t="shared" si="465"/>
        <v>3024</v>
      </c>
      <c r="Q239" s="16">
        <f t="shared" si="466"/>
        <v>1104</v>
      </c>
      <c r="R239" s="16">
        <f t="shared" si="467"/>
        <v>478.38</v>
      </c>
      <c r="S239" s="17">
        <f t="shared" si="468"/>
        <v>786.84</v>
      </c>
      <c r="T239" s="17">
        <f t="shared" si="469"/>
        <v>276</v>
      </c>
      <c r="U239" s="7">
        <v>7332.69</v>
      </c>
      <c r="V239" s="18">
        <f t="shared" si="470"/>
        <v>3024</v>
      </c>
      <c r="W239" s="7">
        <f t="shared" si="471"/>
        <v>1620.59</v>
      </c>
      <c r="X239" s="7">
        <f t="shared" si="472"/>
        <v>1660.71</v>
      </c>
      <c r="Y239" s="7">
        <f t="shared" si="473"/>
        <v>7200</v>
      </c>
      <c r="Z239" s="7">
        <f t="shared" si="474"/>
        <v>1104</v>
      </c>
      <c r="AA239" s="18">
        <f t="shared" si="475"/>
        <v>21941.99</v>
      </c>
      <c r="AB239" s="56">
        <v>2.0</v>
      </c>
      <c r="AC239" s="24">
        <v>113412.24</v>
      </c>
      <c r="AD239" s="24">
        <v>5795.78</v>
      </c>
      <c r="AE239" s="24">
        <v>892.98</v>
      </c>
      <c r="AF239" s="24">
        <v>276.0</v>
      </c>
      <c r="AG239" s="24">
        <v>129.86</v>
      </c>
      <c r="AH239" s="24">
        <v>0.0</v>
      </c>
      <c r="AI239" s="24">
        <v>2591.61</v>
      </c>
      <c r="AJ239" s="24">
        <v>1905.33</v>
      </c>
      <c r="AK239" s="15">
        <v>2.0</v>
      </c>
      <c r="AL239" s="16">
        <v>156233.09</v>
      </c>
      <c r="AM239" s="16">
        <v>6094.0</v>
      </c>
      <c r="AN239" s="16">
        <v>4055.0</v>
      </c>
      <c r="AO239" s="16">
        <v>2050.0</v>
      </c>
      <c r="AP239" s="16">
        <v>1260.89</v>
      </c>
      <c r="AQ239" s="16">
        <v>827.12</v>
      </c>
      <c r="AR239" s="16">
        <v>0.0</v>
      </c>
      <c r="AS239" s="7">
        <v>2201.0</v>
      </c>
      <c r="AT239" s="7">
        <v>0.0</v>
      </c>
      <c r="AU239" s="7">
        <v>1751.0</v>
      </c>
      <c r="AV239" s="7">
        <v>0.0</v>
      </c>
      <c r="AW239" s="7">
        <v>0.0</v>
      </c>
      <c r="AX239" s="7">
        <v>0.0</v>
      </c>
      <c r="AY239" s="7">
        <f t="shared" si="476"/>
        <v>3952</v>
      </c>
      <c r="AZ239" s="8"/>
      <c r="BA239" s="9"/>
      <c r="BB239" s="10"/>
      <c r="BC239" s="10"/>
    </row>
    <row r="240">
      <c r="A240" s="11">
        <v>2024.0</v>
      </c>
      <c r="B240" s="11" t="s">
        <v>62</v>
      </c>
      <c r="C240" s="12">
        <v>45631.0</v>
      </c>
      <c r="D240" s="44">
        <v>12.0</v>
      </c>
      <c r="E240" s="26">
        <v>909984.37</v>
      </c>
      <c r="F240" s="26">
        <v>37918.8</v>
      </c>
      <c r="G240" s="26">
        <v>4785.65</v>
      </c>
      <c r="H240" s="26">
        <v>1656.0</v>
      </c>
      <c r="I240" s="26">
        <v>1898.0</v>
      </c>
      <c r="J240" s="26">
        <v>21244.06</v>
      </c>
      <c r="K240" s="26">
        <v>68783.49</v>
      </c>
      <c r="L240" s="26">
        <v>15287.74</v>
      </c>
      <c r="M240" s="15">
        <v>1.0</v>
      </c>
      <c r="N240" s="16">
        <v>160000.0</v>
      </c>
      <c r="O240" s="16">
        <f t="shared" si="464"/>
        <v>6400</v>
      </c>
      <c r="P240" s="16">
        <f t="shared" si="465"/>
        <v>2688</v>
      </c>
      <c r="Q240" s="16">
        <f t="shared" si="466"/>
        <v>552</v>
      </c>
      <c r="R240" s="16">
        <f t="shared" si="467"/>
        <v>239.19</v>
      </c>
      <c r="S240" s="17">
        <f t="shared" si="468"/>
        <v>393.42</v>
      </c>
      <c r="T240" s="17">
        <f t="shared" si="469"/>
        <v>138</v>
      </c>
      <c r="U240" s="7">
        <v>3283.83</v>
      </c>
      <c r="V240" s="18">
        <f t="shared" si="470"/>
        <v>2688</v>
      </c>
      <c r="W240" s="7">
        <f t="shared" si="471"/>
        <v>2137.19</v>
      </c>
      <c r="X240" s="7">
        <f t="shared" si="472"/>
        <v>21244.06</v>
      </c>
      <c r="Y240" s="7">
        <f t="shared" si="473"/>
        <v>6400</v>
      </c>
      <c r="Z240" s="7">
        <f t="shared" si="474"/>
        <v>552</v>
      </c>
      <c r="AA240" s="18">
        <f t="shared" si="475"/>
        <v>36305.08</v>
      </c>
      <c r="AB240" s="56">
        <v>5.0</v>
      </c>
      <c r="AC240" s="24">
        <v>502872.33</v>
      </c>
      <c r="AD240" s="24">
        <v>20053.08</v>
      </c>
      <c r="AE240" s="24">
        <v>2323.82</v>
      </c>
      <c r="AF240" s="24">
        <v>690.0</v>
      </c>
      <c r="AG240" s="24">
        <v>1042.25</v>
      </c>
      <c r="AH240" s="24">
        <v>0.0</v>
      </c>
      <c r="AI240" s="24">
        <v>7548.75</v>
      </c>
      <c r="AJ240" s="24">
        <v>8448.26</v>
      </c>
      <c r="AK240" s="15">
        <v>1.0</v>
      </c>
      <c r="AL240" s="16">
        <v>102644.78</v>
      </c>
      <c r="AM240" s="16">
        <v>3882.0</v>
      </c>
      <c r="AN240" s="16">
        <v>1728.0</v>
      </c>
      <c r="AO240" s="16">
        <v>600.0</v>
      </c>
      <c r="AP240" s="16">
        <v>510.65</v>
      </c>
      <c r="AQ240" s="16">
        <v>324.14</v>
      </c>
      <c r="AR240" s="16">
        <v>0.0</v>
      </c>
      <c r="AS240" s="7">
        <v>4199.0</v>
      </c>
      <c r="AT240" s="7">
        <v>0.0</v>
      </c>
      <c r="AU240" s="7">
        <v>1797.0</v>
      </c>
      <c r="AV240" s="7">
        <v>0.0</v>
      </c>
      <c r="AW240" s="7">
        <v>0.0</v>
      </c>
      <c r="AX240" s="7">
        <v>0.0</v>
      </c>
      <c r="AY240" s="7">
        <f t="shared" si="476"/>
        <v>5996</v>
      </c>
      <c r="AZ240" s="8"/>
      <c r="BA240" s="9"/>
      <c r="BB240" s="10"/>
      <c r="BC240" s="10"/>
    </row>
    <row r="241">
      <c r="A241" s="11">
        <v>2024.0</v>
      </c>
      <c r="B241" s="11" t="s">
        <v>62</v>
      </c>
      <c r="C241" s="12">
        <v>45632.0</v>
      </c>
      <c r="D241" s="44">
        <v>11.0</v>
      </c>
      <c r="E241" s="26">
        <v>376540.85</v>
      </c>
      <c r="F241" s="26">
        <v>19098.0</v>
      </c>
      <c r="G241" s="26">
        <v>3000.84</v>
      </c>
      <c r="H241" s="26">
        <v>1380.0</v>
      </c>
      <c r="I241" s="26">
        <v>1512.62</v>
      </c>
      <c r="J241" s="26">
        <v>185.8</v>
      </c>
      <c r="K241" s="26">
        <v>6386.65</v>
      </c>
      <c r="L241" s="26">
        <v>6817.89</v>
      </c>
      <c r="M241" s="15">
        <v>1.0</v>
      </c>
      <c r="N241" s="16">
        <v>430000.0</v>
      </c>
      <c r="O241" s="16">
        <f t="shared" si="464"/>
        <v>17200</v>
      </c>
      <c r="P241" s="16">
        <f t="shared" si="465"/>
        <v>7224</v>
      </c>
      <c r="Q241" s="16">
        <f t="shared" si="466"/>
        <v>552</v>
      </c>
      <c r="R241" s="16">
        <f t="shared" si="467"/>
        <v>239.19</v>
      </c>
      <c r="S241" s="17">
        <f t="shared" si="468"/>
        <v>393.42</v>
      </c>
      <c r="T241" s="17">
        <f t="shared" si="469"/>
        <v>138</v>
      </c>
      <c r="U241" s="7">
        <v>5058.95</v>
      </c>
      <c r="V241" s="18">
        <f t="shared" si="470"/>
        <v>7224</v>
      </c>
      <c r="W241" s="7">
        <f t="shared" si="471"/>
        <v>1751.81</v>
      </c>
      <c r="X241" s="7">
        <f t="shared" si="472"/>
        <v>185.8</v>
      </c>
      <c r="Y241" s="7">
        <f t="shared" si="473"/>
        <v>17200</v>
      </c>
      <c r="Z241" s="7">
        <f t="shared" si="474"/>
        <v>552</v>
      </c>
      <c r="AA241" s="18">
        <f t="shared" si="475"/>
        <v>31972.56</v>
      </c>
      <c r="AB241" s="56">
        <v>4.0</v>
      </c>
      <c r="AC241" s="24">
        <v>150161.59</v>
      </c>
      <c r="AD241" s="24">
        <v>6847.1</v>
      </c>
      <c r="AE241" s="24">
        <v>676.2</v>
      </c>
      <c r="AF241" s="24">
        <v>414.0</v>
      </c>
      <c r="AG241" s="24">
        <v>629.27</v>
      </c>
      <c r="AH241" s="24">
        <v>0.0</v>
      </c>
      <c r="AI241" s="24">
        <v>2604.92</v>
      </c>
      <c r="AJ241" s="24">
        <v>2522.71</v>
      </c>
      <c r="AK241" s="15">
        <v>1.0</v>
      </c>
      <c r="AL241" s="16">
        <v>62932.64</v>
      </c>
      <c r="AM241" s="16">
        <v>2380.0</v>
      </c>
      <c r="AN241" s="16">
        <v>1059.0</v>
      </c>
      <c r="AO241" s="16">
        <v>600.0</v>
      </c>
      <c r="AP241" s="16">
        <v>448.64</v>
      </c>
      <c r="AQ241" s="16">
        <v>245.0</v>
      </c>
      <c r="AR241" s="16">
        <v>0.0</v>
      </c>
      <c r="AS241" s="7">
        <v>9549.29</v>
      </c>
      <c r="AT241" s="7">
        <v>5783.0</v>
      </c>
      <c r="AU241" s="7">
        <v>12411.02</v>
      </c>
      <c r="AV241" s="7">
        <v>3679.03</v>
      </c>
      <c r="AW241" s="7">
        <v>9976.0</v>
      </c>
      <c r="AX241" s="7">
        <f>9430.32-AT241</f>
        <v>3647.32</v>
      </c>
      <c r="AY241" s="7">
        <f t="shared" si="476"/>
        <v>45045.66</v>
      </c>
      <c r="AZ241" s="8"/>
      <c r="BA241" s="9"/>
      <c r="BB241" s="10"/>
      <c r="BC241" s="10"/>
    </row>
    <row r="242">
      <c r="A242" s="11">
        <v>2024.0</v>
      </c>
      <c r="B242" s="11" t="s">
        <v>62</v>
      </c>
      <c r="C242" s="1"/>
      <c r="D242" s="2">
        <v>87.0</v>
      </c>
      <c r="E242" s="2"/>
      <c r="F242" s="59" t="s">
        <v>63</v>
      </c>
      <c r="G242" s="33"/>
      <c r="H242" s="33"/>
      <c r="I242" s="33"/>
      <c r="J242" s="33"/>
      <c r="K242" s="33"/>
      <c r="L242" s="33"/>
      <c r="M242" s="15">
        <v>7.0</v>
      </c>
      <c r="N242" s="16">
        <v>765000.0</v>
      </c>
      <c r="O242" s="35"/>
      <c r="P242" s="35"/>
      <c r="Q242" s="35"/>
      <c r="R242" s="35"/>
      <c r="S242" s="35"/>
      <c r="T242" s="35"/>
      <c r="U242" s="37"/>
      <c r="V242" s="48"/>
      <c r="W242" s="48"/>
      <c r="X242" s="37"/>
      <c r="Y242" s="48"/>
      <c r="Z242" s="48"/>
      <c r="AA242" s="48"/>
      <c r="AB242" s="2"/>
      <c r="AC242" s="33"/>
      <c r="AD242" s="2"/>
      <c r="AE242" s="33"/>
      <c r="AF242" s="33"/>
      <c r="AG242" s="33"/>
      <c r="AH242" s="33"/>
      <c r="AI242" s="33"/>
      <c r="AJ242" s="33"/>
      <c r="AK242" s="4"/>
      <c r="AL242" s="4"/>
      <c r="AM242" s="35"/>
      <c r="AN242" s="35"/>
      <c r="AO242" s="35"/>
      <c r="AP242" s="35"/>
      <c r="AQ242" s="35"/>
      <c r="AR242" s="35"/>
      <c r="AS242" s="37"/>
      <c r="AT242" s="48"/>
      <c r="AU242" s="48"/>
      <c r="AV242" s="48"/>
      <c r="AW242" s="48"/>
      <c r="AX242" s="48"/>
      <c r="AY242" s="48"/>
      <c r="AZ242" s="38"/>
      <c r="BA242" s="39"/>
      <c r="BB242" s="40"/>
      <c r="BC242" s="40"/>
    </row>
    <row r="243">
      <c r="A243" s="1">
        <v>2024.0</v>
      </c>
      <c r="B243" s="1" t="s">
        <v>62</v>
      </c>
      <c r="C243" s="1" t="s">
        <v>49</v>
      </c>
      <c r="D243" s="33">
        <f t="shared" ref="D243:L243" si="477">SUM(D235:D241)</f>
        <v>277</v>
      </c>
      <c r="E243" s="34">
        <f t="shared" si="477"/>
        <v>16873262.92</v>
      </c>
      <c r="F243" s="34">
        <f t="shared" si="477"/>
        <v>721277.51</v>
      </c>
      <c r="G243" s="34">
        <f t="shared" si="477"/>
        <v>92134.72</v>
      </c>
      <c r="H243" s="34">
        <f t="shared" si="477"/>
        <v>29118</v>
      </c>
      <c r="I243" s="34">
        <f t="shared" si="477"/>
        <v>60450.53</v>
      </c>
      <c r="J243" s="34">
        <f t="shared" si="477"/>
        <v>65605.01</v>
      </c>
      <c r="K243" s="34">
        <f t="shared" si="477"/>
        <v>386666.81</v>
      </c>
      <c r="L243" s="34">
        <f t="shared" si="477"/>
        <v>284549.83</v>
      </c>
      <c r="M243" s="35">
        <f t="shared" ref="M243:N243" si="478">SUM(M235:M242)</f>
        <v>13</v>
      </c>
      <c r="N243" s="36">
        <f t="shared" si="478"/>
        <v>1669000</v>
      </c>
      <c r="O243" s="36">
        <f t="shared" ref="O243:AJ243" si="479">SUM(O235:O241)</f>
        <v>36160</v>
      </c>
      <c r="P243" s="36">
        <f t="shared" si="479"/>
        <v>15187.2</v>
      </c>
      <c r="Q243" s="36">
        <f t="shared" si="479"/>
        <v>3312</v>
      </c>
      <c r="R243" s="36">
        <f t="shared" si="479"/>
        <v>1435.14</v>
      </c>
      <c r="S243" s="36">
        <f t="shared" si="479"/>
        <v>2360.52</v>
      </c>
      <c r="T243" s="36">
        <f t="shared" si="479"/>
        <v>828</v>
      </c>
      <c r="U243" s="37">
        <f t="shared" si="479"/>
        <v>57438.15</v>
      </c>
      <c r="V243" s="37">
        <f t="shared" si="479"/>
        <v>15187.2</v>
      </c>
      <c r="W243" s="37">
        <f t="shared" si="479"/>
        <v>61885.67</v>
      </c>
      <c r="X243" s="37">
        <f t="shared" si="479"/>
        <v>65605.01</v>
      </c>
      <c r="Y243" s="37">
        <f t="shared" si="479"/>
        <v>36160</v>
      </c>
      <c r="Z243" s="37">
        <f t="shared" si="479"/>
        <v>3312</v>
      </c>
      <c r="AA243" s="37">
        <f t="shared" si="479"/>
        <v>239588.03</v>
      </c>
      <c r="AB243" s="33">
        <f t="shared" si="479"/>
        <v>157</v>
      </c>
      <c r="AC243" s="34">
        <f t="shared" si="479"/>
        <v>9409722.6</v>
      </c>
      <c r="AD243" s="34">
        <f t="shared" si="479"/>
        <v>405796.93</v>
      </c>
      <c r="AE243" s="34">
        <f t="shared" si="479"/>
        <v>52174.11</v>
      </c>
      <c r="AF243" s="34">
        <f t="shared" si="479"/>
        <v>16422</v>
      </c>
      <c r="AG243" s="34">
        <f t="shared" si="479"/>
        <v>36345.46</v>
      </c>
      <c r="AH243" s="34">
        <f t="shared" si="479"/>
        <v>0</v>
      </c>
      <c r="AI243" s="34">
        <f t="shared" si="479"/>
        <v>143891.06</v>
      </c>
      <c r="AJ243" s="34">
        <f t="shared" si="479"/>
        <v>158109.32</v>
      </c>
      <c r="AK243" s="35">
        <f t="shared" ref="AK243:AL243" si="480">SUM(AK235:AK242)</f>
        <v>4</v>
      </c>
      <c r="AL243" s="36">
        <f t="shared" si="480"/>
        <v>321810.51</v>
      </c>
      <c r="AM243" s="36">
        <f t="shared" ref="AM243:AY243" si="481">SUM(AM235:AM241)</f>
        <v>12356</v>
      </c>
      <c r="AN243" s="36">
        <f t="shared" si="481"/>
        <v>6842</v>
      </c>
      <c r="AO243" s="36">
        <f t="shared" si="481"/>
        <v>3250</v>
      </c>
      <c r="AP243" s="36">
        <f t="shared" si="481"/>
        <v>2220.18</v>
      </c>
      <c r="AQ243" s="36">
        <f t="shared" si="481"/>
        <v>1396.26</v>
      </c>
      <c r="AR243" s="36">
        <f t="shared" si="481"/>
        <v>0</v>
      </c>
      <c r="AS243" s="37">
        <f t="shared" si="481"/>
        <v>67878.69</v>
      </c>
      <c r="AT243" s="37">
        <f t="shared" si="481"/>
        <v>11001</v>
      </c>
      <c r="AU243" s="37">
        <f t="shared" si="481"/>
        <v>38283.23</v>
      </c>
      <c r="AV243" s="37">
        <f t="shared" si="481"/>
        <v>7764.57</v>
      </c>
      <c r="AW243" s="37">
        <f t="shared" si="481"/>
        <v>21698</v>
      </c>
      <c r="AX243" s="37">
        <f t="shared" si="481"/>
        <v>7061.98</v>
      </c>
      <c r="AY243" s="37">
        <f t="shared" si="481"/>
        <v>153687.47</v>
      </c>
      <c r="AZ243" s="38"/>
      <c r="BA243" s="39"/>
      <c r="BB243" s="40"/>
      <c r="BC243" s="40"/>
    </row>
    <row r="244">
      <c r="A244" s="11">
        <v>2024.0</v>
      </c>
      <c r="B244" s="11" t="s">
        <v>62</v>
      </c>
      <c r="C244" s="12">
        <v>45633.0</v>
      </c>
      <c r="D244" s="44">
        <v>17.0</v>
      </c>
      <c r="E244" s="26">
        <v>734511.38</v>
      </c>
      <c r="F244" s="26">
        <v>39147.32</v>
      </c>
      <c r="G244" s="26">
        <v>5605.54</v>
      </c>
      <c r="H244" s="26">
        <v>2346.0</v>
      </c>
      <c r="I244" s="66">
        <v>2992.57</v>
      </c>
      <c r="J244" s="26">
        <v>90.42</v>
      </c>
      <c r="K244" s="26">
        <v>13296.32</v>
      </c>
      <c r="L244" s="26">
        <v>14906.89</v>
      </c>
      <c r="M244" s="15">
        <v>0.0</v>
      </c>
      <c r="N244" s="16">
        <v>0.0</v>
      </c>
      <c r="O244" s="16">
        <f t="shared" ref="O244:O250" si="482">N244*4%</f>
        <v>0</v>
      </c>
      <c r="P244" s="16">
        <f t="shared" ref="P244:P250" si="483">N244*1.68%</f>
        <v>0</v>
      </c>
      <c r="Q244" s="16">
        <f t="shared" ref="Q244:Q250" si="484">M244*(250+300+2)</f>
        <v>0</v>
      </c>
      <c r="R244" s="67">
        <f t="shared" ref="R244:R250" si="485">M244*239.19</f>
        <v>0</v>
      </c>
      <c r="S244" s="17">
        <f t="shared" ref="S244:S250" si="486">M244*393.42</f>
        <v>0</v>
      </c>
      <c r="T244" s="17">
        <f t="shared" ref="T244:T250" si="487">M244*138</f>
        <v>0</v>
      </c>
      <c r="U244" s="7">
        <v>5566.51</v>
      </c>
      <c r="V244" s="18">
        <f t="shared" ref="V244:V250" si="488">P244</f>
        <v>0</v>
      </c>
      <c r="W244" s="68">
        <f t="shared" ref="W244:W250" si="489">I244+R244</f>
        <v>2992.57</v>
      </c>
      <c r="X244" s="69">
        <f t="shared" ref="X244:X250" si="490">J244</f>
        <v>90.42</v>
      </c>
      <c r="Y244" s="7">
        <f t="shared" ref="Y244:Y250" si="491">O244</f>
        <v>0</v>
      </c>
      <c r="Z244" s="7">
        <f t="shared" ref="Z244:Z250" si="492">Q244</f>
        <v>0</v>
      </c>
      <c r="AA244" s="18">
        <f t="shared" ref="AA244:AA250" si="493">SUM(U244:Z244)</f>
        <v>8649.5</v>
      </c>
      <c r="AB244" s="56">
        <v>11.0</v>
      </c>
      <c r="AC244" s="24">
        <v>518182.22</v>
      </c>
      <c r="AD244" s="24">
        <v>26244.83</v>
      </c>
      <c r="AE244" s="24">
        <v>3888.57</v>
      </c>
      <c r="AF244" s="24">
        <v>1518.0</v>
      </c>
      <c r="AG244" s="24">
        <v>2152.2</v>
      </c>
      <c r="AH244" s="24">
        <v>0.0</v>
      </c>
      <c r="AI244" s="24">
        <v>7494.66</v>
      </c>
      <c r="AJ244" s="24">
        <v>11191.4</v>
      </c>
      <c r="AK244" s="15">
        <v>0.0</v>
      </c>
      <c r="AL244" s="16">
        <v>0.0</v>
      </c>
      <c r="AM244" s="16">
        <v>0.0</v>
      </c>
      <c r="AN244" s="16">
        <v>0.0</v>
      </c>
      <c r="AO244" s="16">
        <v>0.0</v>
      </c>
      <c r="AP244" s="16">
        <v>0.0</v>
      </c>
      <c r="AQ244" s="16">
        <v>0.0</v>
      </c>
      <c r="AR244" s="16">
        <v>0.0</v>
      </c>
      <c r="AS244" s="7">
        <v>0.0</v>
      </c>
      <c r="AT244" s="7">
        <v>0.0</v>
      </c>
      <c r="AU244" s="7">
        <v>0.0</v>
      </c>
      <c r="AV244" s="7">
        <v>0.0</v>
      </c>
      <c r="AW244" s="7">
        <v>0.0</v>
      </c>
      <c r="AX244" s="7">
        <v>0.0</v>
      </c>
      <c r="AY244" s="7">
        <f>SUM(AS244:AX244)</f>
        <v>0</v>
      </c>
      <c r="AZ244" s="8"/>
      <c r="BA244" s="9"/>
      <c r="BB244" s="10"/>
      <c r="BC244" s="10"/>
    </row>
    <row r="245">
      <c r="A245" s="11">
        <v>2024.0</v>
      </c>
      <c r="B245" s="11" t="s">
        <v>62</v>
      </c>
      <c r="C245" s="12">
        <v>45634.0</v>
      </c>
      <c r="D245" s="44">
        <v>10.0</v>
      </c>
      <c r="E245" s="26">
        <v>375743.89</v>
      </c>
      <c r="F245" s="26">
        <v>19098.0</v>
      </c>
      <c r="G245" s="26">
        <v>3000.84</v>
      </c>
      <c r="H245" s="26">
        <v>1380.0</v>
      </c>
      <c r="I245" s="66">
        <v>1512.62</v>
      </c>
      <c r="J245" s="26">
        <v>0.0</v>
      </c>
      <c r="K245" s="26">
        <v>6400.04</v>
      </c>
      <c r="L245" s="26">
        <v>6804.5</v>
      </c>
      <c r="M245" s="15">
        <v>0.0</v>
      </c>
      <c r="N245" s="16">
        <v>0.0</v>
      </c>
      <c r="O245" s="16">
        <f t="shared" si="482"/>
        <v>0</v>
      </c>
      <c r="P245" s="16">
        <f t="shared" si="483"/>
        <v>0</v>
      </c>
      <c r="Q245" s="16">
        <f t="shared" si="484"/>
        <v>0</v>
      </c>
      <c r="R245" s="16">
        <f t="shared" si="485"/>
        <v>0</v>
      </c>
      <c r="S245" s="17">
        <f t="shared" si="486"/>
        <v>0</v>
      </c>
      <c r="T245" s="17">
        <f t="shared" si="487"/>
        <v>0</v>
      </c>
      <c r="U245" s="7">
        <v>2286.32</v>
      </c>
      <c r="V245" s="18">
        <f t="shared" si="488"/>
        <v>0</v>
      </c>
      <c r="W245" s="68">
        <f t="shared" si="489"/>
        <v>1512.62</v>
      </c>
      <c r="X245" s="69">
        <f t="shared" si="490"/>
        <v>0</v>
      </c>
      <c r="Y245" s="7">
        <f t="shared" si="491"/>
        <v>0</v>
      </c>
      <c r="Z245" s="7">
        <f t="shared" si="492"/>
        <v>0</v>
      </c>
      <c r="AA245" s="18">
        <f t="shared" si="493"/>
        <v>3798.94</v>
      </c>
      <c r="AB245" s="56">
        <v>8.0</v>
      </c>
      <c r="AC245" s="24">
        <v>314634.39</v>
      </c>
      <c r="AD245" s="24">
        <v>15782.92</v>
      </c>
      <c r="AE245" s="24">
        <v>2550.04</v>
      </c>
      <c r="AF245" s="24">
        <v>1104.0</v>
      </c>
      <c r="AG245" s="24">
        <v>1168.08</v>
      </c>
      <c r="AH245" s="24">
        <v>0.0</v>
      </c>
      <c r="AI245" s="24">
        <v>5190.59</v>
      </c>
      <c r="AJ245" s="24">
        <v>5770.21</v>
      </c>
      <c r="AK245" s="15">
        <v>0.0</v>
      </c>
      <c r="AL245" s="16">
        <v>0.0</v>
      </c>
      <c r="AM245" s="16">
        <v>0.0</v>
      </c>
      <c r="AN245" s="16">
        <v>0.0</v>
      </c>
      <c r="AO245" s="16">
        <v>0.0</v>
      </c>
      <c r="AP245" s="16">
        <v>0.0</v>
      </c>
      <c r="AQ245" s="16">
        <v>0.0</v>
      </c>
      <c r="AR245" s="16">
        <v>0.0</v>
      </c>
      <c r="AS245" s="7">
        <v>0.0</v>
      </c>
      <c r="AT245" s="7">
        <v>0.0</v>
      </c>
      <c r="AU245" s="7">
        <v>0.0</v>
      </c>
      <c r="AV245" s="7">
        <v>0.0</v>
      </c>
      <c r="AW245" s="7">
        <v>0.0</v>
      </c>
      <c r="AX245" s="7">
        <v>0.0</v>
      </c>
      <c r="AY245" s="7">
        <v>0.0</v>
      </c>
      <c r="AZ245" s="8"/>
      <c r="BA245" s="9"/>
      <c r="BB245" s="10"/>
      <c r="BC245" s="10"/>
    </row>
    <row r="246">
      <c r="A246" s="11">
        <v>2024.0</v>
      </c>
      <c r="B246" s="11" t="s">
        <v>62</v>
      </c>
      <c r="C246" s="12">
        <v>45635.0</v>
      </c>
      <c r="D246" s="44">
        <v>8.0</v>
      </c>
      <c r="E246" s="26">
        <v>565566.14</v>
      </c>
      <c r="F246" s="26">
        <v>25523.5</v>
      </c>
      <c r="G246" s="26">
        <v>3493.84</v>
      </c>
      <c r="H246" s="26">
        <v>828.0</v>
      </c>
      <c r="I246" s="66">
        <v>1230.65</v>
      </c>
      <c r="J246" s="26">
        <v>0.0</v>
      </c>
      <c r="K246" s="26">
        <v>7816.86</v>
      </c>
      <c r="L246" s="26">
        <v>12154.15</v>
      </c>
      <c r="M246" s="15">
        <v>2.0</v>
      </c>
      <c r="N246" s="16">
        <v>190949.0</v>
      </c>
      <c r="O246" s="16">
        <f t="shared" si="482"/>
        <v>7637.96</v>
      </c>
      <c r="P246" s="16">
        <f t="shared" si="483"/>
        <v>3207.9432</v>
      </c>
      <c r="Q246" s="16">
        <f t="shared" si="484"/>
        <v>1104</v>
      </c>
      <c r="R246" s="16">
        <f t="shared" si="485"/>
        <v>478.38</v>
      </c>
      <c r="S246" s="17">
        <f t="shared" si="486"/>
        <v>786.84</v>
      </c>
      <c r="T246" s="17">
        <f t="shared" si="487"/>
        <v>276</v>
      </c>
      <c r="U246" s="7">
        <v>4264.79</v>
      </c>
      <c r="V246" s="18">
        <f t="shared" si="488"/>
        <v>3207.9432</v>
      </c>
      <c r="W246" s="68">
        <f t="shared" si="489"/>
        <v>1709.03</v>
      </c>
      <c r="X246" s="69">
        <f t="shared" si="490"/>
        <v>0</v>
      </c>
      <c r="Y246" s="7">
        <f t="shared" si="491"/>
        <v>7637.96</v>
      </c>
      <c r="Z246" s="7">
        <f t="shared" si="492"/>
        <v>1104</v>
      </c>
      <c r="AA246" s="18">
        <f t="shared" si="493"/>
        <v>17923.7232</v>
      </c>
      <c r="AB246" s="56">
        <v>2.0</v>
      </c>
      <c r="AC246" s="24">
        <v>152173.06</v>
      </c>
      <c r="AD246" s="24">
        <v>5462.75</v>
      </c>
      <c r="AE246" s="24">
        <v>362.9</v>
      </c>
      <c r="AF246" s="24">
        <v>138.0</v>
      </c>
      <c r="AG246" s="24">
        <v>139.19</v>
      </c>
      <c r="AH246" s="24">
        <v>0.0</v>
      </c>
      <c r="AI246" s="24">
        <v>1953.95</v>
      </c>
      <c r="AJ246" s="24">
        <v>2868.71</v>
      </c>
      <c r="AK246" s="15">
        <v>3.0</v>
      </c>
      <c r="AL246" s="16">
        <v>177522.73</v>
      </c>
      <c r="AM246" s="16">
        <v>4656.0</v>
      </c>
      <c r="AN246" s="16">
        <v>2989.0</v>
      </c>
      <c r="AO246" s="16">
        <v>1200.0</v>
      </c>
      <c r="AP246" s="16">
        <v>1344.83</v>
      </c>
      <c r="AQ246" s="16">
        <v>735.0</v>
      </c>
      <c r="AR246" s="16">
        <v>0.0</v>
      </c>
      <c r="AS246" s="7">
        <v>51306.58</v>
      </c>
      <c r="AT246" s="7">
        <v>908.0</v>
      </c>
      <c r="AU246" s="7">
        <v>15027.92</v>
      </c>
      <c r="AV246" s="7">
        <v>6613.94</v>
      </c>
      <c r="AW246" s="7">
        <v>2039.0</v>
      </c>
      <c r="AX246" s="7">
        <f>2008.14-AT246</f>
        <v>1100.14</v>
      </c>
      <c r="AY246" s="7">
        <f t="shared" ref="AY246:AY250" si="494">SUM(AS246:AX246)</f>
        <v>76995.58</v>
      </c>
      <c r="AZ246" s="8"/>
      <c r="BA246" s="9"/>
      <c r="BB246" s="10"/>
      <c r="BC246" s="10"/>
    </row>
    <row r="247">
      <c r="A247" s="11">
        <v>2024.0</v>
      </c>
      <c r="B247" s="11" t="s">
        <v>62</v>
      </c>
      <c r="C247" s="12">
        <v>45636.0</v>
      </c>
      <c r="D247" s="44">
        <v>6.0</v>
      </c>
      <c r="E247" s="26">
        <v>449240.59</v>
      </c>
      <c r="F247" s="26">
        <v>19888.7</v>
      </c>
      <c r="G247" s="26">
        <v>2667.77</v>
      </c>
      <c r="H247" s="26">
        <v>828.0</v>
      </c>
      <c r="I247" s="66">
        <v>1102.7</v>
      </c>
      <c r="J247" s="26">
        <v>2120.19</v>
      </c>
      <c r="K247" s="26">
        <v>10934.54</v>
      </c>
      <c r="L247" s="26">
        <v>8507.89</v>
      </c>
      <c r="M247" s="15">
        <v>3.0</v>
      </c>
      <c r="N247" s="16">
        <v>209531.49</v>
      </c>
      <c r="O247" s="16">
        <f t="shared" si="482"/>
        <v>8381.2596</v>
      </c>
      <c r="P247" s="16">
        <f t="shared" si="483"/>
        <v>3520.129032</v>
      </c>
      <c r="Q247" s="16">
        <f t="shared" si="484"/>
        <v>1656</v>
      </c>
      <c r="R247" s="16">
        <f t="shared" si="485"/>
        <v>717.57</v>
      </c>
      <c r="S247" s="17">
        <f t="shared" si="486"/>
        <v>1180.26</v>
      </c>
      <c r="T247" s="17">
        <f t="shared" si="487"/>
        <v>414</v>
      </c>
      <c r="U247" s="7">
        <v>476.25</v>
      </c>
      <c r="V247" s="18">
        <f t="shared" si="488"/>
        <v>3520.129032</v>
      </c>
      <c r="W247" s="68">
        <f t="shared" si="489"/>
        <v>1820.27</v>
      </c>
      <c r="X247" s="69">
        <f t="shared" si="490"/>
        <v>2120.19</v>
      </c>
      <c r="Y247" s="7">
        <f t="shared" si="491"/>
        <v>8381.2596</v>
      </c>
      <c r="Z247" s="7">
        <f t="shared" si="492"/>
        <v>1656</v>
      </c>
      <c r="AA247" s="18">
        <f t="shared" si="493"/>
        <v>17974.09863</v>
      </c>
      <c r="AB247" s="56">
        <v>2.0</v>
      </c>
      <c r="AC247" s="24">
        <v>71681.06</v>
      </c>
      <c r="AD247" s="24">
        <v>4969.21</v>
      </c>
      <c r="AE247" s="24">
        <v>794.85</v>
      </c>
      <c r="AF247" s="24">
        <v>276.0</v>
      </c>
      <c r="AG247" s="24">
        <v>385.17</v>
      </c>
      <c r="AH247" s="24">
        <v>0.0</v>
      </c>
      <c r="AI247" s="24">
        <v>1355.95</v>
      </c>
      <c r="AJ247" s="24">
        <v>2157.24</v>
      </c>
      <c r="AK247" s="15">
        <v>2.0</v>
      </c>
      <c r="AL247" s="16">
        <v>117519.89</v>
      </c>
      <c r="AM247" s="16">
        <v>6422.0</v>
      </c>
      <c r="AN247" s="16">
        <v>1978.0</v>
      </c>
      <c r="AO247" s="16">
        <v>1200.0</v>
      </c>
      <c r="AP247" s="16">
        <v>861.89</v>
      </c>
      <c r="AQ247" s="16">
        <v>490.0</v>
      </c>
      <c r="AR247" s="16">
        <v>0.0</v>
      </c>
      <c r="AS247" s="7">
        <v>21349.06</v>
      </c>
      <c r="AT247" s="7">
        <v>3093.0</v>
      </c>
      <c r="AU247" s="7">
        <v>9893.88</v>
      </c>
      <c r="AV247" s="7">
        <v>2279.81</v>
      </c>
      <c r="AW247" s="7">
        <v>6950.0</v>
      </c>
      <c r="AX247" s="7">
        <f>6396.79-AT247</f>
        <v>3303.79</v>
      </c>
      <c r="AY247" s="7">
        <f t="shared" si="494"/>
        <v>46869.54</v>
      </c>
      <c r="AZ247" s="8"/>
      <c r="BA247" s="9"/>
      <c r="BB247" s="10"/>
      <c r="BC247" s="10"/>
    </row>
    <row r="248">
      <c r="A248" s="11">
        <v>2024.0</v>
      </c>
      <c r="B248" s="11" t="s">
        <v>62</v>
      </c>
      <c r="C248" s="12">
        <v>45637.0</v>
      </c>
      <c r="D248" s="44">
        <v>1.0</v>
      </c>
      <c r="E248" s="26">
        <v>50784.16</v>
      </c>
      <c r="F248" s="26">
        <v>2197.14</v>
      </c>
      <c r="G248" s="26">
        <v>302.56</v>
      </c>
      <c r="H248" s="26">
        <v>138.0</v>
      </c>
      <c r="I248" s="66">
        <v>139.19</v>
      </c>
      <c r="J248" s="26">
        <v>0.0</v>
      </c>
      <c r="K248" s="26">
        <v>764.22</v>
      </c>
      <c r="L248" s="26">
        <v>853.17</v>
      </c>
      <c r="M248" s="15">
        <v>3.0</v>
      </c>
      <c r="N248" s="16">
        <v>656077.06</v>
      </c>
      <c r="O248" s="16">
        <f t="shared" si="482"/>
        <v>26243.0824</v>
      </c>
      <c r="P248" s="16">
        <f t="shared" si="483"/>
        <v>11022.09461</v>
      </c>
      <c r="Q248" s="16">
        <f t="shared" si="484"/>
        <v>1656</v>
      </c>
      <c r="R248" s="16">
        <f t="shared" si="485"/>
        <v>717.57</v>
      </c>
      <c r="S248" s="17">
        <f t="shared" si="486"/>
        <v>1180.26</v>
      </c>
      <c r="T248" s="17">
        <f t="shared" si="487"/>
        <v>414</v>
      </c>
      <c r="U248" s="7">
        <v>0.0</v>
      </c>
      <c r="V248" s="18">
        <f t="shared" si="488"/>
        <v>11022.09461</v>
      </c>
      <c r="W248" s="68">
        <f t="shared" si="489"/>
        <v>856.76</v>
      </c>
      <c r="X248" s="69">
        <f t="shared" si="490"/>
        <v>0</v>
      </c>
      <c r="Y248" s="7">
        <f t="shared" si="491"/>
        <v>26243.0824</v>
      </c>
      <c r="Z248" s="7">
        <f t="shared" si="492"/>
        <v>1656</v>
      </c>
      <c r="AA248" s="18">
        <f t="shared" si="493"/>
        <v>39777.93701</v>
      </c>
      <c r="AB248" s="56">
        <v>1.0</v>
      </c>
      <c r="AC248" s="24">
        <v>50019.94</v>
      </c>
      <c r="AD248" s="24">
        <v>2197.14</v>
      </c>
      <c r="AE248" s="24">
        <v>302.56</v>
      </c>
      <c r="AF248" s="24">
        <v>138.0</v>
      </c>
      <c r="AG248" s="24">
        <v>139.19</v>
      </c>
      <c r="AH248" s="24">
        <v>0.0</v>
      </c>
      <c r="AI248" s="24">
        <v>777.06</v>
      </c>
      <c r="AJ248" s="24">
        <v>840.33</v>
      </c>
      <c r="AK248" s="15">
        <v>2.0</v>
      </c>
      <c r="AL248" s="16">
        <v>113160.48</v>
      </c>
      <c r="AM248" s="16">
        <v>4280.0</v>
      </c>
      <c r="AN248" s="16">
        <v>1906.0</v>
      </c>
      <c r="AO248" s="16">
        <v>1200.0</v>
      </c>
      <c r="AP248" s="16">
        <v>834.48</v>
      </c>
      <c r="AQ248" s="16">
        <v>490.0</v>
      </c>
      <c r="AR248" s="16">
        <v>0.0</v>
      </c>
      <c r="AS248" s="7">
        <v>24701.08</v>
      </c>
      <c r="AT248" s="7">
        <v>1109.0</v>
      </c>
      <c r="AU248" s="7">
        <v>4733.86</v>
      </c>
      <c r="AV248" s="7">
        <v>2559.59</v>
      </c>
      <c r="AW248" s="7">
        <v>2492.0</v>
      </c>
      <c r="AX248" s="7">
        <f>2160.06-AT248</f>
        <v>1051.06</v>
      </c>
      <c r="AY248" s="7">
        <f t="shared" si="494"/>
        <v>36646.59</v>
      </c>
      <c r="AZ248" s="8"/>
      <c r="BA248" s="9"/>
      <c r="BB248" s="10"/>
      <c r="BC248" s="10"/>
    </row>
    <row r="249">
      <c r="A249" s="11">
        <v>2024.0</v>
      </c>
      <c r="B249" s="11" t="s">
        <v>62</v>
      </c>
      <c r="C249" s="12">
        <v>45638.0</v>
      </c>
      <c r="D249" s="44">
        <v>2.0</v>
      </c>
      <c r="E249" s="26">
        <v>50791.75</v>
      </c>
      <c r="F249" s="26">
        <v>3244.56</v>
      </c>
      <c r="G249" s="26">
        <v>648.89</v>
      </c>
      <c r="H249" s="26">
        <v>276.0</v>
      </c>
      <c r="I249" s="66">
        <v>392.66</v>
      </c>
      <c r="J249" s="26">
        <v>0.0</v>
      </c>
      <c r="K249" s="26">
        <v>1073.71</v>
      </c>
      <c r="L249" s="26">
        <v>853.3</v>
      </c>
      <c r="M249" s="15">
        <v>4.0</v>
      </c>
      <c r="N249" s="16">
        <v>554127.35</v>
      </c>
      <c r="O249" s="16">
        <f t="shared" si="482"/>
        <v>22165.094</v>
      </c>
      <c r="P249" s="16">
        <f t="shared" si="483"/>
        <v>9309.33948</v>
      </c>
      <c r="Q249" s="16">
        <f t="shared" si="484"/>
        <v>2208</v>
      </c>
      <c r="R249" s="16">
        <f t="shared" si="485"/>
        <v>956.76</v>
      </c>
      <c r="S249" s="17">
        <f t="shared" si="486"/>
        <v>1573.68</v>
      </c>
      <c r="T249" s="17">
        <f t="shared" si="487"/>
        <v>552</v>
      </c>
      <c r="U249" s="7">
        <v>359.72</v>
      </c>
      <c r="V249" s="18">
        <f t="shared" si="488"/>
        <v>9309.33948</v>
      </c>
      <c r="W249" s="68">
        <f t="shared" si="489"/>
        <v>1349.42</v>
      </c>
      <c r="X249" s="69">
        <f t="shared" si="490"/>
        <v>0</v>
      </c>
      <c r="Y249" s="7">
        <f t="shared" si="491"/>
        <v>22165.094</v>
      </c>
      <c r="Z249" s="7">
        <f t="shared" si="492"/>
        <v>2208</v>
      </c>
      <c r="AA249" s="18">
        <f t="shared" si="493"/>
        <v>35391.57348</v>
      </c>
      <c r="AB249" s="56">
        <v>1.0</v>
      </c>
      <c r="AC249" s="24">
        <v>10315.58</v>
      </c>
      <c r="AD249" s="24">
        <v>1199.06</v>
      </c>
      <c r="AE249" s="24">
        <v>225.4</v>
      </c>
      <c r="AF249" s="24">
        <v>138.0</v>
      </c>
      <c r="AG249" s="24">
        <v>297.62</v>
      </c>
      <c r="AH249" s="24">
        <v>0.0</v>
      </c>
      <c r="AI249" s="24">
        <v>515.76</v>
      </c>
      <c r="AJ249" s="24">
        <v>670.63</v>
      </c>
      <c r="AK249" s="15">
        <v>4.0</v>
      </c>
      <c r="AL249" s="16">
        <v>334993.45</v>
      </c>
      <c r="AM249" s="16">
        <v>12669.0</v>
      </c>
      <c r="AN249" s="16">
        <v>5639.0</v>
      </c>
      <c r="AO249" s="16">
        <v>2400.0</v>
      </c>
      <c r="AP249" s="16">
        <v>1833.08</v>
      </c>
      <c r="AQ249" s="16">
        <v>1312.37</v>
      </c>
      <c r="AR249" s="16">
        <v>0.0</v>
      </c>
      <c r="AS249" s="7">
        <v>1363.55</v>
      </c>
      <c r="AT249" s="7">
        <v>1906.0</v>
      </c>
      <c r="AU249" s="7">
        <v>850.49</v>
      </c>
      <c r="AV249" s="7">
        <v>284.57</v>
      </c>
      <c r="AW249" s="7">
        <v>4280.0</v>
      </c>
      <c r="AX249" s="7">
        <f>3959.81-AT249</f>
        <v>2053.81</v>
      </c>
      <c r="AY249" s="7">
        <f t="shared" si="494"/>
        <v>10738.42</v>
      </c>
      <c r="AZ249" s="8"/>
      <c r="BA249" s="9"/>
      <c r="BB249" s="10"/>
      <c r="BC249" s="10"/>
    </row>
    <row r="250">
      <c r="A250" s="11">
        <v>2024.0</v>
      </c>
      <c r="B250" s="11" t="s">
        <v>62</v>
      </c>
      <c r="C250" s="12">
        <v>45639.0</v>
      </c>
      <c r="D250" s="44">
        <v>5.0</v>
      </c>
      <c r="E250" s="26">
        <v>215803.5</v>
      </c>
      <c r="F250" s="26">
        <v>14790.39</v>
      </c>
      <c r="G250" s="26">
        <v>1457.38</v>
      </c>
      <c r="H250" s="26">
        <v>414.0</v>
      </c>
      <c r="I250" s="66">
        <v>564.26</v>
      </c>
      <c r="J250" s="26">
        <v>1648.79</v>
      </c>
      <c r="K250" s="26">
        <v>7881.09</v>
      </c>
      <c r="L250" s="26">
        <v>4473.66</v>
      </c>
      <c r="M250" s="15">
        <v>4.0</v>
      </c>
      <c r="N250" s="16">
        <v>534519.33</v>
      </c>
      <c r="O250" s="16">
        <f t="shared" si="482"/>
        <v>21380.7732</v>
      </c>
      <c r="P250" s="16">
        <f t="shared" si="483"/>
        <v>8979.924744</v>
      </c>
      <c r="Q250" s="16">
        <f t="shared" si="484"/>
        <v>2208</v>
      </c>
      <c r="R250" s="16">
        <f t="shared" si="485"/>
        <v>956.76</v>
      </c>
      <c r="S250" s="17">
        <f t="shared" si="486"/>
        <v>1573.68</v>
      </c>
      <c r="T250" s="17">
        <f t="shared" si="487"/>
        <v>552</v>
      </c>
      <c r="U250" s="7">
        <v>1060.52</v>
      </c>
      <c r="V250" s="18">
        <f t="shared" si="488"/>
        <v>8979.924744</v>
      </c>
      <c r="W250" s="68">
        <f t="shared" si="489"/>
        <v>1521.02</v>
      </c>
      <c r="X250" s="69">
        <f t="shared" si="490"/>
        <v>1648.79</v>
      </c>
      <c r="Y250" s="7">
        <f t="shared" si="491"/>
        <v>21380.7732</v>
      </c>
      <c r="Z250" s="7">
        <f t="shared" si="492"/>
        <v>2208</v>
      </c>
      <c r="AA250" s="18">
        <f t="shared" si="493"/>
        <v>36799.02794</v>
      </c>
      <c r="AB250" s="56">
        <v>1.0</v>
      </c>
      <c r="AC250" s="24">
        <v>61804.26</v>
      </c>
      <c r="AD250" s="24">
        <v>2595.92</v>
      </c>
      <c r="AE250" s="24">
        <v>0.0</v>
      </c>
      <c r="AF250" s="24">
        <v>0.0</v>
      </c>
      <c r="AG250" s="24">
        <v>0.0</v>
      </c>
      <c r="AH250" s="24">
        <v>0.0</v>
      </c>
      <c r="AI250" s="24">
        <v>1003.84</v>
      </c>
      <c r="AJ250" s="24">
        <v>1592.08</v>
      </c>
      <c r="AK250" s="15">
        <v>4.0</v>
      </c>
      <c r="AL250" s="16">
        <v>520060.28</v>
      </c>
      <c r="AM250" s="16">
        <v>19668.0</v>
      </c>
      <c r="AN250" s="16">
        <v>8753.0</v>
      </c>
      <c r="AO250" s="16">
        <v>2400.0</v>
      </c>
      <c r="AP250" s="16">
        <v>1886.34</v>
      </c>
      <c r="AQ250" s="16">
        <v>1681.29</v>
      </c>
      <c r="AR250" s="16">
        <v>0.0</v>
      </c>
      <c r="AS250" s="7">
        <v>10327.61</v>
      </c>
      <c r="AT250" s="7">
        <v>5639.0</v>
      </c>
      <c r="AU250" s="7">
        <v>6912.99</v>
      </c>
      <c r="AV250" s="7">
        <v>2938.2</v>
      </c>
      <c r="AW250" s="7">
        <v>12669.0</v>
      </c>
      <c r="AX250" s="7">
        <f>9877.68-AT250</f>
        <v>4238.68</v>
      </c>
      <c r="AY250" s="7">
        <f t="shared" si="494"/>
        <v>42725.48</v>
      </c>
      <c r="AZ250" s="8"/>
      <c r="BA250" s="9"/>
      <c r="BB250" s="10"/>
      <c r="BC250" s="10"/>
    </row>
    <row r="251">
      <c r="A251" s="11">
        <v>2024.0</v>
      </c>
      <c r="B251" s="11" t="s">
        <v>62</v>
      </c>
      <c r="C251" s="1"/>
      <c r="D251" s="2">
        <v>110.0</v>
      </c>
      <c r="E251" s="2"/>
      <c r="F251" s="59" t="s">
        <v>64</v>
      </c>
      <c r="G251" s="33"/>
      <c r="H251" s="33"/>
      <c r="I251" s="33"/>
      <c r="J251" s="33"/>
      <c r="K251" s="33"/>
      <c r="L251" s="33"/>
      <c r="M251" s="15">
        <v>4.0</v>
      </c>
      <c r="N251" s="16">
        <v>379000.0</v>
      </c>
      <c r="O251" s="35"/>
      <c r="P251" s="35"/>
      <c r="Q251" s="35"/>
      <c r="R251" s="35"/>
      <c r="S251" s="35"/>
      <c r="T251" s="35"/>
      <c r="U251" s="37"/>
      <c r="V251" s="48"/>
      <c r="W251" s="48"/>
      <c r="X251" s="37"/>
      <c r="Y251" s="48"/>
      <c r="Z251" s="48"/>
      <c r="AA251" s="48"/>
      <c r="AB251" s="2"/>
      <c r="AC251" s="33"/>
      <c r="AD251" s="2"/>
      <c r="AE251" s="33"/>
      <c r="AF251" s="33"/>
      <c r="AG251" s="33"/>
      <c r="AH251" s="33"/>
      <c r="AI251" s="33"/>
      <c r="AJ251" s="33"/>
      <c r="AK251" s="4"/>
      <c r="AL251" s="4"/>
      <c r="AM251" s="35"/>
      <c r="AN251" s="35"/>
      <c r="AO251" s="35"/>
      <c r="AP251" s="35"/>
      <c r="AQ251" s="35"/>
      <c r="AR251" s="35"/>
      <c r="AS251" s="37"/>
      <c r="AT251" s="48"/>
      <c r="AU251" s="48"/>
      <c r="AV251" s="48"/>
      <c r="AW251" s="48"/>
      <c r="AX251" s="48"/>
      <c r="AY251" s="48"/>
      <c r="AZ251" s="38"/>
      <c r="BA251" s="39"/>
      <c r="BB251" s="40"/>
      <c r="BC251" s="40"/>
    </row>
    <row r="252">
      <c r="A252" s="1">
        <v>2024.0</v>
      </c>
      <c r="B252" s="1" t="s">
        <v>62</v>
      </c>
      <c r="C252" s="1" t="s">
        <v>49</v>
      </c>
      <c r="D252" s="33">
        <f t="shared" ref="D252:L252" si="495">SUM(D244:D250)</f>
        <v>49</v>
      </c>
      <c r="E252" s="34">
        <f t="shared" si="495"/>
        <v>2442441.41</v>
      </c>
      <c r="F252" s="34">
        <f t="shared" si="495"/>
        <v>123889.61</v>
      </c>
      <c r="G252" s="34">
        <f t="shared" si="495"/>
        <v>17176.82</v>
      </c>
      <c r="H252" s="34">
        <f t="shared" si="495"/>
        <v>6210</v>
      </c>
      <c r="I252" s="55">
        <f t="shared" si="495"/>
        <v>7934.65</v>
      </c>
      <c r="J252" s="34">
        <f t="shared" si="495"/>
        <v>3859.4</v>
      </c>
      <c r="K252" s="34">
        <f t="shared" si="495"/>
        <v>48166.78</v>
      </c>
      <c r="L252" s="34">
        <f t="shared" si="495"/>
        <v>48553.56</v>
      </c>
      <c r="M252" s="35">
        <f t="shared" ref="M252:N252" si="496">SUM(M244:M251)</f>
        <v>20</v>
      </c>
      <c r="N252" s="36">
        <f t="shared" si="496"/>
        <v>2524204.23</v>
      </c>
      <c r="O252" s="36">
        <f t="shared" ref="O252:AJ252" si="497">SUM(O244:O250)</f>
        <v>85808.1692</v>
      </c>
      <c r="P252" s="36">
        <f t="shared" si="497"/>
        <v>36039.43106</v>
      </c>
      <c r="Q252" s="36">
        <f t="shared" si="497"/>
        <v>8832</v>
      </c>
      <c r="R252" s="70">
        <f t="shared" si="497"/>
        <v>3827.04</v>
      </c>
      <c r="S252" s="36">
        <f t="shared" si="497"/>
        <v>6294.72</v>
      </c>
      <c r="T252" s="36">
        <f t="shared" si="497"/>
        <v>2208</v>
      </c>
      <c r="U252" s="37">
        <f t="shared" si="497"/>
        <v>14014.11</v>
      </c>
      <c r="V252" s="37">
        <f t="shared" si="497"/>
        <v>36039.43106</v>
      </c>
      <c r="W252" s="71">
        <f t="shared" si="497"/>
        <v>11761.69</v>
      </c>
      <c r="X252" s="37">
        <f t="shared" si="497"/>
        <v>3859.4</v>
      </c>
      <c r="Y252" s="37">
        <f t="shared" si="497"/>
        <v>85808.1692</v>
      </c>
      <c r="Z252" s="37">
        <f t="shared" si="497"/>
        <v>8832</v>
      </c>
      <c r="AA252" s="37">
        <f t="shared" si="497"/>
        <v>160314.8003</v>
      </c>
      <c r="AB252" s="33">
        <f t="shared" si="497"/>
        <v>26</v>
      </c>
      <c r="AC252" s="34">
        <f t="shared" si="497"/>
        <v>1178810.51</v>
      </c>
      <c r="AD252" s="34">
        <f t="shared" si="497"/>
        <v>58451.83</v>
      </c>
      <c r="AE252" s="34">
        <f t="shared" si="497"/>
        <v>8124.32</v>
      </c>
      <c r="AF252" s="34">
        <f t="shared" si="497"/>
        <v>3312</v>
      </c>
      <c r="AG252" s="34">
        <f t="shared" si="497"/>
        <v>4281.45</v>
      </c>
      <c r="AH252" s="34">
        <f t="shared" si="497"/>
        <v>0</v>
      </c>
      <c r="AI252" s="34">
        <f t="shared" si="497"/>
        <v>18291.81</v>
      </c>
      <c r="AJ252" s="34">
        <f t="shared" si="497"/>
        <v>25090.6</v>
      </c>
      <c r="AK252" s="35">
        <f t="shared" ref="AK252:AL252" si="498">SUM(AK244:AK251)</f>
        <v>15</v>
      </c>
      <c r="AL252" s="36">
        <f t="shared" si="498"/>
        <v>1263256.83</v>
      </c>
      <c r="AM252" s="36">
        <f t="shared" ref="AM252:AY252" si="499">SUM(AM244:AM250)</f>
        <v>47695</v>
      </c>
      <c r="AN252" s="36">
        <f t="shared" si="499"/>
        <v>21265</v>
      </c>
      <c r="AO252" s="36">
        <f t="shared" si="499"/>
        <v>8400</v>
      </c>
      <c r="AP252" s="36">
        <f t="shared" si="499"/>
        <v>6760.62</v>
      </c>
      <c r="AQ252" s="36">
        <f t="shared" si="499"/>
        <v>4708.66</v>
      </c>
      <c r="AR252" s="36">
        <f t="shared" si="499"/>
        <v>0</v>
      </c>
      <c r="AS252" s="37">
        <f t="shared" si="499"/>
        <v>109047.88</v>
      </c>
      <c r="AT252" s="37">
        <f t="shared" si="499"/>
        <v>12655</v>
      </c>
      <c r="AU252" s="37">
        <f t="shared" si="499"/>
        <v>37419.14</v>
      </c>
      <c r="AV252" s="37">
        <f t="shared" si="499"/>
        <v>14676.11</v>
      </c>
      <c r="AW252" s="37">
        <f t="shared" si="499"/>
        <v>28430</v>
      </c>
      <c r="AX252" s="37">
        <f t="shared" si="499"/>
        <v>11747.48</v>
      </c>
      <c r="AY252" s="37">
        <f t="shared" si="499"/>
        <v>213975.61</v>
      </c>
      <c r="AZ252" s="38"/>
      <c r="BA252" s="39"/>
      <c r="BB252" s="40"/>
      <c r="BC252" s="40"/>
    </row>
    <row r="253">
      <c r="A253" s="11">
        <v>2024.0</v>
      </c>
      <c r="B253" s="11" t="s">
        <v>62</v>
      </c>
      <c r="C253" s="12">
        <v>45640.0</v>
      </c>
      <c r="D253" s="44">
        <v>15.0</v>
      </c>
      <c r="E253" s="26">
        <v>2433150.17</v>
      </c>
      <c r="F253" s="26">
        <v>84537.42</v>
      </c>
      <c r="G253" s="26">
        <v>4465.59</v>
      </c>
      <c r="H253" s="26">
        <v>1794.0</v>
      </c>
      <c r="I253" s="66">
        <v>1679.43</v>
      </c>
      <c r="J253" s="26">
        <v>62008.87</v>
      </c>
      <c r="K253" s="26">
        <v>97177.77</v>
      </c>
      <c r="L253" s="26">
        <v>46745.51</v>
      </c>
      <c r="M253" s="15">
        <v>0.0</v>
      </c>
      <c r="N253" s="16">
        <v>0.0</v>
      </c>
      <c r="O253" s="16">
        <f t="shared" ref="O253:O259" si="500">N253*4%</f>
        <v>0</v>
      </c>
      <c r="P253" s="16">
        <f t="shared" ref="P253:P259" si="501">N253*1.68%</f>
        <v>0</v>
      </c>
      <c r="Q253" s="16">
        <f t="shared" ref="Q253:Q259" si="502">M253*(250+300+2)</f>
        <v>0</v>
      </c>
      <c r="R253" s="67">
        <f t="shared" ref="R253:R259" si="503">M253*239.19</f>
        <v>0</v>
      </c>
      <c r="S253" s="17">
        <f t="shared" ref="S253:S259" si="504">M253*393.42</f>
        <v>0</v>
      </c>
      <c r="T253" s="17">
        <f t="shared" ref="T253:T259" si="505">M253*138</f>
        <v>0</v>
      </c>
      <c r="U253" s="7">
        <v>3810.06</v>
      </c>
      <c r="V253" s="18">
        <f t="shared" ref="V253:V259" si="506">P253</f>
        <v>0</v>
      </c>
      <c r="W253" s="68">
        <f t="shared" ref="W253:W259" si="507">I253+R253</f>
        <v>1679.43</v>
      </c>
      <c r="X253" s="69">
        <f t="shared" ref="X253:X259" si="508">J253</f>
        <v>62008.87</v>
      </c>
      <c r="Y253" s="7">
        <f t="shared" ref="Y253:Y259" si="509">O253</f>
        <v>0</v>
      </c>
      <c r="Z253" s="7">
        <f t="shared" ref="Z253:Z259" si="510">Q253</f>
        <v>0</v>
      </c>
      <c r="AA253" s="18">
        <f t="shared" ref="AA253:AA259" si="511">SUM(U253:Z253)</f>
        <v>67498.36</v>
      </c>
      <c r="AB253" s="56">
        <v>6.0</v>
      </c>
      <c r="AC253" s="24">
        <v>300842.62</v>
      </c>
      <c r="AD253" s="24">
        <v>14057.69</v>
      </c>
      <c r="AE253" s="24">
        <v>2051.04</v>
      </c>
      <c r="AF253" s="24">
        <v>828.0</v>
      </c>
      <c r="AG253" s="24">
        <v>879.28</v>
      </c>
      <c r="AH253" s="24">
        <v>0.0</v>
      </c>
      <c r="AI253" s="24">
        <v>5245.21</v>
      </c>
      <c r="AJ253" s="24">
        <v>5054.16</v>
      </c>
      <c r="AK253" s="15">
        <v>0.0</v>
      </c>
      <c r="AL253" s="16">
        <v>0.0</v>
      </c>
      <c r="AM253" s="16">
        <v>0.0</v>
      </c>
      <c r="AN253" s="16">
        <v>0.0</v>
      </c>
      <c r="AO253" s="16">
        <v>0.0</v>
      </c>
      <c r="AP253" s="16">
        <v>0.0</v>
      </c>
      <c r="AQ253" s="16">
        <v>0.0</v>
      </c>
      <c r="AR253" s="16">
        <v>0.0</v>
      </c>
      <c r="AS253" s="7">
        <v>0.0</v>
      </c>
      <c r="AT253" s="7">
        <v>0.0</v>
      </c>
      <c r="AU253" s="7">
        <v>0.0</v>
      </c>
      <c r="AV253" s="7">
        <v>0.0</v>
      </c>
      <c r="AW253" s="7">
        <v>0.0</v>
      </c>
      <c r="AX253" s="7">
        <v>0.0</v>
      </c>
      <c r="AY253" s="7">
        <f>SUM(AS253:AX253)</f>
        <v>0</v>
      </c>
      <c r="AZ253" s="8"/>
      <c r="BA253" s="9"/>
      <c r="BB253" s="10"/>
      <c r="BC253" s="10"/>
    </row>
    <row r="254">
      <c r="A254" s="11">
        <v>2024.0</v>
      </c>
      <c r="B254" s="11" t="s">
        <v>62</v>
      </c>
      <c r="C254" s="12">
        <v>45641.0</v>
      </c>
      <c r="D254" s="44">
        <v>39.0</v>
      </c>
      <c r="E254" s="26">
        <v>1814257.73</v>
      </c>
      <c r="F254" s="26">
        <v>89924.92</v>
      </c>
      <c r="G254" s="26">
        <v>11971.68</v>
      </c>
      <c r="H254" s="26">
        <v>3588.0</v>
      </c>
      <c r="I254" s="66">
        <v>9161.14</v>
      </c>
      <c r="J254" s="26">
        <v>12239.99</v>
      </c>
      <c r="K254" s="26">
        <v>64735.99</v>
      </c>
      <c r="L254" s="26">
        <v>31988.17</v>
      </c>
      <c r="M254" s="15">
        <v>0.0</v>
      </c>
      <c r="N254" s="16">
        <v>0.0</v>
      </c>
      <c r="O254" s="16">
        <f t="shared" si="500"/>
        <v>0</v>
      </c>
      <c r="P254" s="16">
        <f t="shared" si="501"/>
        <v>0</v>
      </c>
      <c r="Q254" s="16">
        <f t="shared" si="502"/>
        <v>0</v>
      </c>
      <c r="R254" s="16">
        <f t="shared" si="503"/>
        <v>0</v>
      </c>
      <c r="S254" s="17">
        <f t="shared" si="504"/>
        <v>0</v>
      </c>
      <c r="T254" s="17">
        <f t="shared" si="505"/>
        <v>0</v>
      </c>
      <c r="U254" s="7">
        <v>3634.1</v>
      </c>
      <c r="V254" s="18">
        <f t="shared" si="506"/>
        <v>0</v>
      </c>
      <c r="W254" s="68">
        <f t="shared" si="507"/>
        <v>9161.14</v>
      </c>
      <c r="X254" s="69">
        <f t="shared" si="508"/>
        <v>12239.99</v>
      </c>
      <c r="Y254" s="7">
        <f t="shared" si="509"/>
        <v>0</v>
      </c>
      <c r="Z254" s="7">
        <f t="shared" si="510"/>
        <v>0</v>
      </c>
      <c r="AA254" s="18">
        <f t="shared" si="511"/>
        <v>25035.23</v>
      </c>
      <c r="AB254" s="56">
        <v>15.0</v>
      </c>
      <c r="AC254" s="24">
        <v>814967.03</v>
      </c>
      <c r="AD254" s="24">
        <v>33664.0</v>
      </c>
      <c r="AE254" s="24">
        <v>4503.91</v>
      </c>
      <c r="AF254" s="24">
        <v>1242.0</v>
      </c>
      <c r="AG254" s="24">
        <v>3774.69</v>
      </c>
      <c r="AH254" s="24">
        <v>0.0</v>
      </c>
      <c r="AI254" s="24">
        <v>10451.95</v>
      </c>
      <c r="AJ254" s="24">
        <v>13691.45</v>
      </c>
      <c r="AK254" s="15">
        <v>0.0</v>
      </c>
      <c r="AL254" s="16">
        <v>0.0</v>
      </c>
      <c r="AM254" s="16">
        <v>0.0</v>
      </c>
      <c r="AN254" s="16">
        <v>0.0</v>
      </c>
      <c r="AO254" s="16">
        <v>0.0</v>
      </c>
      <c r="AP254" s="16">
        <v>0.0</v>
      </c>
      <c r="AQ254" s="16">
        <v>0.0</v>
      </c>
      <c r="AR254" s="16">
        <v>0.0</v>
      </c>
      <c r="AS254" s="7">
        <v>0.0</v>
      </c>
      <c r="AT254" s="7">
        <v>0.0</v>
      </c>
      <c r="AU254" s="7">
        <v>0.0</v>
      </c>
      <c r="AV254" s="7">
        <v>0.0</v>
      </c>
      <c r="AW254" s="7">
        <v>0.0</v>
      </c>
      <c r="AX254" s="7">
        <v>0.0</v>
      </c>
      <c r="AY254" s="7">
        <v>0.0</v>
      </c>
      <c r="AZ254" s="8"/>
      <c r="BA254" s="9"/>
      <c r="BB254" s="10"/>
      <c r="BC254" s="10"/>
    </row>
    <row r="255">
      <c r="A255" s="11">
        <v>2024.0</v>
      </c>
      <c r="B255" s="11" t="s">
        <v>62</v>
      </c>
      <c r="C255" s="12">
        <v>45642.0</v>
      </c>
      <c r="D255" s="44">
        <v>14.0</v>
      </c>
      <c r="E255" s="26">
        <v>1307742.55</v>
      </c>
      <c r="F255" s="26">
        <v>40899.43</v>
      </c>
      <c r="G255" s="26">
        <v>3956.99</v>
      </c>
      <c r="H255" s="26">
        <v>1518.0</v>
      </c>
      <c r="I255" s="66">
        <v>2014.21</v>
      </c>
      <c r="J255" s="26">
        <v>914.82</v>
      </c>
      <c r="K255" s="26">
        <v>12678.83</v>
      </c>
      <c r="L255" s="26">
        <v>22232.97</v>
      </c>
      <c r="M255" s="15">
        <v>1.0</v>
      </c>
      <c r="N255" s="16">
        <v>140929.09</v>
      </c>
      <c r="O255" s="16">
        <f t="shared" si="500"/>
        <v>5637.1636</v>
      </c>
      <c r="P255" s="16">
        <f t="shared" si="501"/>
        <v>2367.608712</v>
      </c>
      <c r="Q255" s="16">
        <f t="shared" si="502"/>
        <v>552</v>
      </c>
      <c r="R255" s="16">
        <f t="shared" si="503"/>
        <v>239.19</v>
      </c>
      <c r="S255" s="17">
        <f t="shared" si="504"/>
        <v>393.42</v>
      </c>
      <c r="T255" s="17">
        <f t="shared" si="505"/>
        <v>138</v>
      </c>
      <c r="U255" s="7">
        <v>2865.9</v>
      </c>
      <c r="V255" s="18">
        <f t="shared" si="506"/>
        <v>2367.608712</v>
      </c>
      <c r="W255" s="68">
        <f t="shared" si="507"/>
        <v>2253.4</v>
      </c>
      <c r="X255" s="69">
        <f t="shared" si="508"/>
        <v>914.82</v>
      </c>
      <c r="Y255" s="7">
        <f t="shared" si="509"/>
        <v>5637.1636</v>
      </c>
      <c r="Z255" s="7">
        <f t="shared" si="510"/>
        <v>552</v>
      </c>
      <c r="AA255" s="18">
        <f t="shared" si="511"/>
        <v>14590.89231</v>
      </c>
      <c r="AB255" s="56">
        <v>3.0</v>
      </c>
      <c r="AC255" s="24">
        <v>736268.52</v>
      </c>
      <c r="AD255" s="24">
        <v>14255.7</v>
      </c>
      <c r="AE255" s="24">
        <v>399.16</v>
      </c>
      <c r="AF255" s="24">
        <v>138.0</v>
      </c>
      <c r="AG255" s="24">
        <v>297.62</v>
      </c>
      <c r="AH255" s="24">
        <v>0.0</v>
      </c>
      <c r="AI255" s="24">
        <v>995.61</v>
      </c>
      <c r="AJ255" s="24">
        <v>12425.31</v>
      </c>
      <c r="AK255" s="15">
        <v>2.0</v>
      </c>
      <c r="AL255" s="16">
        <v>127616.44</v>
      </c>
      <c r="AM255" s="16">
        <v>2873.0</v>
      </c>
      <c r="AN255" s="16">
        <v>1279.0</v>
      </c>
      <c r="AO255" s="16">
        <v>600.0</v>
      </c>
      <c r="AP255" s="16">
        <v>523.65</v>
      </c>
      <c r="AQ255" s="16">
        <v>246.96</v>
      </c>
      <c r="AR255" s="16">
        <v>0.0</v>
      </c>
      <c r="AS255" s="7">
        <v>34094.26</v>
      </c>
      <c r="AT255" s="7">
        <v>8753.0</v>
      </c>
      <c r="AU255" s="7">
        <v>9306.33</v>
      </c>
      <c r="AV255" s="7">
        <v>2649.94</v>
      </c>
      <c r="AW255" s="7">
        <v>19668.0</v>
      </c>
      <c r="AX255" s="7">
        <f>13075.95-AT255</f>
        <v>4322.95</v>
      </c>
      <c r="AY255" s="7">
        <f t="shared" ref="AY255:AY259" si="512">SUM(AS255:AX255)</f>
        <v>78794.48</v>
      </c>
      <c r="AZ255" s="8"/>
      <c r="BA255" s="9"/>
      <c r="BB255" s="10"/>
      <c r="BC255" s="10"/>
    </row>
    <row r="256">
      <c r="A256" s="11">
        <v>2024.0</v>
      </c>
      <c r="B256" s="11" t="s">
        <v>62</v>
      </c>
      <c r="C256" s="12">
        <v>45643.0</v>
      </c>
      <c r="D256" s="44">
        <v>13.0</v>
      </c>
      <c r="E256" s="26">
        <v>1161864.26</v>
      </c>
      <c r="F256" s="26">
        <v>44798.16</v>
      </c>
      <c r="G256" s="26">
        <v>4219.72</v>
      </c>
      <c r="H256" s="26">
        <v>1518.0</v>
      </c>
      <c r="I256" s="66">
        <v>1915.96</v>
      </c>
      <c r="J256" s="26">
        <v>18636.49</v>
      </c>
      <c r="K256" s="26">
        <v>34841.54</v>
      </c>
      <c r="L256" s="26">
        <v>21174.2</v>
      </c>
      <c r="M256" s="15">
        <v>3.0</v>
      </c>
      <c r="N256" s="16">
        <v>266238.61</v>
      </c>
      <c r="O256" s="16">
        <f t="shared" si="500"/>
        <v>10649.5444</v>
      </c>
      <c r="P256" s="16">
        <f t="shared" si="501"/>
        <v>4472.808648</v>
      </c>
      <c r="Q256" s="16">
        <f t="shared" si="502"/>
        <v>1656</v>
      </c>
      <c r="R256" s="16">
        <f t="shared" si="503"/>
        <v>717.57</v>
      </c>
      <c r="S256" s="17">
        <f t="shared" si="504"/>
        <v>1180.26</v>
      </c>
      <c r="T256" s="17">
        <f t="shared" si="505"/>
        <v>414</v>
      </c>
      <c r="U256" s="7">
        <v>3561.66</v>
      </c>
      <c r="V256" s="18">
        <f t="shared" si="506"/>
        <v>4472.808648</v>
      </c>
      <c r="W256" s="68">
        <f t="shared" si="507"/>
        <v>2633.53</v>
      </c>
      <c r="X256" s="69">
        <f t="shared" si="508"/>
        <v>18636.49</v>
      </c>
      <c r="Y256" s="7">
        <f t="shared" si="509"/>
        <v>10649.5444</v>
      </c>
      <c r="Z256" s="7">
        <f t="shared" si="510"/>
        <v>1656</v>
      </c>
      <c r="AA256" s="18">
        <f t="shared" si="511"/>
        <v>41610.03305</v>
      </c>
      <c r="AB256" s="56">
        <v>2.0</v>
      </c>
      <c r="AC256" s="24">
        <v>142493.01</v>
      </c>
      <c r="AD256" s="24">
        <v>6349.12</v>
      </c>
      <c r="AE256" s="24">
        <v>935.66</v>
      </c>
      <c r="AF256" s="24">
        <v>276.0</v>
      </c>
      <c r="AG256" s="24">
        <v>336.81</v>
      </c>
      <c r="AH256" s="24">
        <v>0.0</v>
      </c>
      <c r="AI256" s="24">
        <v>2406.77</v>
      </c>
      <c r="AJ256" s="24">
        <v>2393.88</v>
      </c>
      <c r="AK256" s="15">
        <v>4.0</v>
      </c>
      <c r="AL256" s="16">
        <v>1073775.96</v>
      </c>
      <c r="AM256" s="16">
        <v>40606.0</v>
      </c>
      <c r="AN256" s="16">
        <v>18071.0</v>
      </c>
      <c r="AO256" s="16">
        <v>2400.0</v>
      </c>
      <c r="AP256" s="16">
        <v>1872.68</v>
      </c>
      <c r="AQ256" s="16">
        <v>3646.28</v>
      </c>
      <c r="AR256" s="16">
        <v>0.0</v>
      </c>
      <c r="AS256" s="7">
        <v>25466.5</v>
      </c>
      <c r="AT256" s="7">
        <v>8904.0</v>
      </c>
      <c r="AU256" s="7">
        <v>10306.33</v>
      </c>
      <c r="AV256" s="7">
        <v>3618.04</v>
      </c>
      <c r="AW256" s="7">
        <v>20006.0</v>
      </c>
      <c r="AX256" s="7">
        <f>11319.04-AT256</f>
        <v>2415.04</v>
      </c>
      <c r="AY256" s="7">
        <f t="shared" si="512"/>
        <v>70715.91</v>
      </c>
      <c r="AZ256" s="8"/>
      <c r="BA256" s="9"/>
      <c r="BB256" s="10"/>
      <c r="BC256" s="10"/>
    </row>
    <row r="257">
      <c r="A257" s="11">
        <v>2024.0</v>
      </c>
      <c r="B257" s="11" t="s">
        <v>62</v>
      </c>
      <c r="C257" s="12">
        <v>45644.0</v>
      </c>
      <c r="D257" s="44">
        <v>7.0</v>
      </c>
      <c r="E257" s="26">
        <v>220605.38</v>
      </c>
      <c r="F257" s="26">
        <v>16183.36</v>
      </c>
      <c r="G257" s="26">
        <v>2559.68</v>
      </c>
      <c r="H257" s="26">
        <v>966.0</v>
      </c>
      <c r="I257" s="66">
        <v>528.61</v>
      </c>
      <c r="J257" s="26">
        <v>3644.15</v>
      </c>
      <c r="K257" s="26">
        <v>23093.08</v>
      </c>
      <c r="L257" s="26">
        <v>4181.43</v>
      </c>
      <c r="M257" s="15">
        <v>4.0</v>
      </c>
      <c r="N257" s="16">
        <v>824711.5</v>
      </c>
      <c r="O257" s="16">
        <f t="shared" si="500"/>
        <v>32988.46</v>
      </c>
      <c r="P257" s="16">
        <f t="shared" si="501"/>
        <v>13855.1532</v>
      </c>
      <c r="Q257" s="16">
        <f t="shared" si="502"/>
        <v>2208</v>
      </c>
      <c r="R257" s="16">
        <f t="shared" si="503"/>
        <v>956.76</v>
      </c>
      <c r="S257" s="17">
        <f t="shared" si="504"/>
        <v>1573.68</v>
      </c>
      <c r="T257" s="17">
        <f t="shared" si="505"/>
        <v>552</v>
      </c>
      <c r="U257" s="7">
        <v>2662.03</v>
      </c>
      <c r="V257" s="18">
        <f t="shared" si="506"/>
        <v>13855.1532</v>
      </c>
      <c r="W257" s="68">
        <f t="shared" si="507"/>
        <v>1485.37</v>
      </c>
      <c r="X257" s="69">
        <f t="shared" si="508"/>
        <v>3644.15</v>
      </c>
      <c r="Y257" s="7">
        <f t="shared" si="509"/>
        <v>32988.46</v>
      </c>
      <c r="Z257" s="7">
        <f t="shared" si="510"/>
        <v>2208</v>
      </c>
      <c r="AA257" s="18">
        <f t="shared" si="511"/>
        <v>56843.1632</v>
      </c>
      <c r="AB257" s="56">
        <v>2.0</v>
      </c>
      <c r="AC257" s="24">
        <v>118980.8</v>
      </c>
      <c r="AD257" s="24">
        <v>6260.23</v>
      </c>
      <c r="AE257" s="24">
        <v>907.79</v>
      </c>
      <c r="AF257" s="24">
        <v>276.0</v>
      </c>
      <c r="AG257" s="24">
        <v>145.35</v>
      </c>
      <c r="AH257" s="24">
        <v>0.0</v>
      </c>
      <c r="AI257" s="24">
        <v>2932.21</v>
      </c>
      <c r="AJ257" s="24">
        <v>1998.88</v>
      </c>
      <c r="AK257" s="15">
        <v>1.0</v>
      </c>
      <c r="AL257" s="16">
        <v>40517.59</v>
      </c>
      <c r="AM257" s="16">
        <v>1533.0</v>
      </c>
      <c r="AN257" s="16">
        <v>682.0</v>
      </c>
      <c r="AO257" s="16">
        <v>600.0</v>
      </c>
      <c r="AP257" s="16">
        <v>357.59</v>
      </c>
      <c r="AQ257" s="16">
        <v>245.0</v>
      </c>
      <c r="AR257" s="16">
        <v>0.0</v>
      </c>
      <c r="AS257" s="7">
        <v>19766.36</v>
      </c>
      <c r="AT257" s="7">
        <v>11128.0</v>
      </c>
      <c r="AU257" s="7">
        <v>8337.75</v>
      </c>
      <c r="AV257" s="7">
        <v>5324.58</v>
      </c>
      <c r="AW257" s="7">
        <v>25006.0</v>
      </c>
      <c r="AX257" s="7">
        <f>15228.64-AT257</f>
        <v>4100.64</v>
      </c>
      <c r="AY257" s="7">
        <f t="shared" si="512"/>
        <v>73663.33</v>
      </c>
      <c r="AZ257" s="8"/>
      <c r="BA257" s="9"/>
      <c r="BB257" s="10"/>
      <c r="BC257" s="10"/>
    </row>
    <row r="258">
      <c r="A258" s="11">
        <v>2024.0</v>
      </c>
      <c r="B258" s="11" t="s">
        <v>62</v>
      </c>
      <c r="C258" s="12">
        <v>45645.0</v>
      </c>
      <c r="D258" s="44">
        <v>16.0</v>
      </c>
      <c r="E258" s="26">
        <v>1071370.82</v>
      </c>
      <c r="F258" s="26">
        <v>41347.37</v>
      </c>
      <c r="G258" s="26">
        <v>4238.57</v>
      </c>
      <c r="H258" s="26">
        <v>1518.0</v>
      </c>
      <c r="I258" s="66">
        <v>1419.39</v>
      </c>
      <c r="J258" s="26">
        <v>995.34</v>
      </c>
      <c r="K258" s="26">
        <v>15594.21</v>
      </c>
      <c r="L258" s="26">
        <v>19021.66</v>
      </c>
      <c r="M258" s="15">
        <v>3.0</v>
      </c>
      <c r="N258" s="16">
        <v>451152.9</v>
      </c>
      <c r="O258" s="16">
        <f t="shared" si="500"/>
        <v>18046.116</v>
      </c>
      <c r="P258" s="16">
        <f t="shared" si="501"/>
        <v>7579.36872</v>
      </c>
      <c r="Q258" s="16">
        <f t="shared" si="502"/>
        <v>1656</v>
      </c>
      <c r="R258" s="16">
        <f t="shared" si="503"/>
        <v>717.57</v>
      </c>
      <c r="S258" s="17">
        <f t="shared" si="504"/>
        <v>1180.26</v>
      </c>
      <c r="T258" s="17">
        <f t="shared" si="505"/>
        <v>414</v>
      </c>
      <c r="U258" s="7">
        <v>5063.74</v>
      </c>
      <c r="V258" s="18">
        <f t="shared" si="506"/>
        <v>7579.36872</v>
      </c>
      <c r="W258" s="68">
        <f t="shared" si="507"/>
        <v>2136.96</v>
      </c>
      <c r="X258" s="69">
        <f t="shared" si="508"/>
        <v>995.34</v>
      </c>
      <c r="Y258" s="7">
        <f t="shared" si="509"/>
        <v>18046.116</v>
      </c>
      <c r="Z258" s="7">
        <f t="shared" si="510"/>
        <v>1656</v>
      </c>
      <c r="AA258" s="18">
        <f t="shared" si="511"/>
        <v>35477.52472</v>
      </c>
      <c r="AB258" s="56">
        <v>10.0</v>
      </c>
      <c r="AC258" s="24">
        <v>867051.31</v>
      </c>
      <c r="AD258" s="24">
        <v>29763.74</v>
      </c>
      <c r="AE258" s="24">
        <v>3352.67</v>
      </c>
      <c r="AF258" s="24">
        <v>1242.0</v>
      </c>
      <c r="AG258" s="24">
        <v>1058.32</v>
      </c>
      <c r="AH258" s="24">
        <v>0.0</v>
      </c>
      <c r="AI258" s="24">
        <v>8572.81</v>
      </c>
      <c r="AJ258" s="24">
        <v>15537.94</v>
      </c>
      <c r="AK258" s="15">
        <v>10.0</v>
      </c>
      <c r="AL258" s="16">
        <v>908989.15</v>
      </c>
      <c r="AM258" s="16">
        <v>34378.0</v>
      </c>
      <c r="AN258" s="16">
        <v>15301.0</v>
      </c>
      <c r="AO258" s="16">
        <v>6000.0</v>
      </c>
      <c r="AP258" s="16">
        <v>4562.31</v>
      </c>
      <c r="AQ258" s="16">
        <v>3357.85</v>
      </c>
      <c r="AR258" s="16">
        <v>0.0</v>
      </c>
      <c r="AS258" s="7">
        <v>10129.7</v>
      </c>
      <c r="AT258" s="7">
        <v>2486.0</v>
      </c>
      <c r="AU258" s="7">
        <v>6237.49</v>
      </c>
      <c r="AV258" s="7">
        <v>1019.62</v>
      </c>
      <c r="AW258" s="7">
        <v>5586.0</v>
      </c>
      <c r="AX258" s="7">
        <f>3633.83-AT258</f>
        <v>1147.83</v>
      </c>
      <c r="AY258" s="7">
        <f t="shared" si="512"/>
        <v>26606.64</v>
      </c>
      <c r="AZ258" s="8"/>
      <c r="BA258" s="9"/>
      <c r="BB258" s="10"/>
      <c r="BC258" s="10"/>
    </row>
    <row r="259">
      <c r="A259" s="11">
        <v>2024.0</v>
      </c>
      <c r="B259" s="11" t="s">
        <v>62</v>
      </c>
      <c r="C259" s="12">
        <v>45646.0</v>
      </c>
      <c r="D259" s="44">
        <v>15.0</v>
      </c>
      <c r="E259" s="26">
        <v>829438.65</v>
      </c>
      <c r="F259" s="26">
        <v>43502.82</v>
      </c>
      <c r="G259" s="26">
        <v>4786.87</v>
      </c>
      <c r="H259" s="26">
        <v>1656.0</v>
      </c>
      <c r="I259" s="66">
        <v>1917.06</v>
      </c>
      <c r="J259" s="26">
        <v>2122.64</v>
      </c>
      <c r="K259" s="26">
        <v>20671.06</v>
      </c>
      <c r="L259" s="26">
        <v>14471.83</v>
      </c>
      <c r="M259" s="15">
        <v>2.0</v>
      </c>
      <c r="N259" s="16">
        <v>267716.25</v>
      </c>
      <c r="O259" s="16">
        <f t="shared" si="500"/>
        <v>10708.65</v>
      </c>
      <c r="P259" s="16">
        <f t="shared" si="501"/>
        <v>4497.633</v>
      </c>
      <c r="Q259" s="16">
        <f t="shared" si="502"/>
        <v>1104</v>
      </c>
      <c r="R259" s="16">
        <f t="shared" si="503"/>
        <v>478.38</v>
      </c>
      <c r="S259" s="17">
        <f t="shared" si="504"/>
        <v>786.84</v>
      </c>
      <c r="T259" s="17">
        <f t="shared" si="505"/>
        <v>276</v>
      </c>
      <c r="U259" s="7">
        <v>4683.44</v>
      </c>
      <c r="V259" s="18">
        <f t="shared" si="506"/>
        <v>4497.633</v>
      </c>
      <c r="W259" s="68">
        <f t="shared" si="507"/>
        <v>2395.44</v>
      </c>
      <c r="X259" s="69">
        <f t="shared" si="508"/>
        <v>2122.64</v>
      </c>
      <c r="Y259" s="7">
        <f t="shared" si="509"/>
        <v>10708.65</v>
      </c>
      <c r="Z259" s="7">
        <f t="shared" si="510"/>
        <v>1104</v>
      </c>
      <c r="AA259" s="18">
        <f t="shared" si="511"/>
        <v>25511.803</v>
      </c>
      <c r="AB259" s="56">
        <v>3.0</v>
      </c>
      <c r="AC259" s="24">
        <v>199111.56</v>
      </c>
      <c r="AD259" s="24">
        <v>9772.44</v>
      </c>
      <c r="AE259" s="24">
        <v>1404.96</v>
      </c>
      <c r="AF259" s="24">
        <v>414.0</v>
      </c>
      <c r="AG259" s="24">
        <v>634.43</v>
      </c>
      <c r="AH259" s="24">
        <v>0.0</v>
      </c>
      <c r="AI259" s="24">
        <v>3212.84</v>
      </c>
      <c r="AJ259" s="24">
        <v>4106.21</v>
      </c>
      <c r="AK259" s="15">
        <v>7.0</v>
      </c>
      <c r="AL259" s="16">
        <v>593754.25</v>
      </c>
      <c r="AM259" s="16">
        <v>22517.0</v>
      </c>
      <c r="AN259" s="16">
        <v>10472.6</v>
      </c>
      <c r="AO259" s="16">
        <v>4485.0</v>
      </c>
      <c r="AP259" s="16">
        <v>3191.6</v>
      </c>
      <c r="AQ259" s="16">
        <v>2968.08</v>
      </c>
      <c r="AR259" s="16">
        <v>0.0</v>
      </c>
      <c r="AS259" s="7">
        <v>10652.03</v>
      </c>
      <c r="AT259" s="7">
        <v>12815.0</v>
      </c>
      <c r="AU259" s="7">
        <v>3599.13</v>
      </c>
      <c r="AV259" s="7">
        <v>2445.35</v>
      </c>
      <c r="AW259" s="7">
        <v>28792.0</v>
      </c>
      <c r="AX259" s="7">
        <f>28921.36-AT259</f>
        <v>16106.36</v>
      </c>
      <c r="AY259" s="7">
        <f t="shared" si="512"/>
        <v>74409.87</v>
      </c>
      <c r="AZ259" s="8"/>
      <c r="BA259" s="9"/>
      <c r="BB259" s="10"/>
      <c r="BC259" s="10"/>
    </row>
    <row r="260">
      <c r="A260" s="11">
        <v>2024.0</v>
      </c>
      <c r="B260" s="11" t="s">
        <v>62</v>
      </c>
      <c r="C260" s="1"/>
      <c r="D260" s="2">
        <v>93.0</v>
      </c>
      <c r="E260" s="2"/>
      <c r="F260" s="59" t="s">
        <v>65</v>
      </c>
      <c r="G260" s="33"/>
      <c r="H260" s="33"/>
      <c r="I260" s="33"/>
      <c r="J260" s="33"/>
      <c r="K260" s="33"/>
      <c r="L260" s="33"/>
      <c r="M260" s="15">
        <v>2.0</v>
      </c>
      <c r="N260" s="16">
        <v>185000.0</v>
      </c>
      <c r="O260" s="35"/>
      <c r="P260" s="35"/>
      <c r="Q260" s="35"/>
      <c r="R260" s="35"/>
      <c r="S260" s="35"/>
      <c r="T260" s="35"/>
      <c r="U260" s="37"/>
      <c r="V260" s="48"/>
      <c r="W260" s="48"/>
      <c r="X260" s="37"/>
      <c r="Y260" s="48"/>
      <c r="Z260" s="48"/>
      <c r="AA260" s="48"/>
      <c r="AB260" s="2"/>
      <c r="AC260" s="33"/>
      <c r="AD260" s="2"/>
      <c r="AE260" s="33"/>
      <c r="AF260" s="33"/>
      <c r="AG260" s="33"/>
      <c r="AH260" s="33"/>
      <c r="AI260" s="33"/>
      <c r="AJ260" s="33"/>
      <c r="AK260" s="4"/>
      <c r="AL260" s="4"/>
      <c r="AM260" s="35"/>
      <c r="AN260" s="35"/>
      <c r="AO260" s="35"/>
      <c r="AP260" s="35"/>
      <c r="AQ260" s="35"/>
      <c r="AR260" s="35"/>
      <c r="AS260" s="37"/>
      <c r="AT260" s="48"/>
      <c r="AU260" s="48"/>
      <c r="AV260" s="48"/>
      <c r="AW260" s="48"/>
      <c r="AX260" s="48"/>
      <c r="AY260" s="48"/>
      <c r="AZ260" s="38"/>
      <c r="BA260" s="39"/>
      <c r="BB260" s="40"/>
      <c r="BC260" s="40"/>
    </row>
    <row r="261">
      <c r="A261" s="1">
        <v>2024.0</v>
      </c>
      <c r="B261" s="1" t="s">
        <v>62</v>
      </c>
      <c r="C261" s="1" t="s">
        <v>49</v>
      </c>
      <c r="D261" s="33">
        <f t="shared" ref="D261:L261" si="513">SUM(D253:D259)</f>
        <v>119</v>
      </c>
      <c r="E261" s="34">
        <f t="shared" si="513"/>
        <v>8838429.56</v>
      </c>
      <c r="F261" s="34">
        <f t="shared" si="513"/>
        <v>361193.48</v>
      </c>
      <c r="G261" s="34">
        <f t="shared" si="513"/>
        <v>36199.1</v>
      </c>
      <c r="H261" s="34">
        <f t="shared" si="513"/>
        <v>12558</v>
      </c>
      <c r="I261" s="55">
        <f t="shared" si="513"/>
        <v>18635.8</v>
      </c>
      <c r="J261" s="34">
        <f t="shared" si="513"/>
        <v>100562.3</v>
      </c>
      <c r="K261" s="34">
        <f t="shared" si="513"/>
        <v>268792.48</v>
      </c>
      <c r="L261" s="34">
        <f t="shared" si="513"/>
        <v>159815.77</v>
      </c>
      <c r="M261" s="35">
        <f t="shared" ref="M261:N261" si="514">SUM(M253:M260)</f>
        <v>15</v>
      </c>
      <c r="N261" s="36">
        <f t="shared" si="514"/>
        <v>2135748.35</v>
      </c>
      <c r="O261" s="36">
        <f t="shared" ref="O261:AJ261" si="515">SUM(O253:O259)</f>
        <v>78029.934</v>
      </c>
      <c r="P261" s="36">
        <f t="shared" si="515"/>
        <v>32772.57228</v>
      </c>
      <c r="Q261" s="36">
        <f t="shared" si="515"/>
        <v>7176</v>
      </c>
      <c r="R261" s="70">
        <f t="shared" si="515"/>
        <v>3109.47</v>
      </c>
      <c r="S261" s="36">
        <f t="shared" si="515"/>
        <v>5114.46</v>
      </c>
      <c r="T261" s="36">
        <f t="shared" si="515"/>
        <v>1794</v>
      </c>
      <c r="U261" s="37">
        <f t="shared" si="515"/>
        <v>26280.93</v>
      </c>
      <c r="V261" s="37">
        <f t="shared" si="515"/>
        <v>32772.57228</v>
      </c>
      <c r="W261" s="71">
        <f t="shared" si="515"/>
        <v>21745.27</v>
      </c>
      <c r="X261" s="37">
        <f t="shared" si="515"/>
        <v>100562.3</v>
      </c>
      <c r="Y261" s="37">
        <f t="shared" si="515"/>
        <v>78029.934</v>
      </c>
      <c r="Z261" s="37">
        <f t="shared" si="515"/>
        <v>7176</v>
      </c>
      <c r="AA261" s="37">
        <f t="shared" si="515"/>
        <v>266567.0063</v>
      </c>
      <c r="AB261" s="33">
        <f t="shared" si="515"/>
        <v>41</v>
      </c>
      <c r="AC261" s="34">
        <f t="shared" si="515"/>
        <v>3179714.85</v>
      </c>
      <c r="AD261" s="34">
        <f t="shared" si="515"/>
        <v>114122.92</v>
      </c>
      <c r="AE261" s="34">
        <f t="shared" si="515"/>
        <v>13555.19</v>
      </c>
      <c r="AF261" s="34">
        <f t="shared" si="515"/>
        <v>4416</v>
      </c>
      <c r="AG261" s="34">
        <f t="shared" si="515"/>
        <v>7126.5</v>
      </c>
      <c r="AH261" s="34">
        <f t="shared" si="515"/>
        <v>0</v>
      </c>
      <c r="AI261" s="34">
        <f t="shared" si="515"/>
        <v>33817.4</v>
      </c>
      <c r="AJ261" s="34">
        <f t="shared" si="515"/>
        <v>55207.83</v>
      </c>
      <c r="AK261" s="35">
        <f t="shared" ref="AK261:AL261" si="516">SUM(AK253:AK260)</f>
        <v>24</v>
      </c>
      <c r="AL261" s="36">
        <f t="shared" si="516"/>
        <v>2744653.39</v>
      </c>
      <c r="AM261" s="36">
        <f t="shared" ref="AM261:AY261" si="517">SUM(AM253:AM259)</f>
        <v>101907</v>
      </c>
      <c r="AN261" s="36">
        <f t="shared" si="517"/>
        <v>45805.6</v>
      </c>
      <c r="AO261" s="36">
        <f t="shared" si="517"/>
        <v>14085</v>
      </c>
      <c r="AP261" s="36">
        <f t="shared" si="517"/>
        <v>10507.83</v>
      </c>
      <c r="AQ261" s="36">
        <f t="shared" si="517"/>
        <v>10464.17</v>
      </c>
      <c r="AR261" s="36">
        <f t="shared" si="517"/>
        <v>0</v>
      </c>
      <c r="AS261" s="37">
        <f t="shared" si="517"/>
        <v>100108.85</v>
      </c>
      <c r="AT261" s="37">
        <f t="shared" si="517"/>
        <v>44086</v>
      </c>
      <c r="AU261" s="37">
        <f t="shared" si="517"/>
        <v>37787.03</v>
      </c>
      <c r="AV261" s="37">
        <f t="shared" si="517"/>
        <v>15057.53</v>
      </c>
      <c r="AW261" s="37">
        <f t="shared" si="517"/>
        <v>99058</v>
      </c>
      <c r="AX261" s="37">
        <f t="shared" si="517"/>
        <v>28092.82</v>
      </c>
      <c r="AY261" s="37">
        <f t="shared" si="517"/>
        <v>324190.23</v>
      </c>
      <c r="AZ261" s="38"/>
      <c r="BA261" s="39"/>
      <c r="BB261" s="40"/>
      <c r="BC261" s="40"/>
    </row>
    <row r="262">
      <c r="A262" s="11">
        <v>2024.0</v>
      </c>
      <c r="B262" s="11" t="s">
        <v>62</v>
      </c>
      <c r="C262" s="12">
        <v>45647.0</v>
      </c>
      <c r="D262" s="44">
        <v>6.0</v>
      </c>
      <c r="E262" s="26">
        <v>331110.51</v>
      </c>
      <c r="F262" s="26">
        <v>14487.8</v>
      </c>
      <c r="G262" s="26">
        <v>1983.43</v>
      </c>
      <c r="H262" s="26">
        <v>828.0</v>
      </c>
      <c r="I262" s="66">
        <v>944.11</v>
      </c>
      <c r="J262" s="26">
        <v>1217.92</v>
      </c>
      <c r="K262" s="26">
        <v>5169.6</v>
      </c>
      <c r="L262" s="26">
        <v>5562.66</v>
      </c>
      <c r="M262" s="15">
        <v>0.0</v>
      </c>
      <c r="N262" s="16">
        <v>0.0</v>
      </c>
      <c r="O262" s="16">
        <f t="shared" ref="O262:O268" si="518">N262*4%</f>
        <v>0</v>
      </c>
      <c r="P262" s="16">
        <f t="shared" ref="P262:P268" si="519">N262*1.68%</f>
        <v>0</v>
      </c>
      <c r="Q262" s="16">
        <f t="shared" ref="Q262:Q268" si="520">M262*(250+300+2)</f>
        <v>0</v>
      </c>
      <c r="R262" s="67">
        <f t="shared" ref="R262:R268" si="521">M262*239.19</f>
        <v>0</v>
      </c>
      <c r="S262" s="17">
        <f t="shared" ref="S262:S268" si="522">M262*393.42</f>
        <v>0</v>
      </c>
      <c r="T262" s="17">
        <f t="shared" ref="T262:T268" si="523">M262*138</f>
        <v>0</v>
      </c>
      <c r="U262" s="7">
        <v>0.0</v>
      </c>
      <c r="V262" s="18">
        <f t="shared" ref="V262:V268" si="524">P262</f>
        <v>0</v>
      </c>
      <c r="W262" s="68">
        <f t="shared" ref="W262:W268" si="525">I262+R262</f>
        <v>944.11</v>
      </c>
      <c r="X262" s="69">
        <f t="shared" ref="X262:X268" si="526">J262</f>
        <v>1217.92</v>
      </c>
      <c r="Y262" s="7">
        <f t="shared" ref="Y262:Y268" si="527">O262</f>
        <v>0</v>
      </c>
      <c r="Z262" s="7">
        <f t="shared" ref="Z262:Z268" si="528">Q262</f>
        <v>0</v>
      </c>
      <c r="AA262" s="18">
        <f t="shared" ref="AA262:AA268" si="529">SUM(U262:Z262)</f>
        <v>2162.03</v>
      </c>
      <c r="AB262" s="56">
        <v>4.0</v>
      </c>
      <c r="AC262" s="24">
        <v>222367.64</v>
      </c>
      <c r="AD262" s="24">
        <v>9719.26</v>
      </c>
      <c r="AE262" s="24">
        <v>1385.92</v>
      </c>
      <c r="AF262" s="24">
        <v>552.0</v>
      </c>
      <c r="AG262" s="24">
        <v>565.73</v>
      </c>
      <c r="AH262" s="24">
        <v>0.0</v>
      </c>
      <c r="AI262" s="24">
        <v>3479.83</v>
      </c>
      <c r="AJ262" s="24">
        <v>3735.78</v>
      </c>
      <c r="AK262" s="15">
        <v>0.0</v>
      </c>
      <c r="AL262" s="16">
        <v>0.0</v>
      </c>
      <c r="AM262" s="16">
        <v>0.0</v>
      </c>
      <c r="AN262" s="16">
        <v>0.0</v>
      </c>
      <c r="AO262" s="16">
        <v>0.0</v>
      </c>
      <c r="AP262" s="16">
        <v>0.0</v>
      </c>
      <c r="AQ262" s="16">
        <v>0.0</v>
      </c>
      <c r="AR262" s="16">
        <v>0.0</v>
      </c>
      <c r="AS262" s="7">
        <v>0.0</v>
      </c>
      <c r="AT262" s="7">
        <v>0.0</v>
      </c>
      <c r="AU262" s="7">
        <v>0.0</v>
      </c>
      <c r="AV262" s="7">
        <v>0.0</v>
      </c>
      <c r="AW262" s="7">
        <v>0.0</v>
      </c>
      <c r="AX262" s="7">
        <v>0.0</v>
      </c>
      <c r="AY262" s="7">
        <f>SUM(AS262:AX262)</f>
        <v>0</v>
      </c>
      <c r="AZ262" s="8"/>
      <c r="BA262" s="9"/>
      <c r="BB262" s="10"/>
      <c r="BC262" s="10"/>
    </row>
    <row r="263">
      <c r="A263" s="11">
        <v>2024.0</v>
      </c>
      <c r="B263" s="11" t="s">
        <v>62</v>
      </c>
      <c r="C263" s="12">
        <v>45648.0</v>
      </c>
      <c r="D263" s="44">
        <v>11.0</v>
      </c>
      <c r="E263" s="26">
        <v>488582.6</v>
      </c>
      <c r="F263" s="26">
        <v>23908.57</v>
      </c>
      <c r="G263" s="26">
        <v>3798.47</v>
      </c>
      <c r="H263" s="26">
        <v>1518.0</v>
      </c>
      <c r="I263" s="66">
        <v>1500.61</v>
      </c>
      <c r="J263" s="26">
        <v>3640.36</v>
      </c>
      <c r="K263" s="26">
        <v>11554.83</v>
      </c>
      <c r="L263" s="26">
        <v>8572.72</v>
      </c>
      <c r="M263" s="15">
        <v>0.0</v>
      </c>
      <c r="N263" s="16">
        <v>0.0</v>
      </c>
      <c r="O263" s="16">
        <f t="shared" si="518"/>
        <v>0</v>
      </c>
      <c r="P263" s="16">
        <f t="shared" si="519"/>
        <v>0</v>
      </c>
      <c r="Q263" s="16">
        <f t="shared" si="520"/>
        <v>0</v>
      </c>
      <c r="R263" s="16">
        <f t="shared" si="521"/>
        <v>0</v>
      </c>
      <c r="S263" s="17">
        <f t="shared" si="522"/>
        <v>0</v>
      </c>
      <c r="T263" s="17">
        <f t="shared" si="523"/>
        <v>0</v>
      </c>
      <c r="U263" s="7">
        <v>0.0</v>
      </c>
      <c r="V263" s="18">
        <f t="shared" si="524"/>
        <v>0</v>
      </c>
      <c r="W263" s="68">
        <f t="shared" si="525"/>
        <v>1500.61</v>
      </c>
      <c r="X263" s="69">
        <f t="shared" si="526"/>
        <v>3640.36</v>
      </c>
      <c r="Y263" s="7">
        <f t="shared" si="527"/>
        <v>0</v>
      </c>
      <c r="Z263" s="7">
        <f t="shared" si="528"/>
        <v>0</v>
      </c>
      <c r="AA263" s="18">
        <f t="shared" si="529"/>
        <v>5140.97</v>
      </c>
      <c r="AB263" s="56">
        <v>6.0</v>
      </c>
      <c r="AC263" s="24" t="s">
        <v>66</v>
      </c>
      <c r="AD263" s="24" t="s">
        <v>67</v>
      </c>
      <c r="AE263" s="24" t="s">
        <v>68</v>
      </c>
      <c r="AF263" s="24" t="s">
        <v>69</v>
      </c>
      <c r="AG263" s="24" t="s">
        <v>70</v>
      </c>
      <c r="AH263" s="24">
        <v>0.0</v>
      </c>
      <c r="AI263" s="24" t="s">
        <v>71</v>
      </c>
      <c r="AJ263" s="24" t="s">
        <v>72</v>
      </c>
      <c r="AK263" s="15">
        <v>0.0</v>
      </c>
      <c r="AL263" s="16">
        <v>0.0</v>
      </c>
      <c r="AM263" s="16">
        <v>0.0</v>
      </c>
      <c r="AN263" s="16">
        <v>0.0</v>
      </c>
      <c r="AO263" s="16">
        <v>0.0</v>
      </c>
      <c r="AP263" s="16">
        <v>0.0</v>
      </c>
      <c r="AQ263" s="16">
        <v>0.0</v>
      </c>
      <c r="AR263" s="16">
        <v>0.0</v>
      </c>
      <c r="AS263" s="7">
        <v>0.0</v>
      </c>
      <c r="AT263" s="7">
        <v>0.0</v>
      </c>
      <c r="AU263" s="7">
        <v>0.0</v>
      </c>
      <c r="AV263" s="7">
        <v>0.0</v>
      </c>
      <c r="AW263" s="7">
        <v>0.0</v>
      </c>
      <c r="AX263" s="7">
        <v>0.0</v>
      </c>
      <c r="AY263" s="7">
        <v>0.0</v>
      </c>
      <c r="AZ263" s="8"/>
      <c r="BA263" s="9"/>
      <c r="BB263" s="10"/>
      <c r="BC263" s="10"/>
    </row>
    <row r="264">
      <c r="A264" s="11">
        <v>2024.0</v>
      </c>
      <c r="B264" s="11" t="s">
        <v>62</v>
      </c>
      <c r="C264" s="12">
        <v>45649.0</v>
      </c>
      <c r="D264" s="44">
        <v>15.0</v>
      </c>
      <c r="E264" s="26">
        <v>931123.66</v>
      </c>
      <c r="F264" s="26">
        <v>48505.31</v>
      </c>
      <c r="G264" s="26">
        <v>5767.93</v>
      </c>
      <c r="H264" s="26">
        <v>1932.0</v>
      </c>
      <c r="I264" s="66">
        <v>2410.14</v>
      </c>
      <c r="J264" s="26">
        <v>6910.04</v>
      </c>
      <c r="K264" s="26">
        <v>33833.94</v>
      </c>
      <c r="L264" s="26">
        <v>17123.97</v>
      </c>
      <c r="M264" s="15">
        <v>0.0</v>
      </c>
      <c r="N264" s="16">
        <v>0.0</v>
      </c>
      <c r="O264" s="16">
        <f t="shared" si="518"/>
        <v>0</v>
      </c>
      <c r="P264" s="16">
        <f t="shared" si="519"/>
        <v>0</v>
      </c>
      <c r="Q264" s="16">
        <f t="shared" si="520"/>
        <v>0</v>
      </c>
      <c r="R264" s="16">
        <f t="shared" si="521"/>
        <v>0</v>
      </c>
      <c r="S264" s="17">
        <f t="shared" si="522"/>
        <v>0</v>
      </c>
      <c r="T264" s="17">
        <f t="shared" si="523"/>
        <v>0</v>
      </c>
      <c r="U264" s="7">
        <v>0.0</v>
      </c>
      <c r="V264" s="18">
        <f t="shared" si="524"/>
        <v>0</v>
      </c>
      <c r="W264" s="68">
        <f t="shared" si="525"/>
        <v>2410.14</v>
      </c>
      <c r="X264" s="69">
        <f t="shared" si="526"/>
        <v>6910.04</v>
      </c>
      <c r="Y264" s="7">
        <f t="shared" si="527"/>
        <v>0</v>
      </c>
      <c r="Z264" s="7">
        <f t="shared" si="528"/>
        <v>0</v>
      </c>
      <c r="AA264" s="18">
        <f t="shared" si="529"/>
        <v>9320.18</v>
      </c>
      <c r="AB264" s="56">
        <v>9.0</v>
      </c>
      <c r="AC264" s="24" t="s">
        <v>73</v>
      </c>
      <c r="AD264" s="24" t="s">
        <v>74</v>
      </c>
      <c r="AE264" s="24" t="s">
        <v>75</v>
      </c>
      <c r="AF264" s="24" t="s">
        <v>76</v>
      </c>
      <c r="AG264" s="24" t="s">
        <v>77</v>
      </c>
      <c r="AH264" s="24">
        <v>0.0</v>
      </c>
      <c r="AI264" s="24" t="s">
        <v>78</v>
      </c>
      <c r="AJ264" s="24" t="s">
        <v>79</v>
      </c>
      <c r="AK264" s="15">
        <v>0.0</v>
      </c>
      <c r="AL264" s="16">
        <v>0.0</v>
      </c>
      <c r="AM264" s="16">
        <v>0.0</v>
      </c>
      <c r="AN264" s="16">
        <v>0.0</v>
      </c>
      <c r="AO264" s="16">
        <v>0.0</v>
      </c>
      <c r="AP264" s="16">
        <v>0.0</v>
      </c>
      <c r="AQ264" s="16">
        <v>0.0</v>
      </c>
      <c r="AR264" s="16">
        <v>0.0</v>
      </c>
      <c r="AS264" s="7">
        <v>0.0</v>
      </c>
      <c r="AT264" s="7">
        <v>0.0</v>
      </c>
      <c r="AU264" s="7">
        <v>0.0</v>
      </c>
      <c r="AV264" s="7">
        <v>0.0</v>
      </c>
      <c r="AW264" s="7">
        <v>0.0</v>
      </c>
      <c r="AX264" s="7">
        <v>0.0</v>
      </c>
      <c r="AY264" s="7">
        <v>0.0</v>
      </c>
      <c r="AZ264" s="8"/>
      <c r="BA264" s="9"/>
      <c r="BB264" s="10"/>
      <c r="BC264" s="10"/>
    </row>
    <row r="265">
      <c r="A265" s="11">
        <v>2024.0</v>
      </c>
      <c r="B265" s="11" t="s">
        <v>62</v>
      </c>
      <c r="C265" s="12">
        <v>45650.0</v>
      </c>
      <c r="D265" s="44">
        <v>10.0</v>
      </c>
      <c r="E265" s="26">
        <v>676248.49</v>
      </c>
      <c r="F265" s="26">
        <v>32211.77</v>
      </c>
      <c r="G265" s="26">
        <v>4686.57</v>
      </c>
      <c r="H265" s="26">
        <v>1380.0</v>
      </c>
      <c r="I265" s="66">
        <v>1456.63</v>
      </c>
      <c r="J265" s="26">
        <v>5967.0</v>
      </c>
      <c r="K265" s="26">
        <v>20999.5</v>
      </c>
      <c r="L265" s="26">
        <v>10669.96</v>
      </c>
      <c r="M265" s="15">
        <v>0.0</v>
      </c>
      <c r="N265" s="16">
        <v>0.0</v>
      </c>
      <c r="O265" s="16">
        <f t="shared" si="518"/>
        <v>0</v>
      </c>
      <c r="P265" s="16">
        <f t="shared" si="519"/>
        <v>0</v>
      </c>
      <c r="Q265" s="16">
        <f t="shared" si="520"/>
        <v>0</v>
      </c>
      <c r="R265" s="16">
        <f t="shared" si="521"/>
        <v>0</v>
      </c>
      <c r="S265" s="17">
        <f t="shared" si="522"/>
        <v>0</v>
      </c>
      <c r="T265" s="17">
        <f t="shared" si="523"/>
        <v>0</v>
      </c>
      <c r="U265" s="7">
        <v>0.0</v>
      </c>
      <c r="V265" s="18">
        <f t="shared" si="524"/>
        <v>0</v>
      </c>
      <c r="W265" s="68">
        <f t="shared" si="525"/>
        <v>1456.63</v>
      </c>
      <c r="X265" s="69">
        <f t="shared" si="526"/>
        <v>5967</v>
      </c>
      <c r="Y265" s="7">
        <f t="shared" si="527"/>
        <v>0</v>
      </c>
      <c r="Z265" s="7">
        <f t="shared" si="528"/>
        <v>0</v>
      </c>
      <c r="AA265" s="18">
        <f t="shared" si="529"/>
        <v>7423.63</v>
      </c>
      <c r="AB265" s="56">
        <v>7.0</v>
      </c>
      <c r="AC265" s="24" t="s">
        <v>80</v>
      </c>
      <c r="AD265" s="24" t="s">
        <v>81</v>
      </c>
      <c r="AE265" s="24" t="s">
        <v>82</v>
      </c>
      <c r="AF265" s="24" t="s">
        <v>83</v>
      </c>
      <c r="AG265" s="24" t="s">
        <v>84</v>
      </c>
      <c r="AH265" s="24">
        <v>0.0</v>
      </c>
      <c r="AI265" s="24" t="s">
        <v>85</v>
      </c>
      <c r="AJ265" s="24" t="s">
        <v>86</v>
      </c>
      <c r="AK265" s="15">
        <v>0.0</v>
      </c>
      <c r="AL265" s="16">
        <v>0.0</v>
      </c>
      <c r="AM265" s="16">
        <v>0.0</v>
      </c>
      <c r="AN265" s="16">
        <v>0.0</v>
      </c>
      <c r="AO265" s="16">
        <v>0.0</v>
      </c>
      <c r="AP265" s="16">
        <v>0.0</v>
      </c>
      <c r="AQ265" s="16">
        <v>0.0</v>
      </c>
      <c r="AR265" s="16">
        <v>0.0</v>
      </c>
      <c r="AS265" s="7">
        <v>0.0</v>
      </c>
      <c r="AT265" s="7">
        <v>0.0</v>
      </c>
      <c r="AU265" s="7">
        <v>0.0</v>
      </c>
      <c r="AV265" s="7">
        <v>0.0</v>
      </c>
      <c r="AW265" s="7">
        <v>0.0</v>
      </c>
      <c r="AX265" s="7">
        <v>0.0</v>
      </c>
      <c r="AY265" s="7">
        <v>0.0</v>
      </c>
      <c r="AZ265" s="8"/>
      <c r="BA265" s="9"/>
      <c r="BB265" s="10"/>
      <c r="BC265" s="10"/>
    </row>
    <row r="266">
      <c r="A266" s="11">
        <v>2024.0</v>
      </c>
      <c r="B266" s="11" t="s">
        <v>62</v>
      </c>
      <c r="C266" s="12">
        <v>45651.0</v>
      </c>
      <c r="D266" s="44">
        <v>7.0</v>
      </c>
      <c r="E266" s="26">
        <v>573332.39</v>
      </c>
      <c r="F266" s="26">
        <v>29912.83</v>
      </c>
      <c r="G266" s="26">
        <v>3965.53</v>
      </c>
      <c r="H266" s="26">
        <v>966.0</v>
      </c>
      <c r="I266" s="66">
        <v>1247.23</v>
      </c>
      <c r="J266" s="26">
        <v>4251.37</v>
      </c>
      <c r="K266" s="26">
        <v>21263.58</v>
      </c>
      <c r="L266" s="26">
        <v>10251.77</v>
      </c>
      <c r="M266" s="15">
        <v>0.0</v>
      </c>
      <c r="N266" s="16">
        <v>0.0</v>
      </c>
      <c r="O266" s="16">
        <f t="shared" si="518"/>
        <v>0</v>
      </c>
      <c r="P266" s="16">
        <f t="shared" si="519"/>
        <v>0</v>
      </c>
      <c r="Q266" s="16">
        <f t="shared" si="520"/>
        <v>0</v>
      </c>
      <c r="R266" s="16">
        <f t="shared" si="521"/>
        <v>0</v>
      </c>
      <c r="S266" s="17">
        <f t="shared" si="522"/>
        <v>0</v>
      </c>
      <c r="T266" s="17">
        <f t="shared" si="523"/>
        <v>0</v>
      </c>
      <c r="U266" s="7">
        <v>0.0</v>
      </c>
      <c r="V266" s="18">
        <f t="shared" si="524"/>
        <v>0</v>
      </c>
      <c r="W266" s="68">
        <f t="shared" si="525"/>
        <v>1247.23</v>
      </c>
      <c r="X266" s="69">
        <f t="shared" si="526"/>
        <v>4251.37</v>
      </c>
      <c r="Y266" s="7">
        <f t="shared" si="527"/>
        <v>0</v>
      </c>
      <c r="Z266" s="7">
        <f t="shared" si="528"/>
        <v>0</v>
      </c>
      <c r="AA266" s="18">
        <f t="shared" si="529"/>
        <v>5498.6</v>
      </c>
      <c r="AB266" s="56">
        <v>3.0</v>
      </c>
      <c r="AC266" s="24" t="s">
        <v>87</v>
      </c>
      <c r="AD266" s="24" t="s">
        <v>88</v>
      </c>
      <c r="AE266" s="24" t="s">
        <v>89</v>
      </c>
      <c r="AF266" s="24" t="s">
        <v>90</v>
      </c>
      <c r="AG266" s="24" t="s">
        <v>91</v>
      </c>
      <c r="AH266" s="24">
        <v>0.0</v>
      </c>
      <c r="AI266" s="24" t="s">
        <v>92</v>
      </c>
      <c r="AJ266" s="24" t="s">
        <v>93</v>
      </c>
      <c r="AK266" s="15">
        <v>0.0</v>
      </c>
      <c r="AL266" s="16">
        <v>0.0</v>
      </c>
      <c r="AM266" s="16">
        <v>0.0</v>
      </c>
      <c r="AN266" s="16">
        <v>0.0</v>
      </c>
      <c r="AO266" s="16">
        <v>0.0</v>
      </c>
      <c r="AP266" s="16">
        <v>0.0</v>
      </c>
      <c r="AQ266" s="16">
        <v>0.0</v>
      </c>
      <c r="AR266" s="16">
        <v>0.0</v>
      </c>
      <c r="AS266" s="7">
        <v>0.0</v>
      </c>
      <c r="AT266" s="7">
        <v>0.0</v>
      </c>
      <c r="AU266" s="7">
        <v>0.0</v>
      </c>
      <c r="AV266" s="7">
        <v>0.0</v>
      </c>
      <c r="AW266" s="7">
        <v>0.0</v>
      </c>
      <c r="AX266" s="7">
        <v>0.0</v>
      </c>
      <c r="AY266" s="7">
        <v>0.0</v>
      </c>
      <c r="AZ266" s="8"/>
      <c r="BA266" s="9"/>
      <c r="BB266" s="10"/>
      <c r="BC266" s="10"/>
    </row>
    <row r="267">
      <c r="A267" s="11">
        <v>2024.0</v>
      </c>
      <c r="B267" s="11" t="s">
        <v>62</v>
      </c>
      <c r="C267" s="12">
        <v>45652.0</v>
      </c>
      <c r="D267" s="44">
        <v>7.0</v>
      </c>
      <c r="E267" s="26">
        <v>304367.68</v>
      </c>
      <c r="F267" s="26">
        <v>18026.76</v>
      </c>
      <c r="G267" s="26">
        <v>2352.19</v>
      </c>
      <c r="H267" s="26">
        <v>966.0</v>
      </c>
      <c r="I267" s="66">
        <v>1175.1</v>
      </c>
      <c r="J267" s="26">
        <v>3221.89</v>
      </c>
      <c r="K267" s="26">
        <v>12904.02</v>
      </c>
      <c r="L267" s="26">
        <v>5346.02</v>
      </c>
      <c r="M267" s="15">
        <v>0.0</v>
      </c>
      <c r="N267" s="16">
        <v>0.0</v>
      </c>
      <c r="O267" s="16">
        <f t="shared" si="518"/>
        <v>0</v>
      </c>
      <c r="P267" s="16">
        <f t="shared" si="519"/>
        <v>0</v>
      </c>
      <c r="Q267" s="16">
        <f t="shared" si="520"/>
        <v>0</v>
      </c>
      <c r="R267" s="16">
        <f t="shared" si="521"/>
        <v>0</v>
      </c>
      <c r="S267" s="17">
        <f t="shared" si="522"/>
        <v>0</v>
      </c>
      <c r="T267" s="17">
        <f t="shared" si="523"/>
        <v>0</v>
      </c>
      <c r="U267" s="7">
        <v>0.0</v>
      </c>
      <c r="V267" s="18">
        <f t="shared" si="524"/>
        <v>0</v>
      </c>
      <c r="W267" s="68">
        <f t="shared" si="525"/>
        <v>1175.1</v>
      </c>
      <c r="X267" s="69">
        <f t="shared" si="526"/>
        <v>3221.89</v>
      </c>
      <c r="Y267" s="7">
        <f t="shared" si="527"/>
        <v>0</v>
      </c>
      <c r="Z267" s="7">
        <f t="shared" si="528"/>
        <v>0</v>
      </c>
      <c r="AA267" s="18">
        <f t="shared" si="529"/>
        <v>4396.99</v>
      </c>
      <c r="AB267" s="56">
        <v>3.0</v>
      </c>
      <c r="AC267" s="24" t="s">
        <v>94</v>
      </c>
      <c r="AD267" s="24" t="s">
        <v>95</v>
      </c>
      <c r="AE267" s="24" t="s">
        <v>96</v>
      </c>
      <c r="AF267" s="24" t="s">
        <v>90</v>
      </c>
      <c r="AG267" s="24" t="s">
        <v>97</v>
      </c>
      <c r="AH267" s="24">
        <v>0.0</v>
      </c>
      <c r="AI267" s="24" t="s">
        <v>98</v>
      </c>
      <c r="AJ267" s="24" t="s">
        <v>99</v>
      </c>
      <c r="AK267" s="15">
        <v>0.0</v>
      </c>
      <c r="AL267" s="16">
        <v>0.0</v>
      </c>
      <c r="AM267" s="16">
        <v>0.0</v>
      </c>
      <c r="AN267" s="16">
        <v>0.0</v>
      </c>
      <c r="AO267" s="16">
        <v>0.0</v>
      </c>
      <c r="AP267" s="16">
        <v>0.0</v>
      </c>
      <c r="AQ267" s="16">
        <v>0.0</v>
      </c>
      <c r="AR267" s="16">
        <v>0.0</v>
      </c>
      <c r="AS267" s="7">
        <v>0.0</v>
      </c>
      <c r="AT267" s="7">
        <v>0.0</v>
      </c>
      <c r="AU267" s="7">
        <v>0.0</v>
      </c>
      <c r="AV267" s="7">
        <v>0.0</v>
      </c>
      <c r="AW267" s="7">
        <v>0.0</v>
      </c>
      <c r="AX267" s="7">
        <v>0.0</v>
      </c>
      <c r="AY267" s="7">
        <v>0.0</v>
      </c>
      <c r="AZ267" s="8"/>
      <c r="BA267" s="9"/>
      <c r="BB267" s="10"/>
      <c r="BC267" s="10"/>
    </row>
    <row r="268">
      <c r="A268" s="11">
        <v>2024.0</v>
      </c>
      <c r="B268" s="11" t="s">
        <v>62</v>
      </c>
      <c r="C268" s="12">
        <v>45653.0</v>
      </c>
      <c r="D268" s="44">
        <v>5.0</v>
      </c>
      <c r="E268" s="26">
        <v>321964.89</v>
      </c>
      <c r="F268" s="26">
        <v>15988.75</v>
      </c>
      <c r="G268" s="26">
        <v>2058.21</v>
      </c>
      <c r="H268" s="26">
        <v>690.0</v>
      </c>
      <c r="I268" s="66">
        <v>699.0</v>
      </c>
      <c r="J268" s="26">
        <v>1159.44</v>
      </c>
      <c r="K268" s="26">
        <v>7132.53</v>
      </c>
      <c r="L268" s="26">
        <v>5409.01</v>
      </c>
      <c r="M268" s="15">
        <v>0.0</v>
      </c>
      <c r="N268" s="16">
        <v>0.0</v>
      </c>
      <c r="O268" s="16">
        <f t="shared" si="518"/>
        <v>0</v>
      </c>
      <c r="P268" s="16">
        <f t="shared" si="519"/>
        <v>0</v>
      </c>
      <c r="Q268" s="16">
        <f t="shared" si="520"/>
        <v>0</v>
      </c>
      <c r="R268" s="16">
        <f t="shared" si="521"/>
        <v>0</v>
      </c>
      <c r="S268" s="17">
        <f t="shared" si="522"/>
        <v>0</v>
      </c>
      <c r="T268" s="17">
        <f t="shared" si="523"/>
        <v>0</v>
      </c>
      <c r="U268" s="7">
        <v>0.0</v>
      </c>
      <c r="V268" s="18">
        <f t="shared" si="524"/>
        <v>0</v>
      </c>
      <c r="W268" s="68">
        <f t="shared" si="525"/>
        <v>699</v>
      </c>
      <c r="X268" s="69">
        <f t="shared" si="526"/>
        <v>1159.44</v>
      </c>
      <c r="Y268" s="7">
        <f t="shared" si="527"/>
        <v>0</v>
      </c>
      <c r="Z268" s="7">
        <f t="shared" si="528"/>
        <v>0</v>
      </c>
      <c r="AA268" s="18">
        <f t="shared" si="529"/>
        <v>1858.44</v>
      </c>
      <c r="AB268" s="56">
        <v>4.0</v>
      </c>
      <c r="AC268" s="24" t="s">
        <v>100</v>
      </c>
      <c r="AD268" s="24">
        <v>11356.93</v>
      </c>
      <c r="AE268" s="24">
        <v>1525.25</v>
      </c>
      <c r="AF268" s="24">
        <v>552.0</v>
      </c>
      <c r="AG268" s="24">
        <v>647.89</v>
      </c>
      <c r="AH268" s="24">
        <v>0.0</v>
      </c>
      <c r="AI268" s="24">
        <v>4961.94</v>
      </c>
      <c r="AJ268" s="24">
        <v>3669.85</v>
      </c>
      <c r="AK268" s="15">
        <v>0.0</v>
      </c>
      <c r="AL268" s="16">
        <v>0.0</v>
      </c>
      <c r="AM268" s="16">
        <v>0.0</v>
      </c>
      <c r="AN268" s="16">
        <v>0.0</v>
      </c>
      <c r="AO268" s="16">
        <v>0.0</v>
      </c>
      <c r="AP268" s="16">
        <v>0.0</v>
      </c>
      <c r="AQ268" s="16">
        <v>0.0</v>
      </c>
      <c r="AR268" s="16">
        <v>0.0</v>
      </c>
      <c r="AS268" s="7">
        <v>10783.9</v>
      </c>
      <c r="AT268" s="7">
        <v>0.0</v>
      </c>
      <c r="AU268" s="7">
        <v>3498.78</v>
      </c>
      <c r="AV268" s="7">
        <v>2689.23</v>
      </c>
      <c r="AW268" s="7">
        <v>0.0</v>
      </c>
      <c r="AX268" s="7">
        <v>4.98</v>
      </c>
      <c r="AY268" s="7">
        <f>SUM(AS268:AX268)</f>
        <v>16976.89</v>
      </c>
      <c r="AZ268" s="8"/>
      <c r="BA268" s="9"/>
      <c r="BB268" s="10"/>
      <c r="BC268" s="10"/>
    </row>
    <row r="269">
      <c r="A269" s="11">
        <v>2024.0</v>
      </c>
      <c r="B269" s="11" t="s">
        <v>62</v>
      </c>
      <c r="C269" s="1"/>
      <c r="D269" s="2">
        <v>112.0</v>
      </c>
      <c r="E269" s="2"/>
      <c r="F269" s="59">
        <v>383451.58</v>
      </c>
      <c r="G269" s="33"/>
      <c r="H269" s="33"/>
      <c r="I269" s="33"/>
      <c r="J269" s="33"/>
      <c r="K269" s="33"/>
      <c r="L269" s="33"/>
      <c r="M269" s="15">
        <v>0.0</v>
      </c>
      <c r="N269" s="16">
        <v>0.0</v>
      </c>
      <c r="O269" s="35"/>
      <c r="P269" s="35"/>
      <c r="Q269" s="35"/>
      <c r="R269" s="35"/>
      <c r="S269" s="35"/>
      <c r="T269" s="35"/>
      <c r="U269" s="37"/>
      <c r="V269" s="48"/>
      <c r="W269" s="48"/>
      <c r="X269" s="37"/>
      <c r="Y269" s="48"/>
      <c r="Z269" s="48"/>
      <c r="AA269" s="48"/>
      <c r="AB269" s="2"/>
      <c r="AC269" s="33"/>
      <c r="AD269" s="2"/>
      <c r="AE269" s="33"/>
      <c r="AF269" s="33"/>
      <c r="AG269" s="33"/>
      <c r="AH269" s="33"/>
      <c r="AI269" s="33"/>
      <c r="AJ269" s="33"/>
      <c r="AK269" s="4"/>
      <c r="AL269" s="4"/>
      <c r="AM269" s="35"/>
      <c r="AN269" s="35"/>
      <c r="AO269" s="35"/>
      <c r="AP269" s="35"/>
      <c r="AQ269" s="35"/>
      <c r="AR269" s="35"/>
      <c r="AS269" s="37"/>
      <c r="AT269" s="48"/>
      <c r="AU269" s="48"/>
      <c r="AV269" s="48"/>
      <c r="AW269" s="48"/>
      <c r="AX269" s="48"/>
      <c r="AY269" s="48"/>
      <c r="AZ269" s="38"/>
      <c r="BA269" s="39"/>
      <c r="BB269" s="40"/>
      <c r="BC269" s="40"/>
    </row>
    <row r="270">
      <c r="A270" s="1">
        <v>2024.0</v>
      </c>
      <c r="B270" s="1" t="s">
        <v>62</v>
      </c>
      <c r="C270" s="1" t="s">
        <v>49</v>
      </c>
      <c r="D270" s="33">
        <f t="shared" ref="D270:L270" si="530">SUM(D262:D268)</f>
        <v>61</v>
      </c>
      <c r="E270" s="34">
        <f t="shared" si="530"/>
        <v>3626730.22</v>
      </c>
      <c r="F270" s="34">
        <f t="shared" si="530"/>
        <v>183041.79</v>
      </c>
      <c r="G270" s="34">
        <f t="shared" si="530"/>
        <v>24612.33</v>
      </c>
      <c r="H270" s="34">
        <f t="shared" si="530"/>
        <v>8280</v>
      </c>
      <c r="I270" s="55">
        <f t="shared" si="530"/>
        <v>9432.82</v>
      </c>
      <c r="J270" s="34">
        <f t="shared" si="530"/>
        <v>26368.02</v>
      </c>
      <c r="K270" s="34">
        <f t="shared" si="530"/>
        <v>112858</v>
      </c>
      <c r="L270" s="34">
        <f t="shared" si="530"/>
        <v>62936.11</v>
      </c>
      <c r="M270" s="35">
        <f t="shared" ref="M270:N270" si="531">SUM(M262:M269)</f>
        <v>0</v>
      </c>
      <c r="N270" s="36">
        <f t="shared" si="531"/>
        <v>0</v>
      </c>
      <c r="O270" s="36">
        <f t="shared" ref="O270:AJ270" si="532">SUM(O262:O268)</f>
        <v>0</v>
      </c>
      <c r="P270" s="36">
        <f t="shared" si="532"/>
        <v>0</v>
      </c>
      <c r="Q270" s="36">
        <f t="shared" si="532"/>
        <v>0</v>
      </c>
      <c r="R270" s="70">
        <f t="shared" si="532"/>
        <v>0</v>
      </c>
      <c r="S270" s="36">
        <f t="shared" si="532"/>
        <v>0</v>
      </c>
      <c r="T270" s="36">
        <f t="shared" si="532"/>
        <v>0</v>
      </c>
      <c r="U270" s="37">
        <f t="shared" si="532"/>
        <v>0</v>
      </c>
      <c r="V270" s="37">
        <f t="shared" si="532"/>
        <v>0</v>
      </c>
      <c r="W270" s="71">
        <f t="shared" si="532"/>
        <v>9432.82</v>
      </c>
      <c r="X270" s="37">
        <f t="shared" si="532"/>
        <v>26368.02</v>
      </c>
      <c r="Y270" s="37">
        <f t="shared" si="532"/>
        <v>0</v>
      </c>
      <c r="Z270" s="37">
        <f t="shared" si="532"/>
        <v>0</v>
      </c>
      <c r="AA270" s="37">
        <f t="shared" si="532"/>
        <v>35800.84</v>
      </c>
      <c r="AB270" s="33">
        <f t="shared" si="532"/>
        <v>36</v>
      </c>
      <c r="AC270" s="34">
        <f t="shared" si="532"/>
        <v>222367.64</v>
      </c>
      <c r="AD270" s="34">
        <f t="shared" si="532"/>
        <v>21076.19</v>
      </c>
      <c r="AE270" s="34">
        <f t="shared" si="532"/>
        <v>2911.17</v>
      </c>
      <c r="AF270" s="34">
        <f t="shared" si="532"/>
        <v>1104</v>
      </c>
      <c r="AG270" s="34">
        <f t="shared" si="532"/>
        <v>1213.62</v>
      </c>
      <c r="AH270" s="34">
        <f t="shared" si="532"/>
        <v>0</v>
      </c>
      <c r="AI270" s="34">
        <f t="shared" si="532"/>
        <v>8441.77</v>
      </c>
      <c r="AJ270" s="34">
        <f t="shared" si="532"/>
        <v>7405.63</v>
      </c>
      <c r="AK270" s="35">
        <f t="shared" ref="AK270:AL270" si="533">SUM(AK262:AK269)</f>
        <v>0</v>
      </c>
      <c r="AL270" s="36">
        <f t="shared" si="533"/>
        <v>0</v>
      </c>
      <c r="AM270" s="36">
        <f t="shared" ref="AM270:AY270" si="534">SUM(AM262:AM268)</f>
        <v>0</v>
      </c>
      <c r="AN270" s="36">
        <f t="shared" si="534"/>
        <v>0</v>
      </c>
      <c r="AO270" s="36">
        <f t="shared" si="534"/>
        <v>0</v>
      </c>
      <c r="AP270" s="36">
        <f t="shared" si="534"/>
        <v>0</v>
      </c>
      <c r="AQ270" s="36">
        <f t="shared" si="534"/>
        <v>0</v>
      </c>
      <c r="AR270" s="36">
        <f t="shared" si="534"/>
        <v>0</v>
      </c>
      <c r="AS270" s="37">
        <f t="shared" si="534"/>
        <v>10783.9</v>
      </c>
      <c r="AT270" s="37">
        <f t="shared" si="534"/>
        <v>0</v>
      </c>
      <c r="AU270" s="37">
        <f t="shared" si="534"/>
        <v>3498.78</v>
      </c>
      <c r="AV270" s="37">
        <f t="shared" si="534"/>
        <v>2689.23</v>
      </c>
      <c r="AW270" s="37">
        <f t="shared" si="534"/>
        <v>0</v>
      </c>
      <c r="AX270" s="37">
        <f t="shared" si="534"/>
        <v>4.98</v>
      </c>
      <c r="AY270" s="37">
        <f t="shared" si="534"/>
        <v>16976.89</v>
      </c>
      <c r="AZ270" s="38"/>
      <c r="BA270" s="39"/>
      <c r="BB270" s="40"/>
      <c r="BC270" s="40"/>
    </row>
    <row r="271">
      <c r="A271" s="11">
        <v>2024.0</v>
      </c>
      <c r="B271" s="11" t="s">
        <v>62</v>
      </c>
      <c r="C271" s="12">
        <v>45654.0</v>
      </c>
      <c r="D271" s="72">
        <v>12.0</v>
      </c>
      <c r="E271" s="73">
        <v>828021.6</v>
      </c>
      <c r="F271" s="73">
        <v>41073.94</v>
      </c>
      <c r="G271" s="73">
        <v>4588.09</v>
      </c>
      <c r="H271" s="73">
        <v>1380.0</v>
      </c>
      <c r="I271" s="73">
        <v>1924.75</v>
      </c>
      <c r="J271" s="73">
        <v>11602.51</v>
      </c>
      <c r="K271" s="73">
        <v>35080.98</v>
      </c>
      <c r="L271" s="73">
        <v>14513.27</v>
      </c>
      <c r="M271" s="74"/>
      <c r="N271" s="75"/>
      <c r="O271" s="75"/>
      <c r="P271" s="75"/>
      <c r="Q271" s="75"/>
      <c r="R271" s="76"/>
      <c r="S271" s="77"/>
      <c r="T271" s="77"/>
      <c r="U271" s="6">
        <v>3574.51</v>
      </c>
      <c r="V271" s="32"/>
      <c r="W271" s="32"/>
      <c r="X271" s="32"/>
      <c r="Y271" s="32"/>
      <c r="Z271" s="18"/>
      <c r="AA271" s="18">
        <f t="shared" ref="AA271:AA277" si="535">SUM(U271:Z271)</f>
        <v>3574.51</v>
      </c>
      <c r="AB271" s="56">
        <v>4.0</v>
      </c>
      <c r="AC271" s="24">
        <v>149938.91</v>
      </c>
      <c r="AD271" s="24">
        <v>7578.75</v>
      </c>
      <c r="AE271" s="24">
        <v>924.44</v>
      </c>
      <c r="AF271" s="24">
        <v>414.0</v>
      </c>
      <c r="AG271" s="24">
        <v>617.57</v>
      </c>
      <c r="AH271" s="24">
        <v>0.0</v>
      </c>
      <c r="AI271" s="24">
        <v>3018.52</v>
      </c>
      <c r="AJ271" s="24">
        <v>2604.22</v>
      </c>
      <c r="AS271" s="7">
        <v>8316.91</v>
      </c>
      <c r="AT271" s="7">
        <v>0.0</v>
      </c>
      <c r="AU271" s="7">
        <v>4030.51</v>
      </c>
      <c r="AV271" s="7">
        <v>1084.6</v>
      </c>
      <c r="AW271" s="7">
        <v>0.0</v>
      </c>
      <c r="AX271" s="7">
        <v>0.0</v>
      </c>
      <c r="AY271" s="7">
        <f>SUM(AS271:AX271)</f>
        <v>13432.02</v>
      </c>
      <c r="AZ271" s="8"/>
      <c r="BA271" s="9"/>
      <c r="BB271" s="10"/>
      <c r="BC271" s="10"/>
    </row>
    <row r="272">
      <c r="A272" s="78">
        <v>2024.0</v>
      </c>
      <c r="B272" s="79" t="s">
        <v>62</v>
      </c>
      <c r="C272" s="12">
        <v>45655.0</v>
      </c>
      <c r="D272" s="72">
        <v>12.0</v>
      </c>
      <c r="E272" s="73">
        <v>941215.36</v>
      </c>
      <c r="F272" s="73">
        <v>45752.94</v>
      </c>
      <c r="G272" s="73">
        <v>5788.37</v>
      </c>
      <c r="H272" s="73">
        <v>1518.0</v>
      </c>
      <c r="I272" s="73">
        <v>1499.25</v>
      </c>
      <c r="J272" s="73">
        <v>27450.57</v>
      </c>
      <c r="K272" s="73">
        <v>56083.11</v>
      </c>
      <c r="L272" s="73">
        <v>22344.71</v>
      </c>
      <c r="M272" s="74"/>
      <c r="N272" s="75"/>
      <c r="O272" s="75"/>
      <c r="P272" s="75"/>
      <c r="Q272" s="75"/>
      <c r="R272" s="75"/>
      <c r="S272" s="77"/>
      <c r="T272" s="77"/>
      <c r="U272" s="6">
        <v>6219.88</v>
      </c>
      <c r="V272" s="32"/>
      <c r="W272" s="32"/>
      <c r="X272" s="32"/>
      <c r="Y272" s="32"/>
      <c r="Z272" s="18"/>
      <c r="AA272" s="18">
        <f t="shared" si="535"/>
        <v>6219.88</v>
      </c>
      <c r="AB272" s="56">
        <v>4.0</v>
      </c>
      <c r="AC272" s="24">
        <v>228390.38</v>
      </c>
      <c r="AD272" s="24">
        <v>10932.44</v>
      </c>
      <c r="AE272" s="24">
        <v>1581.4</v>
      </c>
      <c r="AF272" s="24">
        <v>552.0</v>
      </c>
      <c r="AG272" s="24">
        <v>315.44</v>
      </c>
      <c r="AH272" s="24">
        <v>0.0</v>
      </c>
      <c r="AI272" s="24">
        <v>4646.64</v>
      </c>
      <c r="AJ272" s="24">
        <v>3836.96</v>
      </c>
      <c r="AS272" s="7">
        <v>0.0</v>
      </c>
      <c r="AT272" s="7">
        <v>0.0</v>
      </c>
      <c r="AU272" s="7">
        <v>0.0</v>
      </c>
      <c r="AV272" s="7">
        <v>0.0</v>
      </c>
      <c r="AW272" s="7">
        <v>0.0</v>
      </c>
      <c r="AX272" s="7">
        <v>0.0</v>
      </c>
      <c r="AY272" s="7">
        <v>0.0</v>
      </c>
      <c r="AZ272" s="8"/>
      <c r="BA272" s="9"/>
      <c r="BB272" s="10"/>
      <c r="BC272" s="10"/>
    </row>
    <row r="273">
      <c r="A273" s="78">
        <v>2024.0</v>
      </c>
      <c r="B273" s="79" t="s">
        <v>62</v>
      </c>
      <c r="C273" s="12">
        <v>45656.0</v>
      </c>
      <c r="D273" s="72">
        <v>209.0</v>
      </c>
      <c r="E273" s="73">
        <v>1.324481009E7</v>
      </c>
      <c r="F273" s="73">
        <v>561924.38</v>
      </c>
      <c r="G273" s="73">
        <v>71614.96</v>
      </c>
      <c r="H273" s="73">
        <v>21114.0</v>
      </c>
      <c r="I273" s="73">
        <v>51514.22</v>
      </c>
      <c r="J273" s="73">
        <v>85859.24</v>
      </c>
      <c r="K273" s="73">
        <v>271913.31</v>
      </c>
      <c r="L273" s="73">
        <v>221596.57</v>
      </c>
      <c r="M273" s="74"/>
      <c r="N273" s="75"/>
      <c r="O273" s="75"/>
      <c r="P273" s="75"/>
      <c r="Q273" s="75"/>
      <c r="R273" s="75"/>
      <c r="S273" s="77"/>
      <c r="T273" s="77"/>
      <c r="U273" s="6">
        <v>22184.43</v>
      </c>
      <c r="V273" s="32"/>
      <c r="W273" s="32"/>
      <c r="X273" s="32"/>
      <c r="Y273" s="32"/>
      <c r="Z273" s="18"/>
      <c r="AA273" s="18">
        <f t="shared" si="535"/>
        <v>22184.43</v>
      </c>
      <c r="AB273" s="56">
        <v>121.0</v>
      </c>
      <c r="AC273" s="24">
        <v>7593604.27</v>
      </c>
      <c r="AD273" s="24">
        <v>333236.97</v>
      </c>
      <c r="AE273" s="24">
        <v>43457.26</v>
      </c>
      <c r="AF273" s="24">
        <v>12006.0</v>
      </c>
      <c r="AG273" s="24">
        <v>30456.62</v>
      </c>
      <c r="AH273" s="24">
        <v>0.0</v>
      </c>
      <c r="AI273" s="24">
        <v>119377.97</v>
      </c>
      <c r="AJ273" s="24">
        <v>126601.76</v>
      </c>
      <c r="AS273" s="7">
        <v>27530.96</v>
      </c>
      <c r="AT273" s="7">
        <v>0.0</v>
      </c>
      <c r="AU273" s="7">
        <v>9900.83</v>
      </c>
      <c r="AV273" s="7">
        <v>3559.23</v>
      </c>
      <c r="AW273" s="7">
        <v>0.0</v>
      </c>
      <c r="AX273" s="7">
        <v>48.1</v>
      </c>
      <c r="AY273" s="7">
        <f t="shared" ref="AY273:AY277" si="536">SUM(AS273:AX273)</f>
        <v>41039.12</v>
      </c>
      <c r="AZ273" s="8"/>
      <c r="BA273" s="9"/>
      <c r="BB273" s="10"/>
      <c r="BC273" s="10"/>
    </row>
    <row r="274">
      <c r="A274" s="78">
        <v>2024.0</v>
      </c>
      <c r="B274" s="79" t="s">
        <v>62</v>
      </c>
      <c r="C274" s="12">
        <v>45657.0</v>
      </c>
      <c r="D274" s="72">
        <v>6.0</v>
      </c>
      <c r="E274" s="73">
        <v>504232.07</v>
      </c>
      <c r="F274" s="73">
        <v>17793.47</v>
      </c>
      <c r="G274" s="73">
        <v>2443.2</v>
      </c>
      <c r="H274" s="80">
        <v>828.0</v>
      </c>
      <c r="I274" s="73">
        <v>1241.46</v>
      </c>
      <c r="J274" s="80">
        <v>0.0</v>
      </c>
      <c r="K274" s="73">
        <v>4809.71</v>
      </c>
      <c r="L274" s="73">
        <v>8471.1</v>
      </c>
      <c r="M274" s="74"/>
      <c r="N274" s="75"/>
      <c r="O274" s="75"/>
      <c r="P274" s="75"/>
      <c r="Q274" s="75"/>
      <c r="R274" s="75"/>
      <c r="S274" s="77"/>
      <c r="T274" s="77"/>
      <c r="U274" s="6">
        <v>1311.75</v>
      </c>
      <c r="V274" s="32"/>
      <c r="W274" s="32"/>
      <c r="X274" s="32"/>
      <c r="Y274" s="32"/>
      <c r="Z274" s="18"/>
      <c r="AA274" s="18">
        <f t="shared" si="535"/>
        <v>1311.75</v>
      </c>
      <c r="AB274" s="56">
        <v>6.0</v>
      </c>
      <c r="AC274" s="24">
        <v>501324.25</v>
      </c>
      <c r="AD274" s="24">
        <v>17793.47</v>
      </c>
      <c r="AE274" s="24">
        <v>2443.2</v>
      </c>
      <c r="AF274" s="24">
        <v>828.0</v>
      </c>
      <c r="AG274" s="24">
        <v>1241.46</v>
      </c>
      <c r="AH274" s="24">
        <v>0.0</v>
      </c>
      <c r="AI274" s="24">
        <v>4858.56</v>
      </c>
      <c r="AJ274" s="24">
        <v>8422.25</v>
      </c>
      <c r="AS274" s="7">
        <v>158927.31</v>
      </c>
      <c r="AT274" s="7">
        <v>10472.6</v>
      </c>
      <c r="AU274" s="7">
        <v>58888.82</v>
      </c>
      <c r="AV274" s="7">
        <v>6807.58</v>
      </c>
      <c r="AW274" s="7">
        <v>0.0</v>
      </c>
      <c r="AX274" s="7">
        <f>18311.36-AT274</f>
        <v>7838.76</v>
      </c>
      <c r="AY274" s="7">
        <f t="shared" si="536"/>
        <v>242935.07</v>
      </c>
      <c r="AZ274" s="8"/>
      <c r="BA274" s="9"/>
      <c r="BB274" s="10"/>
      <c r="BC274" s="10"/>
    </row>
    <row r="275">
      <c r="A275" s="11">
        <v>2025.0</v>
      </c>
      <c r="B275" s="11" t="s">
        <v>101</v>
      </c>
      <c r="C275" s="81">
        <v>45658.0</v>
      </c>
      <c r="D275" s="72">
        <v>11.0</v>
      </c>
      <c r="E275" s="73">
        <v>469311.22</v>
      </c>
      <c r="F275" s="73">
        <v>27273.94</v>
      </c>
      <c r="G275" s="73">
        <v>3718.52</v>
      </c>
      <c r="H275" s="73">
        <v>1518.0</v>
      </c>
      <c r="I275" s="73">
        <v>1535.46</v>
      </c>
      <c r="J275" s="73">
        <v>1946.02</v>
      </c>
      <c r="K275" s="73">
        <v>14004.36</v>
      </c>
      <c r="L275" s="73">
        <v>7884.43</v>
      </c>
      <c r="M275" s="74"/>
      <c r="N275" s="75"/>
      <c r="O275" s="75"/>
      <c r="P275" s="75"/>
      <c r="Q275" s="75"/>
      <c r="R275" s="75"/>
      <c r="S275" s="77"/>
      <c r="T275" s="77"/>
      <c r="U275" s="6">
        <v>2481.54</v>
      </c>
      <c r="V275" s="32"/>
      <c r="W275" s="32"/>
      <c r="X275" s="32"/>
      <c r="Y275" s="32"/>
      <c r="Z275" s="18"/>
      <c r="AA275" s="18">
        <f t="shared" si="535"/>
        <v>2481.54</v>
      </c>
      <c r="AB275" s="56">
        <v>4.0</v>
      </c>
      <c r="AC275" s="24">
        <v>152787.48</v>
      </c>
      <c r="AD275" s="24">
        <v>7255.69</v>
      </c>
      <c r="AE275" s="24">
        <v>1145.41</v>
      </c>
      <c r="AF275" s="24">
        <v>552.0</v>
      </c>
      <c r="AG275" s="24">
        <v>584.23</v>
      </c>
      <c r="AH275" s="24">
        <v>0.0</v>
      </c>
      <c r="AI275" s="24">
        <v>2407.22</v>
      </c>
      <c r="AJ275" s="24">
        <v>2566.83</v>
      </c>
      <c r="AS275" s="7">
        <v>0.0</v>
      </c>
      <c r="AT275" s="7">
        <v>0.0</v>
      </c>
      <c r="AU275" s="7">
        <v>0.0</v>
      </c>
      <c r="AV275" s="7">
        <v>0.0</v>
      </c>
      <c r="AW275" s="7">
        <v>0.0</v>
      </c>
      <c r="AX275" s="7">
        <v>0.0</v>
      </c>
      <c r="AY275" s="7">
        <f t="shared" si="536"/>
        <v>0</v>
      </c>
      <c r="AZ275" s="8"/>
      <c r="BA275" s="9"/>
      <c r="BB275" s="10"/>
      <c r="BC275" s="10"/>
    </row>
    <row r="276">
      <c r="A276" s="11">
        <v>2025.0</v>
      </c>
      <c r="B276" s="11" t="s">
        <v>101</v>
      </c>
      <c r="C276" s="81">
        <v>45659.0</v>
      </c>
      <c r="D276" s="72">
        <v>7.0</v>
      </c>
      <c r="E276" s="73">
        <v>417819.12</v>
      </c>
      <c r="F276" s="73">
        <v>22372.44</v>
      </c>
      <c r="G276" s="73">
        <v>2464.07</v>
      </c>
      <c r="H276" s="80">
        <v>966.0</v>
      </c>
      <c r="I276" s="73">
        <v>1447.05</v>
      </c>
      <c r="J276" s="73">
        <v>10011.44</v>
      </c>
      <c r="K276" s="73">
        <v>44238.08</v>
      </c>
      <c r="L276" s="73">
        <v>7521.75</v>
      </c>
      <c r="M276" s="74"/>
      <c r="N276" s="75"/>
      <c r="O276" s="75"/>
      <c r="P276" s="75"/>
      <c r="Q276" s="75"/>
      <c r="R276" s="75"/>
      <c r="S276" s="77"/>
      <c r="T276" s="77"/>
      <c r="U276" s="6">
        <v>229.55</v>
      </c>
      <c r="V276" s="32"/>
      <c r="W276" s="32"/>
      <c r="X276" s="32"/>
      <c r="Y276" s="32"/>
      <c r="Z276" s="18"/>
      <c r="AA276" s="18">
        <f t="shared" si="535"/>
        <v>229.55</v>
      </c>
      <c r="AB276" s="56">
        <v>2.0</v>
      </c>
      <c r="AC276" s="24">
        <v>104373.71</v>
      </c>
      <c r="AD276" s="24">
        <v>4843.47</v>
      </c>
      <c r="AE276" s="24">
        <v>740.38</v>
      </c>
      <c r="AF276" s="24">
        <v>276.0</v>
      </c>
      <c r="AG276" s="24">
        <v>478.38</v>
      </c>
      <c r="AH276" s="24">
        <v>0.0</v>
      </c>
      <c r="AI276" s="24">
        <v>1595.23</v>
      </c>
      <c r="AJ276" s="24">
        <v>1753.48</v>
      </c>
      <c r="AS276" s="7">
        <v>2700.0</v>
      </c>
      <c r="AT276" s="7">
        <v>0.0</v>
      </c>
      <c r="AU276" s="7">
        <v>1800.0</v>
      </c>
      <c r="AV276" s="7">
        <v>0.0</v>
      </c>
      <c r="AW276" s="7">
        <v>0.0</v>
      </c>
      <c r="AX276" s="7">
        <v>0.0</v>
      </c>
      <c r="AY276" s="7">
        <f t="shared" si="536"/>
        <v>4500</v>
      </c>
      <c r="AZ276" s="8"/>
      <c r="BA276" s="9"/>
      <c r="BB276" s="10"/>
      <c r="BC276" s="10"/>
    </row>
    <row r="277">
      <c r="A277" s="11">
        <v>2025.0</v>
      </c>
      <c r="B277" s="11" t="s">
        <v>101</v>
      </c>
      <c r="C277" s="81">
        <v>45660.0</v>
      </c>
      <c r="D277" s="72">
        <v>7.0</v>
      </c>
      <c r="E277" s="73">
        <v>492799.38</v>
      </c>
      <c r="F277" s="73">
        <v>17823.56</v>
      </c>
      <c r="G277" s="73">
        <v>1671.45</v>
      </c>
      <c r="H277" s="80">
        <v>690.0</v>
      </c>
      <c r="I277" s="80">
        <v>851.8</v>
      </c>
      <c r="J277" s="73">
        <v>2433.61</v>
      </c>
      <c r="K277" s="73">
        <v>13426.07</v>
      </c>
      <c r="L277" s="73">
        <v>8192.64</v>
      </c>
      <c r="M277" s="74"/>
      <c r="N277" s="75"/>
      <c r="O277" s="75"/>
      <c r="P277" s="75"/>
      <c r="Q277" s="75"/>
      <c r="R277" s="75"/>
      <c r="S277" s="77"/>
      <c r="T277" s="77"/>
      <c r="U277" s="6">
        <v>1704.86</v>
      </c>
      <c r="V277" s="32"/>
      <c r="W277" s="32"/>
      <c r="X277" s="32"/>
      <c r="Y277" s="32"/>
      <c r="Z277" s="18"/>
      <c r="AA277" s="18">
        <f t="shared" si="535"/>
        <v>1704.86</v>
      </c>
      <c r="AB277" s="56">
        <v>3.0</v>
      </c>
      <c r="AC277" s="24" t="s">
        <v>102</v>
      </c>
      <c r="AD277" s="24">
        <v>6168.52</v>
      </c>
      <c r="AE277" s="24">
        <v>899.88</v>
      </c>
      <c r="AF277" s="24">
        <v>414.0</v>
      </c>
      <c r="AG277" s="24">
        <v>473.42</v>
      </c>
      <c r="AH277" s="24">
        <v>0.0</v>
      </c>
      <c r="AI277" s="24">
        <v>2097.87</v>
      </c>
      <c r="AJ277" s="24">
        <v>2283.35</v>
      </c>
      <c r="AS277" s="7">
        <v>2623.0</v>
      </c>
      <c r="AT277" s="7">
        <v>0.0</v>
      </c>
      <c r="AU277" s="7">
        <v>3032.0</v>
      </c>
      <c r="AV277" s="7">
        <v>0.0</v>
      </c>
      <c r="AW277" s="7">
        <v>0.0</v>
      </c>
      <c r="AX277" s="7">
        <v>0.0</v>
      </c>
      <c r="AY277" s="7">
        <f t="shared" si="536"/>
        <v>5655</v>
      </c>
      <c r="AZ277" s="8"/>
      <c r="BA277" s="9"/>
      <c r="BB277" s="10"/>
      <c r="BC277" s="10"/>
    </row>
    <row r="278">
      <c r="A278" s="11">
        <v>2025.0</v>
      </c>
      <c r="B278" s="11" t="s">
        <v>101</v>
      </c>
      <c r="C278" s="1"/>
      <c r="D278" s="2">
        <v>0.0</v>
      </c>
      <c r="E278" s="3"/>
      <c r="F278" s="59">
        <v>0.0</v>
      </c>
      <c r="G278" s="82"/>
      <c r="H278" s="82"/>
      <c r="I278" s="82"/>
      <c r="J278" s="82"/>
      <c r="K278" s="82"/>
      <c r="L278" s="82"/>
      <c r="M278" s="74"/>
      <c r="N278" s="75"/>
      <c r="O278" s="83"/>
      <c r="P278" s="83"/>
      <c r="Q278" s="83"/>
      <c r="R278" s="83"/>
      <c r="S278" s="83"/>
      <c r="T278" s="83"/>
      <c r="U278" s="32"/>
      <c r="V278" s="32"/>
      <c r="W278" s="32"/>
      <c r="X278" s="32"/>
      <c r="Y278" s="32"/>
      <c r="Z278" s="18"/>
      <c r="AA278" s="18"/>
      <c r="AB278" s="56"/>
      <c r="AC278" s="24"/>
      <c r="AD278" s="24"/>
      <c r="AE278" s="24"/>
      <c r="AF278" s="24"/>
      <c r="AG278" s="24"/>
      <c r="AH278" s="24"/>
      <c r="AI278" s="24"/>
      <c r="AJ278" s="24"/>
      <c r="AS278" s="37"/>
      <c r="AT278" s="48"/>
      <c r="AU278" s="48"/>
      <c r="AV278" s="48"/>
      <c r="AW278" s="48"/>
      <c r="AX278" s="48"/>
      <c r="AY278" s="48"/>
      <c r="AZ278" s="38"/>
      <c r="BA278" s="39"/>
      <c r="BB278" s="40"/>
      <c r="BC278" s="40"/>
    </row>
    <row r="279">
      <c r="A279" s="1">
        <v>2025.0</v>
      </c>
      <c r="B279" s="1" t="s">
        <v>101</v>
      </c>
      <c r="C279" s="1" t="s">
        <v>49</v>
      </c>
      <c r="D279" s="33">
        <f t="shared" ref="D279:L279" si="537">SUM(D271:D277)</f>
        <v>264</v>
      </c>
      <c r="E279" s="55">
        <f t="shared" si="537"/>
        <v>16898208.84</v>
      </c>
      <c r="F279" s="55">
        <f t="shared" si="537"/>
        <v>734014.67</v>
      </c>
      <c r="G279" s="55">
        <f t="shared" si="537"/>
        <v>92288.66</v>
      </c>
      <c r="H279" s="55">
        <f t="shared" si="537"/>
        <v>28014</v>
      </c>
      <c r="I279" s="55">
        <f t="shared" si="537"/>
        <v>60013.99</v>
      </c>
      <c r="J279" s="55">
        <f t="shared" si="537"/>
        <v>139303.39</v>
      </c>
      <c r="K279" s="55">
        <f t="shared" si="537"/>
        <v>439555.62</v>
      </c>
      <c r="L279" s="55">
        <f t="shared" si="537"/>
        <v>290524.47</v>
      </c>
      <c r="M279" s="35">
        <f t="shared" ref="M279:N279" si="538">SUM(M271:M278)</f>
        <v>0</v>
      </c>
      <c r="N279" s="36">
        <f t="shared" si="538"/>
        <v>0</v>
      </c>
      <c r="O279" s="36">
        <f t="shared" ref="O279:AJ279" si="539">SUM(O271:O277)</f>
        <v>0</v>
      </c>
      <c r="P279" s="36">
        <f t="shared" si="539"/>
        <v>0</v>
      </c>
      <c r="Q279" s="36">
        <f t="shared" si="539"/>
        <v>0</v>
      </c>
      <c r="R279" s="70">
        <f t="shared" si="539"/>
        <v>0</v>
      </c>
      <c r="S279" s="36">
        <f t="shared" si="539"/>
        <v>0</v>
      </c>
      <c r="T279" s="36">
        <f t="shared" si="539"/>
        <v>0</v>
      </c>
      <c r="U279" s="37">
        <f t="shared" si="539"/>
        <v>37706.52</v>
      </c>
      <c r="V279" s="48">
        <f t="shared" si="539"/>
        <v>0</v>
      </c>
      <c r="W279" s="48">
        <f t="shared" si="539"/>
        <v>0</v>
      </c>
      <c r="X279" s="37">
        <f t="shared" si="539"/>
        <v>0</v>
      </c>
      <c r="Y279" s="37">
        <f t="shared" si="539"/>
        <v>0</v>
      </c>
      <c r="Z279" s="37">
        <f t="shared" si="539"/>
        <v>0</v>
      </c>
      <c r="AA279" s="37">
        <f t="shared" si="539"/>
        <v>37706.52</v>
      </c>
      <c r="AB279" s="33">
        <f t="shared" si="539"/>
        <v>144</v>
      </c>
      <c r="AC279" s="34">
        <f t="shared" si="539"/>
        <v>8730419</v>
      </c>
      <c r="AD279" s="34">
        <f t="shared" si="539"/>
        <v>387809.31</v>
      </c>
      <c r="AE279" s="34">
        <f t="shared" si="539"/>
        <v>51191.97</v>
      </c>
      <c r="AF279" s="34">
        <f t="shared" si="539"/>
        <v>15042</v>
      </c>
      <c r="AG279" s="34">
        <f t="shared" si="539"/>
        <v>34167.12</v>
      </c>
      <c r="AH279" s="34">
        <f t="shared" si="539"/>
        <v>0</v>
      </c>
      <c r="AI279" s="34">
        <f t="shared" si="539"/>
        <v>138002.01</v>
      </c>
      <c r="AJ279" s="34">
        <f t="shared" si="539"/>
        <v>148068.85</v>
      </c>
      <c r="AK279" s="35">
        <f t="shared" ref="AK279:AL279" si="540">SUM(AK271:AK278)</f>
        <v>0</v>
      </c>
      <c r="AL279" s="35">
        <f t="shared" si="540"/>
        <v>0</v>
      </c>
      <c r="AM279" s="36">
        <f t="shared" ref="AM279:AY279" si="541">SUM(AM271:AM277)</f>
        <v>0</v>
      </c>
      <c r="AN279" s="36">
        <f t="shared" si="541"/>
        <v>0</v>
      </c>
      <c r="AO279" s="35">
        <f t="shared" si="541"/>
        <v>0</v>
      </c>
      <c r="AP279" s="35">
        <f t="shared" si="541"/>
        <v>0</v>
      </c>
      <c r="AQ279" s="35">
        <f t="shared" si="541"/>
        <v>0</v>
      </c>
      <c r="AR279" s="35">
        <f t="shared" si="541"/>
        <v>0</v>
      </c>
      <c r="AS279" s="37">
        <f t="shared" si="541"/>
        <v>200098.18</v>
      </c>
      <c r="AT279" s="37">
        <f t="shared" si="541"/>
        <v>10472.6</v>
      </c>
      <c r="AU279" s="37">
        <f t="shared" si="541"/>
        <v>77652.16</v>
      </c>
      <c r="AV279" s="37">
        <f t="shared" si="541"/>
        <v>11451.41</v>
      </c>
      <c r="AW279" s="37">
        <f t="shared" si="541"/>
        <v>0</v>
      </c>
      <c r="AX279" s="37">
        <f t="shared" si="541"/>
        <v>7886.86</v>
      </c>
      <c r="AY279" s="37">
        <f t="shared" si="541"/>
        <v>307561.21</v>
      </c>
      <c r="AZ279" s="38"/>
      <c r="BA279" s="39"/>
      <c r="BB279" s="40"/>
      <c r="BC279" s="40"/>
    </row>
    <row r="280">
      <c r="A280" s="11">
        <v>2025.0</v>
      </c>
      <c r="B280" s="11" t="s">
        <v>101</v>
      </c>
      <c r="C280" s="12">
        <v>45661.0</v>
      </c>
      <c r="D280" s="44">
        <v>10.0</v>
      </c>
      <c r="E280" s="26">
        <v>431206.73</v>
      </c>
      <c r="F280" s="26">
        <v>22581.67</v>
      </c>
      <c r="G280" s="26">
        <v>3697.74</v>
      </c>
      <c r="H280" s="26">
        <v>1380.0</v>
      </c>
      <c r="I280" s="66">
        <v>1142.21</v>
      </c>
      <c r="J280" s="26">
        <v>3571.04</v>
      </c>
      <c r="K280" s="26">
        <v>13770.59</v>
      </c>
      <c r="L280" s="26">
        <v>8552.03</v>
      </c>
      <c r="M280" s="15">
        <v>0.0</v>
      </c>
      <c r="N280" s="16">
        <v>0.0</v>
      </c>
      <c r="O280" s="16">
        <f t="shared" ref="O280:O286" si="542">N280*4%</f>
        <v>0</v>
      </c>
      <c r="P280" s="16">
        <f t="shared" ref="P280:P286" si="543">N280*1.68%</f>
        <v>0</v>
      </c>
      <c r="Q280" s="16">
        <f t="shared" ref="Q280:Q286" si="544">M280*(250+300+2)</f>
        <v>0</v>
      </c>
      <c r="R280" s="67">
        <f t="shared" ref="R280:R286" si="545">M280*239.19</f>
        <v>0</v>
      </c>
      <c r="S280" s="17">
        <f t="shared" ref="S280:S286" si="546">M280*393.42</f>
        <v>0</v>
      </c>
      <c r="T280" s="17">
        <f t="shared" ref="T280:T286" si="547">M280*138</f>
        <v>0</v>
      </c>
      <c r="U280" s="7">
        <v>1466.54</v>
      </c>
      <c r="V280" s="18">
        <f t="shared" ref="V280:V286" si="548">P280</f>
        <v>0</v>
      </c>
      <c r="W280" s="68">
        <f t="shared" ref="W280:W286" si="549">I280+R280</f>
        <v>1142.21</v>
      </c>
      <c r="X280" s="69">
        <f t="shared" ref="X280:X286" si="550">J280</f>
        <v>3571.04</v>
      </c>
      <c r="Y280" s="7">
        <f t="shared" ref="Y280:Y286" si="551">O280</f>
        <v>0</v>
      </c>
      <c r="Z280" s="7">
        <f t="shared" ref="Z280:Z286" si="552">Q280</f>
        <v>0</v>
      </c>
      <c r="AA280" s="18">
        <f t="shared" ref="AA280:AA286" si="553">SUM(U280:Z280)</f>
        <v>6179.79</v>
      </c>
      <c r="AB280" s="56">
        <v>6.0</v>
      </c>
      <c r="AC280" s="24">
        <v>292742.03</v>
      </c>
      <c r="AD280" s="24">
        <v>15655.79</v>
      </c>
      <c r="AE280" s="24">
        <v>2530.32</v>
      </c>
      <c r="AF280" s="24">
        <v>828.0</v>
      </c>
      <c r="AG280" s="24">
        <v>669.2</v>
      </c>
      <c r="AH280" s="24">
        <v>0.0</v>
      </c>
      <c r="AI280" s="24">
        <v>5601.85</v>
      </c>
      <c r="AJ280" s="24">
        <v>6026.42</v>
      </c>
      <c r="AK280" s="15">
        <v>0.0</v>
      </c>
      <c r="AL280" s="16">
        <v>0.0</v>
      </c>
      <c r="AM280" s="16">
        <v>0.0</v>
      </c>
      <c r="AN280" s="16">
        <v>0.0</v>
      </c>
      <c r="AO280" s="16">
        <v>0.0</v>
      </c>
      <c r="AP280" s="16">
        <v>0.0</v>
      </c>
      <c r="AQ280" s="16">
        <v>0.0</v>
      </c>
      <c r="AR280" s="16">
        <v>0.0</v>
      </c>
      <c r="AS280" s="7">
        <v>2743.0</v>
      </c>
      <c r="AT280" s="7">
        <v>0.0</v>
      </c>
      <c r="AU280" s="7">
        <v>2982.0</v>
      </c>
      <c r="AV280" s="7">
        <v>0.0</v>
      </c>
      <c r="AW280" s="7">
        <v>0.0</v>
      </c>
      <c r="AX280" s="7">
        <v>0.0</v>
      </c>
      <c r="AY280" s="7">
        <f t="shared" ref="AY280:AY286" si="554">SUM(AS280:AX280)</f>
        <v>5725</v>
      </c>
      <c r="AZ280" s="8"/>
      <c r="BA280" s="9"/>
      <c r="BB280" s="10"/>
      <c r="BC280" s="10"/>
    </row>
    <row r="281">
      <c r="A281" s="11">
        <v>2025.0</v>
      </c>
      <c r="B281" s="11" t="s">
        <v>101</v>
      </c>
      <c r="C281" s="12">
        <v>45662.0</v>
      </c>
      <c r="D281" s="44">
        <v>12.0</v>
      </c>
      <c r="E281" s="26">
        <v>855078.44</v>
      </c>
      <c r="F281" s="26">
        <v>37918.8</v>
      </c>
      <c r="G281" s="26">
        <v>4785.65</v>
      </c>
      <c r="H281" s="26">
        <v>1656.0</v>
      </c>
      <c r="I281" s="66">
        <v>1898.0</v>
      </c>
      <c r="J281" s="26">
        <v>21239.2</v>
      </c>
      <c r="K281" s="26">
        <v>69705.91</v>
      </c>
      <c r="L281" s="26">
        <v>14365.32</v>
      </c>
      <c r="M281" s="15">
        <v>0.0</v>
      </c>
      <c r="N281" s="16">
        <v>0.0</v>
      </c>
      <c r="O281" s="16">
        <f t="shared" si="542"/>
        <v>0</v>
      </c>
      <c r="P281" s="16">
        <f t="shared" si="543"/>
        <v>0</v>
      </c>
      <c r="Q281" s="16">
        <f t="shared" si="544"/>
        <v>0</v>
      </c>
      <c r="R281" s="16">
        <f t="shared" si="545"/>
        <v>0</v>
      </c>
      <c r="S281" s="17">
        <f t="shared" si="546"/>
        <v>0</v>
      </c>
      <c r="T281" s="17">
        <f t="shared" si="547"/>
        <v>0</v>
      </c>
      <c r="U281" s="7">
        <v>2189.22</v>
      </c>
      <c r="V281" s="18">
        <f t="shared" si="548"/>
        <v>0</v>
      </c>
      <c r="W281" s="68">
        <f t="shared" si="549"/>
        <v>1898</v>
      </c>
      <c r="X281" s="69">
        <f t="shared" si="550"/>
        <v>21239.2</v>
      </c>
      <c r="Y281" s="7">
        <f t="shared" si="551"/>
        <v>0</v>
      </c>
      <c r="Z281" s="7">
        <f t="shared" si="552"/>
        <v>0</v>
      </c>
      <c r="AA281" s="18">
        <f t="shared" si="553"/>
        <v>25326.42</v>
      </c>
      <c r="AB281" s="56">
        <v>6.0</v>
      </c>
      <c r="AC281" s="24">
        <v>414046.83</v>
      </c>
      <c r="AD281" s="24">
        <v>18910.26</v>
      </c>
      <c r="AE281" s="24">
        <v>2351.13</v>
      </c>
      <c r="AF281" s="24">
        <v>828.0</v>
      </c>
      <c r="AG281" s="24">
        <v>978.86</v>
      </c>
      <c r="AH281" s="24">
        <v>0.0</v>
      </c>
      <c r="AI281" s="24">
        <v>7796.28</v>
      </c>
      <c r="AJ281" s="24">
        <v>6955.99</v>
      </c>
      <c r="AK281" s="15">
        <v>0.0</v>
      </c>
      <c r="AL281" s="16">
        <v>0.0</v>
      </c>
      <c r="AM281" s="16">
        <v>0.0</v>
      </c>
      <c r="AN281" s="16">
        <v>0.0</v>
      </c>
      <c r="AO281" s="16">
        <v>0.0</v>
      </c>
      <c r="AP281" s="16">
        <v>0.0</v>
      </c>
      <c r="AQ281" s="16">
        <v>0.0</v>
      </c>
      <c r="AR281" s="16">
        <v>0.0</v>
      </c>
      <c r="AS281" s="7">
        <v>0.0</v>
      </c>
      <c r="AT281" s="7">
        <v>0.0</v>
      </c>
      <c r="AU281" s="7">
        <v>0.0</v>
      </c>
      <c r="AV281" s="7">
        <v>0.0</v>
      </c>
      <c r="AW281" s="7">
        <v>0.0</v>
      </c>
      <c r="AX281" s="7">
        <v>0.0</v>
      </c>
      <c r="AY281" s="7">
        <f t="shared" si="554"/>
        <v>0</v>
      </c>
      <c r="AZ281" s="8"/>
      <c r="BA281" s="9"/>
      <c r="BB281" s="10"/>
      <c r="BC281" s="10"/>
    </row>
    <row r="282">
      <c r="A282" s="11">
        <v>2025.0</v>
      </c>
      <c r="B282" s="11" t="s">
        <v>101</v>
      </c>
      <c r="C282" s="12">
        <v>45663.0</v>
      </c>
      <c r="D282" s="44">
        <v>11.0</v>
      </c>
      <c r="E282" s="26">
        <v>404770.32</v>
      </c>
      <c r="F282" s="26">
        <v>22060.85</v>
      </c>
      <c r="G282" s="26">
        <v>2973.3</v>
      </c>
      <c r="H282" s="26">
        <v>1380.0</v>
      </c>
      <c r="I282" s="66">
        <v>1222.09</v>
      </c>
      <c r="J282" s="26">
        <v>1242.51</v>
      </c>
      <c r="K282" s="26">
        <v>9685.32</v>
      </c>
      <c r="L282" s="26">
        <v>6800.14</v>
      </c>
      <c r="M282" s="15">
        <v>0.0</v>
      </c>
      <c r="N282" s="16">
        <v>0.0</v>
      </c>
      <c r="O282" s="16">
        <f t="shared" si="542"/>
        <v>0</v>
      </c>
      <c r="P282" s="16">
        <f t="shared" si="543"/>
        <v>0</v>
      </c>
      <c r="Q282" s="16">
        <f t="shared" si="544"/>
        <v>0</v>
      </c>
      <c r="R282" s="16">
        <f t="shared" si="545"/>
        <v>0</v>
      </c>
      <c r="S282" s="17">
        <f t="shared" si="546"/>
        <v>0</v>
      </c>
      <c r="T282" s="17">
        <f t="shared" si="547"/>
        <v>0</v>
      </c>
      <c r="U282" s="7">
        <v>3372.64</v>
      </c>
      <c r="V282" s="18">
        <f t="shared" si="548"/>
        <v>0</v>
      </c>
      <c r="W282" s="68">
        <f t="shared" si="549"/>
        <v>1222.09</v>
      </c>
      <c r="X282" s="69">
        <f t="shared" si="550"/>
        <v>1242.51</v>
      </c>
      <c r="Y282" s="7">
        <f t="shared" si="551"/>
        <v>0</v>
      </c>
      <c r="Z282" s="7">
        <f t="shared" si="552"/>
        <v>0</v>
      </c>
      <c r="AA282" s="18">
        <f t="shared" si="553"/>
        <v>5837.24</v>
      </c>
      <c r="AB282" s="56">
        <v>7.0</v>
      </c>
      <c r="AC282" s="24">
        <v>204006.38</v>
      </c>
      <c r="AD282" s="24">
        <v>11434.96</v>
      </c>
      <c r="AE282" s="24">
        <v>1819.26</v>
      </c>
      <c r="AF282" s="24">
        <v>966.0</v>
      </c>
      <c r="AG282" s="24">
        <v>979.08</v>
      </c>
      <c r="AH282" s="24">
        <v>0.0</v>
      </c>
      <c r="AI282" s="24">
        <v>4243.31</v>
      </c>
      <c r="AJ282" s="24">
        <v>3427.31</v>
      </c>
      <c r="AK282" s="15">
        <v>1.0</v>
      </c>
      <c r="AL282" s="16">
        <v>75036.86</v>
      </c>
      <c r="AM282" s="16">
        <v>2838.0</v>
      </c>
      <c r="AN282" s="16">
        <v>1263.0</v>
      </c>
      <c r="AO282" s="16">
        <v>600.0</v>
      </c>
      <c r="AP282" s="16">
        <v>520.38</v>
      </c>
      <c r="AQ282" s="16">
        <v>265.48</v>
      </c>
      <c r="AR282" s="16">
        <v>0.0</v>
      </c>
      <c r="AS282" s="7">
        <v>27059.1</v>
      </c>
      <c r="AT282" s="7">
        <v>0.0</v>
      </c>
      <c r="AU282" s="7">
        <v>5116.11</v>
      </c>
      <c r="AV282" s="7">
        <v>2960.58</v>
      </c>
      <c r="AW282" s="7">
        <v>2058.0</v>
      </c>
      <c r="AX282" s="7">
        <f>2462.73-AT282</f>
        <v>2462.73</v>
      </c>
      <c r="AY282" s="7">
        <f t="shared" si="554"/>
        <v>39656.52</v>
      </c>
      <c r="AZ282" s="8"/>
      <c r="BA282" s="9"/>
      <c r="BB282" s="10"/>
      <c r="BC282" s="10"/>
    </row>
    <row r="283">
      <c r="A283" s="11">
        <v>2025.0</v>
      </c>
      <c r="B283" s="11" t="s">
        <v>101</v>
      </c>
      <c r="C283" s="12">
        <v>45664.0</v>
      </c>
      <c r="D283" s="44">
        <v>17.0</v>
      </c>
      <c r="E283" s="26">
        <v>726723.64</v>
      </c>
      <c r="F283" s="26">
        <v>39147.32</v>
      </c>
      <c r="G283" s="26">
        <v>5605.54</v>
      </c>
      <c r="H283" s="26">
        <v>2346.0</v>
      </c>
      <c r="I283" s="66">
        <v>2992.57</v>
      </c>
      <c r="J283" s="26">
        <v>630.29</v>
      </c>
      <c r="K283" s="26">
        <v>13484.95</v>
      </c>
      <c r="L283" s="26">
        <v>14718.26</v>
      </c>
      <c r="M283" s="15">
        <v>2.0</v>
      </c>
      <c r="N283" s="16">
        <v>152000.0</v>
      </c>
      <c r="O283" s="16">
        <f t="shared" si="542"/>
        <v>6080</v>
      </c>
      <c r="P283" s="16">
        <f t="shared" si="543"/>
        <v>2553.6</v>
      </c>
      <c r="Q283" s="16">
        <f t="shared" si="544"/>
        <v>1104</v>
      </c>
      <c r="R283" s="16">
        <f t="shared" si="545"/>
        <v>478.38</v>
      </c>
      <c r="S283" s="17">
        <f t="shared" si="546"/>
        <v>786.84</v>
      </c>
      <c r="T283" s="17">
        <f t="shared" si="547"/>
        <v>276</v>
      </c>
      <c r="U283" s="7">
        <v>3711.0</v>
      </c>
      <c r="V283" s="18">
        <f t="shared" si="548"/>
        <v>2553.6</v>
      </c>
      <c r="W283" s="68">
        <f t="shared" si="549"/>
        <v>3470.95</v>
      </c>
      <c r="X283" s="69">
        <f t="shared" si="550"/>
        <v>630.29</v>
      </c>
      <c r="Y283" s="7">
        <f t="shared" si="551"/>
        <v>6080</v>
      </c>
      <c r="Z283" s="7">
        <f t="shared" si="552"/>
        <v>1104</v>
      </c>
      <c r="AA283" s="18">
        <f t="shared" si="553"/>
        <v>17549.84</v>
      </c>
      <c r="AB283" s="56">
        <v>11.0</v>
      </c>
      <c r="AC283" s="24">
        <v>508910.81</v>
      </c>
      <c r="AD283" s="24">
        <v>26032.75</v>
      </c>
      <c r="AE283" s="24">
        <v>3846.43</v>
      </c>
      <c r="AF283" s="24">
        <v>1518.0</v>
      </c>
      <c r="AG283" s="24">
        <v>2252.2</v>
      </c>
      <c r="AH283" s="24">
        <v>0.0</v>
      </c>
      <c r="AI283" s="24">
        <v>7394.88</v>
      </c>
      <c r="AJ283" s="24">
        <v>11021.24</v>
      </c>
      <c r="AK283" s="15">
        <v>0.0</v>
      </c>
      <c r="AL283" s="16">
        <v>0.0</v>
      </c>
      <c r="AM283" s="16">
        <v>0.0</v>
      </c>
      <c r="AN283" s="16">
        <v>0.0</v>
      </c>
      <c r="AO283" s="16">
        <v>0.0</v>
      </c>
      <c r="AP283" s="16">
        <v>0.0</v>
      </c>
      <c r="AQ283" s="16">
        <v>0.0</v>
      </c>
      <c r="AR283" s="16">
        <v>0.0</v>
      </c>
      <c r="AS283" s="7">
        <v>21294.71</v>
      </c>
      <c r="AT283" s="7">
        <v>0.0</v>
      </c>
      <c r="AU283" s="7">
        <v>10647.16</v>
      </c>
      <c r="AV283" s="7">
        <v>5825.96</v>
      </c>
      <c r="AW283" s="7">
        <v>2838.0</v>
      </c>
      <c r="AX283" s="7">
        <f>2696.36-AT283</f>
        <v>2696.36</v>
      </c>
      <c r="AY283" s="7">
        <f t="shared" si="554"/>
        <v>43302.19</v>
      </c>
      <c r="AZ283" s="8"/>
      <c r="BA283" s="9"/>
      <c r="BB283" s="10"/>
      <c r="BC283" s="10"/>
    </row>
    <row r="284">
      <c r="A284" s="11">
        <v>2025.0</v>
      </c>
      <c r="B284" s="11" t="s">
        <v>101</v>
      </c>
      <c r="C284" s="12">
        <v>45665.0</v>
      </c>
      <c r="D284" s="44">
        <v>10.0</v>
      </c>
      <c r="E284" s="26">
        <v>370227.79</v>
      </c>
      <c r="F284" s="26">
        <v>19098.0</v>
      </c>
      <c r="G284" s="26">
        <v>3000.84</v>
      </c>
      <c r="H284" s="26">
        <v>1380.0</v>
      </c>
      <c r="I284" s="66">
        <v>1512.62</v>
      </c>
      <c r="J284" s="26">
        <v>176.88</v>
      </c>
      <c r="K284" s="26">
        <v>6500.36</v>
      </c>
      <c r="L284" s="26">
        <v>6704.18</v>
      </c>
      <c r="M284" s="15">
        <v>2.0</v>
      </c>
      <c r="N284" s="16">
        <v>200000.0</v>
      </c>
      <c r="O284" s="16">
        <f t="shared" si="542"/>
        <v>8000</v>
      </c>
      <c r="P284" s="16">
        <f t="shared" si="543"/>
        <v>3360</v>
      </c>
      <c r="Q284" s="16">
        <f t="shared" si="544"/>
        <v>1104</v>
      </c>
      <c r="R284" s="16">
        <f t="shared" si="545"/>
        <v>478.38</v>
      </c>
      <c r="S284" s="17">
        <f t="shared" si="546"/>
        <v>786.84</v>
      </c>
      <c r="T284" s="17">
        <f t="shared" si="547"/>
        <v>276</v>
      </c>
      <c r="U284" s="7">
        <v>1524.21</v>
      </c>
      <c r="V284" s="18">
        <f t="shared" si="548"/>
        <v>3360</v>
      </c>
      <c r="W284" s="68">
        <f t="shared" si="549"/>
        <v>1991</v>
      </c>
      <c r="X284" s="69">
        <f t="shared" si="550"/>
        <v>176.88</v>
      </c>
      <c r="Y284" s="7">
        <f t="shared" si="551"/>
        <v>8000</v>
      </c>
      <c r="Z284" s="7">
        <f t="shared" si="552"/>
        <v>1104</v>
      </c>
      <c r="AA284" s="18">
        <f t="shared" si="553"/>
        <v>16156.09</v>
      </c>
      <c r="AB284" s="56">
        <v>7.0</v>
      </c>
      <c r="AC284" s="24">
        <v>263727.64</v>
      </c>
      <c r="AD284" s="24">
        <v>13520.25</v>
      </c>
      <c r="AE284" s="24">
        <v>2156.62</v>
      </c>
      <c r="AF284" s="24">
        <v>966.0</v>
      </c>
      <c r="AG284" s="24">
        <v>1028.89</v>
      </c>
      <c r="AH284" s="24">
        <v>0.0</v>
      </c>
      <c r="AI284" s="24">
        <v>4453.77</v>
      </c>
      <c r="AJ284" s="24">
        <v>4914.97</v>
      </c>
      <c r="AK284" s="15">
        <v>0.0</v>
      </c>
      <c r="AL284" s="16">
        <v>0.0</v>
      </c>
      <c r="AM284" s="16">
        <v>0.0</v>
      </c>
      <c r="AN284" s="16">
        <v>0.0</v>
      </c>
      <c r="AO284" s="16">
        <v>0.0</v>
      </c>
      <c r="AP284" s="16">
        <v>0.0</v>
      </c>
      <c r="AQ284" s="16">
        <v>0.0</v>
      </c>
      <c r="AR284" s="16">
        <v>0.0</v>
      </c>
      <c r="AS284" s="7">
        <v>18606.54</v>
      </c>
      <c r="AT284" s="7">
        <v>0.0</v>
      </c>
      <c r="AU284" s="7">
        <v>8257.44</v>
      </c>
      <c r="AV284" s="7">
        <v>5170.55</v>
      </c>
      <c r="AW284" s="7">
        <v>0.0</v>
      </c>
      <c r="AX284" s="7">
        <f>77.12-AT284</f>
        <v>77.12</v>
      </c>
      <c r="AY284" s="7">
        <f t="shared" si="554"/>
        <v>32111.65</v>
      </c>
      <c r="AZ284" s="8"/>
      <c r="BA284" s="9"/>
      <c r="BB284" s="10"/>
      <c r="BC284" s="10"/>
    </row>
    <row r="285">
      <c r="A285" s="11">
        <v>2025.0</v>
      </c>
      <c r="B285" s="11" t="s">
        <v>101</v>
      </c>
      <c r="C285" s="12">
        <v>45666.0</v>
      </c>
      <c r="D285" s="44">
        <v>8.0</v>
      </c>
      <c r="E285" s="26">
        <v>556116.69</v>
      </c>
      <c r="F285" s="26">
        <v>25523.5</v>
      </c>
      <c r="G285" s="26">
        <v>3493.84</v>
      </c>
      <c r="H285" s="26">
        <v>828.0</v>
      </c>
      <c r="I285" s="66">
        <v>1230.65</v>
      </c>
      <c r="J285" s="26">
        <v>3674.31</v>
      </c>
      <c r="K285" s="26">
        <v>7975.61</v>
      </c>
      <c r="L285" s="26">
        <v>11995.4</v>
      </c>
      <c r="M285" s="15">
        <v>1.0</v>
      </c>
      <c r="N285" s="16">
        <v>70000.0</v>
      </c>
      <c r="O285" s="16">
        <f t="shared" si="542"/>
        <v>2800</v>
      </c>
      <c r="P285" s="16">
        <f t="shared" si="543"/>
        <v>1176</v>
      </c>
      <c r="Q285" s="16">
        <f t="shared" si="544"/>
        <v>552</v>
      </c>
      <c r="R285" s="16">
        <f t="shared" si="545"/>
        <v>239.19</v>
      </c>
      <c r="S285" s="17">
        <f t="shared" si="546"/>
        <v>393.42</v>
      </c>
      <c r="T285" s="17">
        <f t="shared" si="547"/>
        <v>138</v>
      </c>
      <c r="U285" s="7">
        <v>2843.19</v>
      </c>
      <c r="V285" s="18">
        <f t="shared" si="548"/>
        <v>1176</v>
      </c>
      <c r="W285" s="68">
        <f t="shared" si="549"/>
        <v>1469.84</v>
      </c>
      <c r="X285" s="69">
        <f t="shared" si="550"/>
        <v>3674.31</v>
      </c>
      <c r="Y285" s="7">
        <f t="shared" si="551"/>
        <v>2800</v>
      </c>
      <c r="Z285" s="7">
        <f t="shared" si="552"/>
        <v>552</v>
      </c>
      <c r="AA285" s="18">
        <f t="shared" si="553"/>
        <v>12515.34</v>
      </c>
      <c r="AB285" s="56">
        <v>3.0</v>
      </c>
      <c r="AC285" s="24">
        <v>202024.99</v>
      </c>
      <c r="AD285" s="24">
        <v>8047.87</v>
      </c>
      <c r="AE285" s="24">
        <v>679.35</v>
      </c>
      <c r="AF285" s="24">
        <v>276.0</v>
      </c>
      <c r="AG285" s="24">
        <v>378.38</v>
      </c>
      <c r="AH285" s="24">
        <v>0.0</v>
      </c>
      <c r="AI285" s="24">
        <v>3007.92</v>
      </c>
      <c r="AJ285" s="24">
        <v>3706.22</v>
      </c>
      <c r="AK285" s="15">
        <v>2.0</v>
      </c>
      <c r="AL285" s="16">
        <v>102561.89</v>
      </c>
      <c r="AM285" s="16">
        <v>3926.0</v>
      </c>
      <c r="AN285" s="16">
        <v>2088.76</v>
      </c>
      <c r="AO285" s="16">
        <v>1416.0</v>
      </c>
      <c r="AP285" s="16">
        <v>881.24</v>
      </c>
      <c r="AQ285" s="16">
        <v>527.24</v>
      </c>
      <c r="AR285" s="16">
        <v>0.0</v>
      </c>
      <c r="AS285" s="7">
        <v>16132.15</v>
      </c>
      <c r="AT285" s="7">
        <v>0.0</v>
      </c>
      <c r="AU285" s="7">
        <v>6071.11</v>
      </c>
      <c r="AV285" s="7">
        <v>4796.8</v>
      </c>
      <c r="AW285" s="7">
        <v>0.0</v>
      </c>
      <c r="AX285" s="7">
        <f>22.34-AT285</f>
        <v>22.34</v>
      </c>
      <c r="AY285" s="7">
        <f t="shared" si="554"/>
        <v>27022.4</v>
      </c>
      <c r="AZ285" s="8"/>
      <c r="BA285" s="9"/>
      <c r="BB285" s="10"/>
      <c r="BC285" s="10"/>
    </row>
    <row r="286">
      <c r="A286" s="11">
        <v>2025.0</v>
      </c>
      <c r="B286" s="11" t="s">
        <v>101</v>
      </c>
      <c r="C286" s="12">
        <v>45667.0</v>
      </c>
      <c r="D286" s="44">
        <v>6.0</v>
      </c>
      <c r="E286" s="26">
        <v>446440.9</v>
      </c>
      <c r="F286" s="26">
        <v>19888.7</v>
      </c>
      <c r="G286" s="26">
        <v>2667.77</v>
      </c>
      <c r="H286" s="26">
        <v>828.0</v>
      </c>
      <c r="I286" s="66">
        <v>1102.7</v>
      </c>
      <c r="J286" s="26">
        <v>2820.33</v>
      </c>
      <c r="K286" s="26">
        <v>6837.03</v>
      </c>
      <c r="L286" s="26">
        <v>8453.2</v>
      </c>
      <c r="M286" s="15">
        <v>1.0</v>
      </c>
      <c r="N286" s="16">
        <v>80000.0</v>
      </c>
      <c r="O286" s="16">
        <f t="shared" si="542"/>
        <v>3200</v>
      </c>
      <c r="P286" s="16">
        <f t="shared" si="543"/>
        <v>1344</v>
      </c>
      <c r="Q286" s="16">
        <f t="shared" si="544"/>
        <v>552</v>
      </c>
      <c r="R286" s="16">
        <f t="shared" si="545"/>
        <v>239.19</v>
      </c>
      <c r="S286" s="17">
        <f t="shared" si="546"/>
        <v>393.42</v>
      </c>
      <c r="T286" s="17">
        <f t="shared" si="547"/>
        <v>138</v>
      </c>
      <c r="U286" s="7">
        <v>317.5</v>
      </c>
      <c r="V286" s="18">
        <f t="shared" si="548"/>
        <v>1344</v>
      </c>
      <c r="W286" s="68">
        <f t="shared" si="549"/>
        <v>1341.89</v>
      </c>
      <c r="X286" s="69">
        <f t="shared" si="550"/>
        <v>2820.33</v>
      </c>
      <c r="Y286" s="7">
        <f t="shared" si="551"/>
        <v>3200</v>
      </c>
      <c r="Z286" s="7">
        <f t="shared" si="552"/>
        <v>552</v>
      </c>
      <c r="AA286" s="18">
        <f t="shared" si="553"/>
        <v>9575.72</v>
      </c>
      <c r="AB286" s="56">
        <v>2.0</v>
      </c>
      <c r="AC286" s="24" t="s">
        <v>103</v>
      </c>
      <c r="AD286" s="24" t="s">
        <v>104</v>
      </c>
      <c r="AE286" s="24" t="s">
        <v>105</v>
      </c>
      <c r="AF286" s="24" t="s">
        <v>106</v>
      </c>
      <c r="AG286" s="24" t="s">
        <v>107</v>
      </c>
      <c r="AH286" s="24">
        <v>0.0</v>
      </c>
      <c r="AI286" s="24" t="s">
        <v>108</v>
      </c>
      <c r="AJ286" s="24" t="s">
        <v>109</v>
      </c>
      <c r="AK286" s="15">
        <v>0.0</v>
      </c>
      <c r="AL286" s="16">
        <v>0.0</v>
      </c>
      <c r="AM286" s="16">
        <v>0.0</v>
      </c>
      <c r="AN286" s="16">
        <v>0.0</v>
      </c>
      <c r="AO286" s="16">
        <v>0.0</v>
      </c>
      <c r="AP286" s="16">
        <v>0.0</v>
      </c>
      <c r="AQ286" s="16">
        <v>0.0</v>
      </c>
      <c r="AR286" s="16">
        <v>0.0</v>
      </c>
      <c r="AS286" s="7">
        <v>10664.5</v>
      </c>
      <c r="AT286" s="7">
        <v>2088.76</v>
      </c>
      <c r="AU286" s="7">
        <v>4266.81</v>
      </c>
      <c r="AV286" s="7">
        <v>7286.83</v>
      </c>
      <c r="AW286" s="7">
        <v>3926.0</v>
      </c>
      <c r="AX286" s="7">
        <f>4701.81-AT286</f>
        <v>2613.05</v>
      </c>
      <c r="AY286" s="7">
        <f t="shared" si="554"/>
        <v>30845.95</v>
      </c>
      <c r="AZ286" s="8"/>
      <c r="BA286" s="9"/>
      <c r="BB286" s="10"/>
      <c r="BC286" s="10"/>
    </row>
    <row r="287">
      <c r="A287" s="11">
        <v>2025.0</v>
      </c>
      <c r="B287" s="11" t="s">
        <v>101</v>
      </c>
      <c r="C287" s="1"/>
      <c r="D287" s="2">
        <v>142.0</v>
      </c>
      <c r="E287" s="2"/>
      <c r="F287" s="59">
        <v>459503.63</v>
      </c>
      <c r="G287" s="33"/>
      <c r="H287" s="33"/>
      <c r="I287" s="33"/>
      <c r="J287" s="33"/>
      <c r="K287" s="33"/>
      <c r="L287" s="33"/>
      <c r="M287" s="15">
        <v>3.0</v>
      </c>
      <c r="N287" s="16">
        <v>318000.0</v>
      </c>
      <c r="O287" s="35"/>
      <c r="P287" s="35"/>
      <c r="Q287" s="35"/>
      <c r="R287" s="35"/>
      <c r="S287" s="35"/>
      <c r="T287" s="35"/>
      <c r="U287" s="37"/>
      <c r="V287" s="48"/>
      <c r="W287" s="48"/>
      <c r="X287" s="37"/>
      <c r="Y287" s="48"/>
      <c r="Z287" s="48"/>
      <c r="AA287" s="48"/>
      <c r="AB287" s="2"/>
      <c r="AC287" s="33"/>
      <c r="AD287" s="2"/>
      <c r="AE287" s="33"/>
      <c r="AF287" s="33"/>
      <c r="AG287" s="33"/>
      <c r="AH287" s="33"/>
      <c r="AI287" s="33"/>
      <c r="AJ287" s="33"/>
      <c r="AK287" s="4"/>
      <c r="AL287" s="4"/>
      <c r="AM287" s="35"/>
      <c r="AN287" s="35"/>
      <c r="AO287" s="35"/>
      <c r="AP287" s="35"/>
      <c r="AQ287" s="35"/>
      <c r="AR287" s="35"/>
      <c r="AS287" s="37"/>
      <c r="AT287" s="48"/>
      <c r="AU287" s="48"/>
      <c r="AV287" s="48"/>
      <c r="AW287" s="48"/>
      <c r="AX287" s="48"/>
      <c r="AY287" s="48"/>
      <c r="AZ287" s="38"/>
      <c r="BA287" s="39"/>
      <c r="BB287" s="40"/>
      <c r="BC287" s="40"/>
    </row>
    <row r="288">
      <c r="A288" s="1">
        <v>2025.0</v>
      </c>
      <c r="B288" s="1" t="s">
        <v>101</v>
      </c>
      <c r="C288" s="1" t="s">
        <v>49</v>
      </c>
      <c r="D288" s="33">
        <f t="shared" ref="D288:L288" si="555">SUM(D280:D286)</f>
        <v>74</v>
      </c>
      <c r="E288" s="34">
        <f t="shared" si="555"/>
        <v>3790564.51</v>
      </c>
      <c r="F288" s="34">
        <f t="shared" si="555"/>
        <v>186218.84</v>
      </c>
      <c r="G288" s="34">
        <f t="shared" si="555"/>
        <v>26224.68</v>
      </c>
      <c r="H288" s="34">
        <f t="shared" si="555"/>
        <v>9798</v>
      </c>
      <c r="I288" s="55">
        <f t="shared" si="555"/>
        <v>11100.84</v>
      </c>
      <c r="J288" s="34">
        <f t="shared" si="555"/>
        <v>33354.56</v>
      </c>
      <c r="K288" s="34">
        <f t="shared" si="555"/>
        <v>127959.77</v>
      </c>
      <c r="L288" s="34">
        <f t="shared" si="555"/>
        <v>71588.53</v>
      </c>
      <c r="M288" s="35">
        <f t="shared" ref="M288:N288" si="556">SUM(M280:M287)</f>
        <v>9</v>
      </c>
      <c r="N288" s="36">
        <f t="shared" si="556"/>
        <v>820000</v>
      </c>
      <c r="O288" s="36">
        <f t="shared" ref="O288:AJ288" si="557">SUM(O280:O286)</f>
        <v>20080</v>
      </c>
      <c r="P288" s="36">
        <f t="shared" si="557"/>
        <v>8433.6</v>
      </c>
      <c r="Q288" s="36">
        <f t="shared" si="557"/>
        <v>3312</v>
      </c>
      <c r="R288" s="70">
        <f t="shared" si="557"/>
        <v>1435.14</v>
      </c>
      <c r="S288" s="36">
        <f t="shared" si="557"/>
        <v>2360.52</v>
      </c>
      <c r="T288" s="36">
        <f t="shared" si="557"/>
        <v>828</v>
      </c>
      <c r="U288" s="37">
        <f t="shared" si="557"/>
        <v>15424.3</v>
      </c>
      <c r="V288" s="37">
        <f t="shared" si="557"/>
        <v>8433.6</v>
      </c>
      <c r="W288" s="71">
        <f t="shared" si="557"/>
        <v>12535.98</v>
      </c>
      <c r="X288" s="37">
        <f t="shared" si="557"/>
        <v>33354.56</v>
      </c>
      <c r="Y288" s="37">
        <f t="shared" si="557"/>
        <v>20080</v>
      </c>
      <c r="Z288" s="37">
        <f t="shared" si="557"/>
        <v>3312</v>
      </c>
      <c r="AA288" s="37">
        <f t="shared" si="557"/>
        <v>93140.44</v>
      </c>
      <c r="AB288" s="33">
        <f t="shared" si="557"/>
        <v>42</v>
      </c>
      <c r="AC288" s="34">
        <f t="shared" si="557"/>
        <v>1885458.68</v>
      </c>
      <c r="AD288" s="34">
        <f t="shared" si="557"/>
        <v>93601.88</v>
      </c>
      <c r="AE288" s="34">
        <f t="shared" si="557"/>
        <v>13383.11</v>
      </c>
      <c r="AF288" s="34">
        <f t="shared" si="557"/>
        <v>5382</v>
      </c>
      <c r="AG288" s="34">
        <f t="shared" si="557"/>
        <v>6286.61</v>
      </c>
      <c r="AH288" s="34">
        <f t="shared" si="557"/>
        <v>0</v>
      </c>
      <c r="AI288" s="34">
        <f t="shared" si="557"/>
        <v>32498.01</v>
      </c>
      <c r="AJ288" s="34">
        <f t="shared" si="557"/>
        <v>36052.15</v>
      </c>
      <c r="AK288" s="35">
        <f t="shared" ref="AK288:AL288" si="558">SUM(AK280:AK287)</f>
        <v>3</v>
      </c>
      <c r="AL288" s="36">
        <f t="shared" si="558"/>
        <v>177598.75</v>
      </c>
      <c r="AM288" s="36">
        <f t="shared" ref="AM288:AY288" si="559">SUM(AM280:AM286)</f>
        <v>6764</v>
      </c>
      <c r="AN288" s="36">
        <f t="shared" si="559"/>
        <v>3351.76</v>
      </c>
      <c r="AO288" s="36">
        <f t="shared" si="559"/>
        <v>2016</v>
      </c>
      <c r="AP288" s="36">
        <f t="shared" si="559"/>
        <v>1401.62</v>
      </c>
      <c r="AQ288" s="36">
        <f t="shared" si="559"/>
        <v>792.72</v>
      </c>
      <c r="AR288" s="36">
        <f t="shared" si="559"/>
        <v>0</v>
      </c>
      <c r="AS288" s="37">
        <f t="shared" si="559"/>
        <v>96500</v>
      </c>
      <c r="AT288" s="37">
        <f t="shared" si="559"/>
        <v>2088.76</v>
      </c>
      <c r="AU288" s="37">
        <f t="shared" si="559"/>
        <v>37340.63</v>
      </c>
      <c r="AV288" s="37">
        <f t="shared" si="559"/>
        <v>26040.72</v>
      </c>
      <c r="AW288" s="37">
        <f t="shared" si="559"/>
        <v>8822</v>
      </c>
      <c r="AX288" s="37">
        <f t="shared" si="559"/>
        <v>7871.6</v>
      </c>
      <c r="AY288" s="37">
        <f t="shared" si="559"/>
        <v>178663.71</v>
      </c>
      <c r="AZ288" s="38"/>
      <c r="BA288" s="39"/>
      <c r="BB288" s="40"/>
      <c r="BC288" s="40"/>
    </row>
    <row r="289">
      <c r="A289" s="11">
        <v>2025.0</v>
      </c>
      <c r="B289" s="11" t="s">
        <v>101</v>
      </c>
      <c r="C289" s="12">
        <v>45668.0</v>
      </c>
      <c r="D289" s="44">
        <v>1.0</v>
      </c>
      <c r="E289" s="26">
        <v>49242.88</v>
      </c>
      <c r="F289" s="26">
        <v>2197.14</v>
      </c>
      <c r="G289" s="26">
        <v>245.0</v>
      </c>
      <c r="H289" s="26">
        <v>138.0</v>
      </c>
      <c r="I289" s="66">
        <v>196.75</v>
      </c>
      <c r="J289" s="26">
        <v>0.0</v>
      </c>
      <c r="K289" s="26">
        <v>790.11</v>
      </c>
      <c r="L289" s="26">
        <v>827.28</v>
      </c>
      <c r="M289" s="15">
        <v>0.0</v>
      </c>
      <c r="N289" s="16">
        <v>0.0</v>
      </c>
      <c r="O289" s="16">
        <f t="shared" ref="O289:O295" si="560">N289*4%</f>
        <v>0</v>
      </c>
      <c r="P289" s="16">
        <f t="shared" ref="P289:P295" si="561">N289*1.68%</f>
        <v>0</v>
      </c>
      <c r="Q289" s="16">
        <f t="shared" ref="Q289:Q295" si="562">M289*(250+300+2)</f>
        <v>0</v>
      </c>
      <c r="R289" s="67">
        <f t="shared" ref="R289:R295" si="563">M289*239.19</f>
        <v>0</v>
      </c>
      <c r="S289" s="17">
        <f t="shared" ref="S289:S295" si="564">M289*393.42</f>
        <v>0</v>
      </c>
      <c r="T289" s="17">
        <f t="shared" ref="T289:T295" si="565">M289*138</f>
        <v>0</v>
      </c>
      <c r="U289" s="7">
        <v>0.0</v>
      </c>
      <c r="V289" s="18">
        <f t="shared" ref="V289:V295" si="566">P289</f>
        <v>0</v>
      </c>
      <c r="W289" s="68">
        <f t="shared" ref="W289:W295" si="567">I289+R289</f>
        <v>196.75</v>
      </c>
      <c r="X289" s="69">
        <f t="shared" ref="X289:X295" si="568">J289</f>
        <v>0</v>
      </c>
      <c r="Y289" s="7">
        <f t="shared" ref="Y289:Y295" si="569">O289</f>
        <v>0</v>
      </c>
      <c r="Z289" s="7">
        <f t="shared" ref="Z289:Z295" si="570">Q289</f>
        <v>0</v>
      </c>
      <c r="AA289" s="18">
        <f t="shared" ref="AA289:AA295" si="571">SUM(U289:Z289)</f>
        <v>196.75</v>
      </c>
      <c r="AB289" s="56">
        <v>1.0</v>
      </c>
      <c r="AC289" s="24">
        <v>49242.88</v>
      </c>
      <c r="AD289" s="24">
        <v>2197.14</v>
      </c>
      <c r="AE289" s="24">
        <v>302.56</v>
      </c>
      <c r="AF289" s="24">
        <v>138.0</v>
      </c>
      <c r="AG289" s="24">
        <v>139.19</v>
      </c>
      <c r="AH289" s="24">
        <v>0.0</v>
      </c>
      <c r="AI289" s="24">
        <v>790.11</v>
      </c>
      <c r="AJ289" s="24">
        <v>827.28</v>
      </c>
      <c r="AK289" s="15">
        <v>0.0</v>
      </c>
      <c r="AL289" s="16">
        <v>0.0</v>
      </c>
      <c r="AM289" s="16">
        <v>0.0</v>
      </c>
      <c r="AN289" s="16">
        <v>0.0</v>
      </c>
      <c r="AO289" s="16">
        <v>0.0</v>
      </c>
      <c r="AP289" s="16">
        <v>0.0</v>
      </c>
      <c r="AQ289" s="16">
        <v>0.0</v>
      </c>
      <c r="AR289" s="16">
        <v>0.0</v>
      </c>
      <c r="AS289" s="7">
        <v>0.0</v>
      </c>
      <c r="AT289" s="7">
        <v>0.0</v>
      </c>
      <c r="AU289" s="7">
        <v>0.0</v>
      </c>
      <c r="AV289" s="7">
        <v>0.0</v>
      </c>
      <c r="AW289" s="7">
        <v>0.0</v>
      </c>
      <c r="AX289" s="7">
        <v>0.0</v>
      </c>
      <c r="AY289" s="7">
        <f t="shared" ref="AY289:AY295" si="572">SUM(AS289:AX289)</f>
        <v>0</v>
      </c>
      <c r="AZ289" s="8"/>
      <c r="BA289" s="9"/>
      <c r="BB289" s="10"/>
      <c r="BC289" s="10"/>
    </row>
    <row r="290">
      <c r="A290" s="11">
        <v>2025.0</v>
      </c>
      <c r="B290" s="11" t="s">
        <v>101</v>
      </c>
      <c r="C290" s="12">
        <v>45669.0</v>
      </c>
      <c r="D290" s="44">
        <v>2.0</v>
      </c>
      <c r="E290" s="26">
        <v>49718.05</v>
      </c>
      <c r="F290" s="26">
        <v>3244.56</v>
      </c>
      <c r="G290" s="26">
        <v>600.01</v>
      </c>
      <c r="H290" s="26">
        <v>276.0</v>
      </c>
      <c r="I290" s="66">
        <v>441.54</v>
      </c>
      <c r="J290" s="26">
        <v>0.0</v>
      </c>
      <c r="K290" s="26">
        <v>1091.75</v>
      </c>
      <c r="L290" s="26">
        <v>835.26</v>
      </c>
      <c r="M290" s="15">
        <v>0.0</v>
      </c>
      <c r="N290" s="16">
        <v>0.0</v>
      </c>
      <c r="O290" s="16">
        <f t="shared" si="560"/>
        <v>0</v>
      </c>
      <c r="P290" s="16">
        <f t="shared" si="561"/>
        <v>0</v>
      </c>
      <c r="Q290" s="16">
        <f t="shared" si="562"/>
        <v>0</v>
      </c>
      <c r="R290" s="16">
        <f t="shared" si="563"/>
        <v>0</v>
      </c>
      <c r="S290" s="17">
        <f t="shared" si="564"/>
        <v>0</v>
      </c>
      <c r="T290" s="17">
        <f t="shared" si="565"/>
        <v>0</v>
      </c>
      <c r="U290" s="7">
        <v>239.81</v>
      </c>
      <c r="V290" s="18">
        <f t="shared" si="566"/>
        <v>0</v>
      </c>
      <c r="W290" s="68">
        <f t="shared" si="567"/>
        <v>441.54</v>
      </c>
      <c r="X290" s="69">
        <f t="shared" si="568"/>
        <v>0</v>
      </c>
      <c r="Y290" s="7">
        <f t="shared" si="569"/>
        <v>0</v>
      </c>
      <c r="Z290" s="7">
        <f t="shared" si="570"/>
        <v>0</v>
      </c>
      <c r="AA290" s="18">
        <f t="shared" si="571"/>
        <v>681.35</v>
      </c>
      <c r="AB290" s="56">
        <v>2.0</v>
      </c>
      <c r="AC290" s="24">
        <v>49150.73</v>
      </c>
      <c r="AD290" s="24">
        <v>3244.56</v>
      </c>
      <c r="AE290" s="24">
        <v>648.89</v>
      </c>
      <c r="AF290" s="24">
        <v>276.0</v>
      </c>
      <c r="AG290" s="24">
        <v>392.66</v>
      </c>
      <c r="AH290" s="24">
        <v>0.0</v>
      </c>
      <c r="AI290" s="24">
        <v>1101.28</v>
      </c>
      <c r="AJ290" s="24">
        <v>825.73</v>
      </c>
      <c r="AK290" s="15">
        <v>0.0</v>
      </c>
      <c r="AL290" s="16">
        <v>0.0</v>
      </c>
      <c r="AM290" s="16">
        <v>0.0</v>
      </c>
      <c r="AN290" s="16">
        <v>0.0</v>
      </c>
      <c r="AO290" s="16">
        <v>0.0</v>
      </c>
      <c r="AP290" s="16">
        <v>0.0</v>
      </c>
      <c r="AQ290" s="16">
        <v>0.0</v>
      </c>
      <c r="AR290" s="16">
        <v>0.0</v>
      </c>
      <c r="AS290" s="7">
        <v>0.0</v>
      </c>
      <c r="AT290" s="7">
        <v>0.0</v>
      </c>
      <c r="AU290" s="7">
        <v>0.0</v>
      </c>
      <c r="AV290" s="7">
        <v>0.0</v>
      </c>
      <c r="AW290" s="7">
        <v>0.0</v>
      </c>
      <c r="AX290" s="7">
        <v>0.0</v>
      </c>
      <c r="AY290" s="7">
        <f t="shared" si="572"/>
        <v>0</v>
      </c>
      <c r="AZ290" s="8"/>
      <c r="BA290" s="9"/>
      <c r="BB290" s="10"/>
      <c r="BC290" s="10"/>
    </row>
    <row r="291">
      <c r="A291" s="11">
        <v>2025.0</v>
      </c>
      <c r="B291" s="11" t="s">
        <v>101</v>
      </c>
      <c r="C291" s="12">
        <v>45670.0</v>
      </c>
      <c r="D291" s="44">
        <v>5.0</v>
      </c>
      <c r="E291" s="26">
        <v>210750.2</v>
      </c>
      <c r="F291" s="26">
        <v>14790.39</v>
      </c>
      <c r="G291" s="26">
        <v>1371.94</v>
      </c>
      <c r="H291" s="26">
        <v>414.0</v>
      </c>
      <c r="I291" s="66">
        <v>649.7</v>
      </c>
      <c r="J291" s="26">
        <v>1641.89</v>
      </c>
      <c r="K291" s="26">
        <v>8001.7</v>
      </c>
      <c r="L291" s="26">
        <v>4353.05</v>
      </c>
      <c r="M291" s="15">
        <v>0.0</v>
      </c>
      <c r="N291" s="16">
        <v>0.0</v>
      </c>
      <c r="O291" s="16">
        <f t="shared" si="560"/>
        <v>0</v>
      </c>
      <c r="P291" s="16">
        <f t="shared" si="561"/>
        <v>0</v>
      </c>
      <c r="Q291" s="16">
        <f t="shared" si="562"/>
        <v>0</v>
      </c>
      <c r="R291" s="16">
        <f t="shared" si="563"/>
        <v>0</v>
      </c>
      <c r="S291" s="17">
        <f t="shared" si="564"/>
        <v>0</v>
      </c>
      <c r="T291" s="17">
        <f t="shared" si="565"/>
        <v>0</v>
      </c>
      <c r="U291" s="7">
        <v>670.61</v>
      </c>
      <c r="V291" s="18">
        <f t="shared" si="566"/>
        <v>0</v>
      </c>
      <c r="W291" s="68">
        <f t="shared" si="567"/>
        <v>649.7</v>
      </c>
      <c r="X291" s="69">
        <f t="shared" si="568"/>
        <v>1641.89</v>
      </c>
      <c r="Y291" s="7">
        <f t="shared" si="569"/>
        <v>0</v>
      </c>
      <c r="Z291" s="7">
        <f t="shared" si="570"/>
        <v>0</v>
      </c>
      <c r="AA291" s="18">
        <f t="shared" si="571"/>
        <v>2962.2</v>
      </c>
      <c r="AB291" s="56">
        <v>2.0</v>
      </c>
      <c r="AC291" s="24">
        <v>154123.81</v>
      </c>
      <c r="AD291" s="24">
        <v>11255.33</v>
      </c>
      <c r="AE291" s="24">
        <v>950.92</v>
      </c>
      <c r="AF291" s="24">
        <v>138.0</v>
      </c>
      <c r="AG291" s="24">
        <v>297.62</v>
      </c>
      <c r="AH291" s="24">
        <v>0.0</v>
      </c>
      <c r="AI291" s="24">
        <v>6756.28</v>
      </c>
      <c r="AJ291" s="24">
        <v>3112.51</v>
      </c>
      <c r="AK291" s="15">
        <v>0.0</v>
      </c>
      <c r="AL291" s="16">
        <v>0.0</v>
      </c>
      <c r="AM291" s="16">
        <v>0.0</v>
      </c>
      <c r="AN291" s="16">
        <v>0.0</v>
      </c>
      <c r="AO291" s="16">
        <v>0.0</v>
      </c>
      <c r="AP291" s="16">
        <v>0.0</v>
      </c>
      <c r="AQ291" s="16">
        <v>0.0</v>
      </c>
      <c r="AR291" s="16">
        <v>0.0</v>
      </c>
      <c r="AS291" s="7">
        <v>15023.63</v>
      </c>
      <c r="AT291" s="7">
        <v>0.0</v>
      </c>
      <c r="AU291" s="7">
        <v>5905.69</v>
      </c>
      <c r="AV291" s="7">
        <v>7377.37</v>
      </c>
      <c r="AW291" s="7">
        <v>0.0</v>
      </c>
      <c r="AX291" s="7">
        <v>461.18</v>
      </c>
      <c r="AY291" s="7">
        <f t="shared" si="572"/>
        <v>28767.87</v>
      </c>
      <c r="AZ291" s="8"/>
      <c r="BA291" s="9"/>
      <c r="BB291" s="10"/>
      <c r="BC291" s="10"/>
    </row>
    <row r="292">
      <c r="A292" s="11">
        <v>2025.0</v>
      </c>
      <c r="B292" s="11" t="s">
        <v>101</v>
      </c>
      <c r="C292" s="12">
        <v>45671.0</v>
      </c>
      <c r="D292" s="44">
        <v>15.0</v>
      </c>
      <c r="E292" s="26">
        <v>2427396.61</v>
      </c>
      <c r="F292" s="26">
        <v>84537.42</v>
      </c>
      <c r="G292" s="26">
        <v>3809.81</v>
      </c>
      <c r="H292" s="26">
        <v>1794.0</v>
      </c>
      <c r="I292" s="66">
        <v>2335.21</v>
      </c>
      <c r="J292" s="26">
        <v>62570.41</v>
      </c>
      <c r="K292" s="26">
        <v>99582.57</v>
      </c>
      <c r="L292" s="26">
        <v>46642.89</v>
      </c>
      <c r="M292" s="15">
        <v>2.0</v>
      </c>
      <c r="N292" s="16">
        <v>167281.96</v>
      </c>
      <c r="O292" s="16">
        <f t="shared" si="560"/>
        <v>6691.2784</v>
      </c>
      <c r="P292" s="16">
        <f t="shared" si="561"/>
        <v>2810.336928</v>
      </c>
      <c r="Q292" s="16">
        <f t="shared" si="562"/>
        <v>1104</v>
      </c>
      <c r="R292" s="16">
        <f t="shared" si="563"/>
        <v>478.38</v>
      </c>
      <c r="S292" s="17">
        <f t="shared" si="564"/>
        <v>786.84</v>
      </c>
      <c r="T292" s="17">
        <f t="shared" si="565"/>
        <v>276</v>
      </c>
      <c r="U292" s="7">
        <v>3810.06</v>
      </c>
      <c r="V292" s="18">
        <f t="shared" si="566"/>
        <v>2810.336928</v>
      </c>
      <c r="W292" s="68">
        <f t="shared" si="567"/>
        <v>2813.59</v>
      </c>
      <c r="X292" s="69">
        <f t="shared" si="568"/>
        <v>62570.41</v>
      </c>
      <c r="Y292" s="7">
        <f t="shared" si="569"/>
        <v>6691.2784</v>
      </c>
      <c r="Z292" s="7">
        <f t="shared" si="570"/>
        <v>1104</v>
      </c>
      <c r="AA292" s="18">
        <f t="shared" si="571"/>
        <v>79799.67533</v>
      </c>
      <c r="AB292" s="56">
        <v>5.0</v>
      </c>
      <c r="AC292" s="24">
        <v>268523.74</v>
      </c>
      <c r="AD292" s="24">
        <v>12635.76</v>
      </c>
      <c r="AE292" s="24">
        <v>1825.64</v>
      </c>
      <c r="AF292" s="24">
        <v>690.0</v>
      </c>
      <c r="AG292" s="24">
        <v>869.08</v>
      </c>
      <c r="AH292" s="24">
        <v>0.0</v>
      </c>
      <c r="AI292" s="24">
        <v>4739.84</v>
      </c>
      <c r="AJ292" s="24">
        <v>4511.2</v>
      </c>
      <c r="AK292" s="15">
        <v>0.0</v>
      </c>
      <c r="AL292" s="16">
        <v>0.0</v>
      </c>
      <c r="AM292" s="16">
        <v>0.0</v>
      </c>
      <c r="AN292" s="16">
        <v>0.0</v>
      </c>
      <c r="AO292" s="16">
        <v>0.0</v>
      </c>
      <c r="AP292" s="16">
        <v>0.0</v>
      </c>
      <c r="AQ292" s="16">
        <v>0.0</v>
      </c>
      <c r="AR292" s="16">
        <v>0.0</v>
      </c>
      <c r="AS292" s="7">
        <v>26683.41</v>
      </c>
      <c r="AT292" s="7">
        <v>0.0</v>
      </c>
      <c r="AU292" s="7">
        <v>4588.51</v>
      </c>
      <c r="AV292" s="7">
        <v>2153.83</v>
      </c>
      <c r="AW292" s="7">
        <v>0.0</v>
      </c>
      <c r="AX292" s="7">
        <v>0.8</v>
      </c>
      <c r="AY292" s="7">
        <f t="shared" si="572"/>
        <v>33426.55</v>
      </c>
      <c r="AZ292" s="8"/>
      <c r="BA292" s="9"/>
      <c r="BB292" s="10"/>
      <c r="BC292" s="10"/>
    </row>
    <row r="293">
      <c r="A293" s="11">
        <v>2025.0</v>
      </c>
      <c r="B293" s="11" t="s">
        <v>101</v>
      </c>
      <c r="C293" s="12">
        <v>45672.0</v>
      </c>
      <c r="D293" s="44">
        <v>102.0</v>
      </c>
      <c r="E293" s="26">
        <v>7001493.47</v>
      </c>
      <c r="F293" s="26">
        <v>293948.94</v>
      </c>
      <c r="G293" s="26">
        <v>34069.0</v>
      </c>
      <c r="H293" s="26">
        <v>3588.0</v>
      </c>
      <c r="I293" s="66">
        <v>39206.5</v>
      </c>
      <c r="J293" s="26">
        <v>19196.57</v>
      </c>
      <c r="K293" s="26">
        <v>-1842.86</v>
      </c>
      <c r="L293" s="26">
        <v>257402.91</v>
      </c>
      <c r="M293" s="15">
        <v>3.0</v>
      </c>
      <c r="N293" s="16">
        <v>267971.3</v>
      </c>
      <c r="O293" s="16">
        <f t="shared" si="560"/>
        <v>10718.852</v>
      </c>
      <c r="P293" s="16">
        <f t="shared" si="561"/>
        <v>4501.91784</v>
      </c>
      <c r="Q293" s="16">
        <f t="shared" si="562"/>
        <v>1656</v>
      </c>
      <c r="R293" s="16">
        <f t="shared" si="563"/>
        <v>717.57</v>
      </c>
      <c r="S293" s="17">
        <f t="shared" si="564"/>
        <v>1180.26</v>
      </c>
      <c r="T293" s="17">
        <f t="shared" si="565"/>
        <v>414</v>
      </c>
      <c r="U293" s="7">
        <v>3634.1</v>
      </c>
      <c r="V293" s="18">
        <f t="shared" si="566"/>
        <v>4501.91784</v>
      </c>
      <c r="W293" s="68">
        <f t="shared" si="567"/>
        <v>39924.07</v>
      </c>
      <c r="X293" s="69">
        <f t="shared" si="568"/>
        <v>19196.57</v>
      </c>
      <c r="Y293" s="7">
        <f t="shared" si="569"/>
        <v>10718.852</v>
      </c>
      <c r="Z293" s="7">
        <f t="shared" si="570"/>
        <v>1656</v>
      </c>
      <c r="AA293" s="18">
        <f t="shared" si="571"/>
        <v>79631.50984</v>
      </c>
      <c r="AB293" s="56">
        <v>63.0</v>
      </c>
      <c r="AC293" s="24">
        <v>4755441.33</v>
      </c>
      <c r="AD293" s="24">
        <v>184663.93</v>
      </c>
      <c r="AE293" s="24">
        <v>21539.93</v>
      </c>
      <c r="AF293" s="24">
        <v>966.0</v>
      </c>
      <c r="AG293" s="24">
        <v>25630.84</v>
      </c>
      <c r="AH293" s="24">
        <v>0.0</v>
      </c>
      <c r="AI293" s="24">
        <v>53389.88</v>
      </c>
      <c r="AJ293" s="24">
        <v>83137.28</v>
      </c>
      <c r="AK293" s="15">
        <v>0.0</v>
      </c>
      <c r="AL293" s="16">
        <v>0.0</v>
      </c>
      <c r="AM293" s="16">
        <v>0.0</v>
      </c>
      <c r="AN293" s="16">
        <v>0.0</v>
      </c>
      <c r="AO293" s="16">
        <v>0.0</v>
      </c>
      <c r="AP293" s="16">
        <v>0.0</v>
      </c>
      <c r="AQ293" s="16">
        <v>0.0</v>
      </c>
      <c r="AR293" s="16">
        <v>0.0</v>
      </c>
      <c r="AS293" s="7">
        <v>19245.56</v>
      </c>
      <c r="AT293" s="7">
        <v>0.0</v>
      </c>
      <c r="AU293" s="7">
        <v>10452.97</v>
      </c>
      <c r="AV293" s="7">
        <v>3868.11</v>
      </c>
      <c r="AW293" s="7">
        <v>0.0</v>
      </c>
      <c r="AX293" s="7">
        <v>177.4</v>
      </c>
      <c r="AY293" s="7">
        <f t="shared" si="572"/>
        <v>33744.04</v>
      </c>
      <c r="AZ293" s="8"/>
      <c r="BA293" s="9"/>
      <c r="BB293" s="10"/>
      <c r="BC293" s="10"/>
    </row>
    <row r="294">
      <c r="A294" s="11">
        <v>2025.0</v>
      </c>
      <c r="B294" s="11" t="s">
        <v>101</v>
      </c>
      <c r="C294" s="12">
        <v>45673.0</v>
      </c>
      <c r="D294" s="44">
        <v>14.0</v>
      </c>
      <c r="E294" s="26">
        <v>1260233.28</v>
      </c>
      <c r="F294" s="26">
        <v>39044.85</v>
      </c>
      <c r="G294" s="26">
        <v>3490.03</v>
      </c>
      <c r="H294" s="26">
        <v>1518.0</v>
      </c>
      <c r="I294" s="66">
        <v>2481.16</v>
      </c>
      <c r="J294" s="26">
        <v>1142.09</v>
      </c>
      <c r="K294" s="26">
        <v>11440.25</v>
      </c>
      <c r="L294" s="26">
        <v>21616.97</v>
      </c>
      <c r="M294" s="15">
        <v>3.0</v>
      </c>
      <c r="N294" s="16">
        <v>388080.9</v>
      </c>
      <c r="O294" s="16">
        <f t="shared" si="560"/>
        <v>15523.236</v>
      </c>
      <c r="P294" s="16">
        <f t="shared" si="561"/>
        <v>6519.75912</v>
      </c>
      <c r="Q294" s="16">
        <f t="shared" si="562"/>
        <v>1656</v>
      </c>
      <c r="R294" s="16">
        <f t="shared" si="563"/>
        <v>717.57</v>
      </c>
      <c r="S294" s="17">
        <f t="shared" si="564"/>
        <v>1180.26</v>
      </c>
      <c r="T294" s="17">
        <f t="shared" si="565"/>
        <v>414</v>
      </c>
      <c r="U294" s="7">
        <v>2865.9</v>
      </c>
      <c r="V294" s="18">
        <f t="shared" si="566"/>
        <v>6519.75912</v>
      </c>
      <c r="W294" s="68">
        <f t="shared" si="567"/>
        <v>3198.73</v>
      </c>
      <c r="X294" s="69">
        <f t="shared" si="568"/>
        <v>1142.09</v>
      </c>
      <c r="Y294" s="7">
        <f t="shared" si="569"/>
        <v>15523.236</v>
      </c>
      <c r="Z294" s="7">
        <f t="shared" si="570"/>
        <v>1656</v>
      </c>
      <c r="AA294" s="18">
        <f t="shared" si="571"/>
        <v>30905.71512</v>
      </c>
      <c r="AB294" s="56">
        <v>7.0</v>
      </c>
      <c r="AC294" s="24">
        <v>988734.49</v>
      </c>
      <c r="AD294" s="24">
        <v>26366.32</v>
      </c>
      <c r="AE294" s="24">
        <v>1991.02</v>
      </c>
      <c r="AF294" s="24">
        <v>690.0</v>
      </c>
      <c r="AG294" s="24">
        <v>911.86</v>
      </c>
      <c r="AH294" s="24">
        <v>0.0</v>
      </c>
      <c r="AI294" s="24">
        <v>7244.63</v>
      </c>
      <c r="AJ294" s="24">
        <v>17030.38</v>
      </c>
      <c r="AK294" s="15">
        <v>3.0</v>
      </c>
      <c r="AL294" s="16">
        <v>289652.7</v>
      </c>
      <c r="AM294" s="16">
        <v>10955.0</v>
      </c>
      <c r="AN294" s="16">
        <v>4875.0</v>
      </c>
      <c r="AO294" s="16">
        <v>1800.0</v>
      </c>
      <c r="AP294" s="16">
        <v>1483.52</v>
      </c>
      <c r="AQ294" s="16">
        <v>1017.0</v>
      </c>
      <c r="AR294" s="16">
        <v>0.0</v>
      </c>
      <c r="AS294" s="7">
        <v>18447.9</v>
      </c>
      <c r="AT294" s="7">
        <v>0.0</v>
      </c>
      <c r="AU294" s="7">
        <v>9628.59</v>
      </c>
      <c r="AV294" s="7">
        <v>1252.51</v>
      </c>
      <c r="AW294" s="7">
        <v>0.0</v>
      </c>
      <c r="AX294" s="7">
        <v>95.27</v>
      </c>
      <c r="AY294" s="7">
        <f t="shared" si="572"/>
        <v>29424.27</v>
      </c>
      <c r="AZ294" s="8"/>
      <c r="BA294" s="9"/>
      <c r="BB294" s="10"/>
      <c r="BC294" s="10"/>
    </row>
    <row r="295">
      <c r="A295" s="11">
        <v>2025.0</v>
      </c>
      <c r="B295" s="11" t="s">
        <v>101</v>
      </c>
      <c r="C295" s="12">
        <v>45674.0</v>
      </c>
      <c r="D295" s="44">
        <v>13.0</v>
      </c>
      <c r="E295" s="26">
        <v>1150698.4</v>
      </c>
      <c r="F295" s="26">
        <v>44798.16</v>
      </c>
      <c r="G295" s="26">
        <v>3570.71</v>
      </c>
      <c r="H295" s="26">
        <v>1518.0</v>
      </c>
      <c r="I295" s="66">
        <v>2564.97</v>
      </c>
      <c r="J295" s="26">
        <v>26397.06</v>
      </c>
      <c r="K295" s="26">
        <v>49526.25</v>
      </c>
      <c r="L295" s="26">
        <v>20918.02</v>
      </c>
      <c r="M295" s="15">
        <v>2.0</v>
      </c>
      <c r="N295" s="16">
        <v>565000.0</v>
      </c>
      <c r="O295" s="16">
        <f t="shared" si="560"/>
        <v>22600</v>
      </c>
      <c r="P295" s="16">
        <f t="shared" si="561"/>
        <v>9492</v>
      </c>
      <c r="Q295" s="16">
        <f t="shared" si="562"/>
        <v>1104</v>
      </c>
      <c r="R295" s="16">
        <f t="shared" si="563"/>
        <v>478.38</v>
      </c>
      <c r="S295" s="17">
        <f t="shared" si="564"/>
        <v>786.84</v>
      </c>
      <c r="T295" s="17">
        <f t="shared" si="565"/>
        <v>276</v>
      </c>
      <c r="U295" s="7">
        <v>3561.66</v>
      </c>
      <c r="V295" s="18">
        <f t="shared" si="566"/>
        <v>9492</v>
      </c>
      <c r="W295" s="68">
        <f t="shared" si="567"/>
        <v>3043.35</v>
      </c>
      <c r="X295" s="69">
        <f t="shared" si="568"/>
        <v>26397.06</v>
      </c>
      <c r="Y295" s="7">
        <f t="shared" si="569"/>
        <v>22600</v>
      </c>
      <c r="Z295" s="7">
        <f t="shared" si="570"/>
        <v>1104</v>
      </c>
      <c r="AA295" s="18">
        <f t="shared" si="571"/>
        <v>66198.07</v>
      </c>
      <c r="AB295" s="56">
        <v>3.0</v>
      </c>
      <c r="AC295" s="24">
        <v>149743.51</v>
      </c>
      <c r="AD295" s="24">
        <v>8655.71</v>
      </c>
      <c r="AE295" s="24">
        <v>1161.06</v>
      </c>
      <c r="AF295" s="24">
        <v>414.0</v>
      </c>
      <c r="AG295" s="24">
        <v>476.0</v>
      </c>
      <c r="AH295" s="24">
        <v>0.0</v>
      </c>
      <c r="AI295" s="24">
        <v>6233.31</v>
      </c>
      <c r="AJ295" s="24">
        <v>2677.93</v>
      </c>
      <c r="AK295" s="15">
        <v>5.0</v>
      </c>
      <c r="AL295" s="16">
        <v>235078.06</v>
      </c>
      <c r="AM295" s="16">
        <v>6848.0</v>
      </c>
      <c r="AN295" s="16">
        <v>4256.8</v>
      </c>
      <c r="AO295" s="16">
        <v>2580.0</v>
      </c>
      <c r="AP295" s="16">
        <v>1532.92</v>
      </c>
      <c r="AQ295" s="16">
        <v>1225.0</v>
      </c>
      <c r="AR295" s="16">
        <v>0.0</v>
      </c>
      <c r="AS295" s="7">
        <v>21257.88</v>
      </c>
      <c r="AT295" s="7">
        <v>5054.8</v>
      </c>
      <c r="AU295" s="7">
        <v>8084.34</v>
      </c>
      <c r="AV295" s="7">
        <v>1425.54</v>
      </c>
      <c r="AW295" s="7">
        <v>10721.0</v>
      </c>
      <c r="AX295" s="7">
        <f>10202.04-AT295</f>
        <v>5147.24</v>
      </c>
      <c r="AY295" s="7">
        <f t="shared" si="572"/>
        <v>51690.8</v>
      </c>
      <c r="AZ295" s="8"/>
      <c r="BA295" s="9"/>
      <c r="BB295" s="10"/>
      <c r="BC295" s="10"/>
    </row>
    <row r="296">
      <c r="A296" s="11">
        <v>2025.0</v>
      </c>
      <c r="B296" s="11" t="s">
        <v>101</v>
      </c>
      <c r="C296" s="1"/>
      <c r="D296" s="2">
        <v>122.0</v>
      </c>
      <c r="E296" s="2"/>
      <c r="F296" s="59">
        <v>394697.13</v>
      </c>
      <c r="G296" s="2"/>
      <c r="H296" s="33"/>
      <c r="I296" s="33"/>
      <c r="J296" s="33"/>
      <c r="K296" s="33"/>
      <c r="L296" s="33"/>
      <c r="M296" s="15">
        <v>8.0</v>
      </c>
      <c r="N296" s="16">
        <v>585000.0</v>
      </c>
      <c r="O296" s="35"/>
      <c r="P296" s="35"/>
      <c r="Q296" s="35"/>
      <c r="R296" s="35"/>
      <c r="S296" s="35"/>
      <c r="T296" s="35"/>
      <c r="U296" s="37"/>
      <c r="V296" s="48"/>
      <c r="W296" s="48"/>
      <c r="X296" s="37"/>
      <c r="Y296" s="48"/>
      <c r="Z296" s="48"/>
      <c r="AA296" s="48"/>
      <c r="AB296" s="2"/>
      <c r="AC296" s="33"/>
      <c r="AD296" s="2"/>
      <c r="AE296" s="33"/>
      <c r="AF296" s="33"/>
      <c r="AG296" s="33"/>
      <c r="AH296" s="33"/>
      <c r="AI296" s="33"/>
      <c r="AJ296" s="33"/>
      <c r="AK296" s="4"/>
      <c r="AL296" s="4"/>
      <c r="AM296" s="35"/>
      <c r="AN296" s="35"/>
      <c r="AO296" s="35"/>
      <c r="AP296" s="35"/>
      <c r="AQ296" s="35"/>
      <c r="AR296" s="35"/>
      <c r="AS296" s="37"/>
      <c r="AT296" s="48"/>
      <c r="AU296" s="48"/>
      <c r="AV296" s="48"/>
      <c r="AW296" s="48"/>
      <c r="AX296" s="48"/>
      <c r="AY296" s="48"/>
      <c r="AZ296" s="38"/>
      <c r="BA296" s="39"/>
      <c r="BB296" s="40"/>
      <c r="BC296" s="40"/>
    </row>
    <row r="297">
      <c r="A297" s="1">
        <v>2025.0</v>
      </c>
      <c r="B297" s="1" t="s">
        <v>101</v>
      </c>
      <c r="C297" s="1" t="s">
        <v>49</v>
      </c>
      <c r="D297" s="33">
        <f t="shared" ref="D297:F297" si="573">SUM(D289:D295)</f>
        <v>152</v>
      </c>
      <c r="E297" s="34">
        <f t="shared" si="573"/>
        <v>12149532.89</v>
      </c>
      <c r="F297" s="34">
        <f t="shared" si="573"/>
        <v>482561.46</v>
      </c>
      <c r="G297" s="34">
        <f>SUM(G289:G296)</f>
        <v>47156.5</v>
      </c>
      <c r="H297" s="34">
        <f t="shared" ref="H297:L297" si="574">SUM(H289:H295)</f>
        <v>9246</v>
      </c>
      <c r="I297" s="55">
        <f t="shared" si="574"/>
        <v>47875.83</v>
      </c>
      <c r="J297" s="34">
        <f t="shared" si="574"/>
        <v>110948.02</v>
      </c>
      <c r="K297" s="34">
        <f t="shared" si="574"/>
        <v>168589.77</v>
      </c>
      <c r="L297" s="34">
        <f t="shared" si="574"/>
        <v>352596.38</v>
      </c>
      <c r="M297" s="35">
        <f t="shared" ref="M297:N297" si="575">SUM(M289:M296)</f>
        <v>18</v>
      </c>
      <c r="N297" s="36">
        <f t="shared" si="575"/>
        <v>1973334.16</v>
      </c>
      <c r="O297" s="36">
        <f t="shared" ref="O297:AJ297" si="576">SUM(O289:O295)</f>
        <v>55533.3664</v>
      </c>
      <c r="P297" s="36">
        <f t="shared" si="576"/>
        <v>23324.01389</v>
      </c>
      <c r="Q297" s="36">
        <f t="shared" si="576"/>
        <v>5520</v>
      </c>
      <c r="R297" s="70">
        <f t="shared" si="576"/>
        <v>2391.9</v>
      </c>
      <c r="S297" s="36">
        <f t="shared" si="576"/>
        <v>3934.2</v>
      </c>
      <c r="T297" s="36">
        <f t="shared" si="576"/>
        <v>1380</v>
      </c>
      <c r="U297" s="37">
        <f t="shared" si="576"/>
        <v>14782.14</v>
      </c>
      <c r="V297" s="37">
        <f t="shared" si="576"/>
        <v>23324.01389</v>
      </c>
      <c r="W297" s="71">
        <f t="shared" si="576"/>
        <v>50267.73</v>
      </c>
      <c r="X297" s="37">
        <f t="shared" si="576"/>
        <v>110948.02</v>
      </c>
      <c r="Y297" s="37">
        <f t="shared" si="576"/>
        <v>55533.3664</v>
      </c>
      <c r="Z297" s="37">
        <f t="shared" si="576"/>
        <v>5520</v>
      </c>
      <c r="AA297" s="37">
        <f t="shared" si="576"/>
        <v>260375.2703</v>
      </c>
      <c r="AB297" s="33">
        <f t="shared" si="576"/>
        <v>83</v>
      </c>
      <c r="AC297" s="34">
        <f t="shared" si="576"/>
        <v>6414960.49</v>
      </c>
      <c r="AD297" s="34">
        <f t="shared" si="576"/>
        <v>249018.75</v>
      </c>
      <c r="AE297" s="34">
        <f t="shared" si="576"/>
        <v>28420.02</v>
      </c>
      <c r="AF297" s="34">
        <f t="shared" si="576"/>
        <v>3312</v>
      </c>
      <c r="AG297" s="34">
        <f t="shared" si="576"/>
        <v>28717.25</v>
      </c>
      <c r="AH297" s="34">
        <f t="shared" si="576"/>
        <v>0</v>
      </c>
      <c r="AI297" s="34">
        <f t="shared" si="576"/>
        <v>80255.33</v>
      </c>
      <c r="AJ297" s="34">
        <f t="shared" si="576"/>
        <v>112122.31</v>
      </c>
      <c r="AK297" s="35">
        <f t="shared" ref="AK297:AL297" si="577">SUM(AK289:AK296)</f>
        <v>8</v>
      </c>
      <c r="AL297" s="36">
        <f t="shared" si="577"/>
        <v>524730.76</v>
      </c>
      <c r="AM297" s="36">
        <f t="shared" ref="AM297:AY297" si="578">SUM(AM289:AM295)</f>
        <v>17803</v>
      </c>
      <c r="AN297" s="36">
        <f t="shared" si="578"/>
        <v>9131.8</v>
      </c>
      <c r="AO297" s="36">
        <f t="shared" si="578"/>
        <v>4380</v>
      </c>
      <c r="AP297" s="36">
        <f t="shared" si="578"/>
        <v>3016.44</v>
      </c>
      <c r="AQ297" s="36">
        <f t="shared" si="578"/>
        <v>2242</v>
      </c>
      <c r="AR297" s="36">
        <f t="shared" si="578"/>
        <v>0</v>
      </c>
      <c r="AS297" s="37">
        <f t="shared" si="578"/>
        <v>100658.38</v>
      </c>
      <c r="AT297" s="37">
        <f t="shared" si="578"/>
        <v>5054.8</v>
      </c>
      <c r="AU297" s="37">
        <f t="shared" si="578"/>
        <v>38660.1</v>
      </c>
      <c r="AV297" s="37">
        <f t="shared" si="578"/>
        <v>16077.36</v>
      </c>
      <c r="AW297" s="37">
        <f t="shared" si="578"/>
        <v>10721</v>
      </c>
      <c r="AX297" s="37">
        <f t="shared" si="578"/>
        <v>5881.89</v>
      </c>
      <c r="AY297" s="37">
        <f t="shared" si="578"/>
        <v>177053.53</v>
      </c>
      <c r="AZ297" s="38"/>
      <c r="BA297" s="39"/>
      <c r="BB297" s="40"/>
      <c r="BC297" s="40"/>
    </row>
    <row r="298">
      <c r="A298" s="11">
        <v>2025.0</v>
      </c>
      <c r="B298" s="11" t="s">
        <v>101</v>
      </c>
      <c r="C298" s="12">
        <v>45675.0</v>
      </c>
      <c r="D298" s="44">
        <v>7.0</v>
      </c>
      <c r="E298" s="26">
        <v>216309.83</v>
      </c>
      <c r="F298" s="26">
        <v>16183.36</v>
      </c>
      <c r="G298" s="26">
        <v>2016.11</v>
      </c>
      <c r="H298" s="26">
        <v>966.0</v>
      </c>
      <c r="I298" s="66">
        <v>1072.18</v>
      </c>
      <c r="J298" s="26">
        <v>4987.34</v>
      </c>
      <c r="K298" s="26">
        <v>25086.55</v>
      </c>
      <c r="L298" s="26">
        <v>4081.14</v>
      </c>
      <c r="M298" s="15">
        <v>0.0</v>
      </c>
      <c r="N298" s="16">
        <v>0.0</v>
      </c>
      <c r="O298" s="16">
        <f t="shared" ref="O298:O304" si="579">N298*4%</f>
        <v>0</v>
      </c>
      <c r="P298" s="16">
        <f t="shared" ref="P298:P304" si="580">N298*1.68%</f>
        <v>0</v>
      </c>
      <c r="Q298" s="16">
        <f t="shared" ref="Q298:Q304" si="581">M298*(250+300+2)</f>
        <v>0</v>
      </c>
      <c r="R298" s="67">
        <f t="shared" ref="R298:R304" si="582">M298*239.19</f>
        <v>0</v>
      </c>
      <c r="S298" s="17">
        <f t="shared" ref="S298:S304" si="583">M298*393.42</f>
        <v>0</v>
      </c>
      <c r="T298" s="17">
        <f t="shared" ref="T298:T304" si="584">M298*138</f>
        <v>0</v>
      </c>
      <c r="U298" s="7">
        <v>2662.03</v>
      </c>
      <c r="V298" s="18">
        <f t="shared" ref="V298:V304" si="585">P298</f>
        <v>0</v>
      </c>
      <c r="W298" s="68">
        <f t="shared" ref="W298:W304" si="586">I298+R298</f>
        <v>1072.18</v>
      </c>
      <c r="X298" s="69">
        <f t="shared" ref="X298:X304" si="587">J298</f>
        <v>4987.34</v>
      </c>
      <c r="Y298" s="7">
        <f t="shared" ref="Y298:Y304" si="588">O298</f>
        <v>0</v>
      </c>
      <c r="Z298" s="7">
        <f t="shared" ref="Z298:Z304" si="589">Q298</f>
        <v>0</v>
      </c>
      <c r="AA298" s="18">
        <f t="shared" ref="AA298:AA304" si="590">SUM(U298:Z298)</f>
        <v>8721.55</v>
      </c>
      <c r="AB298" s="56">
        <v>4.0</v>
      </c>
      <c r="AC298" s="24">
        <v>139504.77</v>
      </c>
      <c r="AD298" s="24">
        <v>10005.02</v>
      </c>
      <c r="AE298" s="24">
        <v>1617.66</v>
      </c>
      <c r="AF298" s="24">
        <v>552.0</v>
      </c>
      <c r="AG298" s="24">
        <v>242.19</v>
      </c>
      <c r="AH298" s="24">
        <v>0.0</v>
      </c>
      <c r="AI298" s="24">
        <v>4831.43</v>
      </c>
      <c r="AJ298" s="24">
        <v>2761.74</v>
      </c>
      <c r="AK298" s="15">
        <v>0.0</v>
      </c>
      <c r="AL298" s="16">
        <v>0.0</v>
      </c>
      <c r="AM298" s="16">
        <v>0.0</v>
      </c>
      <c r="AN298" s="16">
        <v>0.0</v>
      </c>
      <c r="AO298" s="16">
        <v>0.0</v>
      </c>
      <c r="AP298" s="16">
        <v>0.0</v>
      </c>
      <c r="AQ298" s="16">
        <v>0.0</v>
      </c>
      <c r="AR298" s="16">
        <v>0.0</v>
      </c>
      <c r="AS298" s="7">
        <v>0.0</v>
      </c>
      <c r="AT298" s="7">
        <v>0.0</v>
      </c>
      <c r="AU298" s="7">
        <v>0.0</v>
      </c>
      <c r="AV298" s="7">
        <v>0.0</v>
      </c>
      <c r="AW298" s="7">
        <v>0.0</v>
      </c>
      <c r="AX298" s="7">
        <v>0.0</v>
      </c>
      <c r="AY298" s="7">
        <f t="shared" ref="AY298:AY304" si="591">SUM(AS298:AX298)</f>
        <v>0</v>
      </c>
      <c r="AZ298" s="8"/>
      <c r="BA298" s="9"/>
      <c r="BB298" s="10"/>
      <c r="BC298" s="10"/>
    </row>
    <row r="299">
      <c r="A299" s="11">
        <v>2025.0</v>
      </c>
      <c r="B299" s="11" t="s">
        <v>101</v>
      </c>
      <c r="C299" s="12">
        <v>45676.0</v>
      </c>
      <c r="D299" s="44">
        <v>16.0</v>
      </c>
      <c r="E299" s="26">
        <v>1054282.16</v>
      </c>
      <c r="F299" s="26">
        <v>41347.37</v>
      </c>
      <c r="G299" s="26">
        <v>3716.47</v>
      </c>
      <c r="H299" s="26">
        <v>1518.0</v>
      </c>
      <c r="I299" s="66">
        <v>1941.49</v>
      </c>
      <c r="J299" s="26">
        <v>0.0</v>
      </c>
      <c r="K299" s="26">
        <v>15877.46</v>
      </c>
      <c r="L299" s="26">
        <v>18738.41</v>
      </c>
      <c r="M299" s="15">
        <v>0.0</v>
      </c>
      <c r="N299" s="16">
        <v>0.0</v>
      </c>
      <c r="O299" s="16">
        <f t="shared" si="579"/>
        <v>0</v>
      </c>
      <c r="P299" s="16">
        <f t="shared" si="580"/>
        <v>0</v>
      </c>
      <c r="Q299" s="16">
        <f t="shared" si="581"/>
        <v>0</v>
      </c>
      <c r="R299" s="16">
        <f t="shared" si="582"/>
        <v>0</v>
      </c>
      <c r="S299" s="17">
        <f t="shared" si="583"/>
        <v>0</v>
      </c>
      <c r="T299" s="17">
        <f t="shared" si="584"/>
        <v>0</v>
      </c>
      <c r="U299" s="7">
        <v>5063.74</v>
      </c>
      <c r="V299" s="18">
        <f t="shared" si="585"/>
        <v>0</v>
      </c>
      <c r="W299" s="68">
        <f t="shared" si="586"/>
        <v>1941.49</v>
      </c>
      <c r="X299" s="69">
        <f t="shared" si="587"/>
        <v>0</v>
      </c>
      <c r="Y299" s="7">
        <f t="shared" si="588"/>
        <v>0</v>
      </c>
      <c r="Z299" s="7">
        <f t="shared" si="589"/>
        <v>0</v>
      </c>
      <c r="AA299" s="18">
        <f t="shared" si="590"/>
        <v>7005.23</v>
      </c>
      <c r="AB299" s="56">
        <v>9.0</v>
      </c>
      <c r="AC299" s="24">
        <v>767649.64</v>
      </c>
      <c r="AD299" s="24">
        <v>26009.12</v>
      </c>
      <c r="AE299" s="24">
        <v>2747.55</v>
      </c>
      <c r="AF299" s="24">
        <v>966.0</v>
      </c>
      <c r="AG299" s="24">
        <v>779.94</v>
      </c>
      <c r="AH299" s="24">
        <v>0.0</v>
      </c>
      <c r="AI299" s="24">
        <v>7707.55</v>
      </c>
      <c r="AJ299" s="24">
        <v>13808.08</v>
      </c>
      <c r="AK299" s="15">
        <v>0.0</v>
      </c>
      <c r="AL299" s="16">
        <v>0.0</v>
      </c>
      <c r="AM299" s="16">
        <v>0.0</v>
      </c>
      <c r="AN299" s="16">
        <v>0.0</v>
      </c>
      <c r="AO299" s="16">
        <v>0.0</v>
      </c>
      <c r="AP299" s="16">
        <v>0.0</v>
      </c>
      <c r="AQ299" s="16">
        <v>0.0</v>
      </c>
      <c r="AR299" s="16">
        <v>0.0</v>
      </c>
      <c r="AS299" s="7">
        <v>0.0</v>
      </c>
      <c r="AT299" s="7">
        <v>0.0</v>
      </c>
      <c r="AU299" s="7">
        <v>0.0</v>
      </c>
      <c r="AV299" s="7">
        <v>0.0</v>
      </c>
      <c r="AW299" s="7">
        <v>0.0</v>
      </c>
      <c r="AX299" s="7">
        <v>0.0</v>
      </c>
      <c r="AY299" s="7">
        <f t="shared" si="591"/>
        <v>0</v>
      </c>
      <c r="AZ299" s="8"/>
      <c r="BA299" s="9"/>
      <c r="BB299" s="10"/>
      <c r="BC299" s="10"/>
    </row>
    <row r="300">
      <c r="A300" s="11">
        <v>2025.0</v>
      </c>
      <c r="B300" s="11" t="s">
        <v>101</v>
      </c>
      <c r="C300" s="12">
        <v>45677.0</v>
      </c>
      <c r="D300" s="44">
        <v>15.0</v>
      </c>
      <c r="E300" s="26">
        <v>924009.17</v>
      </c>
      <c r="F300" s="26">
        <v>45807.3</v>
      </c>
      <c r="G300" s="26">
        <v>3890.17</v>
      </c>
      <c r="H300" s="26">
        <v>1518.0</v>
      </c>
      <c r="I300" s="66">
        <v>2736.57</v>
      </c>
      <c r="J300" s="26">
        <v>1496.78</v>
      </c>
      <c r="K300" s="26">
        <v>21608.31</v>
      </c>
      <c r="L300" s="26">
        <v>16054.25</v>
      </c>
      <c r="M300" s="15">
        <v>2.0</v>
      </c>
      <c r="N300" s="16">
        <v>156901.19</v>
      </c>
      <c r="O300" s="16">
        <f t="shared" si="579"/>
        <v>6276.0476</v>
      </c>
      <c r="P300" s="16">
        <f t="shared" si="580"/>
        <v>2635.939992</v>
      </c>
      <c r="Q300" s="16">
        <f t="shared" si="581"/>
        <v>1104</v>
      </c>
      <c r="R300" s="16">
        <f t="shared" si="582"/>
        <v>478.38</v>
      </c>
      <c r="S300" s="17">
        <f t="shared" si="583"/>
        <v>786.84</v>
      </c>
      <c r="T300" s="17">
        <f t="shared" si="584"/>
        <v>276</v>
      </c>
      <c r="U300" s="7">
        <v>3964.59</v>
      </c>
      <c r="V300" s="18">
        <f t="shared" si="585"/>
        <v>2635.939992</v>
      </c>
      <c r="W300" s="68">
        <f t="shared" si="586"/>
        <v>3214.95</v>
      </c>
      <c r="X300" s="69">
        <f t="shared" si="587"/>
        <v>1496.78</v>
      </c>
      <c r="Y300" s="7">
        <f t="shared" si="588"/>
        <v>6276.0476</v>
      </c>
      <c r="Z300" s="7">
        <f t="shared" si="589"/>
        <v>1104</v>
      </c>
      <c r="AA300" s="18">
        <f t="shared" si="590"/>
        <v>18692.30759</v>
      </c>
      <c r="AB300" s="56">
        <v>7.0</v>
      </c>
      <c r="AC300" s="24">
        <v>258023.63</v>
      </c>
      <c r="AD300" s="24">
        <v>18783.23</v>
      </c>
      <c r="AE300" s="24">
        <v>1599.95</v>
      </c>
      <c r="AF300" s="24">
        <v>552.0</v>
      </c>
      <c r="AG300" s="24">
        <v>624.99</v>
      </c>
      <c r="AH300" s="24">
        <v>0.0</v>
      </c>
      <c r="AI300" s="24">
        <v>11157.4</v>
      </c>
      <c r="AJ300" s="24">
        <v>4848.89</v>
      </c>
      <c r="AK300" s="15">
        <v>0.0</v>
      </c>
      <c r="AL300" s="16">
        <v>0.0</v>
      </c>
      <c r="AM300" s="16">
        <v>0.0</v>
      </c>
      <c r="AN300" s="16">
        <v>0.0</v>
      </c>
      <c r="AO300" s="16">
        <v>0.0</v>
      </c>
      <c r="AP300" s="16">
        <v>0.0</v>
      </c>
      <c r="AQ300" s="16">
        <v>0.0</v>
      </c>
      <c r="AR300" s="16">
        <v>0.0</v>
      </c>
      <c r="AS300" s="7">
        <v>12265.09</v>
      </c>
      <c r="AT300" s="7">
        <v>0.0</v>
      </c>
      <c r="AU300" s="7">
        <v>6486.65</v>
      </c>
      <c r="AV300" s="7">
        <v>2683.31</v>
      </c>
      <c r="AW300" s="7">
        <v>4240.0</v>
      </c>
      <c r="AX300" s="7">
        <f>5368.17-AT300</f>
        <v>5368.17</v>
      </c>
      <c r="AY300" s="7">
        <f t="shared" si="591"/>
        <v>31043.22</v>
      </c>
      <c r="AZ300" s="8"/>
      <c r="BA300" s="9"/>
      <c r="BB300" s="10"/>
      <c r="BC300" s="10"/>
    </row>
    <row r="301">
      <c r="A301" s="11">
        <v>2025.0</v>
      </c>
      <c r="B301" s="11" t="s">
        <v>101</v>
      </c>
      <c r="C301" s="12">
        <v>45678.0</v>
      </c>
      <c r="D301" s="44">
        <v>6.0</v>
      </c>
      <c r="E301" s="26">
        <v>331110.51</v>
      </c>
      <c r="F301" s="26">
        <v>14487.8</v>
      </c>
      <c r="G301" s="26">
        <v>1674.58</v>
      </c>
      <c r="H301" s="26">
        <v>828.0</v>
      </c>
      <c r="I301" s="66">
        <v>1252.96</v>
      </c>
      <c r="J301" s="26">
        <v>1217.92</v>
      </c>
      <c r="K301" s="26">
        <v>5169.6</v>
      </c>
      <c r="L301" s="26">
        <v>5562.66</v>
      </c>
      <c r="M301" s="15">
        <v>2.0</v>
      </c>
      <c r="N301" s="16">
        <v>305115.9</v>
      </c>
      <c r="O301" s="16">
        <f t="shared" si="579"/>
        <v>12204.636</v>
      </c>
      <c r="P301" s="16">
        <f t="shared" si="580"/>
        <v>5125.94712</v>
      </c>
      <c r="Q301" s="16">
        <f t="shared" si="581"/>
        <v>1104</v>
      </c>
      <c r="R301" s="16">
        <f t="shared" si="582"/>
        <v>478.38</v>
      </c>
      <c r="S301" s="17">
        <f t="shared" si="583"/>
        <v>786.84</v>
      </c>
      <c r="T301" s="17">
        <f t="shared" si="584"/>
        <v>276</v>
      </c>
      <c r="U301" s="7">
        <v>824.79</v>
      </c>
      <c r="V301" s="18">
        <f t="shared" si="585"/>
        <v>5125.94712</v>
      </c>
      <c r="W301" s="68">
        <f t="shared" si="586"/>
        <v>1731.34</v>
      </c>
      <c r="X301" s="69">
        <f t="shared" si="587"/>
        <v>1217.92</v>
      </c>
      <c r="Y301" s="7">
        <f t="shared" si="588"/>
        <v>12204.636</v>
      </c>
      <c r="Z301" s="7">
        <f t="shared" si="589"/>
        <v>1104</v>
      </c>
      <c r="AA301" s="18">
        <f t="shared" si="590"/>
        <v>22208.63312</v>
      </c>
      <c r="AB301" s="56">
        <v>2.0</v>
      </c>
      <c r="AC301" s="24">
        <v>92537.07</v>
      </c>
      <c r="AD301" s="24">
        <v>4080.77</v>
      </c>
      <c r="AE301" s="24">
        <v>676.21</v>
      </c>
      <c r="AF301" s="24">
        <v>276.0</v>
      </c>
      <c r="AG301" s="24">
        <v>278.38</v>
      </c>
      <c r="AH301" s="24">
        <v>0.0</v>
      </c>
      <c r="AI301" s="24">
        <v>1295.56</v>
      </c>
      <c r="AJ301" s="24">
        <v>1554.62</v>
      </c>
      <c r="AK301" s="15">
        <v>2.0</v>
      </c>
      <c r="AL301" s="16">
        <v>58336.59</v>
      </c>
      <c r="AM301" s="16">
        <v>2345.0</v>
      </c>
      <c r="AN301" s="16">
        <v>1358.51</v>
      </c>
      <c r="AO301" s="16">
        <v>1850.0</v>
      </c>
      <c r="AP301" s="16">
        <v>715.18</v>
      </c>
      <c r="AQ301" s="16">
        <v>490.0</v>
      </c>
      <c r="AR301" s="16">
        <v>0.0</v>
      </c>
      <c r="AS301" s="7">
        <v>13609.06</v>
      </c>
      <c r="AT301" s="7">
        <v>0.0</v>
      </c>
      <c r="AU301" s="7">
        <v>5514.2</v>
      </c>
      <c r="AV301" s="7">
        <v>8533.33</v>
      </c>
      <c r="AW301" s="7">
        <v>0.0</v>
      </c>
      <c r="AX301" s="7">
        <f>167.45-AT301</f>
        <v>167.45</v>
      </c>
      <c r="AY301" s="7">
        <f t="shared" si="591"/>
        <v>27824.04</v>
      </c>
      <c r="AZ301" s="8"/>
      <c r="BA301" s="9"/>
      <c r="BB301" s="10"/>
      <c r="BC301" s="10"/>
    </row>
    <row r="302">
      <c r="A302" s="11">
        <v>2025.0</v>
      </c>
      <c r="B302" s="11" t="s">
        <v>101</v>
      </c>
      <c r="C302" s="12">
        <v>45679.0</v>
      </c>
      <c r="D302" s="44">
        <v>11.0</v>
      </c>
      <c r="E302" s="26">
        <v>485342.88</v>
      </c>
      <c r="F302" s="26">
        <v>23908.57</v>
      </c>
      <c r="G302" s="26">
        <v>3028.95</v>
      </c>
      <c r="H302" s="26">
        <v>1518.0</v>
      </c>
      <c r="I302" s="66">
        <v>2270.13</v>
      </c>
      <c r="J302" s="26">
        <v>1684.28</v>
      </c>
      <c r="K302" s="26">
        <v>8573.2</v>
      </c>
      <c r="L302" s="26">
        <v>8518.29</v>
      </c>
      <c r="M302" s="15">
        <v>2.0</v>
      </c>
      <c r="N302" s="16">
        <v>302138.63</v>
      </c>
      <c r="O302" s="16">
        <f t="shared" si="579"/>
        <v>12085.5452</v>
      </c>
      <c r="P302" s="16">
        <f t="shared" si="580"/>
        <v>5075.928984</v>
      </c>
      <c r="Q302" s="16">
        <f t="shared" si="581"/>
        <v>1104</v>
      </c>
      <c r="R302" s="16">
        <f t="shared" si="582"/>
        <v>478.38</v>
      </c>
      <c r="S302" s="17">
        <f t="shared" si="583"/>
        <v>786.84</v>
      </c>
      <c r="T302" s="17">
        <f t="shared" si="584"/>
        <v>276</v>
      </c>
      <c r="U302" s="7">
        <v>2180.48</v>
      </c>
      <c r="V302" s="18">
        <f t="shared" si="585"/>
        <v>5075.928984</v>
      </c>
      <c r="W302" s="68">
        <f t="shared" si="586"/>
        <v>2748.51</v>
      </c>
      <c r="X302" s="69">
        <f t="shared" si="587"/>
        <v>1684.28</v>
      </c>
      <c r="Y302" s="7">
        <f t="shared" si="588"/>
        <v>12085.5452</v>
      </c>
      <c r="Z302" s="7">
        <f t="shared" si="589"/>
        <v>1104</v>
      </c>
      <c r="AA302" s="18">
        <f t="shared" si="590"/>
        <v>24878.74418</v>
      </c>
      <c r="AB302" s="56">
        <v>5.0</v>
      </c>
      <c r="AC302" s="24">
        <v>177824.53</v>
      </c>
      <c r="AD302" s="24">
        <v>10124.6</v>
      </c>
      <c r="AE302" s="24">
        <v>1436.69</v>
      </c>
      <c r="AF302" s="24">
        <v>690.0</v>
      </c>
      <c r="AG302" s="24">
        <v>851.8</v>
      </c>
      <c r="AH302" s="24">
        <v>0.0</v>
      </c>
      <c r="AI302" s="24">
        <v>3796.8</v>
      </c>
      <c r="AJ302" s="24">
        <v>3349.31</v>
      </c>
      <c r="AK302" s="15">
        <v>4.0</v>
      </c>
      <c r="AL302" s="16">
        <v>358959.56</v>
      </c>
      <c r="AM302" s="16">
        <v>11456.0</v>
      </c>
      <c r="AN302" s="16">
        <v>6042.0</v>
      </c>
      <c r="AO302" s="16">
        <v>2700.0</v>
      </c>
      <c r="AP302" s="16">
        <v>1790.05</v>
      </c>
      <c r="AQ302" s="16">
        <v>1818.34</v>
      </c>
      <c r="AR302" s="16">
        <v>0.0</v>
      </c>
      <c r="AS302" s="7">
        <v>54037.76</v>
      </c>
      <c r="AT302" s="7">
        <v>4904.51</v>
      </c>
      <c r="AU302" s="7">
        <v>6116.37</v>
      </c>
      <c r="AV302" s="7">
        <v>2092.95</v>
      </c>
      <c r="AW302" s="7">
        <v>10221.04</v>
      </c>
      <c r="AX302" s="7">
        <f>10310.48-AT302</f>
        <v>5405.97</v>
      </c>
      <c r="AY302" s="7">
        <f t="shared" si="591"/>
        <v>82778.6</v>
      </c>
      <c r="AZ302" s="8"/>
      <c r="BA302" s="9"/>
      <c r="BB302" s="10"/>
      <c r="BC302" s="10"/>
    </row>
    <row r="303">
      <c r="A303" s="11">
        <v>2025.0</v>
      </c>
      <c r="B303" s="11" t="s">
        <v>101</v>
      </c>
      <c r="C303" s="12">
        <v>45680.0</v>
      </c>
      <c r="D303" s="44">
        <v>15.0</v>
      </c>
      <c r="E303" s="26">
        <v>923153.53</v>
      </c>
      <c r="F303" s="26">
        <v>48505.31</v>
      </c>
      <c r="G303" s="26">
        <v>4895.77</v>
      </c>
      <c r="H303" s="26">
        <v>1932.0</v>
      </c>
      <c r="I303" s="66">
        <v>3282.3</v>
      </c>
      <c r="J303" s="26">
        <v>6372.83</v>
      </c>
      <c r="K303" s="26">
        <v>31676.82</v>
      </c>
      <c r="L303" s="26">
        <v>16986.74</v>
      </c>
      <c r="M303" s="15">
        <v>2.0</v>
      </c>
      <c r="N303" s="16">
        <v>198984.49</v>
      </c>
      <c r="O303" s="16">
        <f t="shared" si="579"/>
        <v>7959.3796</v>
      </c>
      <c r="P303" s="16">
        <f t="shared" si="580"/>
        <v>3342.939432</v>
      </c>
      <c r="Q303" s="16">
        <f t="shared" si="581"/>
        <v>1104</v>
      </c>
      <c r="R303" s="16">
        <f t="shared" si="582"/>
        <v>478.38</v>
      </c>
      <c r="S303" s="17">
        <f t="shared" si="583"/>
        <v>786.84</v>
      </c>
      <c r="T303" s="17">
        <f t="shared" si="584"/>
        <v>276</v>
      </c>
      <c r="U303" s="7">
        <v>4255.94</v>
      </c>
      <c r="V303" s="18">
        <f t="shared" si="585"/>
        <v>3342.939432</v>
      </c>
      <c r="W303" s="68">
        <f t="shared" si="586"/>
        <v>3760.68</v>
      </c>
      <c r="X303" s="69">
        <f t="shared" si="587"/>
        <v>6372.83</v>
      </c>
      <c r="Y303" s="7">
        <f t="shared" si="588"/>
        <v>7959.3796</v>
      </c>
      <c r="Z303" s="7">
        <f t="shared" si="589"/>
        <v>1104</v>
      </c>
      <c r="AA303" s="18">
        <f t="shared" si="590"/>
        <v>26795.76903</v>
      </c>
      <c r="AB303" s="56">
        <v>6.0</v>
      </c>
      <c r="AC303" s="24">
        <v>377478.94</v>
      </c>
      <c r="AD303" s="24">
        <v>18579.28</v>
      </c>
      <c r="AE303" s="24">
        <v>1886.64</v>
      </c>
      <c r="AF303" s="24">
        <v>690.0</v>
      </c>
      <c r="AG303" s="24">
        <v>882.34</v>
      </c>
      <c r="AH303" s="24">
        <v>0.0</v>
      </c>
      <c r="AI303" s="24">
        <v>8778.65</v>
      </c>
      <c r="AJ303" s="24">
        <v>6341.65</v>
      </c>
      <c r="AK303" s="15">
        <v>1.0</v>
      </c>
      <c r="AL303" s="16">
        <v>126767.24</v>
      </c>
      <c r="AM303" s="16">
        <v>4794.0</v>
      </c>
      <c r="AN303" s="16">
        <v>2134.0</v>
      </c>
      <c r="AO303" s="16">
        <v>850.0</v>
      </c>
      <c r="AP303" s="16">
        <v>502.88</v>
      </c>
      <c r="AQ303" s="16">
        <v>536.26</v>
      </c>
      <c r="AR303" s="16">
        <v>0.0</v>
      </c>
      <c r="AS303" s="7">
        <v>20208.47</v>
      </c>
      <c r="AT303" s="7">
        <v>3687.0</v>
      </c>
      <c r="AU303" s="7">
        <v>7933.84</v>
      </c>
      <c r="AV303" s="7">
        <v>11113.84</v>
      </c>
      <c r="AW303" s="7">
        <v>8284.0</v>
      </c>
      <c r="AX303" s="7">
        <f>6404.65-AT303</f>
        <v>2717.65</v>
      </c>
      <c r="AY303" s="7">
        <f t="shared" si="591"/>
        <v>53944.8</v>
      </c>
      <c r="AZ303" s="8"/>
      <c r="BA303" s="9"/>
      <c r="BB303" s="10"/>
      <c r="BC303" s="10"/>
    </row>
    <row r="304">
      <c r="A304" s="11">
        <v>2025.0</v>
      </c>
      <c r="B304" s="11" t="s">
        <v>101</v>
      </c>
      <c r="C304" s="12">
        <v>45681.0</v>
      </c>
      <c r="D304" s="44">
        <v>10.0</v>
      </c>
      <c r="E304" s="26">
        <v>667076.02</v>
      </c>
      <c r="F304" s="26">
        <v>32211.77</v>
      </c>
      <c r="G304" s="26">
        <v>4268.96</v>
      </c>
      <c r="H304" s="26">
        <v>1380.0</v>
      </c>
      <c r="I304" s="66">
        <v>1874.24</v>
      </c>
      <c r="J304" s="26">
        <v>5783.52</v>
      </c>
      <c r="K304" s="26">
        <v>21153.6</v>
      </c>
      <c r="L304" s="26">
        <v>10515.86</v>
      </c>
      <c r="M304" s="15">
        <v>4.0</v>
      </c>
      <c r="N304" s="16">
        <v>341161.12</v>
      </c>
      <c r="O304" s="16">
        <f t="shared" si="579"/>
        <v>13646.4448</v>
      </c>
      <c r="P304" s="16">
        <f t="shared" si="580"/>
        <v>5731.506816</v>
      </c>
      <c r="Q304" s="16">
        <f t="shared" si="581"/>
        <v>2208</v>
      </c>
      <c r="R304" s="16">
        <f t="shared" si="582"/>
        <v>956.76</v>
      </c>
      <c r="S304" s="17">
        <f t="shared" si="583"/>
        <v>1573.68</v>
      </c>
      <c r="T304" s="17">
        <f t="shared" si="584"/>
        <v>552</v>
      </c>
      <c r="U304" s="7">
        <v>3362.09</v>
      </c>
      <c r="V304" s="18">
        <f t="shared" si="585"/>
        <v>5731.506816</v>
      </c>
      <c r="W304" s="68">
        <f t="shared" si="586"/>
        <v>2831</v>
      </c>
      <c r="X304" s="69">
        <f t="shared" si="587"/>
        <v>5783.52</v>
      </c>
      <c r="Y304" s="7">
        <f t="shared" si="588"/>
        <v>13646.4448</v>
      </c>
      <c r="Z304" s="7">
        <f t="shared" si="589"/>
        <v>2208</v>
      </c>
      <c r="AA304" s="18">
        <f t="shared" si="590"/>
        <v>33562.56162</v>
      </c>
      <c r="AB304" s="56">
        <v>4.0</v>
      </c>
      <c r="AC304" s="24">
        <v>239431.71</v>
      </c>
      <c r="AD304" s="24">
        <v>11989.8</v>
      </c>
      <c r="AE304" s="24">
        <v>1578.35</v>
      </c>
      <c r="AF304" s="24">
        <v>552.0</v>
      </c>
      <c r="AG304" s="24">
        <v>500.34</v>
      </c>
      <c r="AH304" s="24">
        <v>0.0</v>
      </c>
      <c r="AI304" s="24">
        <v>5336.66</v>
      </c>
      <c r="AJ304" s="24">
        <v>4022.45</v>
      </c>
      <c r="AK304" s="15">
        <v>6.0</v>
      </c>
      <c r="AL304" s="16">
        <v>733716.19</v>
      </c>
      <c r="AM304" s="16">
        <v>27748.0</v>
      </c>
      <c r="AN304" s="16">
        <v>12349.0</v>
      </c>
      <c r="AO304" s="16">
        <v>5550.0</v>
      </c>
      <c r="AP304" s="16">
        <v>3001.05</v>
      </c>
      <c r="AQ304" s="16">
        <v>3428.14</v>
      </c>
      <c r="AR304" s="16">
        <v>0.0</v>
      </c>
      <c r="AS304" s="7">
        <v>33995.01</v>
      </c>
      <c r="AT304" s="7">
        <v>3677.0</v>
      </c>
      <c r="AU304" s="7">
        <v>3061.21</v>
      </c>
      <c r="AV304" s="7">
        <v>5391.91</v>
      </c>
      <c r="AW304" s="7">
        <v>6143.0</v>
      </c>
      <c r="AX304" s="7">
        <f>6848.72-AT304</f>
        <v>3171.72</v>
      </c>
      <c r="AY304" s="7">
        <f t="shared" si="591"/>
        <v>55439.85</v>
      </c>
      <c r="AZ304" s="8"/>
      <c r="BA304" s="9"/>
      <c r="BB304" s="10"/>
      <c r="BC304" s="10"/>
    </row>
    <row r="305">
      <c r="A305" s="11">
        <v>2025.0</v>
      </c>
      <c r="B305" s="11" t="s">
        <v>101</v>
      </c>
      <c r="C305" s="1"/>
      <c r="D305" s="2">
        <v>136.0</v>
      </c>
      <c r="E305" s="2"/>
      <c r="F305" s="59" t="s">
        <v>110</v>
      </c>
      <c r="G305" s="2"/>
      <c r="H305" s="33"/>
      <c r="I305" s="33"/>
      <c r="J305" s="33"/>
      <c r="K305" s="33"/>
      <c r="L305" s="33"/>
      <c r="M305" s="15">
        <v>7.0</v>
      </c>
      <c r="N305" s="16">
        <v>631373.12</v>
      </c>
      <c r="O305" s="35"/>
      <c r="P305" s="35"/>
      <c r="Q305" s="35"/>
      <c r="R305" s="35"/>
      <c r="S305" s="35"/>
      <c r="T305" s="35"/>
      <c r="U305" s="37"/>
      <c r="V305" s="48"/>
      <c r="W305" s="48"/>
      <c r="X305" s="37"/>
      <c r="Y305" s="48"/>
      <c r="Z305" s="48"/>
      <c r="AA305" s="48"/>
      <c r="AB305" s="2"/>
      <c r="AC305" s="33"/>
      <c r="AD305" s="2"/>
      <c r="AE305" s="33"/>
      <c r="AF305" s="33"/>
      <c r="AG305" s="33"/>
      <c r="AH305" s="33"/>
      <c r="AI305" s="33"/>
      <c r="AJ305" s="33"/>
      <c r="AK305" s="4"/>
      <c r="AL305" s="4"/>
      <c r="AM305" s="35"/>
      <c r="AN305" s="35"/>
      <c r="AO305" s="35"/>
      <c r="AP305" s="35"/>
      <c r="AQ305" s="35"/>
      <c r="AR305" s="35"/>
      <c r="AS305" s="37"/>
      <c r="AT305" s="48"/>
      <c r="AU305" s="48"/>
      <c r="AV305" s="48"/>
      <c r="AW305" s="48"/>
      <c r="AX305" s="48"/>
      <c r="AY305" s="48"/>
      <c r="AZ305" s="38"/>
      <c r="BA305" s="39"/>
      <c r="BB305" s="40"/>
      <c r="BC305" s="40"/>
    </row>
    <row r="306">
      <c r="A306" s="1">
        <v>2025.0</v>
      </c>
      <c r="B306" s="1" t="s">
        <v>101</v>
      </c>
      <c r="C306" s="1" t="s">
        <v>49</v>
      </c>
      <c r="D306" s="33">
        <f t="shared" ref="D306:F306" si="592">SUM(D298:D304)</f>
        <v>80</v>
      </c>
      <c r="E306" s="34">
        <f t="shared" si="592"/>
        <v>4601284.1</v>
      </c>
      <c r="F306" s="34">
        <f t="shared" si="592"/>
        <v>222451.48</v>
      </c>
      <c r="G306" s="34">
        <f>SUM(G298:G305)</f>
        <v>23491.01</v>
      </c>
      <c r="H306" s="34">
        <f t="shared" ref="H306:L306" si="593">SUM(H298:H304)</f>
        <v>9660</v>
      </c>
      <c r="I306" s="55">
        <f t="shared" si="593"/>
        <v>14429.87</v>
      </c>
      <c r="J306" s="34">
        <f t="shared" si="593"/>
        <v>21542.67</v>
      </c>
      <c r="K306" s="34">
        <f t="shared" si="593"/>
        <v>129145.54</v>
      </c>
      <c r="L306" s="34">
        <f t="shared" si="593"/>
        <v>80457.35</v>
      </c>
      <c r="M306" s="35">
        <f t="shared" ref="M306:N306" si="594">SUM(M298:M305)</f>
        <v>19</v>
      </c>
      <c r="N306" s="36">
        <f t="shared" si="594"/>
        <v>1935674.45</v>
      </c>
      <c r="O306" s="36">
        <f t="shared" ref="O306:AJ306" si="595">SUM(O298:O304)</f>
        <v>52172.0532</v>
      </c>
      <c r="P306" s="36">
        <f t="shared" si="595"/>
        <v>21912.26234</v>
      </c>
      <c r="Q306" s="36">
        <f t="shared" si="595"/>
        <v>6624</v>
      </c>
      <c r="R306" s="70">
        <f t="shared" si="595"/>
        <v>2870.28</v>
      </c>
      <c r="S306" s="36">
        <f t="shared" si="595"/>
        <v>4721.04</v>
      </c>
      <c r="T306" s="36">
        <f t="shared" si="595"/>
        <v>1656</v>
      </c>
      <c r="U306" s="37">
        <f t="shared" si="595"/>
        <v>22313.66</v>
      </c>
      <c r="V306" s="37">
        <f t="shared" si="595"/>
        <v>21912.26234</v>
      </c>
      <c r="W306" s="71">
        <f t="shared" si="595"/>
        <v>17300.15</v>
      </c>
      <c r="X306" s="37">
        <f t="shared" si="595"/>
        <v>21542.67</v>
      </c>
      <c r="Y306" s="37">
        <f t="shared" si="595"/>
        <v>52172.0532</v>
      </c>
      <c r="Z306" s="37">
        <f t="shared" si="595"/>
        <v>6624</v>
      </c>
      <c r="AA306" s="37">
        <f t="shared" si="595"/>
        <v>141864.7955</v>
      </c>
      <c r="AB306" s="33">
        <f t="shared" si="595"/>
        <v>37</v>
      </c>
      <c r="AC306" s="34">
        <f t="shared" si="595"/>
        <v>2052450.29</v>
      </c>
      <c r="AD306" s="34">
        <f t="shared" si="595"/>
        <v>99571.82</v>
      </c>
      <c r="AE306" s="34">
        <f t="shared" si="595"/>
        <v>11543.05</v>
      </c>
      <c r="AF306" s="34">
        <f t="shared" si="595"/>
        <v>4278</v>
      </c>
      <c r="AG306" s="34">
        <f t="shared" si="595"/>
        <v>4159.98</v>
      </c>
      <c r="AH306" s="34">
        <f t="shared" si="595"/>
        <v>0</v>
      </c>
      <c r="AI306" s="34">
        <f t="shared" si="595"/>
        <v>42904.05</v>
      </c>
      <c r="AJ306" s="34">
        <f t="shared" si="595"/>
        <v>36686.74</v>
      </c>
      <c r="AK306" s="35">
        <f t="shared" ref="AK306:AL306" si="596">SUM(AK298:AK305)</f>
        <v>13</v>
      </c>
      <c r="AL306" s="36">
        <f t="shared" si="596"/>
        <v>1277779.58</v>
      </c>
      <c r="AM306" s="36">
        <f t="shared" ref="AM306:AY306" si="597">SUM(AM298:AM304)</f>
        <v>46343</v>
      </c>
      <c r="AN306" s="36">
        <f t="shared" si="597"/>
        <v>21883.51</v>
      </c>
      <c r="AO306" s="36">
        <f t="shared" si="597"/>
        <v>10950</v>
      </c>
      <c r="AP306" s="36">
        <f t="shared" si="597"/>
        <v>6009.16</v>
      </c>
      <c r="AQ306" s="36">
        <f t="shared" si="597"/>
        <v>6272.74</v>
      </c>
      <c r="AR306" s="36">
        <f t="shared" si="597"/>
        <v>0</v>
      </c>
      <c r="AS306" s="37">
        <f t="shared" si="597"/>
        <v>134115.39</v>
      </c>
      <c r="AT306" s="37">
        <f t="shared" si="597"/>
        <v>12268.51</v>
      </c>
      <c r="AU306" s="37">
        <f t="shared" si="597"/>
        <v>29112.27</v>
      </c>
      <c r="AV306" s="37">
        <f t="shared" si="597"/>
        <v>29815.34</v>
      </c>
      <c r="AW306" s="37">
        <f t="shared" si="597"/>
        <v>28888.04</v>
      </c>
      <c r="AX306" s="37">
        <f t="shared" si="597"/>
        <v>16830.96</v>
      </c>
      <c r="AY306" s="37">
        <f t="shared" si="597"/>
        <v>251030.51</v>
      </c>
      <c r="AZ306" s="38"/>
      <c r="BA306" s="39"/>
      <c r="BB306" s="40"/>
      <c r="BC306" s="40"/>
    </row>
    <row r="307">
      <c r="A307" s="11">
        <v>2025.0</v>
      </c>
      <c r="B307" s="11" t="s">
        <v>101</v>
      </c>
      <c r="C307" s="12">
        <v>45682.0</v>
      </c>
      <c r="D307" s="44">
        <v>7.0</v>
      </c>
      <c r="E307" s="26">
        <v>569983.67</v>
      </c>
      <c r="F307" s="26">
        <v>29912.83</v>
      </c>
      <c r="G307" s="26">
        <v>3521.43</v>
      </c>
      <c r="H307" s="26">
        <v>966.0</v>
      </c>
      <c r="I307" s="66">
        <v>1691.33</v>
      </c>
      <c r="J307" s="26">
        <v>1481.37</v>
      </c>
      <c r="K307" s="26">
        <v>17434.56</v>
      </c>
      <c r="L307" s="26">
        <v>10190.15</v>
      </c>
      <c r="M307" s="15">
        <v>0.0</v>
      </c>
      <c r="N307" s="16">
        <v>0.0</v>
      </c>
      <c r="O307" s="16">
        <f t="shared" ref="O307:O313" si="598">N307*4%</f>
        <v>0</v>
      </c>
      <c r="P307" s="16">
        <f t="shared" ref="P307:P313" si="599">N307*1.68%</f>
        <v>0</v>
      </c>
      <c r="Q307" s="16">
        <f t="shared" ref="Q307:Q313" si="600">M307*(400+350+100+2)</f>
        <v>0</v>
      </c>
      <c r="R307" s="67">
        <f t="shared" ref="R307:R313" si="601">M307*239.19</f>
        <v>0</v>
      </c>
      <c r="S307" s="17">
        <f t="shared" ref="S307:S313" si="602">M307*393.42</f>
        <v>0</v>
      </c>
      <c r="T307" s="17">
        <f t="shared" ref="T307:T313" si="603">M307*138</f>
        <v>0</v>
      </c>
      <c r="U307" s="7">
        <v>0.0</v>
      </c>
      <c r="V307" s="18">
        <f t="shared" ref="V307:V313" si="604">P307</f>
        <v>0</v>
      </c>
      <c r="W307" s="68">
        <f t="shared" ref="W307:W313" si="605">I307+R307</f>
        <v>1691.33</v>
      </c>
      <c r="X307" s="69">
        <f t="shared" ref="X307:X313" si="606">J307</f>
        <v>1481.37</v>
      </c>
      <c r="Y307" s="7">
        <f t="shared" ref="Y307:Y313" si="607">O307</f>
        <v>0</v>
      </c>
      <c r="Z307" s="7">
        <f t="shared" ref="Z307:Z313" si="608">Q307</f>
        <v>0</v>
      </c>
      <c r="AA307" s="18">
        <f t="shared" ref="AA307:AA313" si="609">SUM(U307:Z307)</f>
        <v>3172.7</v>
      </c>
      <c r="AB307" s="56">
        <v>4.0</v>
      </c>
      <c r="AC307" s="24" t="s">
        <v>111</v>
      </c>
      <c r="AD307" s="24" t="s">
        <v>112</v>
      </c>
      <c r="AE307" s="24" t="s">
        <v>113</v>
      </c>
      <c r="AF307" s="24" t="s">
        <v>114</v>
      </c>
      <c r="AG307" s="24" t="s">
        <v>115</v>
      </c>
      <c r="AH307" s="24">
        <v>0.0</v>
      </c>
      <c r="AI307" s="24" t="s">
        <v>116</v>
      </c>
      <c r="AJ307" s="24" t="s">
        <v>117</v>
      </c>
      <c r="AK307" s="15">
        <v>0.0</v>
      </c>
      <c r="AL307" s="16">
        <v>0.0</v>
      </c>
      <c r="AM307" s="16">
        <v>0.0</v>
      </c>
      <c r="AN307" s="16">
        <v>0.0</v>
      </c>
      <c r="AO307" s="16">
        <v>0.0</v>
      </c>
      <c r="AP307" s="16">
        <v>0.0</v>
      </c>
      <c r="AQ307" s="16">
        <v>0.0</v>
      </c>
      <c r="AR307" s="16">
        <v>0.0</v>
      </c>
      <c r="AS307" s="7">
        <v>0.0</v>
      </c>
      <c r="AT307" s="7">
        <v>0.0</v>
      </c>
      <c r="AU307" s="7">
        <v>0.0</v>
      </c>
      <c r="AV307" s="7">
        <v>0.0</v>
      </c>
      <c r="AW307" s="7">
        <v>0.0</v>
      </c>
      <c r="AX307" s="7">
        <v>0.0</v>
      </c>
      <c r="AY307" s="7">
        <f t="shared" ref="AY307:AY313" si="610">SUM(AS307:AX307)</f>
        <v>0</v>
      </c>
      <c r="AZ307" s="8"/>
      <c r="BA307" s="9"/>
      <c r="BB307" s="10"/>
      <c r="BC307" s="10"/>
    </row>
    <row r="308">
      <c r="A308" s="11">
        <v>2025.0</v>
      </c>
      <c r="B308" s="11" t="s">
        <v>101</v>
      </c>
      <c r="C308" s="12">
        <v>45683.0</v>
      </c>
      <c r="D308" s="44">
        <v>8.0</v>
      </c>
      <c r="E308" s="26">
        <v>337298.04</v>
      </c>
      <c r="F308" s="26">
        <v>20566.57</v>
      </c>
      <c r="G308" s="26">
        <v>2610.24</v>
      </c>
      <c r="H308" s="26">
        <v>1104.0</v>
      </c>
      <c r="I308" s="66">
        <v>1974.59</v>
      </c>
      <c r="J308" s="26">
        <v>4528.83</v>
      </c>
      <c r="K308" s="26">
        <v>21044.95</v>
      </c>
      <c r="L308" s="26">
        <v>6531.84</v>
      </c>
      <c r="M308" s="15">
        <v>0.0</v>
      </c>
      <c r="N308" s="16">
        <v>0.0</v>
      </c>
      <c r="O308" s="16">
        <f t="shared" si="598"/>
        <v>0</v>
      </c>
      <c r="P308" s="16">
        <f t="shared" si="599"/>
        <v>0</v>
      </c>
      <c r="Q308" s="16">
        <f t="shared" si="600"/>
        <v>0</v>
      </c>
      <c r="R308" s="16">
        <f t="shared" si="601"/>
        <v>0</v>
      </c>
      <c r="S308" s="17">
        <f t="shared" si="602"/>
        <v>0</v>
      </c>
      <c r="T308" s="17">
        <f t="shared" si="603"/>
        <v>0</v>
      </c>
      <c r="U308" s="7">
        <v>1041.03</v>
      </c>
      <c r="V308" s="18">
        <f t="shared" si="604"/>
        <v>0</v>
      </c>
      <c r="W308" s="68">
        <f t="shared" si="605"/>
        <v>1974.59</v>
      </c>
      <c r="X308" s="69">
        <f t="shared" si="606"/>
        <v>4528.83</v>
      </c>
      <c r="Y308" s="7">
        <f t="shared" si="607"/>
        <v>0</v>
      </c>
      <c r="Z308" s="7">
        <f t="shared" si="608"/>
        <v>0</v>
      </c>
      <c r="AA308" s="18">
        <f t="shared" si="609"/>
        <v>7544.45</v>
      </c>
      <c r="AB308" s="56">
        <v>2.0</v>
      </c>
      <c r="AC308" s="24">
        <v>94913.74</v>
      </c>
      <c r="AD308" s="24">
        <v>5781.08</v>
      </c>
      <c r="AE308" s="24">
        <v>1268.92</v>
      </c>
      <c r="AF308" s="24">
        <v>276.0</v>
      </c>
      <c r="AG308" s="24">
        <v>306.35</v>
      </c>
      <c r="AH308" s="24">
        <v>0.0</v>
      </c>
      <c r="AI308" s="24">
        <v>1783.66</v>
      </c>
      <c r="AJ308" s="24">
        <v>2146.15</v>
      </c>
      <c r="AK308" s="15">
        <v>0.0</v>
      </c>
      <c r="AL308" s="16">
        <v>0.0</v>
      </c>
      <c r="AM308" s="16">
        <v>0.0</v>
      </c>
      <c r="AN308" s="16">
        <v>0.0</v>
      </c>
      <c r="AO308" s="16">
        <v>0.0</v>
      </c>
      <c r="AP308" s="16">
        <v>0.0</v>
      </c>
      <c r="AQ308" s="16">
        <v>0.0</v>
      </c>
      <c r="AR308" s="16">
        <v>0.0</v>
      </c>
      <c r="AS308" s="7">
        <v>0.0</v>
      </c>
      <c r="AT308" s="7">
        <v>0.0</v>
      </c>
      <c r="AU308" s="7">
        <v>0.0</v>
      </c>
      <c r="AV308" s="7">
        <v>0.0</v>
      </c>
      <c r="AW308" s="7">
        <v>0.0</v>
      </c>
      <c r="AX308" s="7">
        <v>0.0</v>
      </c>
      <c r="AY308" s="7">
        <f t="shared" si="610"/>
        <v>0</v>
      </c>
      <c r="AZ308" s="8"/>
      <c r="BA308" s="9"/>
      <c r="BB308" s="10"/>
      <c r="BC308" s="10"/>
    </row>
    <row r="309">
      <c r="A309" s="11">
        <v>2025.0</v>
      </c>
      <c r="B309" s="11" t="s">
        <v>101</v>
      </c>
      <c r="C309" s="12">
        <v>45684.0</v>
      </c>
      <c r="D309" s="44">
        <v>5.0</v>
      </c>
      <c r="E309" s="26">
        <v>321964.89</v>
      </c>
      <c r="F309" s="26">
        <v>15988.75</v>
      </c>
      <c r="G309" s="26">
        <v>1683.8</v>
      </c>
      <c r="H309" s="26">
        <v>690.0</v>
      </c>
      <c r="I309" s="66">
        <v>1073.41</v>
      </c>
      <c r="J309" s="26">
        <v>1159.44</v>
      </c>
      <c r="K309" s="26">
        <v>7132.53</v>
      </c>
      <c r="L309" s="26">
        <v>5409.01</v>
      </c>
      <c r="M309" s="15">
        <v>5.0</v>
      </c>
      <c r="N309" s="16">
        <v>544250.0</v>
      </c>
      <c r="O309" s="16">
        <f t="shared" si="598"/>
        <v>21770</v>
      </c>
      <c r="P309" s="16">
        <f t="shared" si="599"/>
        <v>9143.4</v>
      </c>
      <c r="Q309" s="16">
        <f t="shared" si="600"/>
        <v>4260</v>
      </c>
      <c r="R309" s="16">
        <f t="shared" si="601"/>
        <v>1195.95</v>
      </c>
      <c r="S309" s="17">
        <f t="shared" si="602"/>
        <v>1967.1</v>
      </c>
      <c r="T309" s="17">
        <f t="shared" si="603"/>
        <v>690</v>
      </c>
      <c r="U309" s="7">
        <v>404.48</v>
      </c>
      <c r="V309" s="18">
        <f t="shared" si="604"/>
        <v>9143.4</v>
      </c>
      <c r="W309" s="68">
        <f t="shared" si="605"/>
        <v>2269.36</v>
      </c>
      <c r="X309" s="69">
        <f t="shared" si="606"/>
        <v>1159.44</v>
      </c>
      <c r="Y309" s="7">
        <f t="shared" si="607"/>
        <v>21770</v>
      </c>
      <c r="Z309" s="7">
        <f t="shared" si="608"/>
        <v>4260</v>
      </c>
      <c r="AA309" s="18">
        <f t="shared" si="609"/>
        <v>39006.68</v>
      </c>
      <c r="AB309" s="56">
        <v>4.0</v>
      </c>
      <c r="AC309" s="24">
        <v>212989.45</v>
      </c>
      <c r="AD309" s="24">
        <v>11356.93</v>
      </c>
      <c r="AE309" s="24">
        <v>1525.25</v>
      </c>
      <c r="AF309" s="24">
        <v>552.0</v>
      </c>
      <c r="AG309" s="24">
        <v>647.89</v>
      </c>
      <c r="AH309" s="24">
        <v>0.0</v>
      </c>
      <c r="AI309" s="24">
        <v>5053.57</v>
      </c>
      <c r="AJ309" s="24">
        <v>3578.22</v>
      </c>
      <c r="AK309" s="15">
        <v>5.0</v>
      </c>
      <c r="AL309" s="16">
        <v>487053.28</v>
      </c>
      <c r="AM309" s="16">
        <v>18420.0</v>
      </c>
      <c r="AN309" s="16">
        <v>8197.0</v>
      </c>
      <c r="AO309" s="16">
        <v>400.0</v>
      </c>
      <c r="AP309" s="16">
        <v>2372.8</v>
      </c>
      <c r="AQ309" s="16">
        <v>2013.48</v>
      </c>
      <c r="AR309" s="16">
        <v>0.0</v>
      </c>
      <c r="AS309" s="7">
        <v>42288.29</v>
      </c>
      <c r="AT309" s="7">
        <v>11275.0</v>
      </c>
      <c r="AU309" s="7">
        <v>10266.6</v>
      </c>
      <c r="AV309" s="7">
        <v>5985.85</v>
      </c>
      <c r="AW309" s="7">
        <v>25335.0</v>
      </c>
      <c r="AX309" s="7">
        <f>18559.39-AT309</f>
        <v>7284.39</v>
      </c>
      <c r="AY309" s="7">
        <f t="shared" si="610"/>
        <v>102435.13</v>
      </c>
      <c r="AZ309" s="8"/>
      <c r="BA309" s="9"/>
      <c r="BB309" s="10"/>
      <c r="BC309" s="10"/>
    </row>
    <row r="310">
      <c r="A310" s="11">
        <v>2025.0</v>
      </c>
      <c r="B310" s="11" t="s">
        <v>101</v>
      </c>
      <c r="C310" s="12">
        <v>45685.0</v>
      </c>
      <c r="D310" s="44">
        <v>13.0</v>
      </c>
      <c r="E310" s="26">
        <v>713654.85</v>
      </c>
      <c r="F310" s="26">
        <v>42773.98</v>
      </c>
      <c r="G310" s="26">
        <v>4248.41</v>
      </c>
      <c r="H310" s="26">
        <v>1518.0</v>
      </c>
      <c r="I310" s="66">
        <v>2771.16</v>
      </c>
      <c r="J310" s="26">
        <v>3330.69</v>
      </c>
      <c r="K310" s="26">
        <v>24758.59</v>
      </c>
      <c r="L310" s="26">
        <v>12580.42</v>
      </c>
      <c r="M310" s="15">
        <v>2.0</v>
      </c>
      <c r="N310" s="16">
        <v>239000.0</v>
      </c>
      <c r="O310" s="16">
        <f t="shared" si="598"/>
        <v>9560</v>
      </c>
      <c r="P310" s="16">
        <f t="shared" si="599"/>
        <v>4015.2</v>
      </c>
      <c r="Q310" s="16">
        <f t="shared" si="600"/>
        <v>1704</v>
      </c>
      <c r="R310" s="16">
        <f t="shared" si="601"/>
        <v>478.38</v>
      </c>
      <c r="S310" s="17">
        <f t="shared" si="602"/>
        <v>786.84</v>
      </c>
      <c r="T310" s="17">
        <f t="shared" si="603"/>
        <v>276</v>
      </c>
      <c r="U310" s="7">
        <v>3914.39</v>
      </c>
      <c r="V310" s="18">
        <f t="shared" si="604"/>
        <v>4015.2</v>
      </c>
      <c r="W310" s="68">
        <f t="shared" si="605"/>
        <v>3249.54</v>
      </c>
      <c r="X310" s="69">
        <f t="shared" si="606"/>
        <v>3330.69</v>
      </c>
      <c r="Y310" s="7">
        <f t="shared" si="607"/>
        <v>9560</v>
      </c>
      <c r="Z310" s="7">
        <f t="shared" si="608"/>
        <v>1704</v>
      </c>
      <c r="AA310" s="18">
        <f t="shared" si="609"/>
        <v>25773.82</v>
      </c>
      <c r="AB310" s="56">
        <v>2.0</v>
      </c>
      <c r="AC310" s="24">
        <v>56662.65</v>
      </c>
      <c r="AD310" s="24">
        <v>3476.3</v>
      </c>
      <c r="AE310" s="24">
        <v>294.0</v>
      </c>
      <c r="AF310" s="24">
        <v>138.0</v>
      </c>
      <c r="AG310" s="24">
        <v>139.19</v>
      </c>
      <c r="AH310" s="24">
        <v>0.0</v>
      </c>
      <c r="AI310" s="24">
        <v>1870.25</v>
      </c>
      <c r="AJ310" s="24">
        <v>1034.86</v>
      </c>
      <c r="AK310" s="15">
        <v>3.0</v>
      </c>
      <c r="AL310" s="16">
        <v>339589.15</v>
      </c>
      <c r="AM310" s="16">
        <v>12844.0</v>
      </c>
      <c r="AN310" s="16">
        <v>5716.0</v>
      </c>
      <c r="AO310" s="16">
        <v>2700.0</v>
      </c>
      <c r="AP310" s="16">
        <v>1757.83</v>
      </c>
      <c r="AQ310" s="16">
        <v>1601.32</v>
      </c>
      <c r="AR310" s="16">
        <v>0.0</v>
      </c>
      <c r="AS310" s="7">
        <v>10032.12</v>
      </c>
      <c r="AT310" s="7">
        <v>11368.0</v>
      </c>
      <c r="AU310" s="7">
        <v>6627.78</v>
      </c>
      <c r="AV310" s="7">
        <v>406.99</v>
      </c>
      <c r="AW310" s="7">
        <v>25545.0</v>
      </c>
      <c r="AX310" s="7">
        <f>20430.5-AT310</f>
        <v>9062.5</v>
      </c>
      <c r="AY310" s="7">
        <f t="shared" si="610"/>
        <v>63042.39</v>
      </c>
      <c r="AZ310" s="8"/>
      <c r="BA310" s="9"/>
      <c r="BB310" s="10"/>
      <c r="BC310" s="10"/>
    </row>
    <row r="311">
      <c r="A311" s="11">
        <v>2025.0</v>
      </c>
      <c r="B311" s="11" t="s">
        <v>101</v>
      </c>
      <c r="C311" s="12">
        <v>45686.0</v>
      </c>
      <c r="D311" s="44">
        <v>12.0</v>
      </c>
      <c r="E311" s="26">
        <v>923218.2</v>
      </c>
      <c r="F311" s="26">
        <v>45752.94</v>
      </c>
      <c r="G311" s="26">
        <v>5527.22</v>
      </c>
      <c r="H311" s="26">
        <v>1518.0</v>
      </c>
      <c r="I311" s="66">
        <v>1760.4</v>
      </c>
      <c r="J311" s="26">
        <v>2169.14</v>
      </c>
      <c r="K311" s="26">
        <v>16785.87</v>
      </c>
      <c r="L311" s="26">
        <v>21834.83</v>
      </c>
      <c r="M311" s="15">
        <v>2.0</v>
      </c>
      <c r="N311" s="16">
        <v>602134.73</v>
      </c>
      <c r="O311" s="16">
        <f t="shared" si="598"/>
        <v>24085.3892</v>
      </c>
      <c r="P311" s="16">
        <f t="shared" si="599"/>
        <v>10115.86346</v>
      </c>
      <c r="Q311" s="16">
        <f t="shared" si="600"/>
        <v>1704</v>
      </c>
      <c r="R311" s="16">
        <f t="shared" si="601"/>
        <v>478.38</v>
      </c>
      <c r="S311" s="17">
        <f t="shared" si="602"/>
        <v>786.84</v>
      </c>
      <c r="T311" s="17">
        <f t="shared" si="603"/>
        <v>276</v>
      </c>
      <c r="U311" s="7">
        <v>6219.88</v>
      </c>
      <c r="V311" s="18">
        <f t="shared" si="604"/>
        <v>10115.86346</v>
      </c>
      <c r="W311" s="68">
        <f t="shared" si="605"/>
        <v>2238.78</v>
      </c>
      <c r="X311" s="69">
        <f t="shared" si="606"/>
        <v>2169.14</v>
      </c>
      <c r="Y311" s="7">
        <f t="shared" si="607"/>
        <v>24085.3892</v>
      </c>
      <c r="Z311" s="7">
        <f t="shared" si="608"/>
        <v>1704</v>
      </c>
      <c r="AA311" s="18">
        <f t="shared" si="609"/>
        <v>46533.05266</v>
      </c>
      <c r="AB311" s="56">
        <v>1.0</v>
      </c>
      <c r="AC311" s="24">
        <v>24759.8</v>
      </c>
      <c r="AD311" s="24">
        <v>1882.45</v>
      </c>
      <c r="AE311" s="24">
        <v>378.71</v>
      </c>
      <c r="AF311" s="24">
        <v>138.0</v>
      </c>
      <c r="AG311" s="24">
        <v>10.2</v>
      </c>
      <c r="AH311" s="24">
        <v>0.0</v>
      </c>
      <c r="AI311" s="24">
        <v>939.58</v>
      </c>
      <c r="AJ311" s="24">
        <v>415.96</v>
      </c>
      <c r="AK311" s="15">
        <v>3.0</v>
      </c>
      <c r="AL311" s="16">
        <v>254166.08</v>
      </c>
      <c r="AM311" s="16">
        <v>9613.0</v>
      </c>
      <c r="AN311" s="16">
        <v>4279.0</v>
      </c>
      <c r="AO311" s="16">
        <v>2000.0</v>
      </c>
      <c r="AP311" s="16">
        <v>1516.43</v>
      </c>
      <c r="AQ311" s="16">
        <v>1462.65</v>
      </c>
      <c r="AR311" s="16">
        <v>0.0</v>
      </c>
      <c r="AS311" s="7">
        <v>5331.87</v>
      </c>
      <c r="AT311" s="7">
        <v>4095.0</v>
      </c>
      <c r="AU311" s="7">
        <v>3161.94</v>
      </c>
      <c r="AV311" s="7">
        <v>3162.34</v>
      </c>
      <c r="AW311" s="7">
        <v>9201.0</v>
      </c>
      <c r="AX311" s="7">
        <f>8366.74-AT311</f>
        <v>4271.74</v>
      </c>
      <c r="AY311" s="7">
        <f t="shared" si="610"/>
        <v>29223.89</v>
      </c>
      <c r="AZ311" s="8"/>
      <c r="BA311" s="9"/>
      <c r="BB311" s="10"/>
      <c r="BC311" s="10"/>
    </row>
    <row r="312">
      <c r="A312" s="11">
        <v>2025.0</v>
      </c>
      <c r="B312" s="11" t="s">
        <v>101</v>
      </c>
      <c r="C312" s="12">
        <v>45687.0</v>
      </c>
      <c r="D312" s="44">
        <v>340.0</v>
      </c>
      <c r="E312" s="26">
        <v>2.460954634E7</v>
      </c>
      <c r="F312" s="26">
        <v>984466.9</v>
      </c>
      <c r="G312" s="26">
        <v>111448.2</v>
      </c>
      <c r="H312" s="26">
        <v>20562.0</v>
      </c>
      <c r="I312" s="66">
        <v>116644.89</v>
      </c>
      <c r="J312" s="26">
        <v>47675.45</v>
      </c>
      <c r="K312" s="26">
        <v>-39634.97</v>
      </c>
      <c r="L312" s="26">
        <v>813523.96</v>
      </c>
      <c r="M312" s="15">
        <v>1.0</v>
      </c>
      <c r="N312" s="16">
        <v>58000.0</v>
      </c>
      <c r="O312" s="16">
        <f t="shared" si="598"/>
        <v>2320</v>
      </c>
      <c r="P312" s="16">
        <f t="shared" si="599"/>
        <v>974.4</v>
      </c>
      <c r="Q312" s="16">
        <f t="shared" si="600"/>
        <v>852</v>
      </c>
      <c r="R312" s="16">
        <f t="shared" si="601"/>
        <v>239.19</v>
      </c>
      <c r="S312" s="17">
        <f t="shared" si="602"/>
        <v>393.42</v>
      </c>
      <c r="T312" s="17">
        <f t="shared" si="603"/>
        <v>138</v>
      </c>
      <c r="U312" s="7">
        <v>20977.44</v>
      </c>
      <c r="V312" s="18">
        <f t="shared" si="604"/>
        <v>974.4</v>
      </c>
      <c r="W312" s="68">
        <f t="shared" si="605"/>
        <v>116884.08</v>
      </c>
      <c r="X312" s="69">
        <f t="shared" si="606"/>
        <v>47675.45</v>
      </c>
      <c r="Y312" s="7">
        <f t="shared" si="607"/>
        <v>2320</v>
      </c>
      <c r="Z312" s="7">
        <f t="shared" si="608"/>
        <v>852</v>
      </c>
      <c r="AA312" s="18">
        <f t="shared" si="609"/>
        <v>189683.37</v>
      </c>
      <c r="AB312" s="56">
        <v>189.0</v>
      </c>
      <c r="AC312" s="24">
        <v>1.426647942E7</v>
      </c>
      <c r="AD312" s="24">
        <v>570713.49</v>
      </c>
      <c r="AE312" s="24">
        <v>67495.97</v>
      </c>
      <c r="AF312" s="24">
        <v>11040.0</v>
      </c>
      <c r="AG312" s="24">
        <v>61993.46</v>
      </c>
      <c r="AH312" s="24">
        <v>0.0</v>
      </c>
      <c r="AI312" s="24">
        <v>195369.57</v>
      </c>
      <c r="AJ312" s="24">
        <v>239564.2</v>
      </c>
      <c r="AK312" s="15">
        <v>1.0</v>
      </c>
      <c r="AL312" s="16">
        <v>530134.34</v>
      </c>
      <c r="AM312" s="16">
        <v>20047.0</v>
      </c>
      <c r="AN312" s="16">
        <v>8921.0</v>
      </c>
      <c r="AO312" s="16">
        <v>850.0</v>
      </c>
      <c r="AP312" s="16">
        <v>1512.81</v>
      </c>
      <c r="AQ312" s="16">
        <v>1603.53</v>
      </c>
      <c r="AR312" s="16">
        <v>0.0</v>
      </c>
      <c r="AS312" s="7">
        <v>39263.47</v>
      </c>
      <c r="AT312" s="7">
        <v>9990.0</v>
      </c>
      <c r="AU312" s="7">
        <v>15374.83</v>
      </c>
      <c r="AV312" s="7">
        <v>1110.19</v>
      </c>
      <c r="AW312" s="7">
        <v>22448.0</v>
      </c>
      <c r="AX312" s="7">
        <f>13916.94-AT312</f>
        <v>3926.94</v>
      </c>
      <c r="AY312" s="7">
        <f t="shared" si="610"/>
        <v>92113.43</v>
      </c>
      <c r="AZ312" s="8"/>
      <c r="BA312" s="9"/>
      <c r="BB312" s="10"/>
      <c r="BC312" s="10"/>
    </row>
    <row r="313">
      <c r="A313" s="11">
        <v>2025.0</v>
      </c>
      <c r="B313" s="11" t="s">
        <v>101</v>
      </c>
      <c r="C313" s="12">
        <v>45688.0</v>
      </c>
      <c r="D313" s="44">
        <v>6.0</v>
      </c>
      <c r="E313" s="26">
        <v>501324.25</v>
      </c>
      <c r="F313" s="26">
        <v>17793.47</v>
      </c>
      <c r="G313" s="26">
        <v>2203.53</v>
      </c>
      <c r="H313" s="26">
        <v>828.0</v>
      </c>
      <c r="I313" s="66">
        <v>1481.13</v>
      </c>
      <c r="J313" s="26">
        <v>0.0</v>
      </c>
      <c r="K313" s="26">
        <v>4858.56</v>
      </c>
      <c r="L313" s="26">
        <v>8422.25</v>
      </c>
      <c r="M313" s="15">
        <v>1.0</v>
      </c>
      <c r="N313" s="16">
        <v>57000.0</v>
      </c>
      <c r="O313" s="16">
        <f t="shared" si="598"/>
        <v>2280</v>
      </c>
      <c r="P313" s="16">
        <f t="shared" si="599"/>
        <v>957.6</v>
      </c>
      <c r="Q313" s="16">
        <f t="shared" si="600"/>
        <v>852</v>
      </c>
      <c r="R313" s="16">
        <f t="shared" si="601"/>
        <v>239.19</v>
      </c>
      <c r="S313" s="17">
        <f t="shared" si="602"/>
        <v>393.42</v>
      </c>
      <c r="T313" s="17">
        <f t="shared" si="603"/>
        <v>138</v>
      </c>
      <c r="U313" s="7">
        <v>1311.75</v>
      </c>
      <c r="V313" s="18">
        <f t="shared" si="604"/>
        <v>957.6</v>
      </c>
      <c r="W313" s="68">
        <f t="shared" si="605"/>
        <v>1720.32</v>
      </c>
      <c r="X313" s="69">
        <f t="shared" si="606"/>
        <v>0</v>
      </c>
      <c r="Y313" s="7">
        <f t="shared" si="607"/>
        <v>2280</v>
      </c>
      <c r="Z313" s="7">
        <f t="shared" si="608"/>
        <v>852</v>
      </c>
      <c r="AA313" s="18">
        <f t="shared" si="609"/>
        <v>7121.67</v>
      </c>
      <c r="AB313" s="56">
        <v>5.0</v>
      </c>
      <c r="AC313" s="24">
        <v>164473.55</v>
      </c>
      <c r="AD313" s="24">
        <v>8247.48</v>
      </c>
      <c r="AE313" s="24">
        <v>1475.69</v>
      </c>
      <c r="AF313" s="24">
        <v>690.0</v>
      </c>
      <c r="AG313" s="24">
        <v>795.95</v>
      </c>
      <c r="AH313" s="24">
        <v>0.0</v>
      </c>
      <c r="AI313" s="24">
        <v>2522.68</v>
      </c>
      <c r="AJ313" s="24">
        <v>2763.16</v>
      </c>
      <c r="AK313" s="15">
        <v>2.0</v>
      </c>
      <c r="AL313" s="16">
        <v>73200.0</v>
      </c>
      <c r="AM313" s="16">
        <v>2928.0</v>
      </c>
      <c r="AN313" s="16">
        <v>2459.52</v>
      </c>
      <c r="AO313" s="16">
        <v>1700.0</v>
      </c>
      <c r="AP313" s="16">
        <v>887.85</v>
      </c>
      <c r="AQ313" s="16">
        <v>710.7</v>
      </c>
      <c r="AR313" s="16">
        <v>0.0</v>
      </c>
      <c r="AS313" s="7">
        <v>37645.8</v>
      </c>
      <c r="AT313" s="7">
        <v>2459.52</v>
      </c>
      <c r="AU313" s="7">
        <v>25784.47</v>
      </c>
      <c r="AV313" s="7">
        <v>230.03</v>
      </c>
      <c r="AW313" s="7">
        <v>2928.0</v>
      </c>
      <c r="AX313" s="7">
        <f>5133.58-AT313</f>
        <v>2674.06</v>
      </c>
      <c r="AY313" s="7">
        <f t="shared" si="610"/>
        <v>71721.88</v>
      </c>
      <c r="AZ313" s="8"/>
      <c r="BA313" s="9"/>
      <c r="BB313" s="10"/>
      <c r="BC313" s="10"/>
    </row>
    <row r="314">
      <c r="A314" s="11">
        <v>2025.0</v>
      </c>
      <c r="B314" s="11" t="s">
        <v>101</v>
      </c>
      <c r="C314" s="1"/>
      <c r="D314" s="2">
        <v>118.0</v>
      </c>
      <c r="E314" s="2"/>
      <c r="F314" s="59" t="s">
        <v>118</v>
      </c>
      <c r="G314" s="2"/>
      <c r="H314" s="33"/>
      <c r="I314" s="33"/>
      <c r="J314" s="33"/>
      <c r="K314" s="33"/>
      <c r="L314" s="33"/>
      <c r="M314" s="15">
        <v>4.0</v>
      </c>
      <c r="N314" s="16">
        <v>338000.0</v>
      </c>
      <c r="O314" s="35"/>
      <c r="P314" s="35"/>
      <c r="Q314" s="35"/>
      <c r="R314" s="35"/>
      <c r="S314" s="35"/>
      <c r="T314" s="35"/>
      <c r="U314" s="37"/>
      <c r="V314" s="48"/>
      <c r="W314" s="48"/>
      <c r="X314" s="37"/>
      <c r="Y314" s="48"/>
      <c r="Z314" s="48"/>
      <c r="AA314" s="48"/>
      <c r="AB314" s="2"/>
      <c r="AC314" s="33"/>
      <c r="AD314" s="2"/>
      <c r="AE314" s="33"/>
      <c r="AF314" s="33"/>
      <c r="AG314" s="33"/>
      <c r="AH314" s="33"/>
      <c r="AI314" s="33"/>
      <c r="AJ314" s="33"/>
      <c r="AK314" s="4"/>
      <c r="AL314" s="4"/>
      <c r="AM314" s="35"/>
      <c r="AN314" s="35"/>
      <c r="AO314" s="35"/>
      <c r="AP314" s="35"/>
      <c r="AQ314" s="35"/>
      <c r="AR314" s="35"/>
      <c r="AS314" s="37"/>
      <c r="AT314" s="48"/>
      <c r="AU314" s="48"/>
      <c r="AV314" s="48"/>
      <c r="AW314" s="48"/>
      <c r="AX314" s="48"/>
      <c r="AY314" s="48"/>
      <c r="AZ314" s="38"/>
      <c r="BA314" s="39"/>
      <c r="BB314" s="40"/>
      <c r="BC314" s="40"/>
    </row>
    <row r="315">
      <c r="A315" s="1">
        <v>2025.0</v>
      </c>
      <c r="B315" s="1" t="s">
        <v>101</v>
      </c>
      <c r="C315" s="1" t="s">
        <v>49</v>
      </c>
      <c r="D315" s="33">
        <f t="shared" ref="D315:F315" si="611">SUM(D307:D313)</f>
        <v>391</v>
      </c>
      <c r="E315" s="34">
        <f t="shared" si="611"/>
        <v>27976990.24</v>
      </c>
      <c r="F315" s="34">
        <f t="shared" si="611"/>
        <v>1157255.44</v>
      </c>
      <c r="G315" s="34">
        <f>SUM(G307:G314)</f>
        <v>131242.83</v>
      </c>
      <c r="H315" s="34">
        <f t="shared" ref="H315:L315" si="612">SUM(H307:H313)</f>
        <v>27186</v>
      </c>
      <c r="I315" s="55">
        <f t="shared" si="612"/>
        <v>127396.91</v>
      </c>
      <c r="J315" s="34">
        <f t="shared" si="612"/>
        <v>60344.92</v>
      </c>
      <c r="K315" s="34">
        <f t="shared" si="612"/>
        <v>52380.09</v>
      </c>
      <c r="L315" s="34">
        <f t="shared" si="612"/>
        <v>878492.46</v>
      </c>
      <c r="M315" s="35">
        <f t="shared" ref="M315:N315" si="613">SUM(M307:M314)</f>
        <v>15</v>
      </c>
      <c r="N315" s="36">
        <f t="shared" si="613"/>
        <v>1838384.73</v>
      </c>
      <c r="O315" s="36">
        <f t="shared" ref="O315:AJ315" si="614">SUM(O307:O313)</f>
        <v>60015.3892</v>
      </c>
      <c r="P315" s="36">
        <f t="shared" si="614"/>
        <v>25206.46346</v>
      </c>
      <c r="Q315" s="36">
        <f t="shared" si="614"/>
        <v>9372</v>
      </c>
      <c r="R315" s="70">
        <f t="shared" si="614"/>
        <v>2631.09</v>
      </c>
      <c r="S315" s="36">
        <f t="shared" si="614"/>
        <v>4327.62</v>
      </c>
      <c r="T315" s="36">
        <f t="shared" si="614"/>
        <v>1518</v>
      </c>
      <c r="U315" s="37">
        <f t="shared" si="614"/>
        <v>33868.97</v>
      </c>
      <c r="V315" s="37">
        <f t="shared" si="614"/>
        <v>25206.46346</v>
      </c>
      <c r="W315" s="71">
        <f t="shared" si="614"/>
        <v>130028</v>
      </c>
      <c r="X315" s="37">
        <f t="shared" si="614"/>
        <v>60344.92</v>
      </c>
      <c r="Y315" s="37">
        <f t="shared" si="614"/>
        <v>60015.3892</v>
      </c>
      <c r="Z315" s="37">
        <f t="shared" si="614"/>
        <v>9372</v>
      </c>
      <c r="AA315" s="37">
        <f t="shared" si="614"/>
        <v>318835.7427</v>
      </c>
      <c r="AB315" s="33">
        <f t="shared" si="614"/>
        <v>207</v>
      </c>
      <c r="AC315" s="34">
        <f t="shared" si="614"/>
        <v>14820278.61</v>
      </c>
      <c r="AD315" s="34">
        <f t="shared" si="614"/>
        <v>601457.73</v>
      </c>
      <c r="AE315" s="34">
        <f t="shared" si="614"/>
        <v>72438.54</v>
      </c>
      <c r="AF315" s="34">
        <f t="shared" si="614"/>
        <v>12834</v>
      </c>
      <c r="AG315" s="34">
        <f t="shared" si="614"/>
        <v>63893.04</v>
      </c>
      <c r="AH315" s="34">
        <f t="shared" si="614"/>
        <v>0</v>
      </c>
      <c r="AI315" s="34">
        <f t="shared" si="614"/>
        <v>207539.31</v>
      </c>
      <c r="AJ315" s="34">
        <f t="shared" si="614"/>
        <v>249502.55</v>
      </c>
      <c r="AK315" s="35">
        <f t="shared" ref="AK315:AL315" si="615">SUM(AK307:AK314)</f>
        <v>14</v>
      </c>
      <c r="AL315" s="36">
        <f t="shared" si="615"/>
        <v>1684142.85</v>
      </c>
      <c r="AM315" s="36">
        <f t="shared" ref="AM315:AY315" si="616">SUM(AM307:AM313)</f>
        <v>63852</v>
      </c>
      <c r="AN315" s="36">
        <f t="shared" si="616"/>
        <v>29572.52</v>
      </c>
      <c r="AO315" s="36">
        <f t="shared" si="616"/>
        <v>7650</v>
      </c>
      <c r="AP315" s="36">
        <f t="shared" si="616"/>
        <v>8047.72</v>
      </c>
      <c r="AQ315" s="36">
        <f t="shared" si="616"/>
        <v>7391.68</v>
      </c>
      <c r="AR315" s="36">
        <f t="shared" si="616"/>
        <v>0</v>
      </c>
      <c r="AS315" s="37">
        <f t="shared" si="616"/>
        <v>134561.55</v>
      </c>
      <c r="AT315" s="37">
        <f t="shared" si="616"/>
        <v>39187.52</v>
      </c>
      <c r="AU315" s="37">
        <f t="shared" si="616"/>
        <v>61215.62</v>
      </c>
      <c r="AV315" s="37">
        <f t="shared" si="616"/>
        <v>10895.4</v>
      </c>
      <c r="AW315" s="37">
        <f t="shared" si="616"/>
        <v>85457</v>
      </c>
      <c r="AX315" s="37">
        <f t="shared" si="616"/>
        <v>27219.63</v>
      </c>
      <c r="AY315" s="37">
        <f t="shared" si="616"/>
        <v>358536.72</v>
      </c>
      <c r="AZ315" s="38"/>
      <c r="BA315" s="39"/>
      <c r="BB315" s="40"/>
      <c r="BC315" s="40"/>
    </row>
    <row r="316">
      <c r="A316" s="11">
        <v>2025.0</v>
      </c>
      <c r="B316" s="11" t="s">
        <v>119</v>
      </c>
      <c r="C316" s="12">
        <v>45689.0</v>
      </c>
      <c r="D316" s="44">
        <v>12.0</v>
      </c>
      <c r="E316" s="26">
        <v>493745.32</v>
      </c>
      <c r="F316" s="26">
        <v>29903.69</v>
      </c>
      <c r="G316" s="26">
        <v>3697.4</v>
      </c>
      <c r="H316" s="26">
        <v>1656.0</v>
      </c>
      <c r="I316" s="66">
        <v>2161.88</v>
      </c>
      <c r="J316" s="26">
        <v>1126.01</v>
      </c>
      <c r="K316" s="26">
        <v>16049.63</v>
      </c>
      <c r="L316" s="26">
        <v>8294.92</v>
      </c>
      <c r="M316" s="15">
        <v>0.0</v>
      </c>
      <c r="N316" s="16">
        <v>0.0</v>
      </c>
      <c r="O316" s="16">
        <f t="shared" ref="O316:O322" si="617">N316*4%</f>
        <v>0</v>
      </c>
      <c r="P316" s="16">
        <f t="shared" ref="P316:P322" si="618">N316*1.68%</f>
        <v>0</v>
      </c>
      <c r="Q316" s="16">
        <f t="shared" ref="Q316:Q322" si="619">M316*(400+350+100+2)</f>
        <v>0</v>
      </c>
      <c r="R316" s="67">
        <f t="shared" ref="R316:R322" si="620">M316*239.19</f>
        <v>0</v>
      </c>
      <c r="S316" s="17">
        <f t="shared" ref="S316:S322" si="621">M316*393.42</f>
        <v>0</v>
      </c>
      <c r="T316" s="17">
        <f t="shared" ref="T316:T322" si="622">M316*138</f>
        <v>0</v>
      </c>
      <c r="U316" s="7">
        <v>4511.24</v>
      </c>
      <c r="V316" s="18">
        <f t="shared" ref="V316:V322" si="623">P316</f>
        <v>0</v>
      </c>
      <c r="W316" s="68">
        <f t="shared" ref="W316:W322" si="624">I316+R316</f>
        <v>2161.88</v>
      </c>
      <c r="X316" s="69">
        <f t="shared" ref="X316:X322" si="625">J316</f>
        <v>1126.01</v>
      </c>
      <c r="Y316" s="7">
        <f t="shared" ref="Y316:Y322" si="626">O316</f>
        <v>0</v>
      </c>
      <c r="Z316" s="7">
        <f t="shared" ref="Z316:Z322" si="627">Q316</f>
        <v>0</v>
      </c>
      <c r="AA316" s="18">
        <f t="shared" ref="AA316:AA322" si="628">SUM(U316:Z316)</f>
        <v>7799.13</v>
      </c>
      <c r="AB316" s="56">
        <v>4.0</v>
      </c>
      <c r="AC316" s="24">
        <v>266041.34</v>
      </c>
      <c r="AD316" s="24">
        <v>12200.38</v>
      </c>
      <c r="AE316" s="24">
        <v>1632.99</v>
      </c>
      <c r="AF316" s="24">
        <v>552.0</v>
      </c>
      <c r="AG316" s="24">
        <v>459.0</v>
      </c>
      <c r="AH316" s="24">
        <v>0.0</v>
      </c>
      <c r="AI316" s="24">
        <v>5086.9</v>
      </c>
      <c r="AJ316" s="24">
        <v>4469.49</v>
      </c>
      <c r="AK316" s="15">
        <v>0.0</v>
      </c>
      <c r="AL316" s="16">
        <v>0.0</v>
      </c>
      <c r="AM316" s="16">
        <v>0.0</v>
      </c>
      <c r="AN316" s="16">
        <v>0.0</v>
      </c>
      <c r="AO316" s="16">
        <v>0.0</v>
      </c>
      <c r="AP316" s="16">
        <v>0.0</v>
      </c>
      <c r="AQ316" s="16">
        <v>0.0</v>
      </c>
      <c r="AR316" s="16">
        <v>0.0</v>
      </c>
      <c r="AS316" s="7">
        <v>12786.0</v>
      </c>
      <c r="AT316" s="7">
        <v>0.0</v>
      </c>
      <c r="AU316" s="7">
        <v>6983.0</v>
      </c>
      <c r="AV316" s="7">
        <v>0.0</v>
      </c>
      <c r="AW316" s="7">
        <v>0.0</v>
      </c>
      <c r="AX316" s="7">
        <v>0.0</v>
      </c>
      <c r="AY316" s="7">
        <f t="shared" ref="AY316:AY322" si="629">SUM(AS316:AX316)</f>
        <v>19769</v>
      </c>
      <c r="AZ316" s="8"/>
      <c r="BA316" s="9"/>
      <c r="BB316" s="10"/>
      <c r="BC316" s="10"/>
    </row>
    <row r="317">
      <c r="A317" s="11">
        <v>2025.0</v>
      </c>
      <c r="B317" s="11" t="s">
        <v>119</v>
      </c>
      <c r="C317" s="12">
        <v>45690.0</v>
      </c>
      <c r="D317" s="44">
        <v>7.0</v>
      </c>
      <c r="E317" s="26">
        <v>414115.63</v>
      </c>
      <c r="F317" s="26">
        <v>22372.44</v>
      </c>
      <c r="G317" s="26">
        <v>2078.54</v>
      </c>
      <c r="H317" s="26">
        <v>966.0</v>
      </c>
      <c r="I317" s="66">
        <v>1832.58</v>
      </c>
      <c r="J317" s="26">
        <v>7435.95</v>
      </c>
      <c r="K317" s="26">
        <v>36649.27</v>
      </c>
      <c r="L317" s="26">
        <v>7453.92</v>
      </c>
      <c r="M317" s="15">
        <v>0.0</v>
      </c>
      <c r="N317" s="16">
        <v>0.0</v>
      </c>
      <c r="O317" s="16">
        <f t="shared" si="617"/>
        <v>0</v>
      </c>
      <c r="P317" s="16">
        <f t="shared" si="618"/>
        <v>0</v>
      </c>
      <c r="Q317" s="16">
        <f t="shared" si="619"/>
        <v>0</v>
      </c>
      <c r="R317" s="16">
        <f t="shared" si="620"/>
        <v>0</v>
      </c>
      <c r="S317" s="17">
        <f t="shared" si="621"/>
        <v>0</v>
      </c>
      <c r="T317" s="17">
        <f t="shared" si="622"/>
        <v>0</v>
      </c>
      <c r="U317" s="7">
        <v>229.55</v>
      </c>
      <c r="V317" s="18">
        <f t="shared" si="623"/>
        <v>0</v>
      </c>
      <c r="W317" s="68">
        <f t="shared" si="624"/>
        <v>1832.58</v>
      </c>
      <c r="X317" s="69">
        <f t="shared" si="625"/>
        <v>7435.95</v>
      </c>
      <c r="Y317" s="7">
        <f t="shared" si="626"/>
        <v>0</v>
      </c>
      <c r="Z317" s="7">
        <f t="shared" si="627"/>
        <v>0</v>
      </c>
      <c r="AA317" s="18">
        <f t="shared" si="628"/>
        <v>9498.08</v>
      </c>
      <c r="AB317" s="56">
        <v>2.0</v>
      </c>
      <c r="AC317" s="24">
        <v>102672.71</v>
      </c>
      <c r="AD317" s="24">
        <v>4843.47</v>
      </c>
      <c r="AE317" s="24">
        <v>740.38</v>
      </c>
      <c r="AF317" s="24">
        <v>276.0</v>
      </c>
      <c r="AG317" s="24">
        <v>478.38</v>
      </c>
      <c r="AH317" s="24">
        <v>0.0</v>
      </c>
      <c r="AI317" s="24">
        <v>1623.81</v>
      </c>
      <c r="AJ317" s="24">
        <v>1724.9</v>
      </c>
      <c r="AK317" s="15">
        <v>0.0</v>
      </c>
      <c r="AL317" s="16">
        <v>0.0</v>
      </c>
      <c r="AM317" s="16">
        <v>0.0</v>
      </c>
      <c r="AN317" s="16">
        <v>0.0</v>
      </c>
      <c r="AO317" s="16">
        <v>0.0</v>
      </c>
      <c r="AP317" s="16">
        <v>0.0</v>
      </c>
      <c r="AQ317" s="16">
        <v>0.0</v>
      </c>
      <c r="AR317" s="16">
        <v>0.0</v>
      </c>
      <c r="AS317" s="7">
        <v>0.0</v>
      </c>
      <c r="AT317" s="7">
        <v>0.0</v>
      </c>
      <c r="AU317" s="7">
        <v>0.0</v>
      </c>
      <c r="AV317" s="7">
        <v>0.0</v>
      </c>
      <c r="AW317" s="7">
        <v>0.0</v>
      </c>
      <c r="AX317" s="7">
        <v>0.0</v>
      </c>
      <c r="AY317" s="7">
        <f t="shared" si="629"/>
        <v>0</v>
      </c>
      <c r="AZ317" s="8"/>
      <c r="BA317" s="9"/>
      <c r="BB317" s="10"/>
      <c r="BC317" s="10"/>
    </row>
    <row r="318">
      <c r="A318" s="11">
        <v>2025.0</v>
      </c>
      <c r="B318" s="11" t="s">
        <v>119</v>
      </c>
      <c r="C318" s="12">
        <v>45691.0</v>
      </c>
      <c r="D318" s="44">
        <v>7.0</v>
      </c>
      <c r="E318" s="26">
        <v>492257.33</v>
      </c>
      <c r="F318" s="26">
        <v>17823.56</v>
      </c>
      <c r="G318" s="26">
        <v>1244.36</v>
      </c>
      <c r="H318" s="26">
        <v>690.0</v>
      </c>
      <c r="I318" s="66">
        <v>1278.89</v>
      </c>
      <c r="J318" s="26">
        <v>0.0</v>
      </c>
      <c r="K318" s="26">
        <v>13435.17</v>
      </c>
      <c r="L318" s="26">
        <v>8183.54</v>
      </c>
      <c r="M318" s="15">
        <v>3.0</v>
      </c>
      <c r="N318" s="16">
        <v>367515.31</v>
      </c>
      <c r="O318" s="16">
        <f t="shared" si="617"/>
        <v>14700.6124</v>
      </c>
      <c r="P318" s="16">
        <f t="shared" si="618"/>
        <v>6174.257208</v>
      </c>
      <c r="Q318" s="16">
        <f t="shared" si="619"/>
        <v>2556</v>
      </c>
      <c r="R318" s="16">
        <f t="shared" si="620"/>
        <v>717.57</v>
      </c>
      <c r="S318" s="17">
        <f t="shared" si="621"/>
        <v>1180.26</v>
      </c>
      <c r="T318" s="17">
        <f t="shared" si="622"/>
        <v>414</v>
      </c>
      <c r="U318" s="7">
        <v>2562.69</v>
      </c>
      <c r="V318" s="18">
        <f t="shared" si="623"/>
        <v>6174.257208</v>
      </c>
      <c r="W318" s="68">
        <f t="shared" si="624"/>
        <v>1996.46</v>
      </c>
      <c r="X318" s="69">
        <f t="shared" si="625"/>
        <v>0</v>
      </c>
      <c r="Y318" s="7">
        <f t="shared" si="626"/>
        <v>14700.6124</v>
      </c>
      <c r="Z318" s="7">
        <f t="shared" si="627"/>
        <v>2556</v>
      </c>
      <c r="AA318" s="18">
        <f t="shared" si="628"/>
        <v>27990.01961</v>
      </c>
      <c r="AB318" s="56">
        <v>4.0</v>
      </c>
      <c r="AC318" s="24">
        <v>432288.89</v>
      </c>
      <c r="AD318" s="24">
        <v>11242.77</v>
      </c>
      <c r="AE318" s="24">
        <v>899.88</v>
      </c>
      <c r="AF318" s="24">
        <v>414.0</v>
      </c>
      <c r="AG318" s="24">
        <v>473.42</v>
      </c>
      <c r="AH318" s="24">
        <v>0.0</v>
      </c>
      <c r="AI318" s="24">
        <v>2193.02</v>
      </c>
      <c r="AJ318" s="24">
        <v>7262.45</v>
      </c>
      <c r="AK318" s="15">
        <v>0.0</v>
      </c>
      <c r="AL318" s="16">
        <v>0.0</v>
      </c>
      <c r="AM318" s="16">
        <v>0.0</v>
      </c>
      <c r="AN318" s="16">
        <v>0.0</v>
      </c>
      <c r="AO318" s="16">
        <v>0.0</v>
      </c>
      <c r="AP318" s="16">
        <v>0.0</v>
      </c>
      <c r="AQ318" s="16">
        <v>0.0</v>
      </c>
      <c r="AR318" s="16">
        <v>0.0</v>
      </c>
      <c r="AS318" s="7">
        <v>6878.0</v>
      </c>
      <c r="AT318" s="7">
        <v>0.0</v>
      </c>
      <c r="AU318" s="7">
        <v>3961.0</v>
      </c>
      <c r="AV318" s="7">
        <v>0.0</v>
      </c>
      <c r="AW318" s="7">
        <v>0.0</v>
      </c>
      <c r="AX318" s="7">
        <v>0.0</v>
      </c>
      <c r="AY318" s="7">
        <f t="shared" si="629"/>
        <v>10839</v>
      </c>
      <c r="AZ318" s="8"/>
      <c r="BA318" s="9"/>
      <c r="BB318" s="10"/>
      <c r="BC318" s="10"/>
    </row>
    <row r="319">
      <c r="A319" s="11">
        <v>2025.0</v>
      </c>
      <c r="B319" s="11" t="s">
        <v>119</v>
      </c>
      <c r="C319" s="12">
        <v>45692.0</v>
      </c>
      <c r="D319" s="44">
        <v>10.0</v>
      </c>
      <c r="E319" s="26">
        <v>491052.84</v>
      </c>
      <c r="F319" s="26">
        <v>24939.95</v>
      </c>
      <c r="G319" s="26">
        <v>3112.0</v>
      </c>
      <c r="H319" s="26">
        <v>1242.0</v>
      </c>
      <c r="I319" s="66">
        <v>1897.78</v>
      </c>
      <c r="J319" s="26">
        <v>3263.94</v>
      </c>
      <c r="K319" s="26">
        <v>13202.05</v>
      </c>
      <c r="L319" s="26">
        <v>9543.78</v>
      </c>
      <c r="M319" s="15">
        <v>3.0</v>
      </c>
      <c r="N319" s="16">
        <v>355146.58</v>
      </c>
      <c r="O319" s="16">
        <f t="shared" si="617"/>
        <v>14205.8632</v>
      </c>
      <c r="P319" s="16">
        <f t="shared" si="618"/>
        <v>5966.462544</v>
      </c>
      <c r="Q319" s="16">
        <f t="shared" si="619"/>
        <v>2556</v>
      </c>
      <c r="R319" s="16">
        <f t="shared" si="620"/>
        <v>717.57</v>
      </c>
      <c r="S319" s="17">
        <f t="shared" si="621"/>
        <v>1180.26</v>
      </c>
      <c r="T319" s="17">
        <f t="shared" si="622"/>
        <v>414</v>
      </c>
      <c r="U319" s="7">
        <v>2907.29</v>
      </c>
      <c r="V319" s="18">
        <f t="shared" si="623"/>
        <v>5966.462544</v>
      </c>
      <c r="W319" s="68">
        <f t="shared" si="624"/>
        <v>2615.35</v>
      </c>
      <c r="X319" s="69">
        <f t="shared" si="625"/>
        <v>3263.94</v>
      </c>
      <c r="Y319" s="7">
        <f t="shared" si="626"/>
        <v>14205.8632</v>
      </c>
      <c r="Z319" s="7">
        <f t="shared" si="627"/>
        <v>2556</v>
      </c>
      <c r="AA319" s="18">
        <f t="shared" si="628"/>
        <v>31514.90574</v>
      </c>
      <c r="AB319" s="56">
        <v>5.0</v>
      </c>
      <c r="AC319" s="24">
        <v>253148.4</v>
      </c>
      <c r="AD319" s="24">
        <v>13574.6</v>
      </c>
      <c r="AE319" s="24">
        <v>2136.91</v>
      </c>
      <c r="AF319" s="24">
        <v>690.0</v>
      </c>
      <c r="AG319" s="24">
        <v>628.61</v>
      </c>
      <c r="AH319" s="24">
        <v>0.0</v>
      </c>
      <c r="AI319" s="24">
        <v>4769.69</v>
      </c>
      <c r="AJ319" s="24">
        <v>5349.39</v>
      </c>
      <c r="AK319" s="15">
        <v>1.0</v>
      </c>
      <c r="AL319" s="16">
        <v>74105.35</v>
      </c>
      <c r="AM319" s="16">
        <v>2803.0</v>
      </c>
      <c r="AN319" s="16">
        <v>1247.0</v>
      </c>
      <c r="AO319" s="16">
        <v>1000.0</v>
      </c>
      <c r="AP319" s="16">
        <v>510.35</v>
      </c>
      <c r="AQ319" s="16">
        <v>245.0</v>
      </c>
      <c r="AR319" s="16">
        <v>0.0</v>
      </c>
      <c r="AS319" s="7">
        <v>5437.0</v>
      </c>
      <c r="AT319" s="7">
        <v>0.0</v>
      </c>
      <c r="AU319" s="7">
        <v>2353.0</v>
      </c>
      <c r="AV319" s="7">
        <v>0.0</v>
      </c>
      <c r="AW319" s="7">
        <v>0.0</v>
      </c>
      <c r="AX319" s="7">
        <v>0.0</v>
      </c>
      <c r="AY319" s="7">
        <f t="shared" si="629"/>
        <v>7790</v>
      </c>
      <c r="AZ319" s="8"/>
      <c r="BA319" s="9"/>
      <c r="BB319" s="10"/>
      <c r="BC319" s="10"/>
    </row>
    <row r="320">
      <c r="A320" s="11">
        <v>2025.0</v>
      </c>
      <c r="B320" s="11" t="s">
        <v>119</v>
      </c>
      <c r="C320" s="12">
        <v>45693.0</v>
      </c>
      <c r="D320" s="44">
        <v>12.0</v>
      </c>
      <c r="E320" s="26">
        <v>837648.93</v>
      </c>
      <c r="F320" s="26">
        <v>36740.48</v>
      </c>
      <c r="G320" s="26">
        <v>4227.75</v>
      </c>
      <c r="H320" s="26">
        <v>1656.0</v>
      </c>
      <c r="I320" s="66">
        <v>2137.23</v>
      </c>
      <c r="J320" s="26">
        <v>21233.3</v>
      </c>
      <c r="K320" s="26">
        <v>69139.08</v>
      </c>
      <c r="L320" s="26">
        <v>14072.5</v>
      </c>
      <c r="M320" s="15">
        <v>3.0</v>
      </c>
      <c r="N320" s="16">
        <v>323466.95</v>
      </c>
      <c r="O320" s="16">
        <f t="shared" si="617"/>
        <v>12938.678</v>
      </c>
      <c r="P320" s="16">
        <f t="shared" si="618"/>
        <v>5434.24476</v>
      </c>
      <c r="Q320" s="16">
        <f t="shared" si="619"/>
        <v>2556</v>
      </c>
      <c r="R320" s="16">
        <f t="shared" si="620"/>
        <v>717.57</v>
      </c>
      <c r="S320" s="17">
        <f t="shared" si="621"/>
        <v>1180.26</v>
      </c>
      <c r="T320" s="17">
        <f t="shared" si="622"/>
        <v>414</v>
      </c>
      <c r="U320" s="7">
        <v>2494.91</v>
      </c>
      <c r="V320" s="18">
        <f t="shared" si="623"/>
        <v>5434.24476</v>
      </c>
      <c r="W320" s="68">
        <f t="shared" si="624"/>
        <v>2854.8</v>
      </c>
      <c r="X320" s="69">
        <f t="shared" si="625"/>
        <v>21233.3</v>
      </c>
      <c r="Y320" s="7">
        <f t="shared" si="626"/>
        <v>12938.678</v>
      </c>
      <c r="Z320" s="7">
        <f t="shared" si="627"/>
        <v>2556</v>
      </c>
      <c r="AA320" s="18">
        <f t="shared" si="628"/>
        <v>47511.93276</v>
      </c>
      <c r="AB320" s="56">
        <v>7.0</v>
      </c>
      <c r="AC320" s="24">
        <v>474785.88</v>
      </c>
      <c r="AD320" s="24">
        <v>23143.77</v>
      </c>
      <c r="AE320" s="24">
        <v>2825.65</v>
      </c>
      <c r="AF320" s="24">
        <v>966.0</v>
      </c>
      <c r="AG320" s="24">
        <v>1062.65</v>
      </c>
      <c r="AH320" s="24">
        <v>0.0</v>
      </c>
      <c r="AI320" s="24">
        <v>10313.07</v>
      </c>
      <c r="AJ320" s="24">
        <v>7976.4</v>
      </c>
      <c r="AK320" s="15">
        <v>4.0</v>
      </c>
      <c r="AL320" s="16">
        <v>400542.18</v>
      </c>
      <c r="AM320" s="16">
        <v>15148.0</v>
      </c>
      <c r="AN320" s="16">
        <v>6742.0</v>
      </c>
      <c r="AO320" s="16">
        <v>3700.0</v>
      </c>
      <c r="AP320" s="16">
        <v>1830.27</v>
      </c>
      <c r="AQ320" s="16">
        <v>1371.91</v>
      </c>
      <c r="AR320" s="16">
        <v>0.0</v>
      </c>
      <c r="AS320" s="7">
        <v>5938.0</v>
      </c>
      <c r="AT320" s="7">
        <v>0.0</v>
      </c>
      <c r="AU320" s="7">
        <v>2311.0</v>
      </c>
      <c r="AV320" s="7">
        <v>0.0</v>
      </c>
      <c r="AW320" s="7">
        <v>0.0</v>
      </c>
      <c r="AX320" s="7">
        <v>0.0</v>
      </c>
      <c r="AY320" s="7">
        <f t="shared" si="629"/>
        <v>8249</v>
      </c>
      <c r="AZ320" s="8"/>
      <c r="BA320" s="9"/>
      <c r="BB320" s="10"/>
      <c r="BC320" s="10"/>
    </row>
    <row r="321">
      <c r="A321" s="11">
        <v>2025.0</v>
      </c>
      <c r="B321" s="11" t="s">
        <v>119</v>
      </c>
      <c r="C321" s="12">
        <v>45694.0</v>
      </c>
      <c r="D321" s="44">
        <v>11.0</v>
      </c>
      <c r="E321" s="26">
        <v>400466.81</v>
      </c>
      <c r="F321" s="26">
        <v>22060.85</v>
      </c>
      <c r="G321" s="26">
        <v>2981.21</v>
      </c>
      <c r="H321" s="26">
        <v>1380.0</v>
      </c>
      <c r="I321" s="66">
        <v>1214.18</v>
      </c>
      <c r="J321" s="26">
        <v>4392.52</v>
      </c>
      <c r="K321" s="26">
        <v>21105.12</v>
      </c>
      <c r="L321" s="26">
        <v>6727.84</v>
      </c>
      <c r="M321" s="15">
        <v>3.0</v>
      </c>
      <c r="N321" s="16">
        <v>203436.62</v>
      </c>
      <c r="O321" s="16">
        <f t="shared" si="617"/>
        <v>8137.4648</v>
      </c>
      <c r="P321" s="16">
        <f t="shared" si="618"/>
        <v>3417.735216</v>
      </c>
      <c r="Q321" s="16">
        <f t="shared" si="619"/>
        <v>2556</v>
      </c>
      <c r="R321" s="16">
        <f t="shared" si="620"/>
        <v>717.57</v>
      </c>
      <c r="S321" s="17">
        <f t="shared" si="621"/>
        <v>1180.26</v>
      </c>
      <c r="T321" s="17">
        <f t="shared" si="622"/>
        <v>414</v>
      </c>
      <c r="U321" s="7">
        <v>3372.64</v>
      </c>
      <c r="V321" s="18">
        <f t="shared" si="623"/>
        <v>3417.735216</v>
      </c>
      <c r="W321" s="68">
        <f t="shared" si="624"/>
        <v>1931.75</v>
      </c>
      <c r="X321" s="69">
        <f t="shared" si="625"/>
        <v>4392.52</v>
      </c>
      <c r="Y321" s="7">
        <f t="shared" si="626"/>
        <v>8137.4648</v>
      </c>
      <c r="Z321" s="7">
        <f t="shared" si="627"/>
        <v>2556</v>
      </c>
      <c r="AA321" s="18">
        <f t="shared" si="628"/>
        <v>23808.11002</v>
      </c>
      <c r="AB321" s="56">
        <v>3.0</v>
      </c>
      <c r="AC321" s="24">
        <v>79545.12</v>
      </c>
      <c r="AD321" s="24">
        <v>4541.1</v>
      </c>
      <c r="AE321" s="24">
        <v>718.34</v>
      </c>
      <c r="AF321" s="24">
        <v>414.0</v>
      </c>
      <c r="AG321" s="24">
        <v>400.28</v>
      </c>
      <c r="AH321" s="24">
        <v>0.0</v>
      </c>
      <c r="AI321" s="24">
        <v>1672.12</v>
      </c>
      <c r="AJ321" s="24">
        <v>1336.36</v>
      </c>
      <c r="AK321" s="15">
        <v>2.0</v>
      </c>
      <c r="AL321" s="16">
        <v>594126.91</v>
      </c>
      <c r="AM321" s="16">
        <v>20755.11</v>
      </c>
      <c r="AN321" s="16">
        <v>9981.34</v>
      </c>
      <c r="AO321" s="16">
        <v>1700.0</v>
      </c>
      <c r="AP321" s="16">
        <v>2809.5</v>
      </c>
      <c r="AQ321" s="16">
        <v>3007.97</v>
      </c>
      <c r="AR321" s="16">
        <v>0.0</v>
      </c>
      <c r="AS321" s="7">
        <v>17242.92</v>
      </c>
      <c r="AT321" s="7">
        <v>7989.0</v>
      </c>
      <c r="AU321" s="7">
        <v>4709.08</v>
      </c>
      <c r="AV321" s="7">
        <v>30454.46</v>
      </c>
      <c r="AW321" s="7">
        <v>17951.0</v>
      </c>
      <c r="AX321" s="7">
        <f>15059.46-AT321</f>
        <v>7070.46</v>
      </c>
      <c r="AY321" s="7">
        <f t="shared" si="629"/>
        <v>85416.92</v>
      </c>
      <c r="AZ321" s="8"/>
      <c r="BA321" s="9"/>
      <c r="BB321" s="10"/>
      <c r="BC321" s="10"/>
    </row>
    <row r="322">
      <c r="A322" s="11">
        <v>2025.0</v>
      </c>
      <c r="B322" s="11" t="s">
        <v>119</v>
      </c>
      <c r="C322" s="12">
        <v>45695.0</v>
      </c>
      <c r="D322" s="44">
        <v>17.0</v>
      </c>
      <c r="E322" s="26">
        <v>716309.09</v>
      </c>
      <c r="F322" s="26">
        <v>39147.32</v>
      </c>
      <c r="G322" s="26">
        <v>5169.55</v>
      </c>
      <c r="H322" s="26">
        <v>2346.0</v>
      </c>
      <c r="I322" s="66">
        <v>3428.56</v>
      </c>
      <c r="J322" s="26">
        <v>1058.84</v>
      </c>
      <c r="K322" s="26">
        <v>13688.12</v>
      </c>
      <c r="L322" s="26">
        <v>14515.09</v>
      </c>
      <c r="M322" s="15">
        <v>3.0</v>
      </c>
      <c r="N322" s="16">
        <v>279332.56</v>
      </c>
      <c r="O322" s="16">
        <f t="shared" si="617"/>
        <v>11173.3024</v>
      </c>
      <c r="P322" s="16">
        <f t="shared" si="618"/>
        <v>4692.787008</v>
      </c>
      <c r="Q322" s="16">
        <f t="shared" si="619"/>
        <v>2556</v>
      </c>
      <c r="R322" s="16">
        <f t="shared" si="620"/>
        <v>717.57</v>
      </c>
      <c r="S322" s="17">
        <f t="shared" si="621"/>
        <v>1180.26</v>
      </c>
      <c r="T322" s="17">
        <f t="shared" si="622"/>
        <v>414</v>
      </c>
      <c r="U322" s="7">
        <v>3711.0</v>
      </c>
      <c r="V322" s="18">
        <f t="shared" si="623"/>
        <v>4692.787008</v>
      </c>
      <c r="W322" s="68">
        <f t="shared" si="624"/>
        <v>4146.13</v>
      </c>
      <c r="X322" s="69">
        <f t="shared" si="625"/>
        <v>1058.84</v>
      </c>
      <c r="Y322" s="7">
        <f t="shared" si="626"/>
        <v>11173.3024</v>
      </c>
      <c r="Z322" s="7">
        <f t="shared" si="627"/>
        <v>2556</v>
      </c>
      <c r="AA322" s="18">
        <f t="shared" si="628"/>
        <v>27338.05941</v>
      </c>
      <c r="AB322" s="56">
        <v>3.0</v>
      </c>
      <c r="AC322" s="24">
        <v>139511.51</v>
      </c>
      <c r="AD322" s="24">
        <v>6699.57</v>
      </c>
      <c r="AE322" s="24">
        <v>990.77</v>
      </c>
      <c r="AF322" s="24">
        <v>414.0</v>
      </c>
      <c r="AG322" s="24">
        <v>441.7</v>
      </c>
      <c r="AH322" s="24">
        <v>0.0</v>
      </c>
      <c r="AI322" s="24">
        <v>2509.31</v>
      </c>
      <c r="AJ322" s="24">
        <v>2343.79</v>
      </c>
      <c r="AK322" s="15">
        <v>2.0</v>
      </c>
      <c r="AL322" s="16">
        <v>133748.03</v>
      </c>
      <c r="AM322" s="16">
        <v>5059.0</v>
      </c>
      <c r="AN322" s="16">
        <v>2251.0</v>
      </c>
      <c r="AO322" s="16">
        <v>2000.0</v>
      </c>
      <c r="AP322" s="16">
        <v>923.9</v>
      </c>
      <c r="AQ322" s="16">
        <v>569.14</v>
      </c>
      <c r="AR322" s="16">
        <v>0.0</v>
      </c>
      <c r="AS322" s="7">
        <v>34056.47</v>
      </c>
      <c r="AT322" s="7">
        <v>2251.0</v>
      </c>
      <c r="AU322" s="7">
        <v>13322.55</v>
      </c>
      <c r="AV322" s="7">
        <v>7077.28</v>
      </c>
      <c r="AW322" s="7">
        <v>3404.0</v>
      </c>
      <c r="AX322" s="7">
        <f>5183.2-AT322</f>
        <v>2932.2</v>
      </c>
      <c r="AY322" s="7">
        <f t="shared" si="629"/>
        <v>63043.5</v>
      </c>
      <c r="AZ322" s="8"/>
      <c r="BA322" s="9"/>
      <c r="BB322" s="10"/>
      <c r="BC322" s="10"/>
    </row>
    <row r="323">
      <c r="A323" s="11">
        <v>2025.0</v>
      </c>
      <c r="B323" s="11" t="s">
        <v>119</v>
      </c>
      <c r="C323" s="1"/>
      <c r="D323" s="2">
        <v>179.0</v>
      </c>
      <c r="E323" s="2"/>
      <c r="F323" s="59" t="s">
        <v>120</v>
      </c>
      <c r="G323" s="2"/>
      <c r="H323" s="33"/>
      <c r="I323" s="33"/>
      <c r="J323" s="33"/>
      <c r="K323" s="33"/>
      <c r="L323" s="33"/>
      <c r="M323" s="15">
        <v>6.0</v>
      </c>
      <c r="N323" s="16">
        <v>510500.0</v>
      </c>
      <c r="O323" s="35"/>
      <c r="P323" s="35"/>
      <c r="Q323" s="35"/>
      <c r="R323" s="35"/>
      <c r="S323" s="35"/>
      <c r="T323" s="35"/>
      <c r="U323" s="37"/>
      <c r="V323" s="48"/>
      <c r="W323" s="48"/>
      <c r="X323" s="37"/>
      <c r="Y323" s="48"/>
      <c r="Z323" s="48"/>
      <c r="AA323" s="48"/>
      <c r="AB323" s="2"/>
      <c r="AC323" s="33"/>
      <c r="AD323" s="2"/>
      <c r="AE323" s="33"/>
      <c r="AF323" s="33"/>
      <c r="AG323" s="33"/>
      <c r="AH323" s="33"/>
      <c r="AI323" s="33"/>
      <c r="AJ323" s="33"/>
      <c r="AK323" s="4"/>
      <c r="AL323" s="4"/>
      <c r="AM323" s="35"/>
      <c r="AN323" s="35"/>
      <c r="AO323" s="35"/>
      <c r="AP323" s="35"/>
      <c r="AQ323" s="35"/>
      <c r="AR323" s="35"/>
      <c r="AS323" s="37"/>
      <c r="AT323" s="48"/>
      <c r="AU323" s="48"/>
      <c r="AV323" s="48"/>
      <c r="AW323" s="48"/>
      <c r="AX323" s="48"/>
      <c r="AY323" s="48"/>
      <c r="AZ323" s="38"/>
      <c r="BA323" s="39"/>
      <c r="BB323" s="40"/>
      <c r="BC323" s="40"/>
    </row>
    <row r="324">
      <c r="A324" s="1">
        <v>2025.0</v>
      </c>
      <c r="B324" s="1" t="s">
        <v>119</v>
      </c>
      <c r="C324" s="1" t="s">
        <v>49</v>
      </c>
      <c r="D324" s="33">
        <f t="shared" ref="D324:F324" si="630">SUM(D316:D322)</f>
        <v>76</v>
      </c>
      <c r="E324" s="34">
        <f t="shared" si="630"/>
        <v>3845595.95</v>
      </c>
      <c r="F324" s="34">
        <f t="shared" si="630"/>
        <v>192988.29</v>
      </c>
      <c r="G324" s="34">
        <f>SUM(G316:G323)</f>
        <v>22510.81</v>
      </c>
      <c r="H324" s="34">
        <f t="shared" ref="H324:L324" si="631">SUM(H316:H322)</f>
        <v>9936</v>
      </c>
      <c r="I324" s="55">
        <f t="shared" si="631"/>
        <v>13951.1</v>
      </c>
      <c r="J324" s="34">
        <f t="shared" si="631"/>
        <v>38510.56</v>
      </c>
      <c r="K324" s="34">
        <f t="shared" si="631"/>
        <v>183268.44</v>
      </c>
      <c r="L324" s="34">
        <f t="shared" si="631"/>
        <v>68791.59</v>
      </c>
      <c r="M324" s="35">
        <f t="shared" ref="M324:N324" si="632">SUM(M316:M323)</f>
        <v>21</v>
      </c>
      <c r="N324" s="36">
        <f t="shared" si="632"/>
        <v>2039398.02</v>
      </c>
      <c r="O324" s="36">
        <f t="shared" ref="O324:AJ324" si="633">SUM(O316:O322)</f>
        <v>61155.9208</v>
      </c>
      <c r="P324" s="36">
        <f t="shared" si="633"/>
        <v>25685.48674</v>
      </c>
      <c r="Q324" s="36">
        <f t="shared" si="633"/>
        <v>12780</v>
      </c>
      <c r="R324" s="70">
        <f t="shared" si="633"/>
        <v>3587.85</v>
      </c>
      <c r="S324" s="36">
        <f t="shared" si="633"/>
        <v>5901.3</v>
      </c>
      <c r="T324" s="36">
        <f t="shared" si="633"/>
        <v>2070</v>
      </c>
      <c r="U324" s="37">
        <f t="shared" si="633"/>
        <v>19789.32</v>
      </c>
      <c r="V324" s="37">
        <f t="shared" si="633"/>
        <v>25685.48674</v>
      </c>
      <c r="W324" s="71">
        <f t="shared" si="633"/>
        <v>17538.95</v>
      </c>
      <c r="X324" s="37">
        <f t="shared" si="633"/>
        <v>38510.56</v>
      </c>
      <c r="Y324" s="37">
        <f t="shared" si="633"/>
        <v>61155.9208</v>
      </c>
      <c r="Z324" s="37">
        <f t="shared" si="633"/>
        <v>12780</v>
      </c>
      <c r="AA324" s="37">
        <f t="shared" si="633"/>
        <v>175460.2375</v>
      </c>
      <c r="AB324" s="33">
        <f t="shared" si="633"/>
        <v>28</v>
      </c>
      <c r="AC324" s="34">
        <f t="shared" si="633"/>
        <v>1747993.85</v>
      </c>
      <c r="AD324" s="34">
        <f t="shared" si="633"/>
        <v>76245.66</v>
      </c>
      <c r="AE324" s="34">
        <f t="shared" si="633"/>
        <v>9944.92</v>
      </c>
      <c r="AF324" s="34">
        <f t="shared" si="633"/>
        <v>3726</v>
      </c>
      <c r="AG324" s="34">
        <f t="shared" si="633"/>
        <v>3944.04</v>
      </c>
      <c r="AH324" s="34">
        <f t="shared" si="633"/>
        <v>0</v>
      </c>
      <c r="AI324" s="34">
        <f t="shared" si="633"/>
        <v>28167.92</v>
      </c>
      <c r="AJ324" s="34">
        <f t="shared" si="633"/>
        <v>30462.78</v>
      </c>
      <c r="AK324" s="35">
        <f t="shared" ref="AK324:AL324" si="634">SUM(AK316:AK323)</f>
        <v>9</v>
      </c>
      <c r="AL324" s="36">
        <f t="shared" si="634"/>
        <v>1202522.47</v>
      </c>
      <c r="AM324" s="36">
        <f t="shared" ref="AM324:AY324" si="635">SUM(AM316:AM322)</f>
        <v>43765.11</v>
      </c>
      <c r="AN324" s="36">
        <f t="shared" si="635"/>
        <v>20221.34</v>
      </c>
      <c r="AO324" s="36">
        <f t="shared" si="635"/>
        <v>8400</v>
      </c>
      <c r="AP324" s="36">
        <f t="shared" si="635"/>
        <v>6074.02</v>
      </c>
      <c r="AQ324" s="36">
        <f t="shared" si="635"/>
        <v>5194.02</v>
      </c>
      <c r="AR324" s="36">
        <f t="shared" si="635"/>
        <v>0</v>
      </c>
      <c r="AS324" s="37">
        <f t="shared" si="635"/>
        <v>82338.39</v>
      </c>
      <c r="AT324" s="37">
        <f t="shared" si="635"/>
        <v>10240</v>
      </c>
      <c r="AU324" s="37">
        <f t="shared" si="635"/>
        <v>33639.63</v>
      </c>
      <c r="AV324" s="37">
        <f t="shared" si="635"/>
        <v>37531.74</v>
      </c>
      <c r="AW324" s="37">
        <f t="shared" si="635"/>
        <v>21355</v>
      </c>
      <c r="AX324" s="37">
        <f t="shared" si="635"/>
        <v>10002.66</v>
      </c>
      <c r="AY324" s="37">
        <f t="shared" si="635"/>
        <v>195107.42</v>
      </c>
      <c r="AZ324" s="38"/>
      <c r="BA324" s="39"/>
      <c r="BB324" s="40"/>
      <c r="BC324" s="40"/>
    </row>
    <row r="325">
      <c r="A325" s="11">
        <v>2025.0</v>
      </c>
      <c r="B325" s="11" t="s">
        <v>119</v>
      </c>
      <c r="C325" s="12">
        <v>45696.0</v>
      </c>
      <c r="D325" s="44">
        <v>10.0</v>
      </c>
      <c r="E325" s="26">
        <v>362392.76</v>
      </c>
      <c r="F325" s="26">
        <v>19098.0</v>
      </c>
      <c r="G325" s="26">
        <v>2533.06</v>
      </c>
      <c r="H325" s="26">
        <v>1380.0</v>
      </c>
      <c r="I325" s="66">
        <v>1980.4</v>
      </c>
      <c r="J325" s="26">
        <v>563.71</v>
      </c>
      <c r="K325" s="26">
        <v>6640.16</v>
      </c>
      <c r="L325" s="26">
        <v>6564.38</v>
      </c>
      <c r="M325" s="15">
        <v>0.0</v>
      </c>
      <c r="N325" s="16">
        <v>0.0</v>
      </c>
      <c r="O325" s="16">
        <f t="shared" ref="O325:O331" si="636">N325*4%</f>
        <v>0</v>
      </c>
      <c r="P325" s="16">
        <f t="shared" ref="P325:P331" si="637">N325*1.68%</f>
        <v>0</v>
      </c>
      <c r="Q325" s="16">
        <f t="shared" ref="Q325:Q331" si="638">M325*(400+350+100+2)</f>
        <v>0</v>
      </c>
      <c r="R325" s="67">
        <f t="shared" ref="R325:R331" si="639">M325*239.19</f>
        <v>0</v>
      </c>
      <c r="S325" s="17">
        <f t="shared" ref="S325:S331" si="640">M325*393.42</f>
        <v>0</v>
      </c>
      <c r="T325" s="17">
        <f t="shared" ref="T325:T331" si="641">M325*138</f>
        <v>0</v>
      </c>
      <c r="U325" s="7">
        <v>1524.21</v>
      </c>
      <c r="V325" s="18">
        <f t="shared" ref="V325:V331" si="642">P325</f>
        <v>0</v>
      </c>
      <c r="W325" s="68">
        <f t="shared" ref="W325:W331" si="643">I325+R325</f>
        <v>1980.4</v>
      </c>
      <c r="X325" s="69">
        <f t="shared" ref="X325:X331" si="644">J325</f>
        <v>563.71</v>
      </c>
      <c r="Y325" s="7">
        <f t="shared" ref="Y325:Y331" si="645">O325</f>
        <v>0</v>
      </c>
      <c r="Z325" s="7">
        <f t="shared" ref="Z325:Z331" si="646">Q325</f>
        <v>0</v>
      </c>
      <c r="AA325" s="18">
        <f t="shared" ref="AA325:AA331" si="647">SUM(U325:Z325)</f>
        <v>4068.32</v>
      </c>
      <c r="AB325" s="56">
        <v>5.0</v>
      </c>
      <c r="AC325" s="24">
        <v>193936.09</v>
      </c>
      <c r="AD325" s="24">
        <v>10381.94</v>
      </c>
      <c r="AE325" s="24">
        <v>1705.82</v>
      </c>
      <c r="AF325" s="24">
        <v>690.0</v>
      </c>
      <c r="AG325" s="24">
        <v>896.2</v>
      </c>
      <c r="AH325" s="24">
        <v>0.0</v>
      </c>
      <c r="AI325" s="24">
        <v>3355.62</v>
      </c>
      <c r="AJ325" s="24">
        <v>3734.3</v>
      </c>
      <c r="AK325" s="15">
        <v>0.0</v>
      </c>
      <c r="AL325" s="16">
        <v>0.0</v>
      </c>
      <c r="AM325" s="16">
        <v>0.0</v>
      </c>
      <c r="AN325" s="16">
        <v>0.0</v>
      </c>
      <c r="AO325" s="16">
        <v>0.0</v>
      </c>
      <c r="AP325" s="16">
        <v>0.0</v>
      </c>
      <c r="AQ325" s="16">
        <v>0.0</v>
      </c>
      <c r="AR325" s="16">
        <v>0.0</v>
      </c>
      <c r="AS325" s="7">
        <v>0.0</v>
      </c>
      <c r="AT325" s="7">
        <v>0.0</v>
      </c>
      <c r="AU325" s="7">
        <v>0.0</v>
      </c>
      <c r="AV325" s="7">
        <v>0.0</v>
      </c>
      <c r="AW325" s="7">
        <v>0.0</v>
      </c>
      <c r="AX325" s="7">
        <v>0.0</v>
      </c>
      <c r="AY325" s="7">
        <f t="shared" ref="AY325:AY331" si="648">SUM(AS325:AX325)</f>
        <v>0</v>
      </c>
      <c r="AZ325" s="9">
        <v>0.0</v>
      </c>
      <c r="BA325" s="9">
        <v>0.0</v>
      </c>
      <c r="BB325" s="84">
        <v>0.0</v>
      </c>
      <c r="BC325" s="84">
        <v>0.0</v>
      </c>
    </row>
    <row r="326">
      <c r="A326" s="11">
        <v>2025.0</v>
      </c>
      <c r="B326" s="11" t="s">
        <v>119</v>
      </c>
      <c r="C326" s="12">
        <v>45697.0</v>
      </c>
      <c r="D326" s="44">
        <v>8.0</v>
      </c>
      <c r="E326" s="26">
        <v>544486.17</v>
      </c>
      <c r="F326" s="26">
        <v>25523.5</v>
      </c>
      <c r="G326" s="26">
        <v>3034.62</v>
      </c>
      <c r="H326" s="26">
        <v>828.0</v>
      </c>
      <c r="I326" s="66">
        <v>1689.87</v>
      </c>
      <c r="J326" s="26">
        <v>1107.44</v>
      </c>
      <c r="K326" s="26">
        <v>10559.76</v>
      </c>
      <c r="L326" s="26">
        <v>11731.24</v>
      </c>
      <c r="M326" s="15">
        <v>0.0</v>
      </c>
      <c r="N326" s="16">
        <v>0.0</v>
      </c>
      <c r="O326" s="16">
        <f t="shared" si="636"/>
        <v>0</v>
      </c>
      <c r="P326" s="16">
        <f t="shared" si="637"/>
        <v>0</v>
      </c>
      <c r="Q326" s="16">
        <f t="shared" si="638"/>
        <v>0</v>
      </c>
      <c r="R326" s="16">
        <f t="shared" si="639"/>
        <v>0</v>
      </c>
      <c r="S326" s="17">
        <f t="shared" si="640"/>
        <v>0</v>
      </c>
      <c r="T326" s="17">
        <f t="shared" si="641"/>
        <v>0</v>
      </c>
      <c r="U326" s="7">
        <v>2843.19</v>
      </c>
      <c r="V326" s="18">
        <f t="shared" si="642"/>
        <v>0</v>
      </c>
      <c r="W326" s="68">
        <f t="shared" si="643"/>
        <v>1689.87</v>
      </c>
      <c r="X326" s="69">
        <f t="shared" si="644"/>
        <v>1107.44</v>
      </c>
      <c r="Y326" s="7">
        <f t="shared" si="645"/>
        <v>0</v>
      </c>
      <c r="Z326" s="7">
        <f t="shared" si="646"/>
        <v>0</v>
      </c>
      <c r="AA326" s="18">
        <f t="shared" si="647"/>
        <v>5640.5</v>
      </c>
      <c r="AB326" s="56">
        <v>3.0</v>
      </c>
      <c r="AC326" s="24">
        <v>246718.45</v>
      </c>
      <c r="AD326" s="24">
        <v>10538.89</v>
      </c>
      <c r="AE326" s="24">
        <v>1540.27</v>
      </c>
      <c r="AF326" s="24">
        <v>276.0</v>
      </c>
      <c r="AG326" s="24">
        <v>536.71</v>
      </c>
      <c r="AH326" s="24">
        <v>0.0</v>
      </c>
      <c r="AI326" s="24">
        <v>1457.17</v>
      </c>
      <c r="AJ326" s="24">
        <v>6728.74</v>
      </c>
      <c r="AK326" s="15">
        <v>0.0</v>
      </c>
      <c r="AL326" s="16">
        <v>0.0</v>
      </c>
      <c r="AM326" s="16">
        <v>0.0</v>
      </c>
      <c r="AN326" s="16">
        <v>0.0</v>
      </c>
      <c r="AO326" s="16">
        <v>0.0</v>
      </c>
      <c r="AP326" s="16">
        <v>0.0</v>
      </c>
      <c r="AQ326" s="16">
        <v>0.0</v>
      </c>
      <c r="AR326" s="16">
        <v>0.0</v>
      </c>
      <c r="AS326" s="7">
        <v>0.0</v>
      </c>
      <c r="AT326" s="7">
        <v>0.0</v>
      </c>
      <c r="AU326" s="7">
        <v>0.0</v>
      </c>
      <c r="AV326" s="7">
        <v>0.0</v>
      </c>
      <c r="AW326" s="7">
        <v>0.0</v>
      </c>
      <c r="AX326" s="7">
        <v>0.0</v>
      </c>
      <c r="AY326" s="7">
        <f t="shared" si="648"/>
        <v>0</v>
      </c>
      <c r="AZ326" s="9">
        <v>0.0</v>
      </c>
      <c r="BA326" s="9">
        <v>0.0</v>
      </c>
      <c r="BB326" s="84">
        <v>0.0</v>
      </c>
      <c r="BC326" s="84">
        <v>0.0</v>
      </c>
    </row>
    <row r="327">
      <c r="A327" s="11">
        <v>2025.0</v>
      </c>
      <c r="B327" s="11" t="s">
        <v>119</v>
      </c>
      <c r="C327" s="12">
        <v>45698.0</v>
      </c>
      <c r="D327" s="44">
        <v>6.0</v>
      </c>
      <c r="E327" s="26">
        <v>431783.05</v>
      </c>
      <c r="F327" s="26">
        <v>19888.7</v>
      </c>
      <c r="G327" s="26">
        <v>2481.12</v>
      </c>
      <c r="H327" s="26">
        <v>828.0</v>
      </c>
      <c r="I327" s="66">
        <v>1289.35</v>
      </c>
      <c r="J327" s="26">
        <v>3079.4</v>
      </c>
      <c r="K327" s="26">
        <v>7099.36</v>
      </c>
      <c r="L327" s="26">
        <v>8190.87</v>
      </c>
      <c r="M327" s="15">
        <v>1.0</v>
      </c>
      <c r="N327" s="16">
        <v>174203.57</v>
      </c>
      <c r="O327" s="16">
        <f t="shared" si="636"/>
        <v>6968.1428</v>
      </c>
      <c r="P327" s="16">
        <f t="shared" si="637"/>
        <v>2926.619976</v>
      </c>
      <c r="Q327" s="16">
        <f t="shared" si="638"/>
        <v>852</v>
      </c>
      <c r="R327" s="16">
        <f t="shared" si="639"/>
        <v>239.19</v>
      </c>
      <c r="S327" s="17">
        <f t="shared" si="640"/>
        <v>393.42</v>
      </c>
      <c r="T327" s="17">
        <f t="shared" si="641"/>
        <v>138</v>
      </c>
      <c r="U327" s="7">
        <v>476.25</v>
      </c>
      <c r="V327" s="18">
        <f t="shared" si="642"/>
        <v>2926.619976</v>
      </c>
      <c r="W327" s="68">
        <f t="shared" si="643"/>
        <v>1528.54</v>
      </c>
      <c r="X327" s="69">
        <f t="shared" si="644"/>
        <v>3079.4</v>
      </c>
      <c r="Y327" s="7">
        <f t="shared" si="645"/>
        <v>6968.1428</v>
      </c>
      <c r="Z327" s="7">
        <f t="shared" si="646"/>
        <v>852</v>
      </c>
      <c r="AA327" s="18">
        <f t="shared" si="647"/>
        <v>15830.95278</v>
      </c>
      <c r="AB327" s="56">
        <v>2.0</v>
      </c>
      <c r="AC327" s="24">
        <v>68939.0</v>
      </c>
      <c r="AD327" s="24">
        <v>4969.21</v>
      </c>
      <c r="AE327" s="24">
        <v>794.85</v>
      </c>
      <c r="AF327" s="24">
        <v>276.0</v>
      </c>
      <c r="AG327" s="24">
        <v>385.17</v>
      </c>
      <c r="AH327" s="24">
        <v>0.0</v>
      </c>
      <c r="AI327" s="24">
        <v>1418.1</v>
      </c>
      <c r="AJ327" s="24">
        <v>2095.09</v>
      </c>
      <c r="AK327" s="15">
        <v>1.0</v>
      </c>
      <c r="AL327" s="16">
        <v>134200.99</v>
      </c>
      <c r="AM327" s="16">
        <v>5075.0</v>
      </c>
      <c r="AN327" s="16">
        <v>2259.0</v>
      </c>
      <c r="AO327" s="16">
        <v>1000.0</v>
      </c>
      <c r="AP327" s="16">
        <v>561.0</v>
      </c>
      <c r="AQ327" s="16">
        <v>615.09</v>
      </c>
      <c r="AR327" s="16">
        <v>0.0</v>
      </c>
      <c r="AS327" s="7">
        <v>22152.78</v>
      </c>
      <c r="AT327" s="7">
        <v>0.0</v>
      </c>
      <c r="AU327" s="7">
        <v>8951.69</v>
      </c>
      <c r="AV327" s="7">
        <v>1146.99</v>
      </c>
      <c r="AW327" s="7">
        <v>5075.0</v>
      </c>
      <c r="AX327" s="7">
        <f>4369.53-AT327</f>
        <v>4369.53</v>
      </c>
      <c r="AY327" s="7">
        <f t="shared" si="648"/>
        <v>41695.99</v>
      </c>
      <c r="AZ327" s="9">
        <v>0.0</v>
      </c>
      <c r="BA327" s="9">
        <v>2.0</v>
      </c>
      <c r="BB327" s="84">
        <v>0.0</v>
      </c>
      <c r="BC327" s="84">
        <v>2.0</v>
      </c>
    </row>
    <row r="328">
      <c r="A328" s="11">
        <v>2025.0</v>
      </c>
      <c r="B328" s="11" t="s">
        <v>119</v>
      </c>
      <c r="C328" s="12">
        <v>45699.0</v>
      </c>
      <c r="D328" s="44">
        <v>1.0</v>
      </c>
      <c r="E328" s="26">
        <v>49242.88</v>
      </c>
      <c r="F328" s="26">
        <v>2197.14</v>
      </c>
      <c r="G328" s="26">
        <v>245.0</v>
      </c>
      <c r="H328" s="26">
        <v>138.0</v>
      </c>
      <c r="I328" s="66">
        <v>196.75</v>
      </c>
      <c r="J328" s="26">
        <v>0.0</v>
      </c>
      <c r="K328" s="26">
        <v>790.11</v>
      </c>
      <c r="L328" s="26">
        <v>827.28</v>
      </c>
      <c r="M328" s="15">
        <v>1.0</v>
      </c>
      <c r="N328" s="16">
        <v>88000.0</v>
      </c>
      <c r="O328" s="16">
        <f t="shared" si="636"/>
        <v>3520</v>
      </c>
      <c r="P328" s="16">
        <f t="shared" si="637"/>
        <v>1478.4</v>
      </c>
      <c r="Q328" s="16">
        <f t="shared" si="638"/>
        <v>852</v>
      </c>
      <c r="R328" s="16">
        <f t="shared" si="639"/>
        <v>239.19</v>
      </c>
      <c r="S328" s="17">
        <f t="shared" si="640"/>
        <v>393.42</v>
      </c>
      <c r="T328" s="17">
        <f t="shared" si="641"/>
        <v>138</v>
      </c>
      <c r="U328" s="7">
        <v>0.0</v>
      </c>
      <c r="V328" s="18">
        <f t="shared" si="642"/>
        <v>1478.4</v>
      </c>
      <c r="W328" s="68">
        <f t="shared" si="643"/>
        <v>435.94</v>
      </c>
      <c r="X328" s="69">
        <f t="shared" si="644"/>
        <v>0</v>
      </c>
      <c r="Y328" s="7">
        <f t="shared" si="645"/>
        <v>3520</v>
      </c>
      <c r="Z328" s="7">
        <f t="shared" si="646"/>
        <v>852</v>
      </c>
      <c r="AA328" s="18">
        <f t="shared" si="647"/>
        <v>6286.34</v>
      </c>
      <c r="AB328" s="56">
        <v>0.0</v>
      </c>
      <c r="AC328" s="24">
        <v>0.0</v>
      </c>
      <c r="AD328" s="24">
        <v>0.0</v>
      </c>
      <c r="AE328" s="24">
        <v>0.0</v>
      </c>
      <c r="AF328" s="24">
        <v>0.0</v>
      </c>
      <c r="AG328" s="24">
        <v>0.0</v>
      </c>
      <c r="AH328" s="24">
        <v>0.0</v>
      </c>
      <c r="AI328" s="24">
        <v>0.0</v>
      </c>
      <c r="AJ328" s="24">
        <v>0.0</v>
      </c>
      <c r="AK328" s="15">
        <v>1.0</v>
      </c>
      <c r="AL328" s="16">
        <v>90973.12</v>
      </c>
      <c r="AM328" s="16">
        <v>3441.0</v>
      </c>
      <c r="AN328" s="16">
        <v>1531.0</v>
      </c>
      <c r="AO328" s="16">
        <v>1000.0</v>
      </c>
      <c r="AP328" s="16">
        <v>523.29</v>
      </c>
      <c r="AQ328" s="16">
        <v>277.83</v>
      </c>
      <c r="AR328" s="16">
        <v>0.0</v>
      </c>
      <c r="AS328" s="7">
        <v>11695.04</v>
      </c>
      <c r="AT328" s="7">
        <v>0.0</v>
      </c>
      <c r="AU328" s="7">
        <v>6824.58</v>
      </c>
      <c r="AV328" s="7">
        <v>664.14</v>
      </c>
      <c r="AW328" s="7">
        <v>3441.0</v>
      </c>
      <c r="AX328" s="7">
        <f>3196.82-AT328</f>
        <v>3196.82</v>
      </c>
      <c r="AY328" s="7">
        <f t="shared" si="648"/>
        <v>25821.58</v>
      </c>
      <c r="AZ328" s="9">
        <v>2.0</v>
      </c>
      <c r="BA328" s="9">
        <v>2.0</v>
      </c>
      <c r="BB328" s="84">
        <v>0.0</v>
      </c>
      <c r="BC328" s="84">
        <v>1.0</v>
      </c>
    </row>
    <row r="329">
      <c r="A329" s="11">
        <v>2025.0</v>
      </c>
      <c r="B329" s="11" t="s">
        <v>119</v>
      </c>
      <c r="C329" s="12">
        <v>45700.0</v>
      </c>
      <c r="D329" s="44">
        <v>2.0</v>
      </c>
      <c r="E329" s="26">
        <v>48093.06</v>
      </c>
      <c r="F329" s="26">
        <v>3244.56</v>
      </c>
      <c r="G329" s="26">
        <v>600.01</v>
      </c>
      <c r="H329" s="26">
        <v>276.0</v>
      </c>
      <c r="I329" s="66">
        <v>441.54</v>
      </c>
      <c r="J329" s="26">
        <v>0.0</v>
      </c>
      <c r="K329" s="26">
        <v>1119.05</v>
      </c>
      <c r="L329" s="26">
        <v>807.96</v>
      </c>
      <c r="M329" s="15">
        <v>4.0</v>
      </c>
      <c r="N329" s="16">
        <v>356469.73</v>
      </c>
      <c r="O329" s="16">
        <f t="shared" si="636"/>
        <v>14258.7892</v>
      </c>
      <c r="P329" s="16">
        <f t="shared" si="637"/>
        <v>5988.691464</v>
      </c>
      <c r="Q329" s="16">
        <f t="shared" si="638"/>
        <v>3408</v>
      </c>
      <c r="R329" s="16">
        <f t="shared" si="639"/>
        <v>956.76</v>
      </c>
      <c r="S329" s="17">
        <f t="shared" si="640"/>
        <v>1573.68</v>
      </c>
      <c r="T329" s="17">
        <f t="shared" si="641"/>
        <v>552</v>
      </c>
      <c r="U329" s="7">
        <v>359.72</v>
      </c>
      <c r="V329" s="18">
        <f t="shared" si="642"/>
        <v>5988.691464</v>
      </c>
      <c r="W329" s="68">
        <f t="shared" si="643"/>
        <v>1398.3</v>
      </c>
      <c r="X329" s="69">
        <f t="shared" si="644"/>
        <v>0</v>
      </c>
      <c r="Y329" s="7">
        <f t="shared" si="645"/>
        <v>14258.7892</v>
      </c>
      <c r="Z329" s="7">
        <f t="shared" si="646"/>
        <v>3408</v>
      </c>
      <c r="AA329" s="18">
        <f t="shared" si="647"/>
        <v>25413.50066</v>
      </c>
      <c r="AB329" s="56">
        <v>2.0</v>
      </c>
      <c r="AC329" s="24">
        <v>47516.21</v>
      </c>
      <c r="AD329" s="24">
        <v>3244.56</v>
      </c>
      <c r="AE329" s="24">
        <v>648.89</v>
      </c>
      <c r="AF329" s="24">
        <v>276.0</v>
      </c>
      <c r="AG329" s="24">
        <v>392.66</v>
      </c>
      <c r="AH329" s="24">
        <v>0.0</v>
      </c>
      <c r="AI329" s="24">
        <v>1128.74</v>
      </c>
      <c r="AJ329" s="24">
        <v>798.27</v>
      </c>
      <c r="AK329" s="15">
        <v>5.0</v>
      </c>
      <c r="AL329" s="16">
        <v>340375.43</v>
      </c>
      <c r="AM329" s="16">
        <v>9827.0</v>
      </c>
      <c r="AN329" s="16">
        <v>5731.0</v>
      </c>
      <c r="AO329" s="16">
        <v>3850.0</v>
      </c>
      <c r="AP329" s="16">
        <v>2403.7</v>
      </c>
      <c r="AQ329" s="16">
        <v>1261.75</v>
      </c>
      <c r="AR329" s="16">
        <v>0.0</v>
      </c>
      <c r="AS329" s="7">
        <v>14771.17</v>
      </c>
      <c r="AT329" s="7">
        <v>0.0</v>
      </c>
      <c r="AU329" s="7">
        <v>5490.07</v>
      </c>
      <c r="AV329" s="7">
        <v>7357.05</v>
      </c>
      <c r="AW329" s="7">
        <v>9827.0</v>
      </c>
      <c r="AX329" s="7">
        <f>10217.39-AT329</f>
        <v>10217.39</v>
      </c>
      <c r="AY329" s="7">
        <f t="shared" si="648"/>
        <v>47662.68</v>
      </c>
      <c r="AZ329" s="9">
        <v>0.0</v>
      </c>
      <c r="BA329" s="9">
        <v>2.0</v>
      </c>
      <c r="BB329" s="84">
        <v>0.0</v>
      </c>
      <c r="BC329" s="84">
        <v>0.0</v>
      </c>
    </row>
    <row r="330">
      <c r="A330" s="11">
        <v>2025.0</v>
      </c>
      <c r="B330" s="11" t="s">
        <v>119</v>
      </c>
      <c r="C330" s="12">
        <v>45701.0</v>
      </c>
      <c r="D330" s="44">
        <v>5.0</v>
      </c>
      <c r="E330" s="26">
        <v>189456.27</v>
      </c>
      <c r="F330" s="26">
        <v>14790.39</v>
      </c>
      <c r="G330" s="26">
        <v>1371.94</v>
      </c>
      <c r="H330" s="26">
        <v>414.0</v>
      </c>
      <c r="I330" s="66">
        <v>649.7</v>
      </c>
      <c r="J330" s="26">
        <v>385.63</v>
      </c>
      <c r="K330" s="26">
        <v>8390.76</v>
      </c>
      <c r="L330" s="26">
        <v>3963.99</v>
      </c>
      <c r="M330" s="15">
        <v>3.0</v>
      </c>
      <c r="N330" s="16">
        <v>147662.96</v>
      </c>
      <c r="O330" s="16">
        <f t="shared" si="636"/>
        <v>5906.5184</v>
      </c>
      <c r="P330" s="16">
        <f t="shared" si="637"/>
        <v>2480.737728</v>
      </c>
      <c r="Q330" s="16">
        <f t="shared" si="638"/>
        <v>2556</v>
      </c>
      <c r="R330" s="16">
        <f t="shared" si="639"/>
        <v>717.57</v>
      </c>
      <c r="S330" s="17">
        <f t="shared" si="640"/>
        <v>1180.26</v>
      </c>
      <c r="T330" s="17">
        <f t="shared" si="641"/>
        <v>414</v>
      </c>
      <c r="U330" s="7">
        <v>707.01</v>
      </c>
      <c r="V330" s="18">
        <f t="shared" si="642"/>
        <v>2480.737728</v>
      </c>
      <c r="W330" s="68">
        <f t="shared" si="643"/>
        <v>1367.27</v>
      </c>
      <c r="X330" s="69">
        <f t="shared" si="644"/>
        <v>385.63</v>
      </c>
      <c r="Y330" s="7">
        <f t="shared" si="645"/>
        <v>5906.5184</v>
      </c>
      <c r="Z330" s="7">
        <f t="shared" si="646"/>
        <v>2556</v>
      </c>
      <c r="AA330" s="18">
        <f t="shared" si="647"/>
        <v>13403.16613</v>
      </c>
      <c r="AB330" s="56">
        <v>1.0</v>
      </c>
      <c r="AC330" s="24">
        <v>54900.42</v>
      </c>
      <c r="AD330" s="24">
        <v>2595.92</v>
      </c>
      <c r="AE330" s="24">
        <v>0.0</v>
      </c>
      <c r="AF330" s="24">
        <v>0.0</v>
      </c>
      <c r="AG330" s="24">
        <v>0.0</v>
      </c>
      <c r="AH330" s="24">
        <v>0.0</v>
      </c>
      <c r="AI330" s="24">
        <v>1181.69</v>
      </c>
      <c r="AJ330" s="24">
        <v>1414.23</v>
      </c>
      <c r="AK330" s="15">
        <v>1.0</v>
      </c>
      <c r="AL330" s="16">
        <v>71810.09</v>
      </c>
      <c r="AM330" s="16">
        <v>2716.0</v>
      </c>
      <c r="AN330" s="16">
        <v>1209.0</v>
      </c>
      <c r="AO330" s="16">
        <v>1000.0</v>
      </c>
      <c r="AP330" s="16">
        <v>493.13</v>
      </c>
      <c r="AQ330" s="16">
        <v>246.96</v>
      </c>
      <c r="AR330" s="16">
        <v>0.0</v>
      </c>
      <c r="AS330" s="7">
        <v>9151.63</v>
      </c>
      <c r="AT330" s="7">
        <v>0.0</v>
      </c>
      <c r="AU330" s="7">
        <v>5779.53</v>
      </c>
      <c r="AV330" s="7">
        <v>4952.62</v>
      </c>
      <c r="AW330" s="7">
        <v>2716.0</v>
      </c>
      <c r="AX330" s="7">
        <f>3815.95-AT330</f>
        <v>3815.95</v>
      </c>
      <c r="AY330" s="7">
        <f t="shared" si="648"/>
        <v>26415.73</v>
      </c>
      <c r="AZ330" s="9">
        <v>0.0</v>
      </c>
      <c r="BA330" s="9">
        <v>2.0</v>
      </c>
      <c r="BB330" s="84">
        <v>3.0</v>
      </c>
      <c r="BC330" s="84">
        <v>1.0</v>
      </c>
    </row>
    <row r="331">
      <c r="A331" s="11">
        <v>2025.0</v>
      </c>
      <c r="B331" s="11" t="s">
        <v>119</v>
      </c>
      <c r="C331" s="12">
        <v>45702.0</v>
      </c>
      <c r="D331" s="44">
        <v>15.0</v>
      </c>
      <c r="E331" s="26">
        <v>2417346.67</v>
      </c>
      <c r="F331" s="26">
        <v>84537.42</v>
      </c>
      <c r="G331" s="26">
        <v>3809.81</v>
      </c>
      <c r="H331" s="26">
        <v>1794.0</v>
      </c>
      <c r="I331" s="66">
        <v>2335.21</v>
      </c>
      <c r="J331" s="26">
        <v>114761.89</v>
      </c>
      <c r="K331" s="26">
        <v>209041.66</v>
      </c>
      <c r="L331" s="26">
        <v>46468.07</v>
      </c>
      <c r="M331" s="15">
        <v>5.0</v>
      </c>
      <c r="N331" s="16">
        <v>380923.87</v>
      </c>
      <c r="O331" s="16">
        <f t="shared" si="636"/>
        <v>15236.9548</v>
      </c>
      <c r="P331" s="16">
        <f t="shared" si="637"/>
        <v>6399.521016</v>
      </c>
      <c r="Q331" s="16">
        <f t="shared" si="638"/>
        <v>4260</v>
      </c>
      <c r="R331" s="16">
        <f t="shared" si="639"/>
        <v>1195.95</v>
      </c>
      <c r="S331" s="17">
        <f t="shared" si="640"/>
        <v>1967.1</v>
      </c>
      <c r="T331" s="17">
        <f t="shared" si="641"/>
        <v>690</v>
      </c>
      <c r="U331" s="7">
        <v>3810.06</v>
      </c>
      <c r="V331" s="18">
        <f t="shared" si="642"/>
        <v>6399.521016</v>
      </c>
      <c r="W331" s="68">
        <f t="shared" si="643"/>
        <v>3531.16</v>
      </c>
      <c r="X331" s="69">
        <f t="shared" si="644"/>
        <v>114761.89</v>
      </c>
      <c r="Y331" s="7">
        <f t="shared" si="645"/>
        <v>15236.9548</v>
      </c>
      <c r="Z331" s="7">
        <f t="shared" si="646"/>
        <v>4260</v>
      </c>
      <c r="AA331" s="18">
        <f t="shared" si="647"/>
        <v>147999.5858</v>
      </c>
      <c r="AB331" s="56">
        <v>0.0</v>
      </c>
      <c r="AC331" s="24">
        <v>0.0</v>
      </c>
      <c r="AD331" s="24">
        <v>0.0</v>
      </c>
      <c r="AE331" s="24">
        <v>0.0</v>
      </c>
      <c r="AF331" s="24">
        <v>0.0</v>
      </c>
      <c r="AG331" s="24">
        <v>0.0</v>
      </c>
      <c r="AH331" s="24">
        <v>0.0</v>
      </c>
      <c r="AI331" s="24">
        <v>0.0</v>
      </c>
      <c r="AJ331" s="24">
        <v>0.0</v>
      </c>
      <c r="AK331" s="15">
        <v>0.0</v>
      </c>
      <c r="AL331" s="16">
        <v>0.0</v>
      </c>
      <c r="AM331" s="16">
        <v>0.0</v>
      </c>
      <c r="AN331" s="16">
        <v>0.0</v>
      </c>
      <c r="AO331" s="16">
        <v>0.0</v>
      </c>
      <c r="AP331" s="16">
        <v>0.0</v>
      </c>
      <c r="AQ331" s="16">
        <v>0.0</v>
      </c>
      <c r="AR331" s="16">
        <v>0.0</v>
      </c>
      <c r="AS331" s="7">
        <v>0.0</v>
      </c>
      <c r="AT331" s="7">
        <v>0.0</v>
      </c>
      <c r="AU331" s="7">
        <v>0.0</v>
      </c>
      <c r="AV331" s="7">
        <v>0.0</v>
      </c>
      <c r="AW331" s="7">
        <v>0.0</v>
      </c>
      <c r="AX331" s="7">
        <v>0.0</v>
      </c>
      <c r="AY331" s="7">
        <f t="shared" si="648"/>
        <v>0</v>
      </c>
      <c r="AZ331" s="9">
        <v>1.0</v>
      </c>
      <c r="BA331" s="9">
        <v>2.0</v>
      </c>
      <c r="BB331" s="84"/>
      <c r="BC331" s="84"/>
    </row>
    <row r="332">
      <c r="A332" s="11">
        <v>2025.0</v>
      </c>
      <c r="B332" s="11" t="s">
        <v>119</v>
      </c>
      <c r="C332" s="1"/>
      <c r="D332" s="2">
        <v>123.0</v>
      </c>
      <c r="E332" s="2"/>
      <c r="F332" s="59" t="s">
        <v>121</v>
      </c>
      <c r="G332" s="2"/>
      <c r="H332" s="33"/>
      <c r="I332" s="33"/>
      <c r="J332" s="33"/>
      <c r="K332" s="33"/>
      <c r="L332" s="33"/>
      <c r="M332" s="15">
        <v>9.0</v>
      </c>
      <c r="N332" s="16">
        <v>884000.0</v>
      </c>
      <c r="O332" s="35"/>
      <c r="P332" s="35"/>
      <c r="Q332" s="35"/>
      <c r="R332" s="35"/>
      <c r="S332" s="35"/>
      <c r="T332" s="35"/>
      <c r="U332" s="37"/>
      <c r="V332" s="48"/>
      <c r="W332" s="48"/>
      <c r="X332" s="37"/>
      <c r="Y332" s="48"/>
      <c r="Z332" s="48"/>
      <c r="AA332" s="48"/>
      <c r="AB332" s="2"/>
      <c r="AC332" s="33"/>
      <c r="AD332" s="2"/>
      <c r="AE332" s="33"/>
      <c r="AF332" s="33"/>
      <c r="AG332" s="33"/>
      <c r="AH332" s="33"/>
      <c r="AI332" s="33"/>
      <c r="AJ332" s="33"/>
      <c r="AK332" s="4"/>
      <c r="AL332" s="4"/>
      <c r="AM332" s="35"/>
      <c r="AN332" s="35"/>
      <c r="AO332" s="35"/>
      <c r="AP332" s="35"/>
      <c r="AQ332" s="35"/>
      <c r="AR332" s="35"/>
      <c r="AS332" s="37"/>
      <c r="AT332" s="48"/>
      <c r="AU332" s="48"/>
      <c r="AV332" s="48"/>
      <c r="AW332" s="48"/>
      <c r="AX332" s="48"/>
      <c r="AY332" s="48"/>
      <c r="AZ332" s="38"/>
      <c r="BA332" s="39"/>
      <c r="BB332" s="85"/>
      <c r="BC332" s="85"/>
    </row>
    <row r="333">
      <c r="A333" s="1">
        <v>2025.0</v>
      </c>
      <c r="B333" s="1" t="s">
        <v>119</v>
      </c>
      <c r="C333" s="1" t="s">
        <v>49</v>
      </c>
      <c r="D333" s="33">
        <f t="shared" ref="D333:F333" si="649">SUM(D325:D331)</f>
        <v>47</v>
      </c>
      <c r="E333" s="34">
        <f t="shared" si="649"/>
        <v>4042800.86</v>
      </c>
      <c r="F333" s="34">
        <f t="shared" si="649"/>
        <v>169279.71</v>
      </c>
      <c r="G333" s="34">
        <f>SUM(G325:G332)</f>
        <v>14075.56</v>
      </c>
      <c r="H333" s="34">
        <f t="shared" ref="H333:L333" si="650">SUM(H325:H331)</f>
        <v>5658</v>
      </c>
      <c r="I333" s="55">
        <f t="shared" si="650"/>
        <v>8582.82</v>
      </c>
      <c r="J333" s="34">
        <f t="shared" si="650"/>
        <v>119898.07</v>
      </c>
      <c r="K333" s="34">
        <f t="shared" si="650"/>
        <v>243640.86</v>
      </c>
      <c r="L333" s="34">
        <f t="shared" si="650"/>
        <v>78553.79</v>
      </c>
      <c r="M333" s="35">
        <f t="shared" ref="M333:N333" si="651">SUM(M325:M332)</f>
        <v>23</v>
      </c>
      <c r="N333" s="36">
        <f t="shared" si="651"/>
        <v>2031260.13</v>
      </c>
      <c r="O333" s="36">
        <f t="shared" ref="O333:AJ333" si="652">SUM(O325:O331)</f>
        <v>45890.4052</v>
      </c>
      <c r="P333" s="36">
        <f t="shared" si="652"/>
        <v>19273.97018</v>
      </c>
      <c r="Q333" s="36">
        <f t="shared" si="652"/>
        <v>11928</v>
      </c>
      <c r="R333" s="70">
        <f t="shared" si="652"/>
        <v>3348.66</v>
      </c>
      <c r="S333" s="36">
        <f t="shared" si="652"/>
        <v>5507.88</v>
      </c>
      <c r="T333" s="36">
        <f t="shared" si="652"/>
        <v>1932</v>
      </c>
      <c r="U333" s="37">
        <f t="shared" si="652"/>
        <v>9720.44</v>
      </c>
      <c r="V333" s="37">
        <f t="shared" si="652"/>
        <v>19273.97018</v>
      </c>
      <c r="W333" s="71">
        <f t="shared" si="652"/>
        <v>11931.48</v>
      </c>
      <c r="X333" s="37">
        <f t="shared" si="652"/>
        <v>119898.07</v>
      </c>
      <c r="Y333" s="37">
        <f t="shared" si="652"/>
        <v>45890.4052</v>
      </c>
      <c r="Z333" s="37">
        <f t="shared" si="652"/>
        <v>11928</v>
      </c>
      <c r="AA333" s="37">
        <f t="shared" si="652"/>
        <v>218642.3654</v>
      </c>
      <c r="AB333" s="33">
        <f t="shared" si="652"/>
        <v>13</v>
      </c>
      <c r="AC333" s="34">
        <f t="shared" si="652"/>
        <v>612010.17</v>
      </c>
      <c r="AD333" s="34">
        <f t="shared" si="652"/>
        <v>31730.52</v>
      </c>
      <c r="AE333" s="34">
        <f t="shared" si="652"/>
        <v>4689.83</v>
      </c>
      <c r="AF333" s="34">
        <f t="shared" si="652"/>
        <v>1518</v>
      </c>
      <c r="AG333" s="34">
        <f t="shared" si="652"/>
        <v>2210.74</v>
      </c>
      <c r="AH333" s="34">
        <f t="shared" si="652"/>
        <v>0</v>
      </c>
      <c r="AI333" s="34">
        <f t="shared" si="652"/>
        <v>8541.32</v>
      </c>
      <c r="AJ333" s="34">
        <f t="shared" si="652"/>
        <v>14770.63</v>
      </c>
      <c r="AK333" s="35">
        <f t="shared" ref="AK333:AL333" si="653">SUM(AK325:AK332)</f>
        <v>8</v>
      </c>
      <c r="AL333" s="36">
        <f t="shared" si="653"/>
        <v>637359.63</v>
      </c>
      <c r="AM333" s="36">
        <f t="shared" ref="AM333:BA333" si="654">SUM(AM325:AM331)</f>
        <v>21059</v>
      </c>
      <c r="AN333" s="36">
        <f t="shared" si="654"/>
        <v>10730</v>
      </c>
      <c r="AO333" s="36">
        <f t="shared" si="654"/>
        <v>6850</v>
      </c>
      <c r="AP333" s="36">
        <f t="shared" si="654"/>
        <v>3981.12</v>
      </c>
      <c r="AQ333" s="36">
        <f t="shared" si="654"/>
        <v>2401.63</v>
      </c>
      <c r="AR333" s="36">
        <f t="shared" si="654"/>
        <v>0</v>
      </c>
      <c r="AS333" s="37">
        <f t="shared" si="654"/>
        <v>57770.62</v>
      </c>
      <c r="AT333" s="37">
        <f t="shared" si="654"/>
        <v>0</v>
      </c>
      <c r="AU333" s="37">
        <f t="shared" si="654"/>
        <v>27045.87</v>
      </c>
      <c r="AV333" s="37">
        <f t="shared" si="654"/>
        <v>14120.8</v>
      </c>
      <c r="AW333" s="37">
        <f t="shared" si="654"/>
        <v>21059</v>
      </c>
      <c r="AX333" s="37">
        <f t="shared" si="654"/>
        <v>21599.69</v>
      </c>
      <c r="AY333" s="37">
        <f t="shared" si="654"/>
        <v>141595.98</v>
      </c>
      <c r="AZ333" s="38">
        <f t="shared" si="654"/>
        <v>3</v>
      </c>
      <c r="BA333" s="39">
        <f t="shared" si="654"/>
        <v>10</v>
      </c>
      <c r="BB333" s="85"/>
      <c r="BC333" s="85"/>
    </row>
    <row r="334">
      <c r="A334" s="11">
        <v>2025.0</v>
      </c>
      <c r="B334" s="11" t="s">
        <v>119</v>
      </c>
      <c r="C334" s="12">
        <v>45703.0</v>
      </c>
      <c r="D334" s="44">
        <v>100.0</v>
      </c>
      <c r="E334" s="26">
        <v>7088064.08</v>
      </c>
      <c r="F334" s="26">
        <v>289061.71</v>
      </c>
      <c r="G334" s="26">
        <v>33577.04</v>
      </c>
      <c r="H334" s="26">
        <v>3312.0</v>
      </c>
      <c r="I334" s="66">
        <v>38909.56</v>
      </c>
      <c r="J334" s="26">
        <v>16048.79</v>
      </c>
      <c r="K334" s="26">
        <v>-14059.55</v>
      </c>
      <c r="L334" s="26">
        <v>258842.72</v>
      </c>
      <c r="M334" s="15">
        <v>0.0</v>
      </c>
      <c r="N334" s="16">
        <v>0.0</v>
      </c>
      <c r="O334" s="16">
        <f t="shared" ref="O334:O340" si="655">N334*4%</f>
        <v>0</v>
      </c>
      <c r="P334" s="16">
        <f t="shared" ref="P334:P340" si="656">N334*1.68%</f>
        <v>0</v>
      </c>
      <c r="Q334" s="16">
        <f t="shared" ref="Q334:Q340" si="657">M334*(400+350+100+2)</f>
        <v>0</v>
      </c>
      <c r="R334" s="67">
        <f t="shared" ref="R334:R340" si="658">M334*239.19</f>
        <v>0</v>
      </c>
      <c r="S334" s="17">
        <f t="shared" ref="S334:S340" si="659">M334*393.42</f>
        <v>0</v>
      </c>
      <c r="T334" s="17">
        <f t="shared" ref="T334:T340" si="660">M334*138</f>
        <v>0</v>
      </c>
      <c r="U334" s="7">
        <v>3634.1</v>
      </c>
      <c r="V334" s="18">
        <f t="shared" ref="V334:V340" si="661">P334</f>
        <v>0</v>
      </c>
      <c r="W334" s="68">
        <f t="shared" ref="W334:W340" si="662">I334+R334</f>
        <v>38909.56</v>
      </c>
      <c r="X334" s="69">
        <f t="shared" ref="X334:X340" si="663">J334</f>
        <v>16048.79</v>
      </c>
      <c r="Y334" s="7">
        <f t="shared" ref="Y334:Y340" si="664">O334</f>
        <v>0</v>
      </c>
      <c r="Z334" s="7">
        <f t="shared" ref="Z334:Z340" si="665">Q334</f>
        <v>0</v>
      </c>
      <c r="AA334" s="18">
        <f t="shared" ref="AA334:AA340" si="666">SUM(U334:Z334)</f>
        <v>58592.45</v>
      </c>
      <c r="AB334" s="56">
        <v>70.0</v>
      </c>
      <c r="AC334" s="24">
        <v>5548488.75</v>
      </c>
      <c r="AD334" s="24">
        <v>216866.54</v>
      </c>
      <c r="AE334" s="24">
        <v>25949.86</v>
      </c>
      <c r="AF334" s="24">
        <v>1242.0</v>
      </c>
      <c r="AG334" s="24">
        <v>28629.56</v>
      </c>
      <c r="AH334" s="24">
        <v>0.0</v>
      </c>
      <c r="AI334" s="24">
        <v>64234.24</v>
      </c>
      <c r="AJ334" s="24">
        <v>96810.88</v>
      </c>
      <c r="AK334" s="15">
        <v>0.0</v>
      </c>
      <c r="AL334" s="16">
        <v>0.0</v>
      </c>
      <c r="AM334" s="16">
        <v>0.0</v>
      </c>
      <c r="AN334" s="16">
        <v>0.0</v>
      </c>
      <c r="AO334" s="16">
        <v>0.0</v>
      </c>
      <c r="AP334" s="16">
        <v>0.0</v>
      </c>
      <c r="AQ334" s="16">
        <v>0.0</v>
      </c>
      <c r="AR334" s="16">
        <v>0.0</v>
      </c>
      <c r="AS334" s="7">
        <v>0.0</v>
      </c>
      <c r="AT334" s="7">
        <v>0.0</v>
      </c>
      <c r="AU334" s="7">
        <v>0.0</v>
      </c>
      <c r="AV334" s="7">
        <v>0.0</v>
      </c>
      <c r="AW334" s="7">
        <v>0.0</v>
      </c>
      <c r="AX334" s="7">
        <v>0.0</v>
      </c>
      <c r="AY334" s="7">
        <f t="shared" ref="AY334:AY340" si="667">SUM(AS334:AX334)</f>
        <v>0</v>
      </c>
      <c r="AZ334" s="9">
        <v>0.0</v>
      </c>
      <c r="BA334" s="9">
        <v>0.0</v>
      </c>
      <c r="BB334" s="84">
        <v>0.0</v>
      </c>
      <c r="BC334" s="84">
        <v>0.0</v>
      </c>
    </row>
    <row r="335">
      <c r="A335" s="11">
        <v>2025.0</v>
      </c>
      <c r="B335" s="11" t="s">
        <v>119</v>
      </c>
      <c r="C335" s="12">
        <v>45704.0</v>
      </c>
      <c r="D335" s="44">
        <v>14.0</v>
      </c>
      <c r="E335" s="26">
        <v>1252573.73</v>
      </c>
      <c r="F335" s="26">
        <v>39044.85</v>
      </c>
      <c r="G335" s="26">
        <v>3490.03</v>
      </c>
      <c r="H335" s="26">
        <v>1518.0</v>
      </c>
      <c r="I335" s="66">
        <v>2481.16</v>
      </c>
      <c r="J335" s="26">
        <v>834.19</v>
      </c>
      <c r="K335" s="26">
        <v>11594.34</v>
      </c>
      <c r="L335" s="26">
        <v>21462.88</v>
      </c>
      <c r="M335" s="15">
        <v>0.0</v>
      </c>
      <c r="N335" s="16">
        <v>0.0</v>
      </c>
      <c r="O335" s="16">
        <f t="shared" si="655"/>
        <v>0</v>
      </c>
      <c r="P335" s="16">
        <f t="shared" si="656"/>
        <v>0</v>
      </c>
      <c r="Q335" s="16">
        <f t="shared" si="657"/>
        <v>0</v>
      </c>
      <c r="R335" s="16">
        <f t="shared" si="658"/>
        <v>0</v>
      </c>
      <c r="S335" s="17">
        <f t="shared" si="659"/>
        <v>0</v>
      </c>
      <c r="T335" s="17">
        <f t="shared" si="660"/>
        <v>0</v>
      </c>
      <c r="U335" s="7">
        <v>2865.9</v>
      </c>
      <c r="V335" s="18">
        <f t="shared" si="661"/>
        <v>0</v>
      </c>
      <c r="W335" s="68">
        <f t="shared" si="662"/>
        <v>2481.16</v>
      </c>
      <c r="X335" s="69">
        <f t="shared" si="663"/>
        <v>834.19</v>
      </c>
      <c r="Y335" s="7">
        <f t="shared" si="664"/>
        <v>0</v>
      </c>
      <c r="Z335" s="7">
        <f t="shared" si="665"/>
        <v>0</v>
      </c>
      <c r="AA335" s="18">
        <f t="shared" si="666"/>
        <v>6181.25</v>
      </c>
      <c r="AB335" s="56">
        <v>12.0</v>
      </c>
      <c r="AC335" s="24">
        <v>1202974.41</v>
      </c>
      <c r="AD335" s="24">
        <v>37408.84</v>
      </c>
      <c r="AE335" s="24">
        <v>3450.53</v>
      </c>
      <c r="AF335" s="24">
        <v>1242.0</v>
      </c>
      <c r="AG335" s="24">
        <v>1635.83</v>
      </c>
      <c r="AH335" s="24">
        <v>0.0</v>
      </c>
      <c r="AI335" s="24">
        <v>11966.91</v>
      </c>
      <c r="AJ335" s="24">
        <v>20615.14</v>
      </c>
      <c r="AK335" s="15">
        <v>0.0</v>
      </c>
      <c r="AL335" s="16">
        <v>0.0</v>
      </c>
      <c r="AM335" s="16">
        <v>0.0</v>
      </c>
      <c r="AN335" s="16">
        <v>0.0</v>
      </c>
      <c r="AO335" s="16">
        <v>0.0</v>
      </c>
      <c r="AP335" s="16">
        <v>0.0</v>
      </c>
      <c r="AQ335" s="16">
        <v>0.0</v>
      </c>
      <c r="AR335" s="16">
        <v>0.0</v>
      </c>
      <c r="AS335" s="7">
        <v>0.0</v>
      </c>
      <c r="AT335" s="7">
        <v>0.0</v>
      </c>
      <c r="AU335" s="7">
        <v>0.0</v>
      </c>
      <c r="AV335" s="7">
        <v>0.0</v>
      </c>
      <c r="AW335" s="7">
        <v>0.0</v>
      </c>
      <c r="AX335" s="7">
        <v>0.0</v>
      </c>
      <c r="AY335" s="7">
        <f t="shared" si="667"/>
        <v>0</v>
      </c>
      <c r="AZ335" s="9">
        <v>0.0</v>
      </c>
      <c r="BA335" s="9">
        <v>0.0</v>
      </c>
      <c r="BB335" s="84">
        <v>0.0</v>
      </c>
      <c r="BC335" s="84">
        <v>0.0</v>
      </c>
    </row>
    <row r="336">
      <c r="A336" s="11">
        <v>2025.0</v>
      </c>
      <c r="B336" s="11" t="s">
        <v>119</v>
      </c>
      <c r="C336" s="12">
        <v>45705.0</v>
      </c>
      <c r="D336" s="44">
        <v>11.0</v>
      </c>
      <c r="E336" s="26">
        <v>1036857.4</v>
      </c>
      <c r="F336" s="26">
        <v>40740.44</v>
      </c>
      <c r="G336" s="26">
        <v>3138.53</v>
      </c>
      <c r="H336" s="26">
        <v>1380.0</v>
      </c>
      <c r="I336" s="66">
        <v>2320.53</v>
      </c>
      <c r="J336" s="26">
        <v>31012.67</v>
      </c>
      <c r="K336" s="26">
        <v>61367.68</v>
      </c>
      <c r="L336" s="26">
        <v>18981.45</v>
      </c>
      <c r="M336" s="15">
        <v>2.0</v>
      </c>
      <c r="N336" s="16">
        <v>75245.44</v>
      </c>
      <c r="O336" s="16">
        <f t="shared" si="655"/>
        <v>3009.8176</v>
      </c>
      <c r="P336" s="16">
        <f t="shared" si="656"/>
        <v>1264.123392</v>
      </c>
      <c r="Q336" s="16">
        <f t="shared" si="657"/>
        <v>1704</v>
      </c>
      <c r="R336" s="16">
        <f t="shared" si="658"/>
        <v>478.38</v>
      </c>
      <c r="S336" s="17">
        <f t="shared" si="659"/>
        <v>786.84</v>
      </c>
      <c r="T336" s="17">
        <f t="shared" si="660"/>
        <v>276</v>
      </c>
      <c r="U336" s="7">
        <v>2750.12</v>
      </c>
      <c r="V336" s="18">
        <f t="shared" si="661"/>
        <v>1264.123392</v>
      </c>
      <c r="W336" s="68">
        <f t="shared" si="662"/>
        <v>2798.91</v>
      </c>
      <c r="X336" s="69">
        <f t="shared" si="663"/>
        <v>31012.67</v>
      </c>
      <c r="Y336" s="7">
        <f t="shared" si="664"/>
        <v>3009.8176</v>
      </c>
      <c r="Z336" s="7">
        <f t="shared" si="665"/>
        <v>1704</v>
      </c>
      <c r="AA336" s="18">
        <f t="shared" si="666"/>
        <v>42539.64099</v>
      </c>
      <c r="AB336" s="56">
        <v>7.0</v>
      </c>
      <c r="AC336" s="24">
        <v>102146.72</v>
      </c>
      <c r="AD336" s="24">
        <v>4700.95</v>
      </c>
      <c r="AE336" s="24">
        <v>706.73</v>
      </c>
      <c r="AF336" s="24">
        <v>276.0</v>
      </c>
      <c r="AG336" s="24">
        <v>278.38</v>
      </c>
      <c r="AH336" s="24">
        <v>0.0</v>
      </c>
      <c r="AI336" s="24">
        <v>1723.78</v>
      </c>
      <c r="AJ336" s="24">
        <v>1716.06</v>
      </c>
      <c r="AK336" s="15">
        <v>1.0</v>
      </c>
      <c r="AL336" s="16">
        <v>37265.85</v>
      </c>
      <c r="AM336" s="16">
        <v>0.0</v>
      </c>
      <c r="AN336" s="16">
        <v>628.0</v>
      </c>
      <c r="AO336" s="16">
        <v>0.0</v>
      </c>
      <c r="AP336" s="16">
        <v>0.0</v>
      </c>
      <c r="AQ336" s="16">
        <v>245.0</v>
      </c>
      <c r="AR336" s="16">
        <v>0.0</v>
      </c>
      <c r="AS336" s="7">
        <v>14299.04</v>
      </c>
      <c r="AT336" s="7">
        <v>0.0</v>
      </c>
      <c r="AU336" s="7">
        <v>10904.14</v>
      </c>
      <c r="AV336" s="7">
        <v>2633.19</v>
      </c>
      <c r="AW336" s="7">
        <v>0.0</v>
      </c>
      <c r="AX336" s="7">
        <v>955.1</v>
      </c>
      <c r="AY336" s="7">
        <f t="shared" si="667"/>
        <v>28791.47</v>
      </c>
      <c r="AZ336" s="9">
        <v>0.0</v>
      </c>
      <c r="BA336" s="9">
        <v>0.0</v>
      </c>
      <c r="BB336" s="84">
        <v>0.0</v>
      </c>
      <c r="BC336" s="84">
        <v>0.0</v>
      </c>
    </row>
    <row r="337">
      <c r="A337" s="11">
        <v>2025.0</v>
      </c>
      <c r="B337" s="11" t="s">
        <v>119</v>
      </c>
      <c r="C337" s="12">
        <v>45706.0</v>
      </c>
      <c r="D337" s="44">
        <v>6.0</v>
      </c>
      <c r="E337" s="26">
        <v>175033.42</v>
      </c>
      <c r="F337" s="26">
        <v>14290.18</v>
      </c>
      <c r="G337" s="26">
        <v>1771.11</v>
      </c>
      <c r="H337" s="26">
        <v>828.0</v>
      </c>
      <c r="I337" s="66">
        <v>950.83</v>
      </c>
      <c r="J337" s="26">
        <v>0.0</v>
      </c>
      <c r="K337" s="26">
        <v>7381.62</v>
      </c>
      <c r="L337" s="26">
        <v>3358.62</v>
      </c>
      <c r="M337" s="15">
        <v>3.0</v>
      </c>
      <c r="N337" s="16">
        <v>521764.75</v>
      </c>
      <c r="O337" s="16">
        <f t="shared" si="655"/>
        <v>20870.59</v>
      </c>
      <c r="P337" s="16">
        <f t="shared" si="656"/>
        <v>8765.6478</v>
      </c>
      <c r="Q337" s="16">
        <f t="shared" si="657"/>
        <v>2556</v>
      </c>
      <c r="R337" s="16">
        <f t="shared" si="658"/>
        <v>717.57</v>
      </c>
      <c r="S337" s="17">
        <f t="shared" si="659"/>
        <v>1180.26</v>
      </c>
      <c r="T337" s="17">
        <f t="shared" si="660"/>
        <v>414</v>
      </c>
      <c r="U337" s="7">
        <v>2283.39</v>
      </c>
      <c r="V337" s="18">
        <f t="shared" si="661"/>
        <v>8765.6478</v>
      </c>
      <c r="W337" s="68">
        <f t="shared" si="662"/>
        <v>1668.4</v>
      </c>
      <c r="X337" s="69">
        <f t="shared" si="663"/>
        <v>0</v>
      </c>
      <c r="Y337" s="7">
        <f t="shared" si="664"/>
        <v>20870.59</v>
      </c>
      <c r="Z337" s="7">
        <f t="shared" si="665"/>
        <v>2556</v>
      </c>
      <c r="AA337" s="18">
        <f t="shared" si="666"/>
        <v>36144.0278</v>
      </c>
      <c r="AB337" s="56">
        <v>2.0</v>
      </c>
      <c r="AC337" s="24">
        <v>113067.29</v>
      </c>
      <c r="AD337" s="24">
        <v>6260.23</v>
      </c>
      <c r="AE337" s="24">
        <v>907.79</v>
      </c>
      <c r="AF337" s="24">
        <v>276.0</v>
      </c>
      <c r="AG337" s="24">
        <v>145.35</v>
      </c>
      <c r="AH337" s="24">
        <v>0.0</v>
      </c>
      <c r="AI337" s="24">
        <v>3031.56</v>
      </c>
      <c r="AJ337" s="24">
        <v>1899.53</v>
      </c>
      <c r="AK337" s="15">
        <v>1.0</v>
      </c>
      <c r="AL337" s="16">
        <v>68796.49</v>
      </c>
      <c r="AM337" s="16">
        <v>2602.0</v>
      </c>
      <c r="AN337" s="16">
        <v>1158.0</v>
      </c>
      <c r="AO337" s="16">
        <v>1000.0</v>
      </c>
      <c r="AP337" s="16">
        <v>495.0</v>
      </c>
      <c r="AQ337" s="16">
        <v>245.0</v>
      </c>
      <c r="AR337" s="16">
        <v>0.0</v>
      </c>
      <c r="AS337" s="7">
        <v>14212.29</v>
      </c>
      <c r="AT337" s="7">
        <v>1158.0</v>
      </c>
      <c r="AU337" s="7">
        <v>9484.59</v>
      </c>
      <c r="AV337" s="7">
        <v>3980.14</v>
      </c>
      <c r="AW337" s="7">
        <v>2602.0</v>
      </c>
      <c r="AX337" s="7">
        <f>15449.18-AT337</f>
        <v>14291.18</v>
      </c>
      <c r="AY337" s="7">
        <f t="shared" si="667"/>
        <v>45728.2</v>
      </c>
      <c r="AZ337" s="9">
        <v>2.0</v>
      </c>
      <c r="BA337" s="9">
        <v>2.0</v>
      </c>
      <c r="BB337" s="84">
        <v>0.0</v>
      </c>
      <c r="BC337" s="84">
        <v>2.0</v>
      </c>
    </row>
    <row r="338">
      <c r="A338" s="11">
        <v>2025.0</v>
      </c>
      <c r="B338" s="11" t="s">
        <v>119</v>
      </c>
      <c r="C338" s="12">
        <v>45707.0</v>
      </c>
      <c r="D338" s="44">
        <v>17.0</v>
      </c>
      <c r="E338" s="26">
        <v>1100981.42</v>
      </c>
      <c r="F338" s="26">
        <v>43594.67</v>
      </c>
      <c r="G338" s="26">
        <v>3961.47</v>
      </c>
      <c r="H338" s="26">
        <v>1656.0</v>
      </c>
      <c r="I338" s="66">
        <v>2238.24</v>
      </c>
      <c r="J338" s="26">
        <v>2252.92</v>
      </c>
      <c r="K338" s="26">
        <v>18911.55</v>
      </c>
      <c r="L338" s="26">
        <v>19519.17</v>
      </c>
      <c r="M338" s="15">
        <v>3.0</v>
      </c>
      <c r="N338" s="16">
        <v>175152.59</v>
      </c>
      <c r="O338" s="16">
        <f t="shared" si="655"/>
        <v>7006.1036</v>
      </c>
      <c r="P338" s="16">
        <f t="shared" si="656"/>
        <v>2942.563512</v>
      </c>
      <c r="Q338" s="16">
        <f t="shared" si="657"/>
        <v>2556</v>
      </c>
      <c r="R338" s="16">
        <f t="shared" si="658"/>
        <v>717.57</v>
      </c>
      <c r="S338" s="17">
        <f t="shared" si="659"/>
        <v>1180.26</v>
      </c>
      <c r="T338" s="17">
        <f t="shared" si="660"/>
        <v>414</v>
      </c>
      <c r="U338" s="7">
        <v>5063.74</v>
      </c>
      <c r="V338" s="18">
        <f t="shared" si="661"/>
        <v>2942.563512</v>
      </c>
      <c r="W338" s="68">
        <f t="shared" si="662"/>
        <v>2955.81</v>
      </c>
      <c r="X338" s="69">
        <f t="shared" si="663"/>
        <v>2252.92</v>
      </c>
      <c r="Y338" s="7">
        <f t="shared" si="664"/>
        <v>7006.1036</v>
      </c>
      <c r="Z338" s="7">
        <f t="shared" si="665"/>
        <v>2556</v>
      </c>
      <c r="AA338" s="18">
        <f t="shared" si="666"/>
        <v>22777.13711</v>
      </c>
      <c r="AB338" s="56">
        <v>7.0</v>
      </c>
      <c r="AC338" s="24">
        <v>597083.72</v>
      </c>
      <c r="AD338" s="24">
        <v>20100.16</v>
      </c>
      <c r="AE338" s="24">
        <v>2122.82</v>
      </c>
      <c r="AF338" s="24">
        <v>828.0</v>
      </c>
      <c r="AG338" s="24">
        <v>619.24</v>
      </c>
      <c r="AH338" s="24">
        <v>0.0</v>
      </c>
      <c r="AI338" s="24">
        <v>5535.31</v>
      </c>
      <c r="AJ338" s="24">
        <v>10994.79</v>
      </c>
      <c r="AK338" s="15">
        <v>3.0</v>
      </c>
      <c r="AL338" s="16">
        <v>259492.11</v>
      </c>
      <c r="AM338" s="16">
        <v>8936.0</v>
      </c>
      <c r="AN338" s="16">
        <v>3977.0</v>
      </c>
      <c r="AO338" s="16">
        <v>1850.0</v>
      </c>
      <c r="AP338" s="16">
        <v>1392.69</v>
      </c>
      <c r="AQ338" s="16">
        <v>740.88</v>
      </c>
      <c r="AR338" s="16">
        <v>0.0</v>
      </c>
      <c r="AS338" s="7">
        <v>19026.13</v>
      </c>
      <c r="AT338" s="7">
        <v>2300.0</v>
      </c>
      <c r="AU338" s="7">
        <v>7365.1</v>
      </c>
      <c r="AV338" s="7">
        <v>2051.71</v>
      </c>
      <c r="AW338" s="7">
        <v>5169.0</v>
      </c>
      <c r="AX338" s="7">
        <f>3656.2-AT338</f>
        <v>1356.2</v>
      </c>
      <c r="AY338" s="7">
        <f t="shared" si="667"/>
        <v>37268.14</v>
      </c>
      <c r="AZ338" s="9">
        <v>1.0</v>
      </c>
      <c r="BA338" s="9">
        <v>2.0</v>
      </c>
      <c r="BB338" s="84">
        <v>0.0</v>
      </c>
      <c r="BC338" s="84">
        <v>0.0</v>
      </c>
    </row>
    <row r="339">
      <c r="A339" s="11">
        <v>2025.0</v>
      </c>
      <c r="B339" s="11" t="s">
        <v>119</v>
      </c>
      <c r="C339" s="12">
        <v>45708.0</v>
      </c>
      <c r="D339" s="44">
        <v>15.0</v>
      </c>
      <c r="E339" s="26">
        <v>913806.85</v>
      </c>
      <c r="F339" s="26">
        <v>45807.3</v>
      </c>
      <c r="G339" s="26">
        <v>3890.17</v>
      </c>
      <c r="H339" s="26">
        <v>1518.0</v>
      </c>
      <c r="I339" s="66">
        <v>2736.57</v>
      </c>
      <c r="J339" s="26">
        <v>1927.24</v>
      </c>
      <c r="K339" s="26">
        <v>24252.12</v>
      </c>
      <c r="L339" s="26">
        <v>15866.05</v>
      </c>
      <c r="M339" s="15">
        <v>4.0</v>
      </c>
      <c r="N339" s="16">
        <v>545239.12</v>
      </c>
      <c r="O339" s="16">
        <f t="shared" si="655"/>
        <v>21809.5648</v>
      </c>
      <c r="P339" s="16">
        <f t="shared" si="656"/>
        <v>9160.017216</v>
      </c>
      <c r="Q339" s="16">
        <f t="shared" si="657"/>
        <v>3408</v>
      </c>
      <c r="R339" s="16">
        <f t="shared" si="658"/>
        <v>956.76</v>
      </c>
      <c r="S339" s="17">
        <f t="shared" si="659"/>
        <v>1573.68</v>
      </c>
      <c r="T339" s="17">
        <f t="shared" si="660"/>
        <v>552</v>
      </c>
      <c r="U339" s="7">
        <v>3964.59</v>
      </c>
      <c r="V339" s="18">
        <f t="shared" si="661"/>
        <v>9160.017216</v>
      </c>
      <c r="W339" s="68">
        <f t="shared" si="662"/>
        <v>3693.33</v>
      </c>
      <c r="X339" s="69">
        <f t="shared" si="663"/>
        <v>1927.24</v>
      </c>
      <c r="Y339" s="7">
        <f t="shared" si="664"/>
        <v>21809.5648</v>
      </c>
      <c r="Z339" s="7">
        <f t="shared" si="665"/>
        <v>3408</v>
      </c>
      <c r="AA339" s="18">
        <f t="shared" si="666"/>
        <v>43962.74202</v>
      </c>
      <c r="AB339" s="56">
        <v>6.0</v>
      </c>
      <c r="AC339" s="24">
        <v>301723.67</v>
      </c>
      <c r="AD339" s="24">
        <v>17046.48</v>
      </c>
      <c r="AE339" s="24">
        <v>2065.91</v>
      </c>
      <c r="AF339" s="24">
        <v>690.0</v>
      </c>
      <c r="AG339" s="24">
        <v>766.9</v>
      </c>
      <c r="AH339" s="24">
        <v>0.0</v>
      </c>
      <c r="AI339" s="24">
        <v>7534.46</v>
      </c>
      <c r="AJ339" s="24">
        <v>5989.21</v>
      </c>
      <c r="AK339" s="15">
        <v>2.0</v>
      </c>
      <c r="AL339" s="16">
        <v>60896.44</v>
      </c>
      <c r="AM339" s="16">
        <v>1321.0</v>
      </c>
      <c r="AN339" s="16">
        <v>588.0</v>
      </c>
      <c r="AO339" s="16">
        <v>1000.0</v>
      </c>
      <c r="AP339" s="16">
        <v>313.44</v>
      </c>
      <c r="AQ339" s="16">
        <v>245.0</v>
      </c>
      <c r="AR339" s="16">
        <v>0.0</v>
      </c>
      <c r="AS339" s="7">
        <v>33736.04</v>
      </c>
      <c r="AT339" s="7">
        <v>1677.0</v>
      </c>
      <c r="AU339" s="7">
        <v>12222.9</v>
      </c>
      <c r="AV339" s="7">
        <v>6506.51</v>
      </c>
      <c r="AW339" s="7">
        <v>3767.0</v>
      </c>
      <c r="AX339" s="7">
        <f>3754.48-AT339</f>
        <v>2077.48</v>
      </c>
      <c r="AY339" s="7">
        <f t="shared" si="667"/>
        <v>59986.93</v>
      </c>
      <c r="AZ339" s="9">
        <v>0.0</v>
      </c>
      <c r="BA339" s="9">
        <v>2.0</v>
      </c>
      <c r="BB339" s="84">
        <v>3.0</v>
      </c>
      <c r="BC339" s="84">
        <v>2.0</v>
      </c>
    </row>
    <row r="340">
      <c r="A340" s="11">
        <v>2025.0</v>
      </c>
      <c r="B340" s="11" t="s">
        <v>119</v>
      </c>
      <c r="C340" s="12">
        <v>45709.0</v>
      </c>
      <c r="D340" s="44">
        <v>6.0</v>
      </c>
      <c r="E340" s="26">
        <v>326269.6</v>
      </c>
      <c r="F340" s="26">
        <v>14487.8</v>
      </c>
      <c r="G340" s="26">
        <v>1674.58</v>
      </c>
      <c r="H340" s="26">
        <v>828.0</v>
      </c>
      <c r="I340" s="66">
        <v>1252.96</v>
      </c>
      <c r="J340" s="26">
        <v>986.65</v>
      </c>
      <c r="K340" s="26">
        <v>5250.93</v>
      </c>
      <c r="L340" s="26">
        <v>5481.33</v>
      </c>
      <c r="M340" s="15">
        <v>5.0</v>
      </c>
      <c r="N340" s="16">
        <v>484514.53</v>
      </c>
      <c r="O340" s="16">
        <f t="shared" si="655"/>
        <v>19380.5812</v>
      </c>
      <c r="P340" s="16">
        <f t="shared" si="656"/>
        <v>8139.844104</v>
      </c>
      <c r="Q340" s="16">
        <f t="shared" si="657"/>
        <v>4260</v>
      </c>
      <c r="R340" s="16">
        <f t="shared" si="658"/>
        <v>1195.95</v>
      </c>
      <c r="S340" s="17">
        <f t="shared" si="659"/>
        <v>1967.1</v>
      </c>
      <c r="T340" s="17">
        <f t="shared" si="660"/>
        <v>690</v>
      </c>
      <c r="U340" s="7">
        <v>4123.96</v>
      </c>
      <c r="V340" s="18">
        <f t="shared" si="661"/>
        <v>8139.844104</v>
      </c>
      <c r="W340" s="68">
        <f t="shared" si="662"/>
        <v>2448.91</v>
      </c>
      <c r="X340" s="69">
        <f t="shared" si="663"/>
        <v>986.65</v>
      </c>
      <c r="Y340" s="7">
        <f t="shared" si="664"/>
        <v>19380.5812</v>
      </c>
      <c r="Z340" s="7">
        <f t="shared" si="665"/>
        <v>4260</v>
      </c>
      <c r="AA340" s="18">
        <f t="shared" si="666"/>
        <v>39339.9453</v>
      </c>
      <c r="AB340" s="56">
        <v>2.0</v>
      </c>
      <c r="AC340" s="24">
        <v>91805.47</v>
      </c>
      <c r="AD340" s="24">
        <v>4080.77</v>
      </c>
      <c r="AE340" s="24">
        <v>676.21</v>
      </c>
      <c r="AF340" s="24">
        <v>276.0</v>
      </c>
      <c r="AG340" s="24">
        <v>278.38</v>
      </c>
      <c r="AH340" s="24">
        <v>0.0</v>
      </c>
      <c r="AI340" s="24">
        <v>1307.85</v>
      </c>
      <c r="AJ340" s="24">
        <v>1542.33</v>
      </c>
      <c r="AK340" s="15">
        <v>1.0</v>
      </c>
      <c r="AL340" s="16">
        <v>37979.59</v>
      </c>
      <c r="AM340" s="16">
        <v>1437.0</v>
      </c>
      <c r="AN340" s="16">
        <v>640.0</v>
      </c>
      <c r="AO340" s="16">
        <v>850.0</v>
      </c>
      <c r="AP340" s="16">
        <v>357.59</v>
      </c>
      <c r="AQ340" s="16">
        <v>245.0</v>
      </c>
      <c r="AR340" s="16">
        <v>0.0</v>
      </c>
      <c r="AS340" s="7">
        <v>9630.69</v>
      </c>
      <c r="AT340" s="7">
        <v>1228.0</v>
      </c>
      <c r="AU340" s="7">
        <v>5781.58</v>
      </c>
      <c r="AV340" s="7">
        <v>1232.24</v>
      </c>
      <c r="AW340" s="7">
        <v>2758.0</v>
      </c>
      <c r="AX340" s="7">
        <f>3916.45-AT340</f>
        <v>2688.45</v>
      </c>
      <c r="AY340" s="7">
        <f t="shared" si="667"/>
        <v>23318.96</v>
      </c>
      <c r="AZ340" s="9">
        <v>0.0</v>
      </c>
      <c r="BA340" s="9">
        <v>2.0</v>
      </c>
      <c r="BB340" s="84">
        <v>0.0</v>
      </c>
      <c r="BC340" s="84">
        <v>1.0</v>
      </c>
    </row>
    <row r="341">
      <c r="A341" s="11">
        <v>2025.0</v>
      </c>
      <c r="B341" s="11" t="s">
        <v>119</v>
      </c>
      <c r="C341" s="1"/>
      <c r="D341" s="2">
        <v>106.0</v>
      </c>
      <c r="E341" s="2"/>
      <c r="F341" s="59" t="s">
        <v>122</v>
      </c>
      <c r="G341" s="2"/>
      <c r="H341" s="33"/>
      <c r="I341" s="33"/>
      <c r="J341" s="33"/>
      <c r="K341" s="33"/>
      <c r="L341" s="33"/>
      <c r="M341" s="15">
        <v>10.0</v>
      </c>
      <c r="N341" s="16">
        <v>1173997.64</v>
      </c>
      <c r="O341" s="35"/>
      <c r="P341" s="35"/>
      <c r="Q341" s="35"/>
      <c r="R341" s="35"/>
      <c r="S341" s="35"/>
      <c r="T341" s="35"/>
      <c r="U341" s="37"/>
      <c r="V341" s="48"/>
      <c r="W341" s="48"/>
      <c r="X341" s="37"/>
      <c r="Y341" s="48"/>
      <c r="Z341" s="48"/>
      <c r="AA341" s="48"/>
      <c r="AB341" s="2"/>
      <c r="AC341" s="33"/>
      <c r="AD341" s="2"/>
      <c r="AE341" s="33"/>
      <c r="AF341" s="33"/>
      <c r="AG341" s="33"/>
      <c r="AH341" s="33"/>
      <c r="AI341" s="33"/>
      <c r="AJ341" s="33"/>
      <c r="AK341" s="4"/>
      <c r="AL341" s="4"/>
      <c r="AM341" s="35"/>
      <c r="AN341" s="35"/>
      <c r="AO341" s="35"/>
      <c r="AP341" s="35"/>
      <c r="AQ341" s="35"/>
      <c r="AR341" s="35"/>
      <c r="AS341" s="37"/>
      <c r="AT341" s="48"/>
      <c r="AU341" s="48"/>
      <c r="AV341" s="48"/>
      <c r="AW341" s="48"/>
      <c r="AX341" s="48"/>
      <c r="AY341" s="48"/>
      <c r="AZ341" s="38"/>
      <c r="BA341" s="39"/>
      <c r="BB341" s="85"/>
      <c r="BC341" s="85"/>
    </row>
    <row r="342">
      <c r="A342" s="1">
        <v>2025.0</v>
      </c>
      <c r="B342" s="1" t="s">
        <v>119</v>
      </c>
      <c r="C342" s="1" t="s">
        <v>49</v>
      </c>
      <c r="D342" s="33">
        <f t="shared" ref="D342:F342" si="668">SUM(D334:D340)</f>
        <v>169</v>
      </c>
      <c r="E342" s="34">
        <f t="shared" si="668"/>
        <v>11893586.5</v>
      </c>
      <c r="F342" s="34">
        <f t="shared" si="668"/>
        <v>487026.95</v>
      </c>
      <c r="G342" s="34">
        <f>SUM(G334:G341)</f>
        <v>51502.93</v>
      </c>
      <c r="H342" s="34">
        <f t="shared" ref="H342:L342" si="669">SUM(H334:H340)</f>
        <v>11040</v>
      </c>
      <c r="I342" s="55">
        <f t="shared" si="669"/>
        <v>50889.85</v>
      </c>
      <c r="J342" s="34">
        <f t="shared" si="669"/>
        <v>53062.46</v>
      </c>
      <c r="K342" s="34">
        <f t="shared" si="669"/>
        <v>114698.69</v>
      </c>
      <c r="L342" s="34">
        <f t="shared" si="669"/>
        <v>343512.22</v>
      </c>
      <c r="M342" s="35">
        <f t="shared" ref="M342:N342" si="670">SUM(M334:M341)</f>
        <v>27</v>
      </c>
      <c r="N342" s="36">
        <f t="shared" si="670"/>
        <v>2975914.07</v>
      </c>
      <c r="O342" s="36">
        <f t="shared" ref="O342:AJ342" si="671">SUM(O334:O340)</f>
        <v>72076.6572</v>
      </c>
      <c r="P342" s="36">
        <f t="shared" si="671"/>
        <v>30272.19602</v>
      </c>
      <c r="Q342" s="36">
        <f t="shared" si="671"/>
        <v>14484</v>
      </c>
      <c r="R342" s="70">
        <f t="shared" si="671"/>
        <v>4066.23</v>
      </c>
      <c r="S342" s="36">
        <f t="shared" si="671"/>
        <v>6688.14</v>
      </c>
      <c r="T342" s="36">
        <f t="shared" si="671"/>
        <v>2346</v>
      </c>
      <c r="U342" s="37">
        <f t="shared" si="671"/>
        <v>24685.8</v>
      </c>
      <c r="V342" s="37">
        <f t="shared" si="671"/>
        <v>30272.19602</v>
      </c>
      <c r="W342" s="71">
        <f t="shared" si="671"/>
        <v>54956.08</v>
      </c>
      <c r="X342" s="37">
        <f t="shared" si="671"/>
        <v>53062.46</v>
      </c>
      <c r="Y342" s="37">
        <f t="shared" si="671"/>
        <v>72076.6572</v>
      </c>
      <c r="Z342" s="37">
        <f t="shared" si="671"/>
        <v>14484</v>
      </c>
      <c r="AA342" s="37">
        <f t="shared" si="671"/>
        <v>249537.1932</v>
      </c>
      <c r="AB342" s="33">
        <f t="shared" si="671"/>
        <v>106</v>
      </c>
      <c r="AC342" s="34">
        <f t="shared" si="671"/>
        <v>7957290.03</v>
      </c>
      <c r="AD342" s="34">
        <f t="shared" si="671"/>
        <v>306463.97</v>
      </c>
      <c r="AE342" s="34">
        <f t="shared" si="671"/>
        <v>35879.85</v>
      </c>
      <c r="AF342" s="34">
        <f t="shared" si="671"/>
        <v>4830</v>
      </c>
      <c r="AG342" s="34">
        <f t="shared" si="671"/>
        <v>32353.64</v>
      </c>
      <c r="AH342" s="34">
        <f t="shared" si="671"/>
        <v>0</v>
      </c>
      <c r="AI342" s="34">
        <f t="shared" si="671"/>
        <v>95334.11</v>
      </c>
      <c r="AJ342" s="34">
        <f t="shared" si="671"/>
        <v>139567.94</v>
      </c>
      <c r="AK342" s="35">
        <f t="shared" ref="AK342:AL342" si="672">SUM(AK334:AK341)</f>
        <v>8</v>
      </c>
      <c r="AL342" s="36">
        <f t="shared" si="672"/>
        <v>464430.48</v>
      </c>
      <c r="AM342" s="36">
        <f t="shared" ref="AM342:BC342" si="673">SUM(AM334:AM340)</f>
        <v>14296</v>
      </c>
      <c r="AN342" s="36">
        <f t="shared" si="673"/>
        <v>6991</v>
      </c>
      <c r="AO342" s="36">
        <f t="shared" si="673"/>
        <v>4700</v>
      </c>
      <c r="AP342" s="36">
        <f t="shared" si="673"/>
        <v>2558.72</v>
      </c>
      <c r="AQ342" s="36">
        <f t="shared" si="673"/>
        <v>1720.88</v>
      </c>
      <c r="AR342" s="36">
        <f t="shared" si="673"/>
        <v>0</v>
      </c>
      <c r="AS342" s="37">
        <f t="shared" si="673"/>
        <v>90904.19</v>
      </c>
      <c r="AT342" s="37">
        <f t="shared" si="673"/>
        <v>6363</v>
      </c>
      <c r="AU342" s="37">
        <f t="shared" si="673"/>
        <v>45758.31</v>
      </c>
      <c r="AV342" s="37">
        <f t="shared" si="673"/>
        <v>16403.79</v>
      </c>
      <c r="AW342" s="37">
        <f t="shared" si="673"/>
        <v>14296</v>
      </c>
      <c r="AX342" s="37">
        <f t="shared" si="673"/>
        <v>21368.41</v>
      </c>
      <c r="AY342" s="37">
        <f t="shared" si="673"/>
        <v>195093.7</v>
      </c>
      <c r="AZ342" s="38">
        <f t="shared" si="673"/>
        <v>3</v>
      </c>
      <c r="BA342" s="39">
        <f t="shared" si="673"/>
        <v>8</v>
      </c>
      <c r="BB342" s="85">
        <f t="shared" si="673"/>
        <v>3</v>
      </c>
      <c r="BC342" s="85">
        <f t="shared" si="673"/>
        <v>5</v>
      </c>
    </row>
    <row r="343">
      <c r="A343" s="11">
        <v>2025.0</v>
      </c>
      <c r="B343" s="11" t="s">
        <v>119</v>
      </c>
      <c r="C343" s="12">
        <v>45710.0</v>
      </c>
      <c r="D343" s="44">
        <v>11.0</v>
      </c>
      <c r="E343" s="26">
        <v>469865.77</v>
      </c>
      <c r="F343" s="26">
        <v>23908.57</v>
      </c>
      <c r="G343" s="26">
        <v>3028.95</v>
      </c>
      <c r="H343" s="26">
        <v>1518.0</v>
      </c>
      <c r="I343" s="66">
        <v>2270.13</v>
      </c>
      <c r="J343" s="26">
        <v>880.99</v>
      </c>
      <c r="K343" s="26">
        <v>8835.89</v>
      </c>
      <c r="L343" s="26">
        <v>8255.6</v>
      </c>
      <c r="M343" s="15">
        <v>0.0</v>
      </c>
      <c r="N343" s="16">
        <v>0.0</v>
      </c>
      <c r="O343" s="16">
        <f t="shared" ref="O343:O349" si="674">N343*4%</f>
        <v>0</v>
      </c>
      <c r="P343" s="16">
        <f t="shared" ref="P343:P349" si="675">N343*1.68%</f>
        <v>0</v>
      </c>
      <c r="Q343" s="16">
        <f t="shared" ref="Q343:Q349" si="676">M343*(400+350+100+2)</f>
        <v>0</v>
      </c>
      <c r="R343" s="67">
        <f t="shared" ref="R343:R349" si="677">M343*239.19</f>
        <v>0</v>
      </c>
      <c r="S343" s="17">
        <f t="shared" ref="S343:S349" si="678">M343*393.42</f>
        <v>0</v>
      </c>
      <c r="T343" s="17">
        <f t="shared" ref="T343:T349" si="679">M343*138</f>
        <v>0</v>
      </c>
      <c r="U343" s="7">
        <v>2180.48</v>
      </c>
      <c r="V343" s="18">
        <f t="shared" ref="V343:V349" si="680">P343</f>
        <v>0</v>
      </c>
      <c r="W343" s="68">
        <f t="shared" ref="W343:W349" si="681">I343+R343</f>
        <v>2270.13</v>
      </c>
      <c r="X343" s="69">
        <f t="shared" ref="X343:X349" si="682">J343</f>
        <v>880.99</v>
      </c>
      <c r="Y343" s="7">
        <f t="shared" ref="Y343:Y349" si="683">O343</f>
        <v>0</v>
      </c>
      <c r="Z343" s="7">
        <f t="shared" ref="Z343:Z349" si="684">Q343</f>
        <v>0</v>
      </c>
      <c r="AA343" s="18">
        <f t="shared" ref="AA343:AA349" si="685">SUM(U343:Z343)</f>
        <v>5331.6</v>
      </c>
      <c r="AB343" s="56">
        <v>6.0</v>
      </c>
      <c r="AC343" s="24">
        <v>240299.69</v>
      </c>
      <c r="AD343" s="24">
        <v>13160.66</v>
      </c>
      <c r="AE343" s="24">
        <v>1860.18</v>
      </c>
      <c r="AF343" s="24">
        <v>828.0</v>
      </c>
      <c r="AG343" s="24">
        <v>892.96</v>
      </c>
      <c r="AH343" s="24">
        <v>0.0</v>
      </c>
      <c r="AI343" s="24">
        <v>5180.63</v>
      </c>
      <c r="AJ343" s="24">
        <v>4398.89</v>
      </c>
      <c r="AK343" s="15">
        <v>0.0</v>
      </c>
      <c r="AL343" s="16">
        <v>0.0</v>
      </c>
      <c r="AM343" s="16">
        <v>0.0</v>
      </c>
      <c r="AN343" s="16">
        <v>0.0</v>
      </c>
      <c r="AO343" s="16">
        <v>0.0</v>
      </c>
      <c r="AP343" s="16">
        <v>0.0</v>
      </c>
      <c r="AQ343" s="16">
        <v>0.0</v>
      </c>
      <c r="AR343" s="16">
        <v>0.0</v>
      </c>
      <c r="AS343" s="7">
        <v>0.0</v>
      </c>
      <c r="AT343" s="7">
        <v>0.0</v>
      </c>
      <c r="AU343" s="7">
        <v>0.0</v>
      </c>
      <c r="AV343" s="7">
        <v>0.0</v>
      </c>
      <c r="AW343" s="7">
        <v>0.0</v>
      </c>
      <c r="AX343" s="7">
        <v>0.0</v>
      </c>
      <c r="AY343" s="7">
        <f t="shared" ref="AY343:AY349" si="686">SUM(AS343:AX343)</f>
        <v>0</v>
      </c>
      <c r="AZ343" s="9">
        <v>0.0</v>
      </c>
      <c r="BA343" s="9">
        <v>0.0</v>
      </c>
      <c r="BB343" s="84">
        <v>0.0</v>
      </c>
      <c r="BC343" s="84">
        <v>0.0</v>
      </c>
    </row>
    <row r="344">
      <c r="A344" s="11">
        <v>2025.0</v>
      </c>
      <c r="B344" s="11" t="s">
        <v>119</v>
      </c>
      <c r="C344" s="12">
        <v>45711.0</v>
      </c>
      <c r="D344" s="44">
        <v>14.0</v>
      </c>
      <c r="E344" s="26">
        <v>767874.2</v>
      </c>
      <c r="F344" s="26">
        <v>42225.73</v>
      </c>
      <c r="G344" s="26">
        <v>4242.87</v>
      </c>
      <c r="H344" s="26">
        <v>1794.0</v>
      </c>
      <c r="I344" s="66">
        <v>2987.29</v>
      </c>
      <c r="J344" s="26">
        <v>1753.16</v>
      </c>
      <c r="K344" s="26">
        <v>25136.69</v>
      </c>
      <c r="L344" s="26">
        <v>14347.97</v>
      </c>
      <c r="M344" s="15">
        <v>0.0</v>
      </c>
      <c r="N344" s="16">
        <v>0.0</v>
      </c>
      <c r="O344" s="16">
        <f t="shared" si="674"/>
        <v>0</v>
      </c>
      <c r="P344" s="16">
        <f t="shared" si="675"/>
        <v>0</v>
      </c>
      <c r="Q344" s="16">
        <f t="shared" si="676"/>
        <v>0</v>
      </c>
      <c r="R344" s="16">
        <f t="shared" si="677"/>
        <v>0</v>
      </c>
      <c r="S344" s="17">
        <f t="shared" si="678"/>
        <v>0</v>
      </c>
      <c r="T344" s="17">
        <f t="shared" si="679"/>
        <v>0</v>
      </c>
      <c r="U344" s="7">
        <v>3000.02</v>
      </c>
      <c r="V344" s="18">
        <f t="shared" si="680"/>
        <v>0</v>
      </c>
      <c r="W344" s="68">
        <f t="shared" si="681"/>
        <v>2987.29</v>
      </c>
      <c r="X344" s="69">
        <f t="shared" si="682"/>
        <v>1753.16</v>
      </c>
      <c r="Y344" s="7">
        <f t="shared" si="683"/>
        <v>0</v>
      </c>
      <c r="Z344" s="7">
        <f t="shared" si="684"/>
        <v>0</v>
      </c>
      <c r="AA344" s="18">
        <f t="shared" si="685"/>
        <v>7740.47</v>
      </c>
      <c r="AB344" s="56">
        <v>8.0</v>
      </c>
      <c r="AC344" s="24">
        <v>584561.23</v>
      </c>
      <c r="AD344" s="24">
        <v>26992.68</v>
      </c>
      <c r="AE344" s="24">
        <v>2930.4</v>
      </c>
      <c r="AF344" s="24">
        <v>966.0</v>
      </c>
      <c r="AG344" s="24">
        <v>1374.21</v>
      </c>
      <c r="AH344" s="24">
        <v>0.0</v>
      </c>
      <c r="AI344" s="24">
        <v>11522.41</v>
      </c>
      <c r="AJ344" s="24">
        <v>10199.66</v>
      </c>
      <c r="AK344" s="15">
        <v>0.0</v>
      </c>
      <c r="AL344" s="16">
        <v>0.0</v>
      </c>
      <c r="AM344" s="16">
        <v>0.0</v>
      </c>
      <c r="AN344" s="16">
        <v>0.0</v>
      </c>
      <c r="AO344" s="16">
        <v>0.0</v>
      </c>
      <c r="AP344" s="16">
        <v>0.0</v>
      </c>
      <c r="AQ344" s="16">
        <v>0.0</v>
      </c>
      <c r="AR344" s="16">
        <v>0.0</v>
      </c>
      <c r="AS344" s="7">
        <v>0.0</v>
      </c>
      <c r="AT344" s="7">
        <v>0.0</v>
      </c>
      <c r="AU344" s="7">
        <v>0.0</v>
      </c>
      <c r="AV344" s="7">
        <v>0.0</v>
      </c>
      <c r="AW344" s="7">
        <v>0.0</v>
      </c>
      <c r="AX344" s="7">
        <v>0.0</v>
      </c>
      <c r="AY344" s="7">
        <f t="shared" si="686"/>
        <v>0</v>
      </c>
      <c r="AZ344" s="9">
        <v>0.0</v>
      </c>
      <c r="BA344" s="9">
        <v>0.0</v>
      </c>
      <c r="BB344" s="84">
        <v>0.0</v>
      </c>
      <c r="BC344" s="84">
        <v>0.0</v>
      </c>
    </row>
    <row r="345">
      <c r="A345" s="11">
        <v>2025.0</v>
      </c>
      <c r="B345" s="11" t="s">
        <v>119</v>
      </c>
      <c r="C345" s="12">
        <v>45712.0</v>
      </c>
      <c r="D345" s="44">
        <v>9.0</v>
      </c>
      <c r="E345" s="26">
        <v>580384.09</v>
      </c>
      <c r="F345" s="26">
        <v>28455.17</v>
      </c>
      <c r="G345" s="26">
        <v>3352.12</v>
      </c>
      <c r="H345" s="26">
        <v>1242.0</v>
      </c>
      <c r="I345" s="66">
        <v>1535.39</v>
      </c>
      <c r="J345" s="26">
        <v>2435.68</v>
      </c>
      <c r="K345" s="26">
        <v>13245.9</v>
      </c>
      <c r="L345" s="26">
        <v>9079.76</v>
      </c>
      <c r="M345" s="15">
        <v>2.0</v>
      </c>
      <c r="N345" s="16">
        <v>347561.18</v>
      </c>
      <c r="O345" s="16">
        <f t="shared" si="674"/>
        <v>13902.4472</v>
      </c>
      <c r="P345" s="16">
        <f t="shared" si="675"/>
        <v>5839.027824</v>
      </c>
      <c r="Q345" s="16">
        <f t="shared" si="676"/>
        <v>1704</v>
      </c>
      <c r="R345" s="16">
        <f t="shared" si="677"/>
        <v>478.38</v>
      </c>
      <c r="S345" s="17">
        <f t="shared" si="678"/>
        <v>786.84</v>
      </c>
      <c r="T345" s="17">
        <f t="shared" si="679"/>
        <v>276</v>
      </c>
      <c r="U345" s="7">
        <v>2611.2</v>
      </c>
      <c r="V345" s="18">
        <f t="shared" si="680"/>
        <v>5839.027824</v>
      </c>
      <c r="W345" s="68">
        <f t="shared" si="681"/>
        <v>2013.77</v>
      </c>
      <c r="X345" s="69">
        <f t="shared" si="682"/>
        <v>2435.68</v>
      </c>
      <c r="Y345" s="7">
        <f t="shared" si="683"/>
        <v>13902.4472</v>
      </c>
      <c r="Z345" s="7">
        <f t="shared" si="684"/>
        <v>1704</v>
      </c>
      <c r="AA345" s="18">
        <f t="shared" si="685"/>
        <v>28506.12502</v>
      </c>
      <c r="AB345" s="56">
        <v>6.0</v>
      </c>
      <c r="AC345" s="24">
        <v>316846.45</v>
      </c>
      <c r="AD345" s="24">
        <v>19165.64</v>
      </c>
      <c r="AE345" s="24">
        <v>2249.07</v>
      </c>
      <c r="AF345" s="24">
        <v>828.0</v>
      </c>
      <c r="AG345" s="24">
        <v>988.41</v>
      </c>
      <c r="AH345" s="24">
        <v>0.0</v>
      </c>
      <c r="AI345" s="24">
        <v>10447.83</v>
      </c>
      <c r="AJ345" s="24">
        <v>4652.33</v>
      </c>
      <c r="AK345" s="15">
        <v>0.0</v>
      </c>
      <c r="AL345" s="16">
        <v>0.0</v>
      </c>
      <c r="AM345" s="16">
        <v>0.0</v>
      </c>
      <c r="AN345" s="16">
        <v>0.0</v>
      </c>
      <c r="AO345" s="16">
        <v>0.0</v>
      </c>
      <c r="AP345" s="16">
        <v>0.0</v>
      </c>
      <c r="AQ345" s="16">
        <v>0.0</v>
      </c>
      <c r="AR345" s="16">
        <v>0.0</v>
      </c>
      <c r="AS345" s="7">
        <v>11117.23</v>
      </c>
      <c r="AT345" s="7">
        <v>0.0</v>
      </c>
      <c r="AU345" s="7">
        <v>4853.28</v>
      </c>
      <c r="AV345" s="7">
        <v>2353.02</v>
      </c>
      <c r="AW345" s="7">
        <v>20755.11</v>
      </c>
      <c r="AX345" s="7">
        <f>855.68-AT345</f>
        <v>855.68</v>
      </c>
      <c r="AY345" s="7">
        <f t="shared" si="686"/>
        <v>39934.32</v>
      </c>
      <c r="AZ345" s="9">
        <v>0.0</v>
      </c>
      <c r="BA345" s="9">
        <v>0.0</v>
      </c>
      <c r="BB345" s="84">
        <v>0.0</v>
      </c>
      <c r="BC345" s="84">
        <v>0.0</v>
      </c>
    </row>
    <row r="346">
      <c r="A346" s="11">
        <v>2025.0</v>
      </c>
      <c r="B346" s="11" t="s">
        <v>119</v>
      </c>
      <c r="C346" s="12">
        <v>45713.0</v>
      </c>
      <c r="D346" s="44">
        <v>7.0</v>
      </c>
      <c r="E346" s="26">
        <v>557296.64</v>
      </c>
      <c r="F346" s="26">
        <v>29912.83</v>
      </c>
      <c r="G346" s="26">
        <v>3521.43</v>
      </c>
      <c r="H346" s="26">
        <v>966.0</v>
      </c>
      <c r="I346" s="66">
        <v>1691.33</v>
      </c>
      <c r="J346" s="26">
        <v>1460.12</v>
      </c>
      <c r="K346" s="26">
        <v>17647.7</v>
      </c>
      <c r="L346" s="26">
        <v>9977.01</v>
      </c>
      <c r="M346" s="15">
        <v>4.0</v>
      </c>
      <c r="N346" s="16">
        <v>470683.59</v>
      </c>
      <c r="O346" s="16">
        <f t="shared" si="674"/>
        <v>18827.3436</v>
      </c>
      <c r="P346" s="16">
        <f t="shared" si="675"/>
        <v>7907.484312</v>
      </c>
      <c r="Q346" s="16">
        <f t="shared" si="676"/>
        <v>3408</v>
      </c>
      <c r="R346" s="16">
        <f t="shared" si="677"/>
        <v>956.76</v>
      </c>
      <c r="S346" s="17">
        <f t="shared" si="678"/>
        <v>1573.68</v>
      </c>
      <c r="T346" s="17">
        <f t="shared" si="679"/>
        <v>552</v>
      </c>
      <c r="U346" s="7">
        <v>1041.26</v>
      </c>
      <c r="V346" s="18">
        <f t="shared" si="680"/>
        <v>7907.484312</v>
      </c>
      <c r="W346" s="68">
        <f t="shared" si="681"/>
        <v>2648.09</v>
      </c>
      <c r="X346" s="69">
        <f t="shared" si="682"/>
        <v>1460.12</v>
      </c>
      <c r="Y346" s="7">
        <f t="shared" si="683"/>
        <v>18827.3436</v>
      </c>
      <c r="Z346" s="7">
        <f t="shared" si="684"/>
        <v>3408</v>
      </c>
      <c r="AA346" s="18">
        <f t="shared" si="685"/>
        <v>35292.29791</v>
      </c>
      <c r="AB346" s="56">
        <v>3.0</v>
      </c>
      <c r="AC346" s="24">
        <v>289221.9</v>
      </c>
      <c r="AD346" s="24">
        <v>16561.79</v>
      </c>
      <c r="AE346" s="24">
        <v>1967.28</v>
      </c>
      <c r="AF346" s="24">
        <v>414.0</v>
      </c>
      <c r="AG346" s="24">
        <v>436.03</v>
      </c>
      <c r="AH346" s="24">
        <v>0.0</v>
      </c>
      <c r="AI346" s="24">
        <v>8885.55</v>
      </c>
      <c r="AJ346" s="24">
        <v>4858.93</v>
      </c>
      <c r="AK346" s="15">
        <v>2.0</v>
      </c>
      <c r="AL346" s="16">
        <v>114821.06</v>
      </c>
      <c r="AM346" s="16">
        <v>4343.0</v>
      </c>
      <c r="AN346" s="16">
        <v>1933.0</v>
      </c>
      <c r="AO346" s="16">
        <v>1850.0</v>
      </c>
      <c r="AP346" s="16">
        <v>848.37</v>
      </c>
      <c r="AQ346" s="16">
        <v>490.0</v>
      </c>
      <c r="AR346" s="16">
        <v>0.0</v>
      </c>
      <c r="AS346" s="7">
        <v>3960.71</v>
      </c>
      <c r="AT346" s="7">
        <v>1933.0</v>
      </c>
      <c r="AU346" s="7">
        <v>2574.23</v>
      </c>
      <c r="AV346" s="7">
        <v>2884.8</v>
      </c>
      <c r="AW346" s="7">
        <v>4343.0</v>
      </c>
      <c r="AX346" s="7">
        <f>4689.96-AT346</f>
        <v>2756.96</v>
      </c>
      <c r="AY346" s="7">
        <f t="shared" si="686"/>
        <v>18452.7</v>
      </c>
      <c r="AZ346" s="9">
        <v>2.0</v>
      </c>
      <c r="BA346" s="9">
        <v>2.0</v>
      </c>
      <c r="BB346" s="84">
        <v>0.0</v>
      </c>
      <c r="BC346" s="84">
        <v>3.0</v>
      </c>
    </row>
    <row r="347">
      <c r="A347" s="11">
        <v>2025.0</v>
      </c>
      <c r="B347" s="11" t="s">
        <v>119</v>
      </c>
      <c r="C347" s="12">
        <v>45714.0</v>
      </c>
      <c r="D347" s="44">
        <v>8.0</v>
      </c>
      <c r="E347" s="26">
        <v>327660.48</v>
      </c>
      <c r="F347" s="26">
        <v>20566.57</v>
      </c>
      <c r="G347" s="26">
        <v>2610.24</v>
      </c>
      <c r="H347" s="26">
        <v>1104.0</v>
      </c>
      <c r="I347" s="66">
        <v>1974.59</v>
      </c>
      <c r="J347" s="26">
        <v>7863.65</v>
      </c>
      <c r="K347" s="26">
        <v>26327.13</v>
      </c>
      <c r="L347" s="26">
        <v>6329.28</v>
      </c>
      <c r="M347" s="15">
        <v>5.0</v>
      </c>
      <c r="N347" s="16">
        <v>790140.32</v>
      </c>
      <c r="O347" s="16">
        <f t="shared" si="674"/>
        <v>31605.6128</v>
      </c>
      <c r="P347" s="16">
        <f t="shared" si="675"/>
        <v>13274.35738</v>
      </c>
      <c r="Q347" s="16">
        <f t="shared" si="676"/>
        <v>4260</v>
      </c>
      <c r="R347" s="16">
        <f t="shared" si="677"/>
        <v>1195.95</v>
      </c>
      <c r="S347" s="17">
        <f t="shared" si="678"/>
        <v>1967.1</v>
      </c>
      <c r="T347" s="17">
        <f t="shared" si="679"/>
        <v>690</v>
      </c>
      <c r="U347" s="7">
        <v>404.45</v>
      </c>
      <c r="V347" s="18">
        <f t="shared" si="680"/>
        <v>13274.35738</v>
      </c>
      <c r="W347" s="68">
        <f t="shared" si="681"/>
        <v>3170.54</v>
      </c>
      <c r="X347" s="69">
        <f t="shared" si="682"/>
        <v>7863.65</v>
      </c>
      <c r="Y347" s="7">
        <f t="shared" si="683"/>
        <v>31605.6128</v>
      </c>
      <c r="Z347" s="7">
        <f t="shared" si="684"/>
        <v>4260</v>
      </c>
      <c r="AA347" s="18">
        <f t="shared" si="685"/>
        <v>60578.61018</v>
      </c>
      <c r="AB347" s="56">
        <v>2.0</v>
      </c>
      <c r="AC347" s="24">
        <v>93738.25</v>
      </c>
      <c r="AD347" s="24">
        <v>4937.18</v>
      </c>
      <c r="AE347" s="24">
        <v>697.54</v>
      </c>
      <c r="AF347" s="24">
        <v>276.0</v>
      </c>
      <c r="AG347" s="24">
        <v>284.78</v>
      </c>
      <c r="AH347" s="24">
        <v>0.0</v>
      </c>
      <c r="AI347" s="24">
        <v>2104.06</v>
      </c>
      <c r="AJ347" s="24">
        <v>1574.8</v>
      </c>
      <c r="AK347" s="15">
        <v>0.0</v>
      </c>
      <c r="AL347" s="16">
        <v>0.0</v>
      </c>
      <c r="AM347" s="16">
        <v>0.0</v>
      </c>
      <c r="AN347" s="16">
        <v>0.0</v>
      </c>
      <c r="AO347" s="16">
        <v>0.0</v>
      </c>
      <c r="AP347" s="16">
        <v>0.0</v>
      </c>
      <c r="AQ347" s="16">
        <v>0.0</v>
      </c>
      <c r="AR347" s="16">
        <v>0.0</v>
      </c>
      <c r="AS347" s="7">
        <v>16588.16</v>
      </c>
      <c r="AT347" s="7">
        <v>0.0</v>
      </c>
      <c r="AU347" s="7">
        <v>7214.02</v>
      </c>
      <c r="AV347" s="7">
        <v>1214.18</v>
      </c>
      <c r="AW347" s="7">
        <v>0.0</v>
      </c>
      <c r="AX347" s="7">
        <f>21.26-AT347</f>
        <v>21.26</v>
      </c>
      <c r="AY347" s="7">
        <f t="shared" si="686"/>
        <v>25037.62</v>
      </c>
      <c r="AZ347" s="9">
        <v>2.0</v>
      </c>
      <c r="BA347" s="9">
        <v>1.0</v>
      </c>
      <c r="BB347" s="84">
        <v>4.0</v>
      </c>
      <c r="BC347" s="84">
        <v>2.0</v>
      </c>
    </row>
    <row r="348">
      <c r="A348" s="11">
        <v>2025.0</v>
      </c>
      <c r="B348" s="11" t="s">
        <v>119</v>
      </c>
      <c r="C348" s="12">
        <v>45715.0</v>
      </c>
      <c r="D348" s="44">
        <v>5.0</v>
      </c>
      <c r="E348" s="26">
        <v>316510.78</v>
      </c>
      <c r="F348" s="26">
        <v>15988.75</v>
      </c>
      <c r="G348" s="26">
        <v>1683.8</v>
      </c>
      <c r="H348" s="26">
        <v>690.0</v>
      </c>
      <c r="I348" s="66">
        <v>1073.41</v>
      </c>
      <c r="J348" s="26">
        <v>2318.88</v>
      </c>
      <c r="K348" s="26">
        <v>11855.98</v>
      </c>
      <c r="L348" s="26">
        <v>5317.38</v>
      </c>
      <c r="M348" s="15">
        <v>5.0</v>
      </c>
      <c r="N348" s="16">
        <v>520220.31</v>
      </c>
      <c r="O348" s="16">
        <f t="shared" si="674"/>
        <v>20808.8124</v>
      </c>
      <c r="P348" s="16">
        <f t="shared" si="675"/>
        <v>8739.701208</v>
      </c>
      <c r="Q348" s="16">
        <f t="shared" si="676"/>
        <v>4260</v>
      </c>
      <c r="R348" s="16">
        <f t="shared" si="677"/>
        <v>1195.95</v>
      </c>
      <c r="S348" s="17">
        <f t="shared" si="678"/>
        <v>1967.1</v>
      </c>
      <c r="T348" s="17">
        <f t="shared" si="679"/>
        <v>690</v>
      </c>
      <c r="U348" s="7">
        <v>3726.26</v>
      </c>
      <c r="V348" s="18">
        <f t="shared" si="680"/>
        <v>8739.701208</v>
      </c>
      <c r="W348" s="68">
        <f t="shared" si="681"/>
        <v>2269.36</v>
      </c>
      <c r="X348" s="69">
        <f t="shared" si="682"/>
        <v>2318.88</v>
      </c>
      <c r="Y348" s="7">
        <f t="shared" si="683"/>
        <v>20808.8124</v>
      </c>
      <c r="Z348" s="7">
        <f t="shared" si="684"/>
        <v>4260</v>
      </c>
      <c r="AA348" s="18">
        <f t="shared" si="685"/>
        <v>42123.01361</v>
      </c>
      <c r="AB348" s="56">
        <v>4.0</v>
      </c>
      <c r="AC348" s="24">
        <v>211079.62</v>
      </c>
      <c r="AD348" s="24">
        <v>11356.93</v>
      </c>
      <c r="AE348" s="24">
        <v>1525.25</v>
      </c>
      <c r="AF348" s="24">
        <v>552.0</v>
      </c>
      <c r="AG348" s="24">
        <v>647.89</v>
      </c>
      <c r="AH348" s="24">
        <v>0.0</v>
      </c>
      <c r="AI348" s="24">
        <v>5085.65</v>
      </c>
      <c r="AJ348" s="24">
        <v>3546.14</v>
      </c>
      <c r="AK348" s="15">
        <v>0.0</v>
      </c>
      <c r="AL348" s="16">
        <v>0.0</v>
      </c>
      <c r="AM348" s="16">
        <v>0.0</v>
      </c>
      <c r="AN348" s="16">
        <v>0.0</v>
      </c>
      <c r="AO348" s="16">
        <v>0.0</v>
      </c>
      <c r="AP348" s="16">
        <v>0.0</v>
      </c>
      <c r="AQ348" s="16">
        <v>0.0</v>
      </c>
      <c r="AR348" s="16">
        <v>0.0</v>
      </c>
      <c r="AS348" s="7">
        <v>16920.78</v>
      </c>
      <c r="AT348" s="7">
        <v>0.0</v>
      </c>
      <c r="AU348" s="7">
        <v>9963.49</v>
      </c>
      <c r="AV348" s="7">
        <v>0.0</v>
      </c>
      <c r="AW348" s="7">
        <v>0.0</v>
      </c>
      <c r="AX348" s="7">
        <f>407.97-AT348</f>
        <v>407.97</v>
      </c>
      <c r="AY348" s="7">
        <f t="shared" si="686"/>
        <v>27292.24</v>
      </c>
      <c r="AZ348" s="9">
        <v>3.0</v>
      </c>
      <c r="BA348" s="9">
        <v>2.0</v>
      </c>
      <c r="BB348" s="84">
        <v>0.0</v>
      </c>
      <c r="BC348" s="84">
        <v>0.0</v>
      </c>
    </row>
    <row r="349">
      <c r="A349" s="11">
        <v>2025.0</v>
      </c>
      <c r="B349" s="11" t="s">
        <v>119</v>
      </c>
      <c r="C349" s="12">
        <v>45716.0</v>
      </c>
      <c r="D349" s="44">
        <v>368.0</v>
      </c>
      <c r="E349" s="26">
        <v>2.680032991E7</v>
      </c>
      <c r="F349" s="26">
        <v>1078718.36</v>
      </c>
      <c r="G349" s="26">
        <v>122558.79</v>
      </c>
      <c r="H349" s="26">
        <v>24150.0</v>
      </c>
      <c r="I349" s="66">
        <v>121995.99</v>
      </c>
      <c r="J349" s="26">
        <v>139120.33</v>
      </c>
      <c r="K349" s="26">
        <v>73787.86</v>
      </c>
      <c r="L349" s="26">
        <v>853101.46</v>
      </c>
      <c r="M349" s="15">
        <v>7.0</v>
      </c>
      <c r="N349" s="16">
        <v>754096.88</v>
      </c>
      <c r="O349" s="16">
        <f t="shared" si="674"/>
        <v>30163.8752</v>
      </c>
      <c r="P349" s="16">
        <f t="shared" si="675"/>
        <v>12668.82758</v>
      </c>
      <c r="Q349" s="16">
        <f t="shared" si="676"/>
        <v>5964</v>
      </c>
      <c r="R349" s="16">
        <f t="shared" si="677"/>
        <v>1674.33</v>
      </c>
      <c r="S349" s="17">
        <f t="shared" si="678"/>
        <v>2753.94</v>
      </c>
      <c r="T349" s="17">
        <f t="shared" si="679"/>
        <v>966</v>
      </c>
      <c r="U349" s="7">
        <f>6219.88+20759.16+1311.75</f>
        <v>28290.79</v>
      </c>
      <c r="V349" s="18">
        <f t="shared" si="680"/>
        <v>12668.82758</v>
      </c>
      <c r="W349" s="68">
        <f t="shared" si="681"/>
        <v>123670.32</v>
      </c>
      <c r="X349" s="69">
        <f t="shared" si="682"/>
        <v>139120.33</v>
      </c>
      <c r="Y349" s="7">
        <f t="shared" si="683"/>
        <v>30163.8752</v>
      </c>
      <c r="Z349" s="7">
        <f t="shared" si="684"/>
        <v>5964</v>
      </c>
      <c r="AA349" s="18">
        <f t="shared" si="685"/>
        <v>339878.1428</v>
      </c>
      <c r="AB349" s="56">
        <v>222.0</v>
      </c>
      <c r="AC349" s="24">
        <v>2325294.06</v>
      </c>
      <c r="AD349" s="24">
        <v>660036.81</v>
      </c>
      <c r="AE349" s="24">
        <v>80859.6</v>
      </c>
      <c r="AF349" s="24">
        <v>14352.0</v>
      </c>
      <c r="AG349" s="24">
        <v>71580.9</v>
      </c>
      <c r="AH349" s="24">
        <v>0.0</v>
      </c>
      <c r="AI349" s="24">
        <v>216801.55</v>
      </c>
      <c r="AJ349" s="24">
        <v>676172.3</v>
      </c>
      <c r="AK349" s="15">
        <v>11.0</v>
      </c>
      <c r="AL349" s="16">
        <v>1117459.17</v>
      </c>
      <c r="AM349" s="16">
        <v>42459.0</v>
      </c>
      <c r="AN349" s="16">
        <v>20334.0</v>
      </c>
      <c r="AO349" s="16">
        <v>9250.0</v>
      </c>
      <c r="AP349" s="16">
        <v>5322.37</v>
      </c>
      <c r="AQ349" s="16">
        <v>4830.49</v>
      </c>
      <c r="AR349" s="16">
        <v>0.0</v>
      </c>
      <c r="AS349" s="7">
        <v>32199.91</v>
      </c>
      <c r="AT349" s="7">
        <f>16015.6+4319</f>
        <v>20334.6</v>
      </c>
      <c r="AU349" s="7">
        <v>10883.17</v>
      </c>
      <c r="AV349" s="7">
        <v>2041.85</v>
      </c>
      <c r="AW349" s="7">
        <v>32756.0</v>
      </c>
      <c r="AX349" s="7">
        <f>26148.16-AT349</f>
        <v>5813.56</v>
      </c>
      <c r="AY349" s="7">
        <f t="shared" si="686"/>
        <v>104029.09</v>
      </c>
      <c r="AZ349" s="9">
        <v>0.0</v>
      </c>
      <c r="BA349" s="9">
        <v>1.0</v>
      </c>
      <c r="BB349" s="84">
        <v>0.0</v>
      </c>
      <c r="BC349" s="84">
        <v>0.0</v>
      </c>
    </row>
    <row r="350">
      <c r="A350" s="11">
        <v>2025.0</v>
      </c>
      <c r="B350" s="11" t="s">
        <v>119</v>
      </c>
      <c r="C350" s="1"/>
      <c r="D350" s="2">
        <v>92.0</v>
      </c>
      <c r="E350" s="2"/>
      <c r="F350" s="59" t="s">
        <v>123</v>
      </c>
      <c r="G350" s="2"/>
      <c r="H350" s="33"/>
      <c r="I350" s="33"/>
      <c r="J350" s="33"/>
      <c r="K350" s="33"/>
      <c r="L350" s="33"/>
      <c r="M350" s="4">
        <v>7.0</v>
      </c>
      <c r="N350" s="4">
        <v>714000.0</v>
      </c>
      <c r="O350" s="35"/>
      <c r="P350" s="35"/>
      <c r="Q350" s="35"/>
      <c r="R350" s="35"/>
      <c r="S350" s="35"/>
      <c r="T350" s="35"/>
      <c r="U350" s="37"/>
      <c r="V350" s="48"/>
      <c r="W350" s="48"/>
      <c r="X350" s="37"/>
      <c r="Y350" s="48"/>
      <c r="Z350" s="48"/>
      <c r="AA350" s="48"/>
      <c r="AB350" s="2"/>
      <c r="AC350" s="33"/>
      <c r="AD350" s="2"/>
      <c r="AE350" s="33"/>
      <c r="AF350" s="33"/>
      <c r="AG350" s="33"/>
      <c r="AH350" s="33"/>
      <c r="AI350" s="33"/>
      <c r="AJ350" s="33"/>
      <c r="AK350" s="4">
        <v>0.0</v>
      </c>
      <c r="AL350" s="4">
        <v>0.0</v>
      </c>
      <c r="AM350" s="35"/>
      <c r="AN350" s="35"/>
      <c r="AO350" s="35"/>
      <c r="AP350" s="35"/>
      <c r="AQ350" s="35"/>
      <c r="AR350" s="35"/>
      <c r="AS350" s="37"/>
      <c r="AT350" s="48"/>
      <c r="AU350" s="48"/>
      <c r="AV350" s="48"/>
      <c r="AW350" s="48"/>
      <c r="AX350" s="48"/>
      <c r="AY350" s="48"/>
      <c r="AZ350" s="38"/>
      <c r="BA350" s="39"/>
      <c r="BB350" s="85"/>
      <c r="BC350" s="85"/>
    </row>
    <row r="351">
      <c r="A351" s="1">
        <v>2025.0</v>
      </c>
      <c r="B351" s="1" t="s">
        <v>119</v>
      </c>
      <c r="C351" s="1" t="s">
        <v>49</v>
      </c>
      <c r="D351" s="33">
        <f t="shared" ref="D351:F351" si="687">SUM(D343:D349)</f>
        <v>422</v>
      </c>
      <c r="E351" s="34">
        <f t="shared" si="687"/>
        <v>29819921.87</v>
      </c>
      <c r="F351" s="34">
        <f t="shared" si="687"/>
        <v>1239775.98</v>
      </c>
      <c r="G351" s="34">
        <f>SUM(G343:G350)</f>
        <v>140998.2</v>
      </c>
      <c r="H351" s="34">
        <f t="shared" ref="H351:L351" si="688">SUM(H343:H349)</f>
        <v>31464</v>
      </c>
      <c r="I351" s="55">
        <f t="shared" si="688"/>
        <v>133528.13</v>
      </c>
      <c r="J351" s="34">
        <f t="shared" si="688"/>
        <v>155832.81</v>
      </c>
      <c r="K351" s="34">
        <f t="shared" si="688"/>
        <v>176837.15</v>
      </c>
      <c r="L351" s="34">
        <f t="shared" si="688"/>
        <v>906408.46</v>
      </c>
      <c r="M351" s="35">
        <f t="shared" ref="M351:N351" si="689">SUM(M343:M350)</f>
        <v>30</v>
      </c>
      <c r="N351" s="36">
        <f t="shared" si="689"/>
        <v>3596702.28</v>
      </c>
      <c r="O351" s="36">
        <f t="shared" ref="O351:AJ351" si="690">SUM(O343:O349)</f>
        <v>115308.0912</v>
      </c>
      <c r="P351" s="36">
        <f t="shared" si="690"/>
        <v>48429.3983</v>
      </c>
      <c r="Q351" s="36">
        <f t="shared" si="690"/>
        <v>19596</v>
      </c>
      <c r="R351" s="70">
        <f t="shared" si="690"/>
        <v>5501.37</v>
      </c>
      <c r="S351" s="36">
        <f t="shared" si="690"/>
        <v>9048.66</v>
      </c>
      <c r="T351" s="36">
        <f t="shared" si="690"/>
        <v>3174</v>
      </c>
      <c r="U351" s="37">
        <f t="shared" si="690"/>
        <v>41254.46</v>
      </c>
      <c r="V351" s="37">
        <f t="shared" si="690"/>
        <v>48429.3983</v>
      </c>
      <c r="W351" s="71">
        <f t="shared" si="690"/>
        <v>139029.5</v>
      </c>
      <c r="X351" s="37">
        <f t="shared" si="690"/>
        <v>155832.81</v>
      </c>
      <c r="Y351" s="37">
        <f t="shared" si="690"/>
        <v>115308.0912</v>
      </c>
      <c r="Z351" s="37">
        <f t="shared" si="690"/>
        <v>19596</v>
      </c>
      <c r="AA351" s="37">
        <f t="shared" si="690"/>
        <v>519450.2595</v>
      </c>
      <c r="AB351" s="33">
        <f t="shared" si="690"/>
        <v>251</v>
      </c>
      <c r="AC351" s="34">
        <f t="shared" si="690"/>
        <v>4061041.2</v>
      </c>
      <c r="AD351" s="34">
        <f t="shared" si="690"/>
        <v>752211.69</v>
      </c>
      <c r="AE351" s="34">
        <f t="shared" si="690"/>
        <v>92089.32</v>
      </c>
      <c r="AF351" s="34">
        <f t="shared" si="690"/>
        <v>18216</v>
      </c>
      <c r="AG351" s="34">
        <f t="shared" si="690"/>
        <v>76205.18</v>
      </c>
      <c r="AH351" s="34">
        <f t="shared" si="690"/>
        <v>0</v>
      </c>
      <c r="AI351" s="34">
        <f t="shared" si="690"/>
        <v>260027.68</v>
      </c>
      <c r="AJ351" s="34">
        <f t="shared" si="690"/>
        <v>705403.05</v>
      </c>
      <c r="AK351" s="35">
        <f t="shared" ref="AK351:AL351" si="691">SUM(AK343:AK350)</f>
        <v>13</v>
      </c>
      <c r="AL351" s="36">
        <f t="shared" si="691"/>
        <v>1232280.23</v>
      </c>
      <c r="AM351" s="36">
        <f t="shared" ref="AM351:BC351" si="692">SUM(AM343:AM349)</f>
        <v>46802</v>
      </c>
      <c r="AN351" s="36">
        <f t="shared" si="692"/>
        <v>22267</v>
      </c>
      <c r="AO351" s="36">
        <f t="shared" si="692"/>
        <v>11100</v>
      </c>
      <c r="AP351" s="36">
        <f t="shared" si="692"/>
        <v>6170.74</v>
      </c>
      <c r="AQ351" s="36">
        <f t="shared" si="692"/>
        <v>5320.49</v>
      </c>
      <c r="AR351" s="36">
        <f t="shared" si="692"/>
        <v>0</v>
      </c>
      <c r="AS351" s="37">
        <f t="shared" si="692"/>
        <v>80786.79</v>
      </c>
      <c r="AT351" s="37">
        <f t="shared" si="692"/>
        <v>22267.6</v>
      </c>
      <c r="AU351" s="37">
        <f t="shared" si="692"/>
        <v>35488.19</v>
      </c>
      <c r="AV351" s="37">
        <f t="shared" si="692"/>
        <v>8493.85</v>
      </c>
      <c r="AW351" s="37">
        <f t="shared" si="692"/>
        <v>57854.11</v>
      </c>
      <c r="AX351" s="37">
        <f t="shared" si="692"/>
        <v>9855.43</v>
      </c>
      <c r="AY351" s="37">
        <f t="shared" si="692"/>
        <v>214745.97</v>
      </c>
      <c r="AZ351" s="38">
        <f t="shared" si="692"/>
        <v>7</v>
      </c>
      <c r="BA351" s="39">
        <f t="shared" si="692"/>
        <v>6</v>
      </c>
      <c r="BB351" s="85">
        <f t="shared" si="692"/>
        <v>4</v>
      </c>
      <c r="BC351" s="85">
        <f t="shared" si="692"/>
        <v>5</v>
      </c>
    </row>
    <row r="352">
      <c r="A352" s="11">
        <v>2025.0</v>
      </c>
      <c r="B352" s="11" t="s">
        <v>124</v>
      </c>
      <c r="C352" s="12">
        <v>45717.0</v>
      </c>
      <c r="D352" s="44">
        <v>12.0</v>
      </c>
      <c r="E352" s="26">
        <v>481127.79</v>
      </c>
      <c r="F352" s="26">
        <v>29903.69</v>
      </c>
      <c r="G352" s="26">
        <v>3697.4</v>
      </c>
      <c r="H352" s="26">
        <v>1656.0</v>
      </c>
      <c r="I352" s="66">
        <v>2161.88</v>
      </c>
      <c r="J352" s="26">
        <v>703.34</v>
      </c>
      <c r="K352" s="26">
        <v>14305.46</v>
      </c>
      <c r="L352" s="26">
        <v>8082.95</v>
      </c>
      <c r="M352" s="15">
        <v>0.0</v>
      </c>
      <c r="N352" s="16">
        <v>0.0</v>
      </c>
      <c r="O352" s="16">
        <f t="shared" ref="O352:O358" si="693">N352*4%</f>
        <v>0</v>
      </c>
      <c r="P352" s="16">
        <f t="shared" ref="P352:P358" si="694">N352*1.68%</f>
        <v>0</v>
      </c>
      <c r="Q352" s="16">
        <f t="shared" ref="Q352:Q358" si="695">M352*(400+350+100+2)</f>
        <v>0</v>
      </c>
      <c r="R352" s="67">
        <f t="shared" ref="R352:R358" si="696">M352*239.19</f>
        <v>0</v>
      </c>
      <c r="S352" s="17">
        <f t="shared" ref="S352:S358" si="697">M352*393.42</f>
        <v>0</v>
      </c>
      <c r="T352" s="17">
        <f t="shared" ref="T352:T358" si="698">M352*138</f>
        <v>0</v>
      </c>
      <c r="U352" s="7">
        <v>3007.49</v>
      </c>
      <c r="V352" s="18">
        <f t="shared" ref="V352:V358" si="699">P352</f>
        <v>0</v>
      </c>
      <c r="W352" s="68">
        <f t="shared" ref="W352:W358" si="700">I352+R352</f>
        <v>2161.88</v>
      </c>
      <c r="X352" s="69">
        <f t="shared" ref="X352:X358" si="701">J352</f>
        <v>703.34</v>
      </c>
      <c r="Y352" s="7">
        <f t="shared" ref="Y352:Y358" si="702">O352</f>
        <v>0</v>
      </c>
      <c r="Z352" s="7">
        <f t="shared" ref="Z352:Z358" si="703">Q352</f>
        <v>0</v>
      </c>
      <c r="AA352" s="18">
        <f t="shared" ref="AA352:AA358" si="704">SUM(U352:Z352)</f>
        <v>5872.71</v>
      </c>
      <c r="AB352" s="56">
        <v>7.0</v>
      </c>
      <c r="AC352" s="24">
        <v>368524.38</v>
      </c>
      <c r="AD352" s="24">
        <v>17875.82</v>
      </c>
      <c r="AE352" s="24">
        <v>2400.24</v>
      </c>
      <c r="AF352" s="24">
        <v>966.0</v>
      </c>
      <c r="AG352" s="24">
        <v>976.57</v>
      </c>
      <c r="AH352" s="24">
        <v>0.0</v>
      </c>
      <c r="AI352" s="24">
        <v>7341.8</v>
      </c>
      <c r="AJ352" s="24">
        <v>6191.21</v>
      </c>
      <c r="AK352" s="15">
        <v>0.0</v>
      </c>
      <c r="AL352" s="16">
        <v>0.0</v>
      </c>
      <c r="AM352" s="16">
        <v>0.0</v>
      </c>
      <c r="AN352" s="16">
        <v>0.0</v>
      </c>
      <c r="AO352" s="16">
        <v>0.0</v>
      </c>
      <c r="AP352" s="16">
        <v>0.0</v>
      </c>
      <c r="AQ352" s="16">
        <v>0.0</v>
      </c>
      <c r="AR352" s="16">
        <v>0.0</v>
      </c>
      <c r="AS352" s="7">
        <v>0.0</v>
      </c>
      <c r="AT352" s="7">
        <v>0.0</v>
      </c>
      <c r="AU352" s="7">
        <v>0.0</v>
      </c>
      <c r="AV352" s="7">
        <v>0.0</v>
      </c>
      <c r="AW352" s="7">
        <v>0.0</v>
      </c>
      <c r="AX352" s="7">
        <v>0.0</v>
      </c>
      <c r="AY352" s="7">
        <f t="shared" ref="AY352:AY358" si="705">SUM(AS352:AX352)</f>
        <v>0</v>
      </c>
      <c r="AZ352" s="9">
        <v>0.0</v>
      </c>
      <c r="BA352" s="9">
        <v>0.0</v>
      </c>
      <c r="BB352" s="84">
        <v>0.0</v>
      </c>
      <c r="BC352" s="84">
        <v>0.0</v>
      </c>
    </row>
    <row r="353">
      <c r="A353" s="11">
        <v>2025.0</v>
      </c>
      <c r="B353" s="11" t="s">
        <v>124</v>
      </c>
      <c r="C353" s="12">
        <v>45718.0</v>
      </c>
      <c r="D353" s="44">
        <v>7.0</v>
      </c>
      <c r="E353" s="26">
        <v>408041.93</v>
      </c>
      <c r="F353" s="26">
        <v>22372.44</v>
      </c>
      <c r="G353" s="26">
        <v>2078.54</v>
      </c>
      <c r="H353" s="26">
        <v>966.0</v>
      </c>
      <c r="I353" s="66">
        <v>1832.58</v>
      </c>
      <c r="J353" s="26">
        <v>8820.21</v>
      </c>
      <c r="K353" s="26">
        <v>45626.4</v>
      </c>
      <c r="L353" s="26">
        <v>7346.08</v>
      </c>
      <c r="M353" s="15">
        <v>0.0</v>
      </c>
      <c r="N353" s="16">
        <v>0.0</v>
      </c>
      <c r="O353" s="16">
        <f t="shared" si="693"/>
        <v>0</v>
      </c>
      <c r="P353" s="16">
        <f t="shared" si="694"/>
        <v>0</v>
      </c>
      <c r="Q353" s="16">
        <f t="shared" si="695"/>
        <v>0</v>
      </c>
      <c r="R353" s="16">
        <f t="shared" si="696"/>
        <v>0</v>
      </c>
      <c r="S353" s="17">
        <f t="shared" si="697"/>
        <v>0</v>
      </c>
      <c r="T353" s="17">
        <f t="shared" si="698"/>
        <v>0</v>
      </c>
      <c r="U353" s="7">
        <v>229.55</v>
      </c>
      <c r="V353" s="18">
        <f t="shared" si="699"/>
        <v>0</v>
      </c>
      <c r="W353" s="68">
        <f t="shared" si="700"/>
        <v>1832.58</v>
      </c>
      <c r="X353" s="69">
        <f t="shared" si="701"/>
        <v>8820.21</v>
      </c>
      <c r="Y353" s="7">
        <f t="shared" si="702"/>
        <v>0</v>
      </c>
      <c r="Z353" s="7">
        <f t="shared" si="703"/>
        <v>0</v>
      </c>
      <c r="AA353" s="18">
        <f t="shared" si="704"/>
        <v>10882.34</v>
      </c>
      <c r="AB353" s="56">
        <v>3.0</v>
      </c>
      <c r="AC353" s="24">
        <v>130947.66</v>
      </c>
      <c r="AD353" s="24">
        <v>6776.05</v>
      </c>
      <c r="AE353" s="24">
        <v>1056.82</v>
      </c>
      <c r="AF353" s="24">
        <v>414.0</v>
      </c>
      <c r="AG353" s="24">
        <v>617.58</v>
      </c>
      <c r="AH353" s="24">
        <v>0.0</v>
      </c>
      <c r="AI353" s="24">
        <v>1996.76</v>
      </c>
      <c r="AJ353" s="24">
        <v>2690.89</v>
      </c>
      <c r="AK353" s="15">
        <v>0.0</v>
      </c>
      <c r="AL353" s="16">
        <v>0.0</v>
      </c>
      <c r="AM353" s="16">
        <v>0.0</v>
      </c>
      <c r="AN353" s="16">
        <v>0.0</v>
      </c>
      <c r="AO353" s="16">
        <v>0.0</v>
      </c>
      <c r="AP353" s="16">
        <v>0.0</v>
      </c>
      <c r="AQ353" s="16">
        <v>0.0</v>
      </c>
      <c r="AR353" s="16">
        <v>0.0</v>
      </c>
      <c r="AS353" s="7">
        <v>0.0</v>
      </c>
      <c r="AT353" s="7">
        <v>0.0</v>
      </c>
      <c r="AU353" s="7">
        <v>0.0</v>
      </c>
      <c r="AV353" s="7">
        <v>0.0</v>
      </c>
      <c r="AW353" s="7">
        <v>0.0</v>
      </c>
      <c r="AX353" s="7">
        <v>0.0</v>
      </c>
      <c r="AY353" s="7">
        <f t="shared" si="705"/>
        <v>0</v>
      </c>
      <c r="AZ353" s="9">
        <v>0.0</v>
      </c>
      <c r="BA353" s="9">
        <v>0.0</v>
      </c>
      <c r="BB353" s="84">
        <v>0.0</v>
      </c>
      <c r="BC353" s="84">
        <v>0.0</v>
      </c>
    </row>
    <row r="354">
      <c r="A354" s="11">
        <v>2025.0</v>
      </c>
      <c r="B354" s="11" t="s">
        <v>124</v>
      </c>
      <c r="C354" s="12">
        <v>45719.0</v>
      </c>
      <c r="D354" s="44">
        <v>6.0</v>
      </c>
      <c r="E354" s="26">
        <v>447714.9</v>
      </c>
      <c r="F354" s="26">
        <v>15836.62</v>
      </c>
      <c r="G354" s="26">
        <v>999.36</v>
      </c>
      <c r="H354" s="26">
        <v>552.0</v>
      </c>
      <c r="I354" s="66">
        <v>921.8</v>
      </c>
      <c r="J354" s="26">
        <v>0.0</v>
      </c>
      <c r="K354" s="26">
        <v>16941.44</v>
      </c>
      <c r="L354" s="26">
        <v>7435.22</v>
      </c>
      <c r="M354" s="15">
        <v>0.0</v>
      </c>
      <c r="N354" s="16">
        <v>0.0</v>
      </c>
      <c r="O354" s="16">
        <f t="shared" si="693"/>
        <v>0</v>
      </c>
      <c r="P354" s="16">
        <f t="shared" si="694"/>
        <v>0</v>
      </c>
      <c r="Q354" s="16">
        <f t="shared" si="695"/>
        <v>0</v>
      </c>
      <c r="R354" s="16">
        <f t="shared" si="696"/>
        <v>0</v>
      </c>
      <c r="S354" s="17">
        <f t="shared" si="697"/>
        <v>0</v>
      </c>
      <c r="T354" s="17">
        <f t="shared" si="698"/>
        <v>0</v>
      </c>
      <c r="U354" s="7">
        <v>1708.46</v>
      </c>
      <c r="V354" s="18">
        <f t="shared" si="699"/>
        <v>0</v>
      </c>
      <c r="W354" s="68">
        <f t="shared" si="700"/>
        <v>921.8</v>
      </c>
      <c r="X354" s="69">
        <f t="shared" si="701"/>
        <v>0</v>
      </c>
      <c r="Y354" s="7">
        <f t="shared" si="702"/>
        <v>0</v>
      </c>
      <c r="Z354" s="7">
        <f t="shared" si="703"/>
        <v>0</v>
      </c>
      <c r="AA354" s="18">
        <f t="shared" si="704"/>
        <v>2630.26</v>
      </c>
      <c r="AB354" s="56">
        <v>3.0</v>
      </c>
      <c r="AC354" s="24">
        <v>132824.45</v>
      </c>
      <c r="AD354" s="24">
        <v>6168.52</v>
      </c>
      <c r="AE354" s="24">
        <v>899.88</v>
      </c>
      <c r="AF354" s="24">
        <v>414.0</v>
      </c>
      <c r="AG354" s="24">
        <v>473.42</v>
      </c>
      <c r="AH354" s="24">
        <v>0.0</v>
      </c>
      <c r="AI354" s="24">
        <v>2149.77</v>
      </c>
      <c r="AJ354" s="24">
        <v>2231.45</v>
      </c>
      <c r="AK354" s="15">
        <v>0.0</v>
      </c>
      <c r="AL354" s="16">
        <v>0.0</v>
      </c>
      <c r="AM354" s="16">
        <v>0.0</v>
      </c>
      <c r="AN354" s="16">
        <v>0.0</v>
      </c>
      <c r="AO354" s="16">
        <v>0.0</v>
      </c>
      <c r="AP354" s="16">
        <v>0.0</v>
      </c>
      <c r="AQ354" s="16">
        <v>0.0</v>
      </c>
      <c r="AR354" s="16">
        <v>0.0</v>
      </c>
      <c r="AS354" s="7">
        <v>2661.0</v>
      </c>
      <c r="AT354" s="7">
        <v>0.0</v>
      </c>
      <c r="AU354" s="7">
        <v>3835.0</v>
      </c>
      <c r="AV354" s="7">
        <v>0.0</v>
      </c>
      <c r="AW354" s="7">
        <v>0.0</v>
      </c>
      <c r="AX354" s="7">
        <v>0.0</v>
      </c>
      <c r="AY354" s="7">
        <f t="shared" si="705"/>
        <v>6496</v>
      </c>
      <c r="AZ354" s="9">
        <v>0.0</v>
      </c>
      <c r="BA354" s="9">
        <v>0.0</v>
      </c>
      <c r="BB354" s="84">
        <v>0.0</v>
      </c>
      <c r="BC354" s="84">
        <v>0.0</v>
      </c>
    </row>
    <row r="355">
      <c r="A355" s="11">
        <v>2025.0</v>
      </c>
      <c r="B355" s="11" t="s">
        <v>124</v>
      </c>
      <c r="C355" s="12">
        <v>45720.0</v>
      </c>
      <c r="D355" s="44">
        <v>10.0</v>
      </c>
      <c r="E355" s="26">
        <v>479671.67</v>
      </c>
      <c r="F355" s="26">
        <v>24939.95</v>
      </c>
      <c r="G355" s="26">
        <v>3112.0</v>
      </c>
      <c r="H355" s="26">
        <v>1242.0</v>
      </c>
      <c r="I355" s="66">
        <v>1897.78</v>
      </c>
      <c r="J355" s="26">
        <v>1105.88</v>
      </c>
      <c r="K355" s="26">
        <v>9347.39</v>
      </c>
      <c r="L355" s="26">
        <v>9340.72</v>
      </c>
      <c r="M355" s="15">
        <v>3.0</v>
      </c>
      <c r="N355" s="16">
        <v>206600.0</v>
      </c>
      <c r="O355" s="16">
        <f t="shared" si="693"/>
        <v>8264</v>
      </c>
      <c r="P355" s="16">
        <f t="shared" si="694"/>
        <v>3470.88</v>
      </c>
      <c r="Q355" s="16">
        <f t="shared" si="695"/>
        <v>2556</v>
      </c>
      <c r="R355" s="16">
        <f t="shared" si="696"/>
        <v>717.57</v>
      </c>
      <c r="S355" s="17">
        <f t="shared" si="697"/>
        <v>1180.26</v>
      </c>
      <c r="T355" s="17">
        <f t="shared" si="698"/>
        <v>414</v>
      </c>
      <c r="U355" s="7">
        <v>1938.19</v>
      </c>
      <c r="V355" s="18">
        <f t="shared" si="699"/>
        <v>3470.88</v>
      </c>
      <c r="W355" s="68">
        <f t="shared" si="700"/>
        <v>2615.35</v>
      </c>
      <c r="X355" s="69">
        <f t="shared" si="701"/>
        <v>1105.88</v>
      </c>
      <c r="Y355" s="7">
        <f t="shared" si="702"/>
        <v>8264</v>
      </c>
      <c r="Z355" s="7">
        <f t="shared" si="703"/>
        <v>2556</v>
      </c>
      <c r="AA355" s="18">
        <f t="shared" si="704"/>
        <v>19950.3</v>
      </c>
      <c r="AB355" s="56">
        <v>4.0</v>
      </c>
      <c r="AC355" s="24">
        <v>185547.32</v>
      </c>
      <c r="AD355" s="24">
        <v>9747.2</v>
      </c>
      <c r="AE355" s="24">
        <v>1567.46</v>
      </c>
      <c r="AF355" s="24">
        <v>552.0</v>
      </c>
      <c r="AG355" s="24">
        <v>430.99</v>
      </c>
      <c r="AH355" s="24">
        <v>0.0</v>
      </c>
      <c r="AI355" s="24">
        <v>4079.56</v>
      </c>
      <c r="AJ355" s="24">
        <v>3117.19</v>
      </c>
      <c r="AK355" s="15">
        <v>1.0</v>
      </c>
      <c r="AL355" s="16">
        <v>25800.0</v>
      </c>
      <c r="AM355" s="16">
        <v>1032.0</v>
      </c>
      <c r="AN355" s="16">
        <v>866.0</v>
      </c>
      <c r="AO355" s="16">
        <v>1000.0</v>
      </c>
      <c r="AP355" s="16">
        <v>399.73</v>
      </c>
      <c r="AQ355" s="16">
        <v>245.0</v>
      </c>
      <c r="AR355" s="16">
        <v>0.0</v>
      </c>
      <c r="AS355" s="7">
        <v>2884.0</v>
      </c>
      <c r="AT355" s="7">
        <v>0.0</v>
      </c>
      <c r="AU355" s="7">
        <v>2153.0</v>
      </c>
      <c r="AV355" s="7">
        <v>0.0</v>
      </c>
      <c r="AW355" s="7">
        <v>0.0</v>
      </c>
      <c r="AX355" s="7">
        <v>0.0</v>
      </c>
      <c r="AY355" s="7">
        <f t="shared" si="705"/>
        <v>5037</v>
      </c>
      <c r="AZ355" s="9">
        <v>0.0</v>
      </c>
      <c r="BA355" s="9">
        <v>2.0</v>
      </c>
      <c r="BB355" s="84">
        <v>0.0</v>
      </c>
      <c r="BC355" s="84">
        <v>0.0</v>
      </c>
    </row>
    <row r="356">
      <c r="A356" s="11">
        <v>2025.0</v>
      </c>
      <c r="B356" s="11" t="s">
        <v>124</v>
      </c>
      <c r="C356" s="12">
        <v>45721.0</v>
      </c>
      <c r="D356" s="44">
        <v>10.0</v>
      </c>
      <c r="E356" s="26">
        <v>568356.66</v>
      </c>
      <c r="F356" s="26">
        <v>27770.79</v>
      </c>
      <c r="G356" s="26">
        <v>3302.07</v>
      </c>
      <c r="H356" s="26">
        <v>1242.0</v>
      </c>
      <c r="I356" s="66">
        <v>1586.59</v>
      </c>
      <c r="J356" s="26">
        <v>338.48</v>
      </c>
      <c r="K356" s="26">
        <v>11744.35</v>
      </c>
      <c r="L356" s="26">
        <v>9548.39</v>
      </c>
      <c r="M356" s="15">
        <v>3.0</v>
      </c>
      <c r="N356" s="16">
        <v>551059.4</v>
      </c>
      <c r="O356" s="16">
        <f t="shared" si="693"/>
        <v>22042.376</v>
      </c>
      <c r="P356" s="16">
        <f t="shared" si="694"/>
        <v>9257.79792</v>
      </c>
      <c r="Q356" s="16">
        <f t="shared" si="695"/>
        <v>2556</v>
      </c>
      <c r="R356" s="16">
        <f t="shared" si="696"/>
        <v>717.57</v>
      </c>
      <c r="S356" s="17">
        <f t="shared" si="697"/>
        <v>1180.26</v>
      </c>
      <c r="T356" s="17">
        <f t="shared" si="698"/>
        <v>414</v>
      </c>
      <c r="U356" s="7">
        <v>1663.27</v>
      </c>
      <c r="V356" s="18">
        <f t="shared" si="699"/>
        <v>9257.79792</v>
      </c>
      <c r="W356" s="68">
        <f t="shared" si="700"/>
        <v>2304.16</v>
      </c>
      <c r="X356" s="69">
        <f t="shared" si="701"/>
        <v>338.48</v>
      </c>
      <c r="Y356" s="7">
        <f t="shared" si="702"/>
        <v>22042.376</v>
      </c>
      <c r="Z356" s="7">
        <f t="shared" si="703"/>
        <v>2556</v>
      </c>
      <c r="AA356" s="18">
        <f t="shared" si="704"/>
        <v>38162.08392</v>
      </c>
      <c r="AB356" s="56">
        <v>3.0</v>
      </c>
      <c r="AC356" s="24">
        <v>188112.77</v>
      </c>
      <c r="AD356" s="24">
        <v>10109.48</v>
      </c>
      <c r="AE356" s="24">
        <v>1297.65</v>
      </c>
      <c r="AF356" s="24">
        <v>276.0</v>
      </c>
      <c r="AG356" s="24">
        <v>665.41</v>
      </c>
      <c r="AH356" s="24">
        <v>0.0</v>
      </c>
      <c r="AI356" s="24">
        <v>4710.13</v>
      </c>
      <c r="AJ356" s="24">
        <v>3160.29</v>
      </c>
      <c r="AK356" s="15">
        <v>0.0</v>
      </c>
      <c r="AL356" s="16">
        <v>0.0</v>
      </c>
      <c r="AM356" s="16">
        <v>0.0</v>
      </c>
      <c r="AN356" s="16">
        <v>0.0</v>
      </c>
      <c r="AO356" s="16">
        <v>0.0</v>
      </c>
      <c r="AP356" s="16">
        <v>0.0</v>
      </c>
      <c r="AQ356" s="16">
        <v>0.0</v>
      </c>
      <c r="AR356" s="16">
        <v>0.0</v>
      </c>
      <c r="AS356" s="7">
        <v>2410.0</v>
      </c>
      <c r="AT356" s="7">
        <v>0.0</v>
      </c>
      <c r="AU356" s="7">
        <v>2211.0</v>
      </c>
      <c r="AV356" s="7">
        <v>0.0</v>
      </c>
      <c r="AW356" s="7">
        <v>0.0</v>
      </c>
      <c r="AX356" s="7">
        <v>0.0</v>
      </c>
      <c r="AY356" s="7">
        <f t="shared" si="705"/>
        <v>4621</v>
      </c>
      <c r="AZ356" s="9">
        <v>3.0</v>
      </c>
      <c r="BA356" s="9">
        <v>2.0</v>
      </c>
      <c r="BB356" s="84">
        <v>3.0</v>
      </c>
      <c r="BC356" s="84">
        <v>3.0</v>
      </c>
    </row>
    <row r="357">
      <c r="A357" s="11">
        <v>2025.0</v>
      </c>
      <c r="B357" s="11" t="s">
        <v>124</v>
      </c>
      <c r="C357" s="12">
        <v>45722.0</v>
      </c>
      <c r="D357" s="44">
        <v>10.0</v>
      </c>
      <c r="E357" s="26">
        <v>282330.76</v>
      </c>
      <c r="F357" s="26">
        <v>16387.1</v>
      </c>
      <c r="G357" s="26">
        <v>2342.2</v>
      </c>
      <c r="H357" s="26">
        <v>1242.0</v>
      </c>
      <c r="I357" s="66">
        <v>1055.72</v>
      </c>
      <c r="J357" s="26">
        <v>292.84</v>
      </c>
      <c r="K357" s="26">
        <v>7004.02</v>
      </c>
      <c r="L357" s="26">
        <v>4743.16</v>
      </c>
      <c r="M357" s="15">
        <v>3.0</v>
      </c>
      <c r="N357" s="16">
        <v>393000.0</v>
      </c>
      <c r="O357" s="16">
        <f t="shared" si="693"/>
        <v>15720</v>
      </c>
      <c r="P357" s="16">
        <f t="shared" si="694"/>
        <v>6602.4</v>
      </c>
      <c r="Q357" s="16">
        <f t="shared" si="695"/>
        <v>2556</v>
      </c>
      <c r="R357" s="16">
        <f t="shared" si="696"/>
        <v>717.57</v>
      </c>
      <c r="S357" s="17">
        <f t="shared" si="697"/>
        <v>1180.26</v>
      </c>
      <c r="T357" s="17">
        <f t="shared" si="698"/>
        <v>414</v>
      </c>
      <c r="U357" s="7">
        <v>2237.89</v>
      </c>
      <c r="V357" s="18">
        <f t="shared" si="699"/>
        <v>6602.4</v>
      </c>
      <c r="W357" s="68">
        <f t="shared" si="700"/>
        <v>1773.29</v>
      </c>
      <c r="X357" s="69">
        <f t="shared" si="701"/>
        <v>292.84</v>
      </c>
      <c r="Y357" s="7">
        <f t="shared" si="702"/>
        <v>15720</v>
      </c>
      <c r="Z357" s="7">
        <f t="shared" si="703"/>
        <v>2556</v>
      </c>
      <c r="AA357" s="18">
        <f t="shared" si="704"/>
        <v>29182.42</v>
      </c>
      <c r="AB357" s="56">
        <v>3.0</v>
      </c>
      <c r="AC357" s="24">
        <v>92859.61</v>
      </c>
      <c r="AD357" s="24">
        <v>4663.37</v>
      </c>
      <c r="AE357" s="24">
        <v>718.34</v>
      </c>
      <c r="AF357" s="24">
        <v>414.0</v>
      </c>
      <c r="AG357" s="24">
        <v>444.43</v>
      </c>
      <c r="AH357" s="24">
        <v>0.0</v>
      </c>
      <c r="AI357" s="24">
        <v>1526.56</v>
      </c>
      <c r="AJ357" s="24">
        <v>1560.04</v>
      </c>
      <c r="AK357" s="15">
        <v>0.0</v>
      </c>
      <c r="AL357" s="16">
        <v>0.0</v>
      </c>
      <c r="AM357" s="16">
        <v>0.0</v>
      </c>
      <c r="AN357" s="16">
        <v>0.0</v>
      </c>
      <c r="AO357" s="16">
        <v>0.0</v>
      </c>
      <c r="AP357" s="16">
        <v>0.0</v>
      </c>
      <c r="AQ357" s="16">
        <v>0.0</v>
      </c>
      <c r="AR357" s="16">
        <v>0.0</v>
      </c>
      <c r="AS357" s="7">
        <v>15326.52</v>
      </c>
      <c r="AT357" s="7">
        <v>866.88</v>
      </c>
      <c r="AU357" s="7">
        <v>2915.0</v>
      </c>
      <c r="AV357" s="7">
        <v>2673.88</v>
      </c>
      <c r="AW357" s="7">
        <v>1032.0</v>
      </c>
      <c r="AX357" s="7">
        <f>2278.05-AT357+14842.67</f>
        <v>16253.84</v>
      </c>
      <c r="AY357" s="7">
        <f t="shared" si="705"/>
        <v>39068.12</v>
      </c>
      <c r="AZ357" s="9">
        <v>0.0</v>
      </c>
      <c r="BA357" s="9">
        <v>1.0</v>
      </c>
      <c r="BB357" s="84">
        <v>0.0</v>
      </c>
      <c r="BC357" s="84">
        <v>1.0</v>
      </c>
    </row>
    <row r="358">
      <c r="A358" s="11">
        <v>2025.0</v>
      </c>
      <c r="B358" s="11" t="s">
        <v>124</v>
      </c>
      <c r="C358" s="12">
        <v>45723.0</v>
      </c>
      <c r="D358" s="44">
        <v>17.0</v>
      </c>
      <c r="E358" s="26">
        <v>703843.05</v>
      </c>
      <c r="F358" s="26">
        <v>39147.32</v>
      </c>
      <c r="G358" s="26">
        <v>5169.55</v>
      </c>
      <c r="H358" s="26">
        <v>2346.0</v>
      </c>
      <c r="I358" s="66">
        <v>3428.56</v>
      </c>
      <c r="J358" s="26">
        <v>2287.95</v>
      </c>
      <c r="K358" s="26">
        <v>13935.17</v>
      </c>
      <c r="L358" s="26">
        <v>14268.04</v>
      </c>
      <c r="M358" s="15">
        <v>4.0</v>
      </c>
      <c r="N358" s="16">
        <v>514553.63</v>
      </c>
      <c r="O358" s="16">
        <f t="shared" si="693"/>
        <v>20582.1452</v>
      </c>
      <c r="P358" s="16">
        <f t="shared" si="694"/>
        <v>8644.500984</v>
      </c>
      <c r="Q358" s="16">
        <f t="shared" si="695"/>
        <v>3408</v>
      </c>
      <c r="R358" s="16">
        <f t="shared" si="696"/>
        <v>956.76</v>
      </c>
      <c r="S358" s="17">
        <f t="shared" si="697"/>
        <v>1573.68</v>
      </c>
      <c r="T358" s="17">
        <f t="shared" si="698"/>
        <v>552</v>
      </c>
      <c r="U358" s="7">
        <v>3711.0</v>
      </c>
      <c r="V358" s="18">
        <f t="shared" si="699"/>
        <v>8644.500984</v>
      </c>
      <c r="W358" s="68">
        <f t="shared" si="700"/>
        <v>4385.32</v>
      </c>
      <c r="X358" s="69">
        <f t="shared" si="701"/>
        <v>2287.95</v>
      </c>
      <c r="Y358" s="7">
        <f t="shared" si="702"/>
        <v>20582.1452</v>
      </c>
      <c r="Z358" s="7">
        <f t="shared" si="703"/>
        <v>3408</v>
      </c>
      <c r="AA358" s="18">
        <f t="shared" si="704"/>
        <v>43018.91618</v>
      </c>
      <c r="AB358" s="56">
        <v>3.0</v>
      </c>
      <c r="AC358" s="24">
        <v>151178.23</v>
      </c>
      <c r="AD358" s="24">
        <v>7156.5</v>
      </c>
      <c r="AE358" s="24">
        <v>1067.93</v>
      </c>
      <c r="AF358" s="24">
        <v>414.0</v>
      </c>
      <c r="AG358" s="24">
        <v>341.7</v>
      </c>
      <c r="AH358" s="24">
        <v>0.0</v>
      </c>
      <c r="AI358" s="24">
        <v>2793.08</v>
      </c>
      <c r="AJ358" s="24">
        <v>2539.79</v>
      </c>
      <c r="AK358" s="15">
        <v>1.0</v>
      </c>
      <c r="AL358" s="16">
        <v>173989.59</v>
      </c>
      <c r="AM358" s="16">
        <v>6580.0</v>
      </c>
      <c r="AN358" s="16">
        <v>2928.0</v>
      </c>
      <c r="AO358" s="16">
        <v>650.0</v>
      </c>
      <c r="AP358" s="16">
        <v>484.07</v>
      </c>
      <c r="AQ358" s="16">
        <v>1052.52</v>
      </c>
      <c r="AR358" s="16">
        <v>0.0</v>
      </c>
      <c r="AS358" s="7">
        <v>23246.31</v>
      </c>
      <c r="AT358" s="7">
        <v>2928.0</v>
      </c>
      <c r="AU358" s="7">
        <v>8497.83</v>
      </c>
      <c r="AV358" s="7">
        <v>400.56</v>
      </c>
      <c r="AW358" s="7">
        <v>6580.0</v>
      </c>
      <c r="AX358" s="7">
        <f>4419.97-AT358+14290.46</f>
        <v>15782.43</v>
      </c>
      <c r="AY358" s="7">
        <f t="shared" si="705"/>
        <v>57435.13</v>
      </c>
      <c r="AZ358" s="9">
        <v>0.0</v>
      </c>
      <c r="BA358" s="9">
        <v>0.0</v>
      </c>
      <c r="BB358" s="84">
        <v>2.0</v>
      </c>
      <c r="BC358" s="84">
        <v>1.0</v>
      </c>
    </row>
    <row r="359">
      <c r="A359" s="11">
        <v>2025.0</v>
      </c>
      <c r="B359" s="11" t="s">
        <v>124</v>
      </c>
      <c r="C359" s="1"/>
      <c r="D359" s="2">
        <v>138.0</v>
      </c>
      <c r="E359" s="2"/>
      <c r="F359" s="59" t="s">
        <v>125</v>
      </c>
      <c r="G359" s="2"/>
      <c r="H359" s="33"/>
      <c r="I359" s="33"/>
      <c r="J359" s="33"/>
      <c r="K359" s="33"/>
      <c r="L359" s="33"/>
      <c r="M359" s="4">
        <v>11.0</v>
      </c>
      <c r="N359" s="4">
        <v>1164256.0</v>
      </c>
      <c r="O359" s="35"/>
      <c r="P359" s="35"/>
      <c r="Q359" s="35"/>
      <c r="R359" s="35"/>
      <c r="S359" s="35"/>
      <c r="T359" s="35"/>
      <c r="U359" s="37"/>
      <c r="V359" s="48"/>
      <c r="W359" s="48"/>
      <c r="X359" s="37"/>
      <c r="Y359" s="48"/>
      <c r="Z359" s="48"/>
      <c r="AA359" s="48"/>
      <c r="AB359" s="2"/>
      <c r="AC359" s="33"/>
      <c r="AD359" s="2"/>
      <c r="AE359" s="33"/>
      <c r="AF359" s="33"/>
      <c r="AG359" s="33"/>
      <c r="AH359" s="33"/>
      <c r="AI359" s="33"/>
      <c r="AJ359" s="33"/>
      <c r="AK359" s="4">
        <v>0.0</v>
      </c>
      <c r="AL359" s="4">
        <v>0.0</v>
      </c>
      <c r="AM359" s="35"/>
      <c r="AN359" s="35"/>
      <c r="AO359" s="35"/>
      <c r="AP359" s="35"/>
      <c r="AQ359" s="35"/>
      <c r="AR359" s="35"/>
      <c r="AS359" s="37"/>
      <c r="AT359" s="48"/>
      <c r="AU359" s="48"/>
      <c r="AV359" s="48"/>
      <c r="AW359" s="48"/>
      <c r="AX359" s="48"/>
      <c r="AY359" s="48"/>
      <c r="AZ359" s="38"/>
      <c r="BA359" s="39"/>
      <c r="BB359" s="85"/>
      <c r="BC359" s="85"/>
    </row>
    <row r="360">
      <c r="A360" s="1">
        <v>2025.0</v>
      </c>
      <c r="B360" s="11" t="s">
        <v>124</v>
      </c>
      <c r="C360" s="1" t="s">
        <v>49</v>
      </c>
      <c r="D360" s="33">
        <f t="shared" ref="D360:F360" si="706">SUM(D352:D358)</f>
        <v>72</v>
      </c>
      <c r="E360" s="34">
        <f t="shared" si="706"/>
        <v>3371086.76</v>
      </c>
      <c r="F360" s="34">
        <f t="shared" si="706"/>
        <v>176357.91</v>
      </c>
      <c r="G360" s="34">
        <f>SUM(G352:G359)</f>
        <v>20701.12</v>
      </c>
      <c r="H360" s="34">
        <f t="shared" ref="H360:L360" si="707">SUM(H352:H358)</f>
        <v>9246</v>
      </c>
      <c r="I360" s="55">
        <f t="shared" si="707"/>
        <v>12884.91</v>
      </c>
      <c r="J360" s="34">
        <f t="shared" si="707"/>
        <v>13548.7</v>
      </c>
      <c r="K360" s="34">
        <f t="shared" si="707"/>
        <v>118904.23</v>
      </c>
      <c r="L360" s="34">
        <f t="shared" si="707"/>
        <v>60764.56</v>
      </c>
      <c r="M360" s="35">
        <f t="shared" ref="M360:N360" si="708">SUM(M352:M359)</f>
        <v>24</v>
      </c>
      <c r="N360" s="36">
        <f t="shared" si="708"/>
        <v>2829469.03</v>
      </c>
      <c r="O360" s="36">
        <f t="shared" ref="O360:AJ360" si="709">SUM(O352:O358)</f>
        <v>66608.5212</v>
      </c>
      <c r="P360" s="36">
        <f t="shared" si="709"/>
        <v>27975.5789</v>
      </c>
      <c r="Q360" s="36">
        <f t="shared" si="709"/>
        <v>11076</v>
      </c>
      <c r="R360" s="70">
        <f t="shared" si="709"/>
        <v>3109.47</v>
      </c>
      <c r="S360" s="36">
        <f t="shared" si="709"/>
        <v>5114.46</v>
      </c>
      <c r="T360" s="36">
        <f t="shared" si="709"/>
        <v>1794</v>
      </c>
      <c r="U360" s="37">
        <f t="shared" si="709"/>
        <v>14495.85</v>
      </c>
      <c r="V360" s="37">
        <f t="shared" si="709"/>
        <v>27975.5789</v>
      </c>
      <c r="W360" s="71">
        <f t="shared" si="709"/>
        <v>15994.38</v>
      </c>
      <c r="X360" s="37">
        <f t="shared" si="709"/>
        <v>13548.7</v>
      </c>
      <c r="Y360" s="37">
        <f t="shared" si="709"/>
        <v>66608.5212</v>
      </c>
      <c r="Z360" s="37">
        <f t="shared" si="709"/>
        <v>11076</v>
      </c>
      <c r="AA360" s="37">
        <f t="shared" si="709"/>
        <v>149699.0301</v>
      </c>
      <c r="AB360" s="33">
        <f t="shared" si="709"/>
        <v>26</v>
      </c>
      <c r="AC360" s="34">
        <f t="shared" si="709"/>
        <v>1249994.42</v>
      </c>
      <c r="AD360" s="34">
        <f t="shared" si="709"/>
        <v>62496.94</v>
      </c>
      <c r="AE360" s="34">
        <f t="shared" si="709"/>
        <v>9008.32</v>
      </c>
      <c r="AF360" s="34">
        <f t="shared" si="709"/>
        <v>3450</v>
      </c>
      <c r="AG360" s="34">
        <f t="shared" si="709"/>
        <v>3950.1</v>
      </c>
      <c r="AH360" s="34">
        <f t="shared" si="709"/>
        <v>0</v>
      </c>
      <c r="AI360" s="34">
        <f t="shared" si="709"/>
        <v>24597.66</v>
      </c>
      <c r="AJ360" s="34">
        <f t="shared" si="709"/>
        <v>21490.86</v>
      </c>
      <c r="AK360" s="35">
        <f t="shared" ref="AK360:AL360" si="710">SUM(AK352:AK359)</f>
        <v>2</v>
      </c>
      <c r="AL360" s="36">
        <f t="shared" si="710"/>
        <v>199789.59</v>
      </c>
      <c r="AM360" s="36">
        <f t="shared" ref="AM360:BC360" si="711">SUM(AM352:AM358)</f>
        <v>7612</v>
      </c>
      <c r="AN360" s="36">
        <f t="shared" si="711"/>
        <v>3794</v>
      </c>
      <c r="AO360" s="36">
        <f t="shared" si="711"/>
        <v>1650</v>
      </c>
      <c r="AP360" s="36">
        <f t="shared" si="711"/>
        <v>883.8</v>
      </c>
      <c r="AQ360" s="36">
        <f t="shared" si="711"/>
        <v>1297.52</v>
      </c>
      <c r="AR360" s="36">
        <f t="shared" si="711"/>
        <v>0</v>
      </c>
      <c r="AS360" s="37">
        <f t="shared" si="711"/>
        <v>46527.83</v>
      </c>
      <c r="AT360" s="37">
        <f t="shared" si="711"/>
        <v>3794.88</v>
      </c>
      <c r="AU360" s="37">
        <f t="shared" si="711"/>
        <v>19611.83</v>
      </c>
      <c r="AV360" s="37">
        <f t="shared" si="711"/>
        <v>3074.44</v>
      </c>
      <c r="AW360" s="37">
        <f t="shared" si="711"/>
        <v>7612</v>
      </c>
      <c r="AX360" s="37">
        <f t="shared" si="711"/>
        <v>32036.27</v>
      </c>
      <c r="AY360" s="37">
        <f t="shared" si="711"/>
        <v>112657.25</v>
      </c>
      <c r="AZ360" s="38">
        <f t="shared" si="711"/>
        <v>3</v>
      </c>
      <c r="BA360" s="39">
        <f t="shared" si="711"/>
        <v>5</v>
      </c>
      <c r="BB360" s="85">
        <f t="shared" si="711"/>
        <v>5</v>
      </c>
      <c r="BC360" s="85">
        <f t="shared" si="711"/>
        <v>5</v>
      </c>
    </row>
    <row r="361">
      <c r="A361" s="11">
        <v>2025.0</v>
      </c>
      <c r="B361" s="11" t="s">
        <v>124</v>
      </c>
      <c r="C361" s="12">
        <v>45724.0</v>
      </c>
      <c r="D361" s="44">
        <v>10.0</v>
      </c>
      <c r="E361" s="26">
        <v>357959.84</v>
      </c>
      <c r="F361" s="26">
        <v>19098.0</v>
      </c>
      <c r="G361" s="26">
        <v>2533.06</v>
      </c>
      <c r="H361" s="26">
        <v>1380.0</v>
      </c>
      <c r="I361" s="66">
        <v>1980.4</v>
      </c>
      <c r="J361" s="26">
        <v>158.57</v>
      </c>
      <c r="K361" s="26">
        <v>6714.64</v>
      </c>
      <c r="L361" s="26">
        <v>6489.9</v>
      </c>
      <c r="M361" s="15">
        <v>0.0</v>
      </c>
      <c r="N361" s="16">
        <v>0.0</v>
      </c>
      <c r="O361" s="16">
        <f t="shared" ref="O361:O367" si="712">N361*4%</f>
        <v>0</v>
      </c>
      <c r="P361" s="16">
        <f t="shared" ref="P361:P367" si="713">N361*1.68%</f>
        <v>0</v>
      </c>
      <c r="Q361" s="16">
        <f t="shared" ref="Q361:Q367" si="714">M361*(400+350+100+2)</f>
        <v>0</v>
      </c>
      <c r="R361" s="67">
        <f t="shared" ref="R361:R367" si="715">M361*239.19</f>
        <v>0</v>
      </c>
      <c r="S361" s="17">
        <f t="shared" ref="S361:S367" si="716">M361*393.42</f>
        <v>0</v>
      </c>
      <c r="T361" s="17">
        <f t="shared" ref="T361:T367" si="717">M361*138</f>
        <v>0</v>
      </c>
      <c r="U361" s="7">
        <v>1524.21</v>
      </c>
      <c r="V361" s="18">
        <f t="shared" ref="V361:V367" si="718">P361</f>
        <v>0</v>
      </c>
      <c r="W361" s="68">
        <f t="shared" ref="W361:W367" si="719">I361+R361</f>
        <v>1980.4</v>
      </c>
      <c r="X361" s="69">
        <f t="shared" ref="X361:X367" si="720">J361</f>
        <v>158.57</v>
      </c>
      <c r="Y361" s="7">
        <f t="shared" ref="Y361:Y367" si="721">O361</f>
        <v>0</v>
      </c>
      <c r="Z361" s="7">
        <f t="shared" ref="Z361:Z367" si="722">Q361</f>
        <v>0</v>
      </c>
      <c r="AA361" s="18">
        <f t="shared" ref="AA361:AA367" si="723">SUM(U361:Z361)</f>
        <v>3663.18</v>
      </c>
      <c r="AB361" s="56">
        <v>7.0</v>
      </c>
      <c r="AC361" s="24">
        <v>276598.23</v>
      </c>
      <c r="AD361" s="24">
        <v>13865.29</v>
      </c>
      <c r="AE361" s="24">
        <v>2150.88</v>
      </c>
      <c r="AF361" s="24">
        <v>966.0</v>
      </c>
      <c r="AG361" s="24">
        <v>970.46</v>
      </c>
      <c r="AH361" s="24">
        <v>0.0</v>
      </c>
      <c r="AI361" s="24">
        <v>5131.1</v>
      </c>
      <c r="AJ361" s="24">
        <v>4646.85</v>
      </c>
      <c r="AK361" s="15">
        <v>0.0</v>
      </c>
      <c r="AL361" s="16">
        <v>0.0</v>
      </c>
      <c r="AM361" s="16">
        <v>0.0</v>
      </c>
      <c r="AN361" s="16">
        <v>0.0</v>
      </c>
      <c r="AO361" s="16">
        <v>0.0</v>
      </c>
      <c r="AP361" s="16">
        <v>0.0</v>
      </c>
      <c r="AQ361" s="16">
        <v>0.0</v>
      </c>
      <c r="AR361" s="16">
        <v>0.0</v>
      </c>
      <c r="AS361" s="7">
        <v>0.0</v>
      </c>
      <c r="AT361" s="7">
        <v>0.0</v>
      </c>
      <c r="AU361" s="7">
        <v>0.0</v>
      </c>
      <c r="AV361" s="7">
        <v>0.0</v>
      </c>
      <c r="AW361" s="7">
        <v>0.0</v>
      </c>
      <c r="AX361" s="7">
        <v>0.0</v>
      </c>
      <c r="AY361" s="7">
        <f t="shared" ref="AY361:AY367" si="724">SUM(AS361:AX361)</f>
        <v>0</v>
      </c>
      <c r="AZ361" s="9">
        <v>0.0</v>
      </c>
      <c r="BA361" s="9">
        <v>0.0</v>
      </c>
      <c r="BB361" s="84">
        <v>0.0</v>
      </c>
      <c r="BC361" s="84">
        <v>0.0</v>
      </c>
    </row>
    <row r="362">
      <c r="A362" s="11">
        <v>2025.0</v>
      </c>
      <c r="B362" s="11" t="s">
        <v>124</v>
      </c>
      <c r="C362" s="12">
        <v>45725.0</v>
      </c>
      <c r="D362" s="44">
        <v>8.0</v>
      </c>
      <c r="E362" s="26">
        <v>541478.25</v>
      </c>
      <c r="F362" s="26">
        <v>25523.5</v>
      </c>
      <c r="G362" s="26">
        <v>3034.62</v>
      </c>
      <c r="H362" s="26">
        <v>828.0</v>
      </c>
      <c r="I362" s="66">
        <v>1689.87</v>
      </c>
      <c r="J362" s="26">
        <v>1661.16</v>
      </c>
      <c r="K362" s="26">
        <v>12930.29</v>
      </c>
      <c r="L362" s="26">
        <v>11680.7</v>
      </c>
      <c r="M362" s="15">
        <v>0.0</v>
      </c>
      <c r="N362" s="16">
        <v>0.0</v>
      </c>
      <c r="O362" s="16">
        <f t="shared" si="712"/>
        <v>0</v>
      </c>
      <c r="P362" s="16">
        <f t="shared" si="713"/>
        <v>0</v>
      </c>
      <c r="Q362" s="16">
        <f t="shared" si="714"/>
        <v>0</v>
      </c>
      <c r="R362" s="16">
        <f t="shared" si="715"/>
        <v>0</v>
      </c>
      <c r="S362" s="17">
        <f t="shared" si="716"/>
        <v>0</v>
      </c>
      <c r="T362" s="17">
        <f t="shared" si="717"/>
        <v>0</v>
      </c>
      <c r="U362" s="7">
        <v>2843.19</v>
      </c>
      <c r="V362" s="18">
        <f t="shared" si="718"/>
        <v>0</v>
      </c>
      <c r="W362" s="68">
        <f t="shared" si="719"/>
        <v>1689.87</v>
      </c>
      <c r="X362" s="69">
        <f t="shared" si="720"/>
        <v>1661.16</v>
      </c>
      <c r="Y362" s="7">
        <f t="shared" si="721"/>
        <v>0</v>
      </c>
      <c r="Z362" s="7">
        <f t="shared" si="722"/>
        <v>0</v>
      </c>
      <c r="AA362" s="18">
        <f t="shared" si="723"/>
        <v>6194.22</v>
      </c>
      <c r="AB362" s="56">
        <v>5.0</v>
      </c>
      <c r="AC362" s="24">
        <v>337592.4</v>
      </c>
      <c r="AD362" s="24">
        <v>14708.97</v>
      </c>
      <c r="AE362" s="24">
        <v>2137.78</v>
      </c>
      <c r="AF362" s="24">
        <v>414.0</v>
      </c>
      <c r="AG362" s="24">
        <v>775.9</v>
      </c>
      <c r="AH362" s="24">
        <v>0.0</v>
      </c>
      <c r="AI362" s="24">
        <v>3150.35</v>
      </c>
      <c r="AJ362" s="24">
        <v>8230.94</v>
      </c>
      <c r="AK362" s="15">
        <v>0.0</v>
      </c>
      <c r="AL362" s="16">
        <v>0.0</v>
      </c>
      <c r="AM362" s="16">
        <v>0.0</v>
      </c>
      <c r="AN362" s="16">
        <v>0.0</v>
      </c>
      <c r="AO362" s="16">
        <v>0.0</v>
      </c>
      <c r="AP362" s="16">
        <v>0.0</v>
      </c>
      <c r="AQ362" s="16">
        <v>0.0</v>
      </c>
      <c r="AR362" s="16">
        <v>0.0</v>
      </c>
      <c r="AS362" s="7">
        <v>0.0</v>
      </c>
      <c r="AT362" s="7">
        <v>0.0</v>
      </c>
      <c r="AU362" s="7">
        <v>0.0</v>
      </c>
      <c r="AV362" s="7">
        <v>0.0</v>
      </c>
      <c r="AW362" s="7">
        <v>0.0</v>
      </c>
      <c r="AX362" s="7">
        <v>0.0</v>
      </c>
      <c r="AY362" s="7">
        <f t="shared" si="724"/>
        <v>0</v>
      </c>
      <c r="AZ362" s="9">
        <v>0.0</v>
      </c>
      <c r="BA362" s="9">
        <v>0.0</v>
      </c>
      <c r="BB362" s="84">
        <v>0.0</v>
      </c>
      <c r="BC362" s="84">
        <v>0.0</v>
      </c>
    </row>
    <row r="363">
      <c r="A363" s="11">
        <v>2025.0</v>
      </c>
      <c r="B363" s="11" t="s">
        <v>124</v>
      </c>
      <c r="C363" s="12">
        <v>45726.0</v>
      </c>
      <c r="D363" s="44">
        <v>6.0</v>
      </c>
      <c r="E363" s="26">
        <v>427150.2</v>
      </c>
      <c r="F363" s="26">
        <v>19888.7</v>
      </c>
      <c r="G363" s="26">
        <v>2481.12</v>
      </c>
      <c r="H363" s="26">
        <v>828.0</v>
      </c>
      <c r="I363" s="66">
        <v>1289.35</v>
      </c>
      <c r="J363" s="26">
        <v>2918.9</v>
      </c>
      <c r="K363" s="26">
        <v>7177.19</v>
      </c>
      <c r="L363" s="26">
        <v>8113.04</v>
      </c>
      <c r="M363" s="15">
        <v>3.0</v>
      </c>
      <c r="N363" s="16">
        <v>377960.22</v>
      </c>
      <c r="O363" s="16">
        <f t="shared" si="712"/>
        <v>15118.4088</v>
      </c>
      <c r="P363" s="16">
        <f t="shared" si="713"/>
        <v>6349.731696</v>
      </c>
      <c r="Q363" s="16">
        <f t="shared" si="714"/>
        <v>2556</v>
      </c>
      <c r="R363" s="16">
        <f t="shared" si="715"/>
        <v>717.57</v>
      </c>
      <c r="S363" s="17">
        <f t="shared" si="716"/>
        <v>1180.26</v>
      </c>
      <c r="T363" s="17">
        <f t="shared" si="717"/>
        <v>414</v>
      </c>
      <c r="U363" s="7">
        <v>317.5</v>
      </c>
      <c r="V363" s="18">
        <f t="shared" si="718"/>
        <v>6349.731696</v>
      </c>
      <c r="W363" s="68">
        <f t="shared" si="719"/>
        <v>2006.92</v>
      </c>
      <c r="X363" s="69">
        <f t="shared" si="720"/>
        <v>2918.9</v>
      </c>
      <c r="Y363" s="7">
        <f t="shared" si="721"/>
        <v>15118.4088</v>
      </c>
      <c r="Z363" s="7">
        <f t="shared" si="722"/>
        <v>2556</v>
      </c>
      <c r="AA363" s="18">
        <f t="shared" si="723"/>
        <v>29267.4605</v>
      </c>
      <c r="AB363" s="56">
        <v>2.0</v>
      </c>
      <c r="AC363" s="24">
        <v>67521.16</v>
      </c>
      <c r="AD363" s="24">
        <v>4969.21</v>
      </c>
      <c r="AE363" s="24">
        <v>794.85</v>
      </c>
      <c r="AF363" s="24">
        <v>276.0</v>
      </c>
      <c r="AG363" s="24">
        <v>385.17</v>
      </c>
      <c r="AH363" s="24">
        <v>0.0</v>
      </c>
      <c r="AI363" s="24">
        <v>1450.37</v>
      </c>
      <c r="AJ363" s="24">
        <v>2062.82</v>
      </c>
      <c r="AK363" s="15">
        <v>1.0</v>
      </c>
      <c r="AL363" s="16">
        <v>51789.25</v>
      </c>
      <c r="AM363" s="16">
        <v>1959.0</v>
      </c>
      <c r="AN363" s="16">
        <v>872.0</v>
      </c>
      <c r="AO363" s="16">
        <v>1000.0</v>
      </c>
      <c r="AP363" s="16">
        <v>413.25</v>
      </c>
      <c r="AQ363" s="16">
        <v>245.0</v>
      </c>
      <c r="AR363" s="16">
        <v>0.0</v>
      </c>
      <c r="AS363" s="7">
        <f>19572.58-AT363</f>
        <v>18700.58</v>
      </c>
      <c r="AT363" s="7">
        <v>872.0</v>
      </c>
      <c r="AU363" s="7">
        <v>9526.19</v>
      </c>
      <c r="AV363" s="7">
        <v>5834.47</v>
      </c>
      <c r="AW363" s="7">
        <v>1959.0</v>
      </c>
      <c r="AX363" s="7">
        <f>2307.83</f>
        <v>2307.83</v>
      </c>
      <c r="AY363" s="7">
        <f t="shared" si="724"/>
        <v>39200.07</v>
      </c>
      <c r="AZ363" s="9">
        <v>0.0</v>
      </c>
      <c r="BA363" s="9">
        <v>0.0</v>
      </c>
      <c r="BB363" s="84">
        <v>0.0</v>
      </c>
      <c r="BC363" s="84">
        <v>0.0</v>
      </c>
    </row>
    <row r="364">
      <c r="A364" s="11">
        <v>2025.0</v>
      </c>
      <c r="B364" s="11" t="s">
        <v>124</v>
      </c>
      <c r="C364" s="12">
        <v>45727.0</v>
      </c>
      <c r="D364" s="44">
        <v>1.0</v>
      </c>
      <c r="E364" s="26">
        <v>49242.88</v>
      </c>
      <c r="F364" s="26">
        <v>2197.14</v>
      </c>
      <c r="G364" s="26">
        <v>245.0</v>
      </c>
      <c r="H364" s="26">
        <v>138.0</v>
      </c>
      <c r="I364" s="66">
        <v>196.75</v>
      </c>
      <c r="J364" s="26">
        <v>551.52</v>
      </c>
      <c r="K364" s="26">
        <v>790.11</v>
      </c>
      <c r="L364" s="26">
        <v>827.28</v>
      </c>
      <c r="M364" s="15">
        <v>3.0</v>
      </c>
      <c r="N364" s="16">
        <v>340083.39</v>
      </c>
      <c r="O364" s="16">
        <f t="shared" si="712"/>
        <v>13603.3356</v>
      </c>
      <c r="P364" s="16">
        <f t="shared" si="713"/>
        <v>5713.400952</v>
      </c>
      <c r="Q364" s="16">
        <f t="shared" si="714"/>
        <v>2556</v>
      </c>
      <c r="R364" s="16">
        <f t="shared" si="715"/>
        <v>717.57</v>
      </c>
      <c r="S364" s="17">
        <f t="shared" si="716"/>
        <v>1180.26</v>
      </c>
      <c r="T364" s="17">
        <f t="shared" si="717"/>
        <v>414</v>
      </c>
      <c r="U364" s="7">
        <v>0.0</v>
      </c>
      <c r="V364" s="18">
        <f t="shared" si="718"/>
        <v>5713.400952</v>
      </c>
      <c r="W364" s="68">
        <f t="shared" si="719"/>
        <v>914.32</v>
      </c>
      <c r="X364" s="69">
        <f t="shared" si="720"/>
        <v>551.52</v>
      </c>
      <c r="Y364" s="7">
        <f t="shared" si="721"/>
        <v>13603.3356</v>
      </c>
      <c r="Z364" s="7">
        <f t="shared" si="722"/>
        <v>2556</v>
      </c>
      <c r="AA364" s="18">
        <f t="shared" si="723"/>
        <v>23338.57655</v>
      </c>
      <c r="AB364" s="56">
        <v>1.0</v>
      </c>
      <c r="AC364" s="24">
        <v>37802.6</v>
      </c>
      <c r="AD364" s="24">
        <v>2045.5</v>
      </c>
      <c r="AE364" s="24">
        <v>423.49</v>
      </c>
      <c r="AF364" s="24">
        <v>138.0</v>
      </c>
      <c r="AG364" s="24">
        <v>297.62</v>
      </c>
      <c r="AH364" s="24">
        <v>0.0</v>
      </c>
      <c r="AI364" s="24">
        <v>551.31</v>
      </c>
      <c r="AJ364" s="24">
        <v>635.08</v>
      </c>
      <c r="AK364" s="15">
        <v>0.0</v>
      </c>
      <c r="AL364" s="16">
        <v>0.0</v>
      </c>
      <c r="AM364" s="16">
        <v>0.0</v>
      </c>
      <c r="AN364" s="16">
        <v>0.0</v>
      </c>
      <c r="AO364" s="16">
        <v>0.0</v>
      </c>
      <c r="AP364" s="16">
        <v>0.0</v>
      </c>
      <c r="AQ364" s="16">
        <v>0.0</v>
      </c>
      <c r="AR364" s="16">
        <v>0.0</v>
      </c>
      <c r="AS364" s="7">
        <f>11617.12-AT364</f>
        <v>11617.12</v>
      </c>
      <c r="AT364" s="7">
        <v>0.0</v>
      </c>
      <c r="AU364" s="7">
        <v>6602.24</v>
      </c>
      <c r="AV364" s="7">
        <v>496.28</v>
      </c>
      <c r="AW364" s="7">
        <v>0.0</v>
      </c>
      <c r="AX364" s="7">
        <f>5.02</f>
        <v>5.02</v>
      </c>
      <c r="AY364" s="7">
        <f t="shared" si="724"/>
        <v>18720.66</v>
      </c>
      <c r="AZ364" s="9">
        <v>0.0</v>
      </c>
      <c r="BA364" s="9">
        <v>1.0</v>
      </c>
      <c r="BB364" s="84">
        <v>0.0</v>
      </c>
      <c r="BC364" s="84">
        <v>0.0</v>
      </c>
    </row>
    <row r="365">
      <c r="A365" s="11">
        <v>2025.0</v>
      </c>
      <c r="B365" s="11" t="s">
        <v>124</v>
      </c>
      <c r="C365" s="12">
        <v>45728.0</v>
      </c>
      <c r="D365" s="44">
        <v>2.0</v>
      </c>
      <c r="E365" s="26">
        <v>47516.21</v>
      </c>
      <c r="F365" s="26">
        <v>3244.56</v>
      </c>
      <c r="G365" s="26">
        <v>600.01</v>
      </c>
      <c r="H365" s="26">
        <v>276.0</v>
      </c>
      <c r="I365" s="66">
        <v>441.54</v>
      </c>
      <c r="J365" s="26">
        <v>0.0</v>
      </c>
      <c r="K365" s="26">
        <v>1128.74</v>
      </c>
      <c r="L365" s="26">
        <v>798.27</v>
      </c>
      <c r="M365" s="15">
        <v>3.0</v>
      </c>
      <c r="N365" s="16">
        <v>255561.6</v>
      </c>
      <c r="O365" s="16">
        <f t="shared" si="712"/>
        <v>10222.464</v>
      </c>
      <c r="P365" s="16">
        <f t="shared" si="713"/>
        <v>4293.43488</v>
      </c>
      <c r="Q365" s="16">
        <f t="shared" si="714"/>
        <v>2556</v>
      </c>
      <c r="R365" s="16">
        <f t="shared" si="715"/>
        <v>717.57</v>
      </c>
      <c r="S365" s="17">
        <f t="shared" si="716"/>
        <v>1180.26</v>
      </c>
      <c r="T365" s="17">
        <f t="shared" si="717"/>
        <v>414</v>
      </c>
      <c r="U365" s="7">
        <v>239.81</v>
      </c>
      <c r="V365" s="18">
        <f t="shared" si="718"/>
        <v>4293.43488</v>
      </c>
      <c r="W365" s="68">
        <f t="shared" si="719"/>
        <v>1159.11</v>
      </c>
      <c r="X365" s="69">
        <f t="shared" si="720"/>
        <v>0</v>
      </c>
      <c r="Y365" s="7">
        <f t="shared" si="721"/>
        <v>10222.464</v>
      </c>
      <c r="Z365" s="7">
        <f t="shared" si="722"/>
        <v>2556</v>
      </c>
      <c r="AA365" s="18">
        <f t="shared" si="723"/>
        <v>18470.81888</v>
      </c>
      <c r="AB365" s="56">
        <v>2.0</v>
      </c>
      <c r="AC365" s="24">
        <v>139203.54</v>
      </c>
      <c r="AD365" s="24">
        <v>11255.33</v>
      </c>
      <c r="AE365" s="24">
        <v>950.92</v>
      </c>
      <c r="AF365" s="24">
        <v>138.0</v>
      </c>
      <c r="AG365" s="24">
        <v>297.62</v>
      </c>
      <c r="AH365" s="24">
        <v>0.0</v>
      </c>
      <c r="AI365" s="24">
        <v>7038.26</v>
      </c>
      <c r="AJ365" s="24">
        <v>2830.53</v>
      </c>
      <c r="AK365" s="15">
        <v>4.0</v>
      </c>
      <c r="AL365" s="16">
        <v>358749.36</v>
      </c>
      <c r="AM365" s="16">
        <v>10468.0</v>
      </c>
      <c r="AN365" s="16">
        <v>4660.0</v>
      </c>
      <c r="AO365" s="16">
        <v>2500.0</v>
      </c>
      <c r="AP365" s="16">
        <v>1550.88</v>
      </c>
      <c r="AQ365" s="16">
        <v>1163.66</v>
      </c>
      <c r="AR365" s="16">
        <v>0.0</v>
      </c>
      <c r="AS365" s="7">
        <f>25781.11-AT365</f>
        <v>21121.11</v>
      </c>
      <c r="AT365" s="7">
        <v>4660.0</v>
      </c>
      <c r="AU365" s="7">
        <v>8715.88</v>
      </c>
      <c r="AV365" s="7">
        <v>10215.83</v>
      </c>
      <c r="AW365" s="7">
        <v>10468.0</v>
      </c>
      <c r="AX365" s="7">
        <f>2538.48</f>
        <v>2538.48</v>
      </c>
      <c r="AY365" s="7">
        <f t="shared" si="724"/>
        <v>57719.3</v>
      </c>
      <c r="AZ365" s="9">
        <v>2.0</v>
      </c>
      <c r="BA365" s="9">
        <v>2.0</v>
      </c>
      <c r="BB365" s="84">
        <v>0.0</v>
      </c>
      <c r="BC365" s="84">
        <v>6.0</v>
      </c>
    </row>
    <row r="366">
      <c r="A366" s="11">
        <v>2025.0</v>
      </c>
      <c r="B366" s="11" t="s">
        <v>124</v>
      </c>
      <c r="C366" s="12">
        <v>45729.0</v>
      </c>
      <c r="D366" s="44">
        <v>5.0</v>
      </c>
      <c r="E366" s="26">
        <v>182079.99</v>
      </c>
      <c r="F366" s="26">
        <v>14790.39</v>
      </c>
      <c r="G366" s="26">
        <v>1371.94</v>
      </c>
      <c r="H366" s="26">
        <v>414.0</v>
      </c>
      <c r="I366" s="66">
        <v>649.7</v>
      </c>
      <c r="J366" s="26">
        <v>378.25</v>
      </c>
      <c r="K366" s="26">
        <v>8520.21</v>
      </c>
      <c r="L366" s="26">
        <v>3834.54</v>
      </c>
      <c r="M366" s="15">
        <v>3.0</v>
      </c>
      <c r="N366" s="16">
        <v>556835.78</v>
      </c>
      <c r="O366" s="16">
        <f t="shared" si="712"/>
        <v>22273.4312</v>
      </c>
      <c r="P366" s="16">
        <f t="shared" si="713"/>
        <v>9354.841104</v>
      </c>
      <c r="Q366" s="16">
        <f t="shared" si="714"/>
        <v>2556</v>
      </c>
      <c r="R366" s="16">
        <f t="shared" si="715"/>
        <v>717.57</v>
      </c>
      <c r="S366" s="17">
        <f t="shared" si="716"/>
        <v>1180.26</v>
      </c>
      <c r="T366" s="17">
        <f t="shared" si="717"/>
        <v>414</v>
      </c>
      <c r="U366" s="7">
        <v>707.01</v>
      </c>
      <c r="V366" s="18">
        <f t="shared" si="718"/>
        <v>9354.841104</v>
      </c>
      <c r="W366" s="68">
        <f t="shared" si="719"/>
        <v>1367.27</v>
      </c>
      <c r="X366" s="69">
        <f t="shared" si="720"/>
        <v>378.25</v>
      </c>
      <c r="Y366" s="7">
        <f t="shared" si="721"/>
        <v>22273.4312</v>
      </c>
      <c r="Z366" s="7">
        <f t="shared" si="722"/>
        <v>2556</v>
      </c>
      <c r="AA366" s="18">
        <f t="shared" si="723"/>
        <v>36636.8023</v>
      </c>
      <c r="AB366" s="56">
        <v>2.0</v>
      </c>
      <c r="AC366" s="24">
        <v>139203.54</v>
      </c>
      <c r="AD366" s="24">
        <v>11255.33</v>
      </c>
      <c r="AE366" s="24">
        <v>950.92</v>
      </c>
      <c r="AF366" s="24">
        <v>138.0</v>
      </c>
      <c r="AG366" s="24">
        <v>297.62</v>
      </c>
      <c r="AH366" s="24">
        <v>0.0</v>
      </c>
      <c r="AI366" s="24">
        <v>7038.26</v>
      </c>
      <c r="AJ366" s="24">
        <v>2830.53</v>
      </c>
      <c r="AK366" s="15">
        <v>7.0</v>
      </c>
      <c r="AL366" s="16">
        <v>913134.46</v>
      </c>
      <c r="AM366" s="16">
        <v>34533.0</v>
      </c>
      <c r="AN366" s="16">
        <v>15370.0</v>
      </c>
      <c r="AO366" s="16">
        <v>4950.0</v>
      </c>
      <c r="AP366" s="16">
        <v>3833.81</v>
      </c>
      <c r="AQ366" s="16">
        <v>3920.59</v>
      </c>
      <c r="AR366" s="16">
        <v>0.0</v>
      </c>
      <c r="AS366" s="7">
        <f>21433.16-AT366</f>
        <v>9082.16</v>
      </c>
      <c r="AT366" s="7">
        <v>12351.0</v>
      </c>
      <c r="AU366" s="7">
        <v>7136.36</v>
      </c>
      <c r="AV366" s="7">
        <v>2992.98</v>
      </c>
      <c r="AW366" s="7">
        <v>24654.0</v>
      </c>
      <c r="AX366" s="7">
        <f>3003.5</f>
        <v>3003.5</v>
      </c>
      <c r="AY366" s="7">
        <f t="shared" si="724"/>
        <v>59220</v>
      </c>
      <c r="AZ366" s="9">
        <v>2.0</v>
      </c>
      <c r="BA366" s="9">
        <v>2.0</v>
      </c>
      <c r="BB366" s="84">
        <v>0.0</v>
      </c>
      <c r="BC366" s="84">
        <v>0.0</v>
      </c>
    </row>
    <row r="367">
      <c r="A367" s="11">
        <v>2025.0</v>
      </c>
      <c r="B367" s="11" t="s">
        <v>124</v>
      </c>
      <c r="C367" s="12">
        <v>45730.0</v>
      </c>
      <c r="D367" s="44">
        <v>15.0</v>
      </c>
      <c r="E367" s="26">
        <v>2409582.08</v>
      </c>
      <c r="F367" s="26">
        <v>84537.42</v>
      </c>
      <c r="G367" s="26">
        <v>3809.81</v>
      </c>
      <c r="H367" s="26">
        <v>1794.0</v>
      </c>
      <c r="I367" s="66">
        <v>2335.21</v>
      </c>
      <c r="J367" s="26">
        <v>114753.15</v>
      </c>
      <c r="K367" s="26">
        <v>209178.29</v>
      </c>
      <c r="L367" s="26">
        <v>46331.44</v>
      </c>
      <c r="M367" s="15">
        <v>3.0</v>
      </c>
      <c r="N367" s="16">
        <v>252186.36</v>
      </c>
      <c r="O367" s="16">
        <f t="shared" si="712"/>
        <v>10087.4544</v>
      </c>
      <c r="P367" s="16">
        <f t="shared" si="713"/>
        <v>4236.730848</v>
      </c>
      <c r="Q367" s="16">
        <f t="shared" si="714"/>
        <v>2556</v>
      </c>
      <c r="R367" s="16">
        <f t="shared" si="715"/>
        <v>717.57</v>
      </c>
      <c r="S367" s="17">
        <f t="shared" si="716"/>
        <v>1180.26</v>
      </c>
      <c r="T367" s="17">
        <f t="shared" si="717"/>
        <v>414</v>
      </c>
      <c r="U367" s="7">
        <v>3810.06</v>
      </c>
      <c r="V367" s="18">
        <f t="shared" si="718"/>
        <v>4236.730848</v>
      </c>
      <c r="W367" s="68">
        <f t="shared" si="719"/>
        <v>3052.78</v>
      </c>
      <c r="X367" s="69">
        <f t="shared" si="720"/>
        <v>114753.15</v>
      </c>
      <c r="Y367" s="7">
        <f t="shared" si="721"/>
        <v>10087.4544</v>
      </c>
      <c r="Z367" s="7">
        <f t="shared" si="722"/>
        <v>2556</v>
      </c>
      <c r="AA367" s="18">
        <f t="shared" si="723"/>
        <v>138496.1752</v>
      </c>
      <c r="AB367" s="56">
        <v>3.0</v>
      </c>
      <c r="AC367" s="24">
        <v>154151.29</v>
      </c>
      <c r="AD367" s="24">
        <v>6988.02</v>
      </c>
      <c r="AE367" s="24">
        <v>1001.31</v>
      </c>
      <c r="AF367" s="24">
        <v>414.0</v>
      </c>
      <c r="AG367" s="24">
        <v>388.58</v>
      </c>
      <c r="AH367" s="24">
        <v>0.0</v>
      </c>
      <c r="AI367" s="24">
        <v>2594.39</v>
      </c>
      <c r="AJ367" s="24">
        <v>2589.74</v>
      </c>
      <c r="AK367" s="15">
        <v>1.0</v>
      </c>
      <c r="AL367" s="16">
        <v>78385.12</v>
      </c>
      <c r="AM367" s="16">
        <v>2965.0</v>
      </c>
      <c r="AN367" s="16">
        <v>1319.0</v>
      </c>
      <c r="AO367" s="16">
        <v>1000.0</v>
      </c>
      <c r="AP367" s="16">
        <v>523.29</v>
      </c>
      <c r="AQ367" s="16">
        <v>277.83</v>
      </c>
      <c r="AR367" s="16">
        <v>0.0</v>
      </c>
      <c r="AS367" s="7">
        <f>27091.96-AT367</f>
        <v>22693.96</v>
      </c>
      <c r="AT367" s="7">
        <v>4398.0</v>
      </c>
      <c r="AU367" s="7">
        <v>9770.5</v>
      </c>
      <c r="AV367" s="7">
        <v>5094.3</v>
      </c>
      <c r="AW367" s="7">
        <v>9879.0</v>
      </c>
      <c r="AX367" s="7">
        <f>2896.69</f>
        <v>2896.69</v>
      </c>
      <c r="AY367" s="7">
        <f t="shared" si="724"/>
        <v>54732.45</v>
      </c>
      <c r="AZ367" s="9">
        <v>0.0</v>
      </c>
      <c r="BA367" s="9">
        <v>1.0</v>
      </c>
      <c r="BB367" s="84">
        <v>4.0</v>
      </c>
      <c r="BC367" s="84">
        <v>1.0</v>
      </c>
    </row>
    <row r="368">
      <c r="A368" s="11">
        <v>2025.0</v>
      </c>
      <c r="B368" s="11" t="s">
        <v>124</v>
      </c>
      <c r="C368" s="1"/>
      <c r="D368" s="2">
        <v>105.0</v>
      </c>
      <c r="E368" s="2"/>
      <c r="F368" s="59" t="s">
        <v>126</v>
      </c>
      <c r="G368" s="2"/>
      <c r="H368" s="33"/>
      <c r="I368" s="33"/>
      <c r="J368" s="33"/>
      <c r="K368" s="33"/>
      <c r="L368" s="33"/>
      <c r="M368" s="4">
        <v>15.0</v>
      </c>
      <c r="N368" s="4">
        <v>1300773.26</v>
      </c>
      <c r="O368" s="35"/>
      <c r="P368" s="35"/>
      <c r="Q368" s="35"/>
      <c r="R368" s="35"/>
      <c r="S368" s="35"/>
      <c r="T368" s="35"/>
      <c r="U368" s="37"/>
      <c r="V368" s="48"/>
      <c r="W368" s="48"/>
      <c r="X368" s="37"/>
      <c r="Y368" s="48"/>
      <c r="Z368" s="48"/>
      <c r="AA368" s="48"/>
      <c r="AB368" s="2"/>
      <c r="AC368" s="33"/>
      <c r="AD368" s="2"/>
      <c r="AE368" s="33"/>
      <c r="AF368" s="33"/>
      <c r="AG368" s="33"/>
      <c r="AH368" s="33"/>
      <c r="AI368" s="33"/>
      <c r="AJ368" s="33"/>
      <c r="AK368" s="4">
        <v>0.0</v>
      </c>
      <c r="AL368" s="4">
        <v>0.0</v>
      </c>
      <c r="AM368" s="35"/>
      <c r="AN368" s="35"/>
      <c r="AO368" s="35"/>
      <c r="AP368" s="35"/>
      <c r="AQ368" s="35"/>
      <c r="AR368" s="35"/>
      <c r="AS368" s="37"/>
      <c r="AT368" s="48"/>
      <c r="AU368" s="48"/>
      <c r="AV368" s="48"/>
      <c r="AW368" s="48"/>
      <c r="AX368" s="48"/>
      <c r="AY368" s="48"/>
      <c r="AZ368" s="38"/>
      <c r="BA368" s="39"/>
      <c r="BB368" s="85"/>
      <c r="BC368" s="85"/>
    </row>
    <row r="369">
      <c r="A369" s="1">
        <v>2025.0</v>
      </c>
      <c r="B369" s="11" t="s">
        <v>124</v>
      </c>
      <c r="C369" s="1" t="s">
        <v>49</v>
      </c>
      <c r="D369" s="33">
        <f t="shared" ref="D369:F369" si="725">SUM(D361:D367)</f>
        <v>47</v>
      </c>
      <c r="E369" s="34">
        <f t="shared" si="725"/>
        <v>4015009.45</v>
      </c>
      <c r="F369" s="34">
        <f t="shared" si="725"/>
        <v>169279.71</v>
      </c>
      <c r="G369" s="34">
        <f>SUM(G361:G368)</f>
        <v>14075.56</v>
      </c>
      <c r="H369" s="34">
        <f t="shared" ref="H369:L369" si="726">SUM(H361:H367)</f>
        <v>5658</v>
      </c>
      <c r="I369" s="55">
        <f t="shared" si="726"/>
        <v>8582.82</v>
      </c>
      <c r="J369" s="34">
        <f t="shared" si="726"/>
        <v>120421.55</v>
      </c>
      <c r="K369" s="34">
        <f t="shared" si="726"/>
        <v>246439.47</v>
      </c>
      <c r="L369" s="34">
        <f t="shared" si="726"/>
        <v>78075.17</v>
      </c>
      <c r="M369" s="35">
        <f t="shared" ref="M369:N369" si="727">SUM(M361:M368)</f>
        <v>30</v>
      </c>
      <c r="N369" s="36">
        <f t="shared" si="727"/>
        <v>3083400.61</v>
      </c>
      <c r="O369" s="36">
        <f t="shared" ref="O369:AJ369" si="728">SUM(O361:O367)</f>
        <v>71305.094</v>
      </c>
      <c r="P369" s="36">
        <f t="shared" si="728"/>
        <v>29948.13948</v>
      </c>
      <c r="Q369" s="36">
        <f t="shared" si="728"/>
        <v>12780</v>
      </c>
      <c r="R369" s="70">
        <f t="shared" si="728"/>
        <v>3587.85</v>
      </c>
      <c r="S369" s="36">
        <f t="shared" si="728"/>
        <v>5901.3</v>
      </c>
      <c r="T369" s="36">
        <f t="shared" si="728"/>
        <v>2070</v>
      </c>
      <c r="U369" s="37">
        <f t="shared" si="728"/>
        <v>9441.78</v>
      </c>
      <c r="V369" s="37">
        <f t="shared" si="728"/>
        <v>29948.13948</v>
      </c>
      <c r="W369" s="71">
        <f t="shared" si="728"/>
        <v>12170.67</v>
      </c>
      <c r="X369" s="37">
        <f t="shared" si="728"/>
        <v>120421.55</v>
      </c>
      <c r="Y369" s="37">
        <f t="shared" si="728"/>
        <v>71305.094</v>
      </c>
      <c r="Z369" s="37">
        <f t="shared" si="728"/>
        <v>12780</v>
      </c>
      <c r="AA369" s="37">
        <f t="shared" si="728"/>
        <v>256067.2335</v>
      </c>
      <c r="AB369" s="33">
        <f t="shared" si="728"/>
        <v>22</v>
      </c>
      <c r="AC369" s="34">
        <f t="shared" si="728"/>
        <v>1152072.76</v>
      </c>
      <c r="AD369" s="34">
        <f t="shared" si="728"/>
        <v>65087.65</v>
      </c>
      <c r="AE369" s="34">
        <f t="shared" si="728"/>
        <v>8410.15</v>
      </c>
      <c r="AF369" s="34">
        <f t="shared" si="728"/>
        <v>2484</v>
      </c>
      <c r="AG369" s="34">
        <f t="shared" si="728"/>
        <v>3412.97</v>
      </c>
      <c r="AH369" s="34">
        <f t="shared" si="728"/>
        <v>0</v>
      </c>
      <c r="AI369" s="34">
        <f t="shared" si="728"/>
        <v>26954.04</v>
      </c>
      <c r="AJ369" s="34">
        <f t="shared" si="728"/>
        <v>23826.49</v>
      </c>
      <c r="AK369" s="35">
        <f t="shared" ref="AK369:AL369" si="729">SUM(AK361:AK368)</f>
        <v>13</v>
      </c>
      <c r="AL369" s="36">
        <f t="shared" si="729"/>
        <v>1402058.19</v>
      </c>
      <c r="AM369" s="36">
        <f t="shared" ref="AM369:BC369" si="730">SUM(AM361:AM367)</f>
        <v>49925</v>
      </c>
      <c r="AN369" s="36">
        <f t="shared" si="730"/>
        <v>22221</v>
      </c>
      <c r="AO369" s="36">
        <f t="shared" si="730"/>
        <v>9450</v>
      </c>
      <c r="AP369" s="36">
        <f t="shared" si="730"/>
        <v>6321.23</v>
      </c>
      <c r="AQ369" s="36">
        <f t="shared" si="730"/>
        <v>5607.08</v>
      </c>
      <c r="AR369" s="36">
        <f t="shared" si="730"/>
        <v>0</v>
      </c>
      <c r="AS369" s="37">
        <f t="shared" si="730"/>
        <v>83214.93</v>
      </c>
      <c r="AT369" s="37">
        <f t="shared" si="730"/>
        <v>22281</v>
      </c>
      <c r="AU369" s="37">
        <f t="shared" si="730"/>
        <v>41751.17</v>
      </c>
      <c r="AV369" s="37">
        <f t="shared" si="730"/>
        <v>24633.86</v>
      </c>
      <c r="AW369" s="37">
        <f t="shared" si="730"/>
        <v>46960</v>
      </c>
      <c r="AX369" s="37">
        <f t="shared" si="730"/>
        <v>10751.52</v>
      </c>
      <c r="AY369" s="37">
        <f t="shared" si="730"/>
        <v>229592.48</v>
      </c>
      <c r="AZ369" s="38">
        <f t="shared" si="730"/>
        <v>4</v>
      </c>
      <c r="BA369" s="39">
        <f t="shared" si="730"/>
        <v>6</v>
      </c>
      <c r="BB369" s="85">
        <f t="shared" si="730"/>
        <v>4</v>
      </c>
      <c r="BC369" s="85">
        <f t="shared" si="730"/>
        <v>7</v>
      </c>
    </row>
    <row r="370">
      <c r="A370" s="11">
        <v>2025.0</v>
      </c>
      <c r="B370" s="11" t="s">
        <v>124</v>
      </c>
      <c r="C370" s="12">
        <v>45731.0</v>
      </c>
      <c r="D370" s="44">
        <v>101.0</v>
      </c>
      <c r="E370" s="26">
        <v>7086550.16</v>
      </c>
      <c r="F370" s="26">
        <v>291482.02</v>
      </c>
      <c r="G370" s="26">
        <v>33824.0</v>
      </c>
      <c r="H370" s="26">
        <v>3450.0</v>
      </c>
      <c r="I370" s="66">
        <v>39067.35</v>
      </c>
      <c r="J370" s="26">
        <v>22033.05</v>
      </c>
      <c r="K370" s="26">
        <v>129898.45</v>
      </c>
      <c r="L370" s="26">
        <v>124148.42</v>
      </c>
      <c r="M370" s="15">
        <v>0.0</v>
      </c>
      <c r="N370" s="16">
        <v>0.0</v>
      </c>
      <c r="O370" s="16">
        <f t="shared" ref="O370:O376" si="731">N370*4%</f>
        <v>0</v>
      </c>
      <c r="P370" s="16">
        <f t="shared" ref="P370:P376" si="732">N370*1.68%</f>
        <v>0</v>
      </c>
      <c r="Q370" s="16">
        <f t="shared" ref="Q370:Q376" si="733">M370*(400+350+100+2)</f>
        <v>0</v>
      </c>
      <c r="R370" s="67">
        <f t="shared" ref="R370:R376" si="734">M370*239.19</f>
        <v>0</v>
      </c>
      <c r="S370" s="17">
        <f t="shared" ref="S370:S376" si="735">M370*393.42</f>
        <v>0</v>
      </c>
      <c r="T370" s="17">
        <f t="shared" ref="T370:T376" si="736">M370*138</f>
        <v>0</v>
      </c>
      <c r="U370" s="7">
        <v>3634.1</v>
      </c>
      <c r="V370" s="18">
        <f t="shared" ref="V370:V376" si="737">P370</f>
        <v>0</v>
      </c>
      <c r="W370" s="68">
        <f t="shared" ref="W370:W376" si="738">I370+R370</f>
        <v>39067.35</v>
      </c>
      <c r="X370" s="69">
        <f t="shared" ref="X370:X376" si="739">J370</f>
        <v>22033.05</v>
      </c>
      <c r="Y370" s="7">
        <f t="shared" ref="Y370:Y376" si="740">O370</f>
        <v>0</v>
      </c>
      <c r="Z370" s="7">
        <f t="shared" ref="Z370:Z376" si="741">Q370</f>
        <v>0</v>
      </c>
      <c r="AA370" s="18">
        <f t="shared" ref="AA370:AA376" si="742">SUM(U370:Z370)</f>
        <v>64734.5</v>
      </c>
      <c r="AB370" s="56">
        <v>69.0</v>
      </c>
      <c r="AC370" s="24">
        <v>5273694.77</v>
      </c>
      <c r="AD370" s="24">
        <v>208508.73</v>
      </c>
      <c r="AE370" s="24">
        <v>24416.9</v>
      </c>
      <c r="AF370" s="24">
        <v>1380.0</v>
      </c>
      <c r="AG370" s="24">
        <v>27816.14</v>
      </c>
      <c r="AH370" s="24">
        <v>0.0</v>
      </c>
      <c r="AI370" s="24">
        <v>64142.25</v>
      </c>
      <c r="AJ370" s="24">
        <v>90753.44</v>
      </c>
      <c r="AK370" s="15">
        <v>0.0</v>
      </c>
      <c r="AL370" s="16">
        <v>0.0</v>
      </c>
      <c r="AM370" s="16">
        <v>0.0</v>
      </c>
      <c r="AN370" s="16">
        <v>0.0</v>
      </c>
      <c r="AO370" s="16">
        <v>0.0</v>
      </c>
      <c r="AP370" s="16">
        <v>0.0</v>
      </c>
      <c r="AQ370" s="16">
        <v>0.0</v>
      </c>
      <c r="AR370" s="16">
        <v>0.0</v>
      </c>
      <c r="AS370" s="7">
        <v>0.0</v>
      </c>
      <c r="AT370" s="7">
        <v>0.0</v>
      </c>
      <c r="AU370" s="7">
        <v>0.0</v>
      </c>
      <c r="AV370" s="7">
        <v>0.0</v>
      </c>
      <c r="AW370" s="7">
        <v>0.0</v>
      </c>
      <c r="AX370" s="7">
        <v>0.0</v>
      </c>
      <c r="AY370" s="7">
        <f t="shared" ref="AY370:AY376" si="743">SUM(AS370:AX370)</f>
        <v>0</v>
      </c>
      <c r="AZ370" s="9">
        <v>0.0</v>
      </c>
      <c r="BA370" s="9">
        <v>0.0</v>
      </c>
      <c r="BB370" s="84">
        <v>0.0</v>
      </c>
      <c r="BC370" s="84">
        <v>0.0</v>
      </c>
    </row>
    <row r="371">
      <c r="A371" s="11">
        <v>2025.0</v>
      </c>
      <c r="B371" s="11" t="s">
        <v>124</v>
      </c>
      <c r="C371" s="12">
        <v>45732.0</v>
      </c>
      <c r="D371" s="44">
        <v>14.0</v>
      </c>
      <c r="E371" s="26">
        <v>1236667.32</v>
      </c>
      <c r="F371" s="26">
        <v>39044.85</v>
      </c>
      <c r="G371" s="26">
        <v>3490.03</v>
      </c>
      <c r="H371" s="26">
        <v>1518.0</v>
      </c>
      <c r="I371" s="66">
        <v>2481.16</v>
      </c>
      <c r="J371" s="26">
        <v>795.9</v>
      </c>
      <c r="K371" s="26">
        <v>11876.04</v>
      </c>
      <c r="L371" s="26">
        <v>21181.18</v>
      </c>
      <c r="M371" s="15">
        <v>0.0</v>
      </c>
      <c r="N371" s="16">
        <v>0.0</v>
      </c>
      <c r="O371" s="16">
        <f t="shared" si="731"/>
        <v>0</v>
      </c>
      <c r="P371" s="16">
        <f t="shared" si="732"/>
        <v>0</v>
      </c>
      <c r="Q371" s="16">
        <f t="shared" si="733"/>
        <v>0</v>
      </c>
      <c r="R371" s="16">
        <f t="shared" si="734"/>
        <v>0</v>
      </c>
      <c r="S371" s="17">
        <f t="shared" si="735"/>
        <v>0</v>
      </c>
      <c r="T371" s="17">
        <f t="shared" si="736"/>
        <v>0</v>
      </c>
      <c r="U371" s="7">
        <v>2847.9</v>
      </c>
      <c r="V371" s="18">
        <f t="shared" si="737"/>
        <v>0</v>
      </c>
      <c r="W371" s="68">
        <f t="shared" si="738"/>
        <v>2481.16</v>
      </c>
      <c r="X371" s="69">
        <f t="shared" si="739"/>
        <v>795.9</v>
      </c>
      <c r="Y371" s="7">
        <f t="shared" si="740"/>
        <v>0</v>
      </c>
      <c r="Z371" s="7">
        <f t="shared" si="741"/>
        <v>0</v>
      </c>
      <c r="AA371" s="18">
        <f t="shared" si="742"/>
        <v>6124.96</v>
      </c>
      <c r="AB371" s="56">
        <v>10.0</v>
      </c>
      <c r="AC371" s="24">
        <v>812538.25</v>
      </c>
      <c r="AD371" s="24">
        <v>15528.05</v>
      </c>
      <c r="AE371" s="24">
        <v>892.1</v>
      </c>
      <c r="AF371" s="24">
        <v>414.0</v>
      </c>
      <c r="AG371" s="24">
        <v>531.85</v>
      </c>
      <c r="AH371" s="24">
        <v>0.0</v>
      </c>
      <c r="AI371" s="24">
        <v>1338.25</v>
      </c>
      <c r="AJ371" s="24">
        <v>13853.42</v>
      </c>
      <c r="AK371" s="15">
        <v>0.0</v>
      </c>
      <c r="AL371" s="16">
        <v>0.0</v>
      </c>
      <c r="AM371" s="16">
        <v>0.0</v>
      </c>
      <c r="AN371" s="16">
        <v>0.0</v>
      </c>
      <c r="AO371" s="16">
        <v>0.0</v>
      </c>
      <c r="AP371" s="16">
        <v>0.0</v>
      </c>
      <c r="AQ371" s="16">
        <v>0.0</v>
      </c>
      <c r="AR371" s="16">
        <v>0.0</v>
      </c>
      <c r="AS371" s="7">
        <v>0.0</v>
      </c>
      <c r="AT371" s="7">
        <v>0.0</v>
      </c>
      <c r="AU371" s="7">
        <v>0.0</v>
      </c>
      <c r="AV371" s="7">
        <v>0.0</v>
      </c>
      <c r="AW371" s="7">
        <v>0.0</v>
      </c>
      <c r="AX371" s="7">
        <v>0.0</v>
      </c>
      <c r="AY371" s="7">
        <f t="shared" si="743"/>
        <v>0</v>
      </c>
      <c r="AZ371" s="9">
        <v>0.0</v>
      </c>
      <c r="BA371" s="9">
        <v>0.0</v>
      </c>
      <c r="BB371" s="84">
        <v>0.0</v>
      </c>
      <c r="BC371" s="84">
        <v>0.0</v>
      </c>
    </row>
    <row r="372">
      <c r="A372" s="11">
        <v>2025.0</v>
      </c>
      <c r="B372" s="11" t="s">
        <v>124</v>
      </c>
      <c r="C372" s="12">
        <v>45733.0</v>
      </c>
      <c r="D372" s="44">
        <v>11.0</v>
      </c>
      <c r="E372" s="26">
        <v>1028699.01</v>
      </c>
      <c r="F372" s="26">
        <v>40740.44</v>
      </c>
      <c r="G372" s="26">
        <v>3138.53</v>
      </c>
      <c r="H372" s="26">
        <v>1380.0</v>
      </c>
      <c r="I372" s="66">
        <v>2320.53</v>
      </c>
      <c r="J372" s="26">
        <v>30635.43</v>
      </c>
      <c r="K372" s="26">
        <v>51473.36</v>
      </c>
      <c r="L372" s="26">
        <v>18793.84</v>
      </c>
      <c r="M372" s="15">
        <v>4.0</v>
      </c>
      <c r="N372" s="16">
        <v>685711.4</v>
      </c>
      <c r="O372" s="16">
        <f t="shared" si="731"/>
        <v>27428.456</v>
      </c>
      <c r="P372" s="16">
        <f t="shared" si="732"/>
        <v>11519.95152</v>
      </c>
      <c r="Q372" s="16">
        <f t="shared" si="733"/>
        <v>3408</v>
      </c>
      <c r="R372" s="16">
        <f t="shared" si="734"/>
        <v>956.76</v>
      </c>
      <c r="S372" s="17">
        <f t="shared" si="735"/>
        <v>1573.68</v>
      </c>
      <c r="T372" s="17">
        <f t="shared" si="736"/>
        <v>552</v>
      </c>
      <c r="U372" s="7">
        <v>2750.12</v>
      </c>
      <c r="V372" s="18">
        <f t="shared" si="737"/>
        <v>11519.95152</v>
      </c>
      <c r="W372" s="68">
        <f t="shared" si="738"/>
        <v>3277.29</v>
      </c>
      <c r="X372" s="69">
        <f t="shared" si="739"/>
        <v>30635.43</v>
      </c>
      <c r="Y372" s="7">
        <f t="shared" si="740"/>
        <v>27428.456</v>
      </c>
      <c r="Z372" s="7">
        <f t="shared" si="741"/>
        <v>3408</v>
      </c>
      <c r="AA372" s="18">
        <f t="shared" si="742"/>
        <v>79019.24752</v>
      </c>
      <c r="AB372" s="56">
        <v>4.0</v>
      </c>
      <c r="AC372" s="24">
        <v>205903.96</v>
      </c>
      <c r="AD372" s="24">
        <v>11351.62</v>
      </c>
      <c r="AE372" s="24">
        <v>1539.22</v>
      </c>
      <c r="AF372" s="24">
        <v>552.0</v>
      </c>
      <c r="AG372" s="24">
        <v>715.19</v>
      </c>
      <c r="AH372" s="24">
        <v>0.0</v>
      </c>
      <c r="AI372" s="24">
        <v>4974.33</v>
      </c>
      <c r="AJ372" s="24">
        <v>3570.88</v>
      </c>
      <c r="AK372" s="15">
        <v>1.0</v>
      </c>
      <c r="AL372" s="16">
        <v>96449.48</v>
      </c>
      <c r="AM372" s="16">
        <v>0.0</v>
      </c>
      <c r="AN372" s="16">
        <v>1623.0</v>
      </c>
      <c r="AO372" s="16">
        <v>0.0</v>
      </c>
      <c r="AP372" s="16">
        <v>484.48</v>
      </c>
      <c r="AQ372" s="16">
        <v>511.56</v>
      </c>
      <c r="AR372" s="16">
        <v>0.0</v>
      </c>
      <c r="AS372" s="7">
        <f>23255.01-AT372</f>
        <v>21936.01</v>
      </c>
      <c r="AT372" s="7">
        <v>1319.0</v>
      </c>
      <c r="AU372" s="7">
        <v>11305.24</v>
      </c>
      <c r="AV372" s="7">
        <v>4954.94</v>
      </c>
      <c r="AW372" s="7">
        <v>2965.0</v>
      </c>
      <c r="AX372" s="7">
        <f>1048.8</f>
        <v>1048.8</v>
      </c>
      <c r="AY372" s="7">
        <f t="shared" si="743"/>
        <v>43528.99</v>
      </c>
      <c r="AZ372" s="9">
        <v>0.0</v>
      </c>
      <c r="BA372" s="9">
        <v>0.0</v>
      </c>
      <c r="BB372" s="84">
        <v>0.0</v>
      </c>
      <c r="BC372" s="84">
        <v>0.0</v>
      </c>
    </row>
    <row r="373">
      <c r="A373" s="11">
        <v>2025.0</v>
      </c>
      <c r="B373" s="11" t="s">
        <v>124</v>
      </c>
      <c r="C373" s="12">
        <v>45734.0</v>
      </c>
      <c r="D373" s="44">
        <v>6.0</v>
      </c>
      <c r="E373" s="26">
        <v>171501.43</v>
      </c>
      <c r="F373" s="26">
        <v>14290.18</v>
      </c>
      <c r="G373" s="26">
        <v>1771.11</v>
      </c>
      <c r="H373" s="26">
        <v>828.0</v>
      </c>
      <c r="I373" s="66">
        <v>950.83</v>
      </c>
      <c r="J373" s="26">
        <v>0.0</v>
      </c>
      <c r="K373" s="26">
        <v>7464.63</v>
      </c>
      <c r="L373" s="26">
        <v>3275.61</v>
      </c>
      <c r="M373" s="15">
        <v>4.0</v>
      </c>
      <c r="N373" s="16">
        <v>628106.85</v>
      </c>
      <c r="O373" s="16">
        <f t="shared" si="731"/>
        <v>25124.274</v>
      </c>
      <c r="P373" s="16">
        <f t="shared" si="732"/>
        <v>10552.19508</v>
      </c>
      <c r="Q373" s="16">
        <f t="shared" si="733"/>
        <v>3408</v>
      </c>
      <c r="R373" s="16">
        <f t="shared" si="734"/>
        <v>956.76</v>
      </c>
      <c r="S373" s="17">
        <f t="shared" si="735"/>
        <v>1573.68</v>
      </c>
      <c r="T373" s="17">
        <f t="shared" si="736"/>
        <v>552</v>
      </c>
      <c r="U373" s="7">
        <v>2283.39</v>
      </c>
      <c r="V373" s="18">
        <f t="shared" si="737"/>
        <v>10552.19508</v>
      </c>
      <c r="W373" s="68">
        <f t="shared" si="738"/>
        <v>1907.59</v>
      </c>
      <c r="X373" s="69">
        <f t="shared" si="739"/>
        <v>0</v>
      </c>
      <c r="Y373" s="7">
        <f t="shared" si="740"/>
        <v>25124.274</v>
      </c>
      <c r="Z373" s="7">
        <f t="shared" si="741"/>
        <v>3408</v>
      </c>
      <c r="AA373" s="18">
        <f t="shared" si="742"/>
        <v>43275.44908</v>
      </c>
      <c r="AB373" s="56">
        <v>2.0</v>
      </c>
      <c r="AC373" s="24">
        <v>111488.04</v>
      </c>
      <c r="AD373" s="24">
        <v>6260.23</v>
      </c>
      <c r="AE373" s="24">
        <v>907.79</v>
      </c>
      <c r="AF373" s="24">
        <v>276.0</v>
      </c>
      <c r="AG373" s="24">
        <v>145.35</v>
      </c>
      <c r="AH373" s="24">
        <v>0.0</v>
      </c>
      <c r="AI373" s="24">
        <v>3058.09</v>
      </c>
      <c r="AJ373" s="24">
        <v>1873.0</v>
      </c>
      <c r="AK373" s="15">
        <v>0.0</v>
      </c>
      <c r="AL373" s="16">
        <v>0.0</v>
      </c>
      <c r="AM373" s="16">
        <v>0.0</v>
      </c>
      <c r="AN373" s="16">
        <v>0.0</v>
      </c>
      <c r="AO373" s="16">
        <v>0.0</v>
      </c>
      <c r="AP373" s="16">
        <v>0.0</v>
      </c>
      <c r="AQ373" s="16">
        <v>0.0</v>
      </c>
      <c r="AR373" s="16">
        <v>0.0</v>
      </c>
      <c r="AS373" s="7">
        <f>44310.43-AT373</f>
        <v>42687.43</v>
      </c>
      <c r="AT373" s="7">
        <v>1623.0</v>
      </c>
      <c r="AU373" s="7">
        <v>11699.56</v>
      </c>
      <c r="AV373" s="7">
        <v>3015.95</v>
      </c>
      <c r="AW373" s="7">
        <v>3648.0</v>
      </c>
      <c r="AX373" s="7">
        <f>931.1</f>
        <v>931.1</v>
      </c>
      <c r="AY373" s="7">
        <f t="shared" si="743"/>
        <v>63605.04</v>
      </c>
      <c r="AZ373" s="9">
        <v>2.0</v>
      </c>
      <c r="BA373" s="9">
        <v>0.0</v>
      </c>
      <c r="BB373" s="84">
        <v>0.0</v>
      </c>
      <c r="BC373" s="84">
        <v>0.0</v>
      </c>
    </row>
    <row r="374">
      <c r="A374" s="11">
        <v>2025.0</v>
      </c>
      <c r="B374" s="11" t="s">
        <v>124</v>
      </c>
      <c r="C374" s="12">
        <v>45735.0</v>
      </c>
      <c r="D374" s="44">
        <v>17.0</v>
      </c>
      <c r="E374" s="26">
        <v>1091073.32</v>
      </c>
      <c r="F374" s="26">
        <v>43594.67</v>
      </c>
      <c r="G374" s="26">
        <v>3961.47</v>
      </c>
      <c r="H374" s="26">
        <v>1656.0</v>
      </c>
      <c r="I374" s="66">
        <v>2238.24</v>
      </c>
      <c r="J374" s="26">
        <v>2326.38</v>
      </c>
      <c r="K374" s="26">
        <v>20869.38</v>
      </c>
      <c r="L374" s="26">
        <v>19364.18</v>
      </c>
      <c r="M374" s="15">
        <v>4.0</v>
      </c>
      <c r="N374" s="16">
        <v>398649.53</v>
      </c>
      <c r="O374" s="16">
        <f t="shared" si="731"/>
        <v>15945.9812</v>
      </c>
      <c r="P374" s="16">
        <f t="shared" si="732"/>
        <v>6697.312104</v>
      </c>
      <c r="Q374" s="16">
        <f t="shared" si="733"/>
        <v>3408</v>
      </c>
      <c r="R374" s="16">
        <f t="shared" si="734"/>
        <v>956.76</v>
      </c>
      <c r="S374" s="17">
        <f t="shared" si="735"/>
        <v>1573.68</v>
      </c>
      <c r="T374" s="17">
        <f t="shared" si="736"/>
        <v>552</v>
      </c>
      <c r="U374" s="7">
        <v>5063.74</v>
      </c>
      <c r="V374" s="18">
        <f t="shared" si="737"/>
        <v>6697.312104</v>
      </c>
      <c r="W374" s="68">
        <f t="shared" si="738"/>
        <v>3195</v>
      </c>
      <c r="X374" s="69">
        <f t="shared" si="739"/>
        <v>2326.38</v>
      </c>
      <c r="Y374" s="7">
        <f t="shared" si="740"/>
        <v>15945.9812</v>
      </c>
      <c r="Z374" s="7">
        <f t="shared" si="741"/>
        <v>3408</v>
      </c>
      <c r="AA374" s="18">
        <f t="shared" si="742"/>
        <v>36636.4133</v>
      </c>
      <c r="AB374" s="56">
        <v>8.0</v>
      </c>
      <c r="AC374" s="24">
        <v>727145.95</v>
      </c>
      <c r="AD374" s="24">
        <v>24868.04</v>
      </c>
      <c r="AE374" s="24">
        <v>2650.95</v>
      </c>
      <c r="AF374" s="24">
        <v>966.0</v>
      </c>
      <c r="AG374" s="24">
        <v>762.81</v>
      </c>
      <c r="AH374" s="24">
        <v>0.0</v>
      </c>
      <c r="AI374" s="24">
        <v>7312.49</v>
      </c>
      <c r="AJ374" s="24">
        <v>13175.79</v>
      </c>
      <c r="AK374" s="15">
        <v>4.0</v>
      </c>
      <c r="AL374" s="16">
        <v>379641.14</v>
      </c>
      <c r="AM374" s="16">
        <v>14357.0</v>
      </c>
      <c r="AN374" s="16">
        <v>6389.0</v>
      </c>
      <c r="AO374" s="16">
        <v>2650.0</v>
      </c>
      <c r="AP374" s="16">
        <v>1898.13</v>
      </c>
      <c r="AQ374" s="16">
        <v>2412.37</v>
      </c>
      <c r="AR374" s="16">
        <v>0.0</v>
      </c>
      <c r="AS374" s="7">
        <f>15730.72-AT374</f>
        <v>10012.72</v>
      </c>
      <c r="AT374" s="7">
        <v>5718.0</v>
      </c>
      <c r="AU374" s="7">
        <v>5826.19</v>
      </c>
      <c r="AV374" s="7">
        <v>1757.97</v>
      </c>
      <c r="AW374" s="7">
        <v>12849.0</v>
      </c>
      <c r="AX374" s="7">
        <f>2016.63</f>
        <v>2016.63</v>
      </c>
      <c r="AY374" s="7">
        <f t="shared" si="743"/>
        <v>38180.51</v>
      </c>
      <c r="AZ374" s="9">
        <v>2.0</v>
      </c>
      <c r="BA374" s="9">
        <v>2.0</v>
      </c>
      <c r="BB374" s="84">
        <v>5.0</v>
      </c>
      <c r="BC374" s="84">
        <v>0.0</v>
      </c>
    </row>
    <row r="375">
      <c r="A375" s="11">
        <v>2025.0</v>
      </c>
      <c r="B375" s="11" t="s">
        <v>124</v>
      </c>
      <c r="C375" s="12">
        <v>45736.0</v>
      </c>
      <c r="D375" s="44">
        <v>15.0</v>
      </c>
      <c r="E375" s="26">
        <v>902281.34</v>
      </c>
      <c r="F375" s="26">
        <v>45807.3</v>
      </c>
      <c r="G375" s="26">
        <v>3890.17</v>
      </c>
      <c r="H375" s="26">
        <v>1518.0</v>
      </c>
      <c r="I375" s="66">
        <v>2736.57</v>
      </c>
      <c r="J375" s="26">
        <v>4395.3</v>
      </c>
      <c r="K375" s="26">
        <v>24935.78</v>
      </c>
      <c r="L375" s="26">
        <v>15672.42</v>
      </c>
      <c r="M375" s="15">
        <v>4.0</v>
      </c>
      <c r="N375" s="16">
        <v>655421.67</v>
      </c>
      <c r="O375" s="16">
        <f t="shared" si="731"/>
        <v>26216.8668</v>
      </c>
      <c r="P375" s="16">
        <f t="shared" si="732"/>
        <v>11011.08406</v>
      </c>
      <c r="Q375" s="16">
        <f t="shared" si="733"/>
        <v>3408</v>
      </c>
      <c r="R375" s="16">
        <f t="shared" si="734"/>
        <v>956.76</v>
      </c>
      <c r="S375" s="17">
        <f t="shared" si="735"/>
        <v>1573.68</v>
      </c>
      <c r="T375" s="17">
        <f t="shared" si="736"/>
        <v>552</v>
      </c>
      <c r="U375" s="7">
        <v>3375.46</v>
      </c>
      <c r="V375" s="18">
        <f t="shared" si="737"/>
        <v>11011.08406</v>
      </c>
      <c r="W375" s="68">
        <f t="shared" si="738"/>
        <v>3693.33</v>
      </c>
      <c r="X375" s="69">
        <f t="shared" si="739"/>
        <v>4395.3</v>
      </c>
      <c r="Y375" s="7">
        <f t="shared" si="740"/>
        <v>26216.8668</v>
      </c>
      <c r="Z375" s="7">
        <f t="shared" si="741"/>
        <v>3408</v>
      </c>
      <c r="AA375" s="18">
        <f t="shared" si="742"/>
        <v>52100.04086</v>
      </c>
      <c r="AB375" s="56">
        <v>3.0</v>
      </c>
      <c r="AC375" s="24">
        <v>173613.47</v>
      </c>
      <c r="AD375" s="24">
        <v>9816.84</v>
      </c>
      <c r="AE375" s="24">
        <v>799.03</v>
      </c>
      <c r="AF375" s="24">
        <v>276.0</v>
      </c>
      <c r="AG375" s="24">
        <v>336.81</v>
      </c>
      <c r="AH375" s="24">
        <v>0.0</v>
      </c>
      <c r="AI375" s="24">
        <v>5329.18</v>
      </c>
      <c r="AJ375" s="24">
        <v>3075.82</v>
      </c>
      <c r="AK375" s="15">
        <v>3.0</v>
      </c>
      <c r="AL375" s="16">
        <v>299709.22</v>
      </c>
      <c r="AM375" s="16">
        <v>8430.0</v>
      </c>
      <c r="AN375" s="16">
        <v>5045.0</v>
      </c>
      <c r="AO375" s="16">
        <v>1500.0</v>
      </c>
      <c r="AP375" s="16">
        <v>1430.81</v>
      </c>
      <c r="AQ375" s="16">
        <v>1554.77</v>
      </c>
      <c r="AR375" s="16">
        <v>0.0</v>
      </c>
      <c r="AS375" s="7">
        <f>21374.17-AT375</f>
        <v>16951.17</v>
      </c>
      <c r="AT375" s="7">
        <v>4423.0</v>
      </c>
      <c r="AU375" s="7">
        <v>10516.72</v>
      </c>
      <c r="AV375" s="7">
        <v>853.83</v>
      </c>
      <c r="AW375" s="7">
        <v>9938.0</v>
      </c>
      <c r="AX375" s="7">
        <f>2207.08</f>
        <v>2207.08</v>
      </c>
      <c r="AY375" s="7">
        <f t="shared" si="743"/>
        <v>44889.8</v>
      </c>
      <c r="AZ375" s="9">
        <v>3.0</v>
      </c>
      <c r="BA375" s="9">
        <v>1.0</v>
      </c>
      <c r="BB375" s="84">
        <v>0.0</v>
      </c>
      <c r="BC375" s="84">
        <v>1.0</v>
      </c>
    </row>
    <row r="376">
      <c r="A376" s="11">
        <v>2025.0</v>
      </c>
      <c r="B376" s="11" t="s">
        <v>124</v>
      </c>
      <c r="C376" s="12">
        <v>45737.0</v>
      </c>
      <c r="D376" s="44">
        <v>6.0</v>
      </c>
      <c r="E376" s="26">
        <v>321424.46</v>
      </c>
      <c r="F376" s="26">
        <v>14487.8</v>
      </c>
      <c r="G376" s="26">
        <v>1674.58</v>
      </c>
      <c r="H376" s="26">
        <v>828.0</v>
      </c>
      <c r="I376" s="66">
        <v>1252.96</v>
      </c>
      <c r="J376" s="26">
        <v>658.96</v>
      </c>
      <c r="K376" s="26">
        <v>5332.33</v>
      </c>
      <c r="L376" s="26">
        <v>5399.93</v>
      </c>
      <c r="M376" s="15">
        <v>4.0</v>
      </c>
      <c r="N376" s="16">
        <v>300683.35</v>
      </c>
      <c r="O376" s="16">
        <f t="shared" si="731"/>
        <v>12027.334</v>
      </c>
      <c r="P376" s="16">
        <f t="shared" si="732"/>
        <v>5051.48028</v>
      </c>
      <c r="Q376" s="16">
        <f t="shared" si="733"/>
        <v>3408</v>
      </c>
      <c r="R376" s="16">
        <f t="shared" si="734"/>
        <v>956.76</v>
      </c>
      <c r="S376" s="17">
        <f t="shared" si="735"/>
        <v>1573.68</v>
      </c>
      <c r="T376" s="17">
        <f t="shared" si="736"/>
        <v>552</v>
      </c>
      <c r="U376" s="7">
        <v>824.79</v>
      </c>
      <c r="V376" s="18">
        <f t="shared" si="737"/>
        <v>5051.48028</v>
      </c>
      <c r="W376" s="68">
        <f t="shared" si="738"/>
        <v>2209.72</v>
      </c>
      <c r="X376" s="69">
        <f t="shared" si="739"/>
        <v>658.96</v>
      </c>
      <c r="Y376" s="7">
        <f t="shared" si="740"/>
        <v>12027.334</v>
      </c>
      <c r="Z376" s="7">
        <f t="shared" si="741"/>
        <v>3408</v>
      </c>
      <c r="AA376" s="18">
        <f t="shared" si="742"/>
        <v>24180.28428</v>
      </c>
      <c r="AB376" s="56">
        <v>1.0</v>
      </c>
      <c r="AC376" s="24">
        <v>42371.84</v>
      </c>
      <c r="AD376" s="24">
        <v>1820.53</v>
      </c>
      <c r="AE376" s="24">
        <v>267.54</v>
      </c>
      <c r="AF376" s="24">
        <v>138.0</v>
      </c>
      <c r="AG376" s="24">
        <v>139.19</v>
      </c>
      <c r="AH376" s="24">
        <v>0.0</v>
      </c>
      <c r="AI376" s="24">
        <v>563.95</v>
      </c>
      <c r="AJ376" s="24">
        <v>711.85</v>
      </c>
      <c r="AK376" s="15">
        <v>3.0</v>
      </c>
      <c r="AL376" s="16">
        <v>267987.8</v>
      </c>
      <c r="AM376" s="16">
        <v>6904.0</v>
      </c>
      <c r="AN376" s="16">
        <v>4511.0</v>
      </c>
      <c r="AO376" s="16">
        <v>2000.0</v>
      </c>
      <c r="AP376" s="16">
        <v>1554.32</v>
      </c>
      <c r="AQ376" s="16">
        <v>864.37</v>
      </c>
      <c r="AR376" s="16">
        <v>0.0</v>
      </c>
      <c r="AS376" s="7">
        <f>16273.41-AT376</f>
        <v>14980.41</v>
      </c>
      <c r="AT376" s="7">
        <v>1293.0</v>
      </c>
      <c r="AU376" s="7">
        <v>7200.13</v>
      </c>
      <c r="AV376" s="7">
        <v>1851.34</v>
      </c>
      <c r="AW376" s="7">
        <v>0.0</v>
      </c>
      <c r="AX376" s="7">
        <f>14.94</f>
        <v>14.94</v>
      </c>
      <c r="AY376" s="7">
        <f t="shared" si="743"/>
        <v>25339.82</v>
      </c>
      <c r="AZ376" s="9">
        <v>3.0</v>
      </c>
      <c r="BA376" s="9">
        <v>3.0</v>
      </c>
      <c r="BB376" s="84">
        <v>3.0</v>
      </c>
      <c r="BC376" s="84">
        <v>0.0</v>
      </c>
    </row>
    <row r="377">
      <c r="A377" s="11">
        <v>2025.0</v>
      </c>
      <c r="B377" s="11" t="s">
        <v>124</v>
      </c>
      <c r="C377" s="1"/>
      <c r="D377" s="2">
        <v>86.0</v>
      </c>
      <c r="E377" s="2"/>
      <c r="F377" s="59" t="s">
        <v>127</v>
      </c>
      <c r="G377" s="2"/>
      <c r="H377" s="33"/>
      <c r="I377" s="33"/>
      <c r="J377" s="33"/>
      <c r="K377" s="33"/>
      <c r="L377" s="33"/>
      <c r="M377" s="4">
        <v>14.0</v>
      </c>
      <c r="N377" s="4">
        <v>1442288.26</v>
      </c>
      <c r="O377" s="35"/>
      <c r="P377" s="35"/>
      <c r="Q377" s="35"/>
      <c r="R377" s="35"/>
      <c r="S377" s="35"/>
      <c r="T377" s="35"/>
      <c r="U377" s="37"/>
      <c r="V377" s="48"/>
      <c r="W377" s="48"/>
      <c r="X377" s="37"/>
      <c r="Y377" s="48"/>
      <c r="Z377" s="48"/>
      <c r="AA377" s="48"/>
      <c r="AB377" s="2"/>
      <c r="AC377" s="33"/>
      <c r="AD377" s="2"/>
      <c r="AE377" s="33"/>
      <c r="AF377" s="33"/>
      <c r="AG377" s="33"/>
      <c r="AH377" s="33"/>
      <c r="AI377" s="33"/>
      <c r="AJ377" s="33"/>
      <c r="AK377" s="4">
        <v>0.0</v>
      </c>
      <c r="AL377" s="4">
        <v>0.0</v>
      </c>
      <c r="AM377" s="35"/>
      <c r="AN377" s="35"/>
      <c r="AO377" s="35"/>
      <c r="AP377" s="35"/>
      <c r="AQ377" s="35"/>
      <c r="AR377" s="35"/>
      <c r="AS377" s="37"/>
      <c r="AT377" s="48"/>
      <c r="AU377" s="48"/>
      <c r="AV377" s="48"/>
      <c r="AW377" s="48"/>
      <c r="AX377" s="48"/>
      <c r="AY377" s="48"/>
      <c r="AZ377" s="38"/>
      <c r="BA377" s="39"/>
      <c r="BB377" s="85"/>
      <c r="BC377" s="85"/>
    </row>
    <row r="378">
      <c r="A378" s="1">
        <v>2025.0</v>
      </c>
      <c r="B378" s="11" t="s">
        <v>124</v>
      </c>
      <c r="C378" s="1" t="s">
        <v>49</v>
      </c>
      <c r="D378" s="33">
        <f t="shared" ref="D378:F378" si="744">SUM(D370:D376)</f>
        <v>170</v>
      </c>
      <c r="E378" s="34">
        <f t="shared" si="744"/>
        <v>11838197.04</v>
      </c>
      <c r="F378" s="34">
        <f t="shared" si="744"/>
        <v>489447.26</v>
      </c>
      <c r="G378" s="34">
        <f>SUM(G370:G377)</f>
        <v>51749.89</v>
      </c>
      <c r="H378" s="34">
        <f t="shared" ref="H378:L378" si="745">SUM(H370:H376)</f>
        <v>11178</v>
      </c>
      <c r="I378" s="55">
        <f t="shared" si="745"/>
        <v>51047.64</v>
      </c>
      <c r="J378" s="34">
        <f t="shared" si="745"/>
        <v>60845.02</v>
      </c>
      <c r="K378" s="34">
        <f t="shared" si="745"/>
        <v>251849.97</v>
      </c>
      <c r="L378" s="34">
        <f t="shared" si="745"/>
        <v>207835.58</v>
      </c>
      <c r="M378" s="35">
        <f t="shared" ref="M378:N378" si="746">SUM(M370:M377)</f>
        <v>34</v>
      </c>
      <c r="N378" s="36">
        <f t="shared" si="746"/>
        <v>4110861.06</v>
      </c>
      <c r="O378" s="36">
        <f t="shared" ref="O378:AJ378" si="747">SUM(O370:O376)</f>
        <v>106742.912</v>
      </c>
      <c r="P378" s="36">
        <f t="shared" si="747"/>
        <v>44832.02304</v>
      </c>
      <c r="Q378" s="36">
        <f t="shared" si="747"/>
        <v>17040</v>
      </c>
      <c r="R378" s="70">
        <f t="shared" si="747"/>
        <v>4783.8</v>
      </c>
      <c r="S378" s="36">
        <f t="shared" si="747"/>
        <v>7868.4</v>
      </c>
      <c r="T378" s="36">
        <f t="shared" si="747"/>
        <v>2760</v>
      </c>
      <c r="U378" s="37">
        <f t="shared" si="747"/>
        <v>20779.5</v>
      </c>
      <c r="V378" s="37">
        <f t="shared" si="747"/>
        <v>44832.02304</v>
      </c>
      <c r="W378" s="71">
        <f t="shared" si="747"/>
        <v>55831.44</v>
      </c>
      <c r="X378" s="37">
        <f t="shared" si="747"/>
        <v>60845.02</v>
      </c>
      <c r="Y378" s="37">
        <f t="shared" si="747"/>
        <v>106742.912</v>
      </c>
      <c r="Z378" s="37">
        <f t="shared" si="747"/>
        <v>17040</v>
      </c>
      <c r="AA378" s="37">
        <f t="shared" si="747"/>
        <v>306070.895</v>
      </c>
      <c r="AB378" s="33">
        <f t="shared" si="747"/>
        <v>97</v>
      </c>
      <c r="AC378" s="34">
        <f t="shared" si="747"/>
        <v>7346756.28</v>
      </c>
      <c r="AD378" s="34">
        <f t="shared" si="747"/>
        <v>278154.04</v>
      </c>
      <c r="AE378" s="34">
        <f t="shared" si="747"/>
        <v>31473.53</v>
      </c>
      <c r="AF378" s="34">
        <f t="shared" si="747"/>
        <v>4002</v>
      </c>
      <c r="AG378" s="34">
        <f t="shared" si="747"/>
        <v>30447.34</v>
      </c>
      <c r="AH378" s="34">
        <f t="shared" si="747"/>
        <v>0</v>
      </c>
      <c r="AI378" s="34">
        <f t="shared" si="747"/>
        <v>86718.54</v>
      </c>
      <c r="AJ378" s="34">
        <f t="shared" si="747"/>
        <v>127014.2</v>
      </c>
      <c r="AK378" s="35">
        <f t="shared" ref="AK378:AL378" si="748">SUM(AK370:AK377)</f>
        <v>11</v>
      </c>
      <c r="AL378" s="36">
        <f t="shared" si="748"/>
        <v>1043787.64</v>
      </c>
      <c r="AM378" s="36">
        <f t="shared" ref="AM378:BC378" si="749">SUM(AM370:AM376)</f>
        <v>29691</v>
      </c>
      <c r="AN378" s="36">
        <f t="shared" si="749"/>
        <v>17568</v>
      </c>
      <c r="AO378" s="36">
        <f t="shared" si="749"/>
        <v>6150</v>
      </c>
      <c r="AP378" s="36">
        <f t="shared" si="749"/>
        <v>5367.74</v>
      </c>
      <c r="AQ378" s="36">
        <f t="shared" si="749"/>
        <v>5343.07</v>
      </c>
      <c r="AR378" s="36">
        <f t="shared" si="749"/>
        <v>0</v>
      </c>
      <c r="AS378" s="37">
        <f t="shared" si="749"/>
        <v>106567.74</v>
      </c>
      <c r="AT378" s="37">
        <f t="shared" si="749"/>
        <v>14376</v>
      </c>
      <c r="AU378" s="37">
        <f t="shared" si="749"/>
        <v>46547.84</v>
      </c>
      <c r="AV378" s="37">
        <f t="shared" si="749"/>
        <v>12434.03</v>
      </c>
      <c r="AW378" s="37">
        <f t="shared" si="749"/>
        <v>29400</v>
      </c>
      <c r="AX378" s="37">
        <f t="shared" si="749"/>
        <v>6218.55</v>
      </c>
      <c r="AY378" s="37">
        <f t="shared" si="749"/>
        <v>215544.16</v>
      </c>
      <c r="AZ378" s="38">
        <f t="shared" si="749"/>
        <v>10</v>
      </c>
      <c r="BA378" s="39">
        <f t="shared" si="749"/>
        <v>6</v>
      </c>
      <c r="BB378" s="85">
        <f t="shared" si="749"/>
        <v>8</v>
      </c>
      <c r="BC378" s="85">
        <f t="shared" si="749"/>
        <v>1</v>
      </c>
    </row>
    <row r="379">
      <c r="A379" s="11">
        <v>2025.0</v>
      </c>
      <c r="B379" s="11" t="s">
        <v>124</v>
      </c>
      <c r="C379" s="12">
        <v>45738.0</v>
      </c>
      <c r="D379" s="44">
        <v>11.0</v>
      </c>
      <c r="E379" s="26">
        <v>461656.84</v>
      </c>
      <c r="F379" s="26">
        <v>23908.57</v>
      </c>
      <c r="G379" s="26">
        <v>3028.95</v>
      </c>
      <c r="H379" s="26">
        <v>1518.0</v>
      </c>
      <c r="I379" s="66">
        <v>2270.13</v>
      </c>
      <c r="J379" s="26">
        <v>1231.68</v>
      </c>
      <c r="K379" s="26">
        <v>8973.8</v>
      </c>
      <c r="L379" s="26">
        <v>8117.69</v>
      </c>
      <c r="M379" s="15">
        <v>0.0</v>
      </c>
      <c r="N379" s="16">
        <v>0.0</v>
      </c>
      <c r="O379" s="16">
        <f t="shared" ref="O379:O385" si="750">N379*4%</f>
        <v>0</v>
      </c>
      <c r="P379" s="16">
        <f t="shared" ref="P379:P385" si="751">N379*1.68%</f>
        <v>0</v>
      </c>
      <c r="Q379" s="16">
        <f t="shared" ref="Q379:Q385" si="752">M379*(400+350+100+2)</f>
        <v>0</v>
      </c>
      <c r="R379" s="67">
        <f t="shared" ref="R379:R385" si="753">M379*239.19</f>
        <v>0</v>
      </c>
      <c r="S379" s="17">
        <f t="shared" ref="S379:S385" si="754">M379*393.42</f>
        <v>0</v>
      </c>
      <c r="T379" s="17">
        <f t="shared" ref="T379:T385" si="755">M379*138</f>
        <v>0</v>
      </c>
      <c r="U379" s="7">
        <v>1623.54</v>
      </c>
      <c r="V379" s="18">
        <f t="shared" ref="V379:V385" si="756">P379</f>
        <v>0</v>
      </c>
      <c r="W379" s="68">
        <f t="shared" ref="W379:W385" si="757">I379+R379</f>
        <v>2270.13</v>
      </c>
      <c r="X379" s="69">
        <f t="shared" ref="X379:X385" si="758">J379</f>
        <v>1231.68</v>
      </c>
      <c r="Y379" s="7">
        <f t="shared" ref="Y379:Y385" si="759">O379</f>
        <v>0</v>
      </c>
      <c r="Z379" s="7">
        <f t="shared" ref="Z379:Z385" si="760">Q379</f>
        <v>0</v>
      </c>
      <c r="AA379" s="18">
        <f t="shared" ref="AA379:AA385" si="761">SUM(U379:Z379)</f>
        <v>5125.35</v>
      </c>
      <c r="AB379" s="56">
        <v>5.0</v>
      </c>
      <c r="AC379" s="24">
        <v>168840.53</v>
      </c>
      <c r="AD379" s="24">
        <v>10222.88</v>
      </c>
      <c r="AE379" s="24">
        <v>1451.51</v>
      </c>
      <c r="AF379" s="24">
        <v>690.0</v>
      </c>
      <c r="AG379" s="24">
        <v>753.77</v>
      </c>
      <c r="AH379" s="24">
        <v>0.0</v>
      </c>
      <c r="AI379" s="24">
        <v>4129.22</v>
      </c>
      <c r="AJ379" s="24">
        <v>3198.38</v>
      </c>
      <c r="AK379" s="15">
        <v>0.0</v>
      </c>
      <c r="AL379" s="16">
        <v>0.0</v>
      </c>
      <c r="AM379" s="16">
        <v>0.0</v>
      </c>
      <c r="AN379" s="16">
        <v>0.0</v>
      </c>
      <c r="AO379" s="16">
        <v>0.0</v>
      </c>
      <c r="AP379" s="16">
        <v>0.0</v>
      </c>
      <c r="AQ379" s="16">
        <v>0.0</v>
      </c>
      <c r="AR379" s="16">
        <v>0.0</v>
      </c>
      <c r="AS379" s="7">
        <v>0.0</v>
      </c>
      <c r="AT379" s="7">
        <v>0.0</v>
      </c>
      <c r="AU379" s="7">
        <v>0.0</v>
      </c>
      <c r="AV379" s="7">
        <v>0.0</v>
      </c>
      <c r="AW379" s="7">
        <v>0.0</v>
      </c>
      <c r="AX379" s="7">
        <v>0.0</v>
      </c>
      <c r="AY379" s="7">
        <f t="shared" ref="AY379:AY385" si="762">SUM(AS379:AX379)</f>
        <v>0</v>
      </c>
      <c r="AZ379" s="9">
        <v>0.0</v>
      </c>
      <c r="BA379" s="9">
        <v>0.0</v>
      </c>
      <c r="BB379" s="84">
        <v>0.0</v>
      </c>
      <c r="BC379" s="84">
        <v>0.0</v>
      </c>
    </row>
    <row r="380">
      <c r="A380" s="11">
        <v>2025.0</v>
      </c>
      <c r="B380" s="11" t="s">
        <v>124</v>
      </c>
      <c r="C380" s="12">
        <v>45739.0</v>
      </c>
      <c r="D380" s="44">
        <v>14.0</v>
      </c>
      <c r="E380" s="26">
        <v>754656.64</v>
      </c>
      <c r="F380" s="26">
        <v>42225.73</v>
      </c>
      <c r="G380" s="26">
        <v>4242.87</v>
      </c>
      <c r="H380" s="26">
        <v>1794.0</v>
      </c>
      <c r="I380" s="66">
        <v>2987.29</v>
      </c>
      <c r="J380" s="26">
        <v>47442.16</v>
      </c>
      <c r="K380" s="26">
        <v>-20317.23</v>
      </c>
      <c r="L380" s="26">
        <v>14112.89</v>
      </c>
      <c r="M380" s="15">
        <v>0.0</v>
      </c>
      <c r="N380" s="16">
        <v>0.0</v>
      </c>
      <c r="O380" s="16">
        <f t="shared" si="750"/>
        <v>0</v>
      </c>
      <c r="P380" s="16">
        <f t="shared" si="751"/>
        <v>0</v>
      </c>
      <c r="Q380" s="16">
        <f t="shared" si="752"/>
        <v>0</v>
      </c>
      <c r="R380" s="67">
        <f t="shared" si="753"/>
        <v>0</v>
      </c>
      <c r="S380" s="17">
        <f t="shared" si="754"/>
        <v>0</v>
      </c>
      <c r="T380" s="17">
        <f t="shared" si="755"/>
        <v>0</v>
      </c>
      <c r="U380" s="7">
        <v>2822.54</v>
      </c>
      <c r="V380" s="18">
        <f t="shared" si="756"/>
        <v>0</v>
      </c>
      <c r="W380" s="68">
        <f t="shared" si="757"/>
        <v>2987.29</v>
      </c>
      <c r="X380" s="69">
        <f t="shared" si="758"/>
        <v>47442.16</v>
      </c>
      <c r="Y380" s="7">
        <f t="shared" si="759"/>
        <v>0</v>
      </c>
      <c r="Z380" s="7">
        <f t="shared" si="760"/>
        <v>0</v>
      </c>
      <c r="AA380" s="18">
        <f t="shared" si="761"/>
        <v>53251.99</v>
      </c>
      <c r="AB380" s="56">
        <v>7.0</v>
      </c>
      <c r="AC380" s="24">
        <v>399373.85</v>
      </c>
      <c r="AD380" s="24">
        <v>20462.81</v>
      </c>
      <c r="AE380" s="24">
        <v>2167.7</v>
      </c>
      <c r="AF380" s="24">
        <v>828.0</v>
      </c>
      <c r="AG380" s="24">
        <v>948.12</v>
      </c>
      <c r="AH380" s="24">
        <v>0.0</v>
      </c>
      <c r="AI380" s="24">
        <v>9809.51</v>
      </c>
      <c r="AJ380" s="24">
        <v>6709.48</v>
      </c>
      <c r="AK380" s="15">
        <v>0.0</v>
      </c>
      <c r="AL380" s="16">
        <v>0.0</v>
      </c>
      <c r="AM380" s="16">
        <v>0.0</v>
      </c>
      <c r="AN380" s="16">
        <v>0.0</v>
      </c>
      <c r="AO380" s="16">
        <v>0.0</v>
      </c>
      <c r="AP380" s="16">
        <v>0.0</v>
      </c>
      <c r="AQ380" s="16">
        <v>0.0</v>
      </c>
      <c r="AR380" s="16">
        <v>0.0</v>
      </c>
      <c r="AS380" s="7">
        <v>0.0</v>
      </c>
      <c r="AT380" s="7">
        <v>0.0</v>
      </c>
      <c r="AU380" s="7">
        <v>0.0</v>
      </c>
      <c r="AV380" s="7">
        <v>0.0</v>
      </c>
      <c r="AW380" s="7">
        <v>0.0</v>
      </c>
      <c r="AX380" s="7">
        <v>0.0</v>
      </c>
      <c r="AY380" s="7">
        <f t="shared" si="762"/>
        <v>0</v>
      </c>
      <c r="AZ380" s="9">
        <v>0.0</v>
      </c>
      <c r="BA380" s="9">
        <v>0.0</v>
      </c>
      <c r="BB380" s="84">
        <v>0.0</v>
      </c>
      <c r="BC380" s="84">
        <v>0.0</v>
      </c>
    </row>
    <row r="381">
      <c r="A381" s="11">
        <v>2025.0</v>
      </c>
      <c r="B381" s="11" t="s">
        <v>124</v>
      </c>
      <c r="C381" s="12">
        <v>45740.0</v>
      </c>
      <c r="D381" s="44">
        <v>9.0</v>
      </c>
      <c r="E381" s="26">
        <v>573698.71</v>
      </c>
      <c r="F381" s="26">
        <v>28455.17</v>
      </c>
      <c r="G381" s="26">
        <v>3352.12</v>
      </c>
      <c r="H381" s="26">
        <v>1242.0</v>
      </c>
      <c r="I381" s="66">
        <v>1535.39</v>
      </c>
      <c r="J381" s="26">
        <v>2435.68</v>
      </c>
      <c r="K381" s="26">
        <v>13347.79</v>
      </c>
      <c r="L381" s="26">
        <v>8977.87</v>
      </c>
      <c r="M381" s="15">
        <v>3.0</v>
      </c>
      <c r="N381" s="16">
        <v>665898.2</v>
      </c>
      <c r="O381" s="16">
        <f t="shared" si="750"/>
        <v>26635.928</v>
      </c>
      <c r="P381" s="16">
        <f t="shared" si="751"/>
        <v>11187.08976</v>
      </c>
      <c r="Q381" s="16">
        <f t="shared" si="752"/>
        <v>2556</v>
      </c>
      <c r="R381" s="67">
        <f t="shared" si="753"/>
        <v>717.57</v>
      </c>
      <c r="S381" s="17">
        <f t="shared" si="754"/>
        <v>1180.26</v>
      </c>
      <c r="T381" s="17">
        <f t="shared" si="755"/>
        <v>414</v>
      </c>
      <c r="U381" s="7">
        <v>1795.57</v>
      </c>
      <c r="V381" s="18">
        <f t="shared" si="756"/>
        <v>11187.08976</v>
      </c>
      <c r="W381" s="68">
        <f t="shared" si="757"/>
        <v>2252.96</v>
      </c>
      <c r="X381" s="69">
        <f t="shared" si="758"/>
        <v>2435.68</v>
      </c>
      <c r="Y381" s="7">
        <f t="shared" si="759"/>
        <v>26635.928</v>
      </c>
      <c r="Z381" s="7">
        <f t="shared" si="760"/>
        <v>2556</v>
      </c>
      <c r="AA381" s="18">
        <f t="shared" si="761"/>
        <v>46863.22776</v>
      </c>
      <c r="AB381" s="56">
        <v>5.0</v>
      </c>
      <c r="AC381" s="24">
        <v>255928.39</v>
      </c>
      <c r="AD381" s="24">
        <v>16228.26</v>
      </c>
      <c r="AE381" s="24">
        <v>2021.01</v>
      </c>
      <c r="AF381" s="24">
        <v>690.0</v>
      </c>
      <c r="AG381" s="24">
        <v>597.96</v>
      </c>
      <c r="AH381" s="24">
        <v>0.0</v>
      </c>
      <c r="AI381" s="24">
        <v>9279.96</v>
      </c>
      <c r="AJ381" s="24">
        <v>0.0</v>
      </c>
      <c r="AK381" s="15">
        <v>0.0</v>
      </c>
      <c r="AL381" s="16">
        <v>0.0</v>
      </c>
      <c r="AM381" s="16">
        <v>0.0</v>
      </c>
      <c r="AN381" s="16">
        <v>0.0</v>
      </c>
      <c r="AO381" s="16">
        <v>0.0</v>
      </c>
      <c r="AP381" s="16">
        <v>0.0</v>
      </c>
      <c r="AQ381" s="16">
        <v>0.0</v>
      </c>
      <c r="AR381" s="16">
        <v>0.0</v>
      </c>
      <c r="AS381" s="7">
        <f>17280.9-AT381</f>
        <v>12914.9</v>
      </c>
      <c r="AT381" s="7">
        <v>4366.0</v>
      </c>
      <c r="AU381" s="7">
        <v>6155.34</v>
      </c>
      <c r="AV381" s="7">
        <v>67.06</v>
      </c>
      <c r="AW381" s="7">
        <v>9808.0</v>
      </c>
      <c r="AX381" s="7">
        <v>3024.7</v>
      </c>
      <c r="AY381" s="7">
        <f t="shared" si="762"/>
        <v>36336</v>
      </c>
      <c r="AZ381" s="9">
        <v>0.0</v>
      </c>
      <c r="BA381" s="9">
        <v>0.0</v>
      </c>
      <c r="BB381" s="84">
        <v>0.0</v>
      </c>
      <c r="BC381" s="84">
        <v>2.0</v>
      </c>
    </row>
    <row r="382">
      <c r="A382" s="11">
        <v>2025.0</v>
      </c>
      <c r="B382" s="11" t="s">
        <v>124</v>
      </c>
      <c r="C382" s="12">
        <v>45741.0</v>
      </c>
      <c r="D382" s="44">
        <v>7.0</v>
      </c>
      <c r="E382" s="26">
        <v>544957.33</v>
      </c>
      <c r="F382" s="26">
        <v>29912.83</v>
      </c>
      <c r="G382" s="26">
        <v>3521.43</v>
      </c>
      <c r="H382" s="26">
        <v>966.0</v>
      </c>
      <c r="I382" s="66">
        <v>1691.33</v>
      </c>
      <c r="J382" s="26">
        <v>819.23</v>
      </c>
      <c r="K382" s="26">
        <v>13964.36</v>
      </c>
      <c r="L382" s="26">
        <v>9769.71</v>
      </c>
      <c r="M382" s="15">
        <v>6.0</v>
      </c>
      <c r="N382" s="16">
        <v>971958.37</v>
      </c>
      <c r="O382" s="16">
        <f t="shared" si="750"/>
        <v>38878.3348</v>
      </c>
      <c r="P382" s="16">
        <f t="shared" si="751"/>
        <v>16328.90062</v>
      </c>
      <c r="Q382" s="16">
        <f t="shared" si="752"/>
        <v>5112</v>
      </c>
      <c r="R382" s="67">
        <f t="shared" si="753"/>
        <v>1435.14</v>
      </c>
      <c r="S382" s="17">
        <f t="shared" si="754"/>
        <v>2360.52</v>
      </c>
      <c r="T382" s="17">
        <f t="shared" si="755"/>
        <v>828</v>
      </c>
      <c r="U382" s="7">
        <v>1953.94</v>
      </c>
      <c r="V382" s="18">
        <f t="shared" si="756"/>
        <v>16328.90062</v>
      </c>
      <c r="W382" s="68">
        <f t="shared" si="757"/>
        <v>3126.47</v>
      </c>
      <c r="X382" s="69">
        <f t="shared" si="758"/>
        <v>819.23</v>
      </c>
      <c r="Y382" s="7">
        <f t="shared" si="759"/>
        <v>38878.3348</v>
      </c>
      <c r="Z382" s="7">
        <f t="shared" si="760"/>
        <v>5112</v>
      </c>
      <c r="AA382" s="18">
        <f t="shared" si="761"/>
        <v>66218.87542</v>
      </c>
      <c r="AB382" s="56">
        <v>4.0</v>
      </c>
      <c r="AC382" s="24">
        <v>432315.8</v>
      </c>
      <c r="AD382" s="24">
        <v>23442.35</v>
      </c>
      <c r="AE382" s="24">
        <v>2934.57</v>
      </c>
      <c r="AF382" s="24">
        <v>552.0</v>
      </c>
      <c r="AG382" s="24">
        <v>931.0</v>
      </c>
      <c r="AH382" s="24">
        <v>0.0</v>
      </c>
      <c r="AI382" s="24">
        <v>11761.87</v>
      </c>
      <c r="AJ382" s="24">
        <v>7262.91</v>
      </c>
      <c r="AK382" s="15">
        <v>1.0</v>
      </c>
      <c r="AL382" s="16">
        <v>240113.95</v>
      </c>
      <c r="AM382" s="16">
        <v>0.0</v>
      </c>
      <c r="AN382" s="16">
        <v>4041.0</v>
      </c>
      <c r="AO382" s="16">
        <v>0.0</v>
      </c>
      <c r="AP382" s="16">
        <v>622.92</v>
      </c>
      <c r="AQ382" s="16">
        <v>777.92</v>
      </c>
      <c r="AR382" s="16">
        <v>0.0</v>
      </c>
      <c r="AS382" s="7">
        <f>44841.11-AT382</f>
        <v>44841.11</v>
      </c>
      <c r="AT382" s="7">
        <v>0.0</v>
      </c>
      <c r="AU382" s="7">
        <v>9079.96</v>
      </c>
      <c r="AV382" s="7">
        <v>19355.56</v>
      </c>
      <c r="AW382" s="7">
        <v>0.0</v>
      </c>
      <c r="AX382" s="7">
        <v>1359.18</v>
      </c>
      <c r="AY382" s="7">
        <f t="shared" si="762"/>
        <v>74635.81</v>
      </c>
      <c r="AZ382" s="9">
        <v>0.0</v>
      </c>
      <c r="BA382" s="9">
        <v>2.0</v>
      </c>
      <c r="BB382" s="84">
        <v>0.0</v>
      </c>
      <c r="BC382" s="84">
        <v>0.0</v>
      </c>
    </row>
    <row r="383">
      <c r="A383" s="11">
        <v>2025.0</v>
      </c>
      <c r="B383" s="11" t="s">
        <v>124</v>
      </c>
      <c r="C383" s="12">
        <v>45742.0</v>
      </c>
      <c r="D383" s="44">
        <v>7.0</v>
      </c>
      <c r="E383" s="26">
        <v>289258.08</v>
      </c>
      <c r="F383" s="26">
        <v>18026.76</v>
      </c>
      <c r="G383" s="26">
        <v>2122.2</v>
      </c>
      <c r="H383" s="26">
        <v>966.0</v>
      </c>
      <c r="I383" s="66">
        <v>1405.09</v>
      </c>
      <c r="J383" s="26">
        <v>2803.66</v>
      </c>
      <c r="K383" s="26">
        <v>17856.52</v>
      </c>
      <c r="L383" s="26">
        <v>5110.09</v>
      </c>
      <c r="M383" s="15">
        <v>7.0</v>
      </c>
      <c r="N383" s="16">
        <v>619631.02</v>
      </c>
      <c r="O383" s="16">
        <f t="shared" si="750"/>
        <v>24785.2408</v>
      </c>
      <c r="P383" s="16">
        <f t="shared" si="751"/>
        <v>10409.80114</v>
      </c>
      <c r="Q383" s="16">
        <f t="shared" si="752"/>
        <v>5964</v>
      </c>
      <c r="R383" s="67">
        <f t="shared" si="753"/>
        <v>1674.33</v>
      </c>
      <c r="S383" s="17">
        <f t="shared" si="754"/>
        <v>2753.94</v>
      </c>
      <c r="T383" s="17">
        <f t="shared" si="755"/>
        <v>966</v>
      </c>
      <c r="U383" s="7">
        <v>1022.02</v>
      </c>
      <c r="V383" s="18">
        <f t="shared" si="756"/>
        <v>10409.80114</v>
      </c>
      <c r="W383" s="68">
        <f t="shared" si="757"/>
        <v>3079.42</v>
      </c>
      <c r="X383" s="69">
        <f t="shared" si="758"/>
        <v>2803.66</v>
      </c>
      <c r="Y383" s="7">
        <f t="shared" si="759"/>
        <v>24785.2408</v>
      </c>
      <c r="Z383" s="7">
        <f t="shared" si="760"/>
        <v>5964</v>
      </c>
      <c r="AA383" s="18">
        <f t="shared" si="761"/>
        <v>48064.14194</v>
      </c>
      <c r="AB383" s="56">
        <v>2.0</v>
      </c>
      <c r="AC383" s="24">
        <v>75681.38</v>
      </c>
      <c r="AD383" s="24">
        <v>5205.13</v>
      </c>
      <c r="AE383" s="24">
        <v>774.7</v>
      </c>
      <c r="AF383" s="24">
        <v>276.0</v>
      </c>
      <c r="AG383" s="24">
        <v>127.18</v>
      </c>
      <c r="AH383" s="24">
        <v>0.0</v>
      </c>
      <c r="AI383" s="24">
        <v>2755.8</v>
      </c>
      <c r="AJ383" s="24">
        <v>1271.45</v>
      </c>
      <c r="AK383" s="15">
        <v>1.0</v>
      </c>
      <c r="AL383" s="16">
        <v>79431.51</v>
      </c>
      <c r="AM383" s="16">
        <v>0.0</v>
      </c>
      <c r="AN383" s="16">
        <v>1337.0</v>
      </c>
      <c r="AO383" s="16">
        <v>0.0</v>
      </c>
      <c r="AP383" s="16">
        <v>1337.0</v>
      </c>
      <c r="AQ383" s="16">
        <v>246.96</v>
      </c>
      <c r="AR383" s="16">
        <v>0.0</v>
      </c>
      <c r="AS383" s="7">
        <v>29635.24</v>
      </c>
      <c r="AT383" s="7">
        <v>0.0</v>
      </c>
      <c r="AU383" s="7">
        <v>13789.92</v>
      </c>
      <c r="AV383" s="7">
        <v>10992.33</v>
      </c>
      <c r="AW383" s="7">
        <v>0.0</v>
      </c>
      <c r="AX383" s="7">
        <v>131.17</v>
      </c>
      <c r="AY383" s="7">
        <f t="shared" si="762"/>
        <v>54548.66</v>
      </c>
      <c r="AZ383" s="9">
        <v>2.0</v>
      </c>
      <c r="BA383" s="9">
        <v>0.0</v>
      </c>
      <c r="BB383" s="84">
        <v>0.0</v>
      </c>
      <c r="BC383" s="84">
        <v>0.0</v>
      </c>
    </row>
    <row r="384">
      <c r="A384" s="11">
        <v>2025.0</v>
      </c>
      <c r="B384" s="11" t="s">
        <v>124</v>
      </c>
      <c r="C384" s="12">
        <v>45743.0</v>
      </c>
      <c r="D384" s="44">
        <v>6.0</v>
      </c>
      <c r="E384" s="26">
        <v>345956.97</v>
      </c>
      <c r="F384" s="26">
        <v>17476.16</v>
      </c>
      <c r="G384" s="26">
        <v>1928.8</v>
      </c>
      <c r="H384" s="26">
        <v>828.0</v>
      </c>
      <c r="I384" s="66">
        <v>1148.85</v>
      </c>
      <c r="J384" s="26">
        <v>0.0</v>
      </c>
      <c r="K384" s="26">
        <v>7758.43</v>
      </c>
      <c r="L384" s="26">
        <v>5812.08</v>
      </c>
      <c r="M384" s="15">
        <v>8.0</v>
      </c>
      <c r="N384" s="16">
        <v>634788.4</v>
      </c>
      <c r="O384" s="16">
        <f t="shared" si="750"/>
        <v>25391.536</v>
      </c>
      <c r="P384" s="16">
        <f t="shared" si="751"/>
        <v>10664.44512</v>
      </c>
      <c r="Q384" s="16">
        <f t="shared" si="752"/>
        <v>6816</v>
      </c>
      <c r="R384" s="67">
        <f t="shared" si="753"/>
        <v>1913.52</v>
      </c>
      <c r="S384" s="17">
        <f t="shared" si="754"/>
        <v>3147.36</v>
      </c>
      <c r="T384" s="17">
        <f t="shared" si="755"/>
        <v>1104</v>
      </c>
      <c r="U384" s="7">
        <v>1162.42</v>
      </c>
      <c r="V384" s="18">
        <f t="shared" si="756"/>
        <v>10664.44512</v>
      </c>
      <c r="W384" s="68">
        <f t="shared" si="757"/>
        <v>3062.37</v>
      </c>
      <c r="X384" s="69">
        <f t="shared" si="758"/>
        <v>0</v>
      </c>
      <c r="Y384" s="7">
        <f t="shared" si="759"/>
        <v>25391.536</v>
      </c>
      <c r="Z384" s="7">
        <f t="shared" si="760"/>
        <v>6816</v>
      </c>
      <c r="AA384" s="18">
        <f t="shared" si="761"/>
        <v>47096.77112</v>
      </c>
      <c r="AB384" s="56">
        <v>5.0</v>
      </c>
      <c r="AC384" s="24">
        <v>240587.0</v>
      </c>
      <c r="AD384" s="24">
        <v>12844.34</v>
      </c>
      <c r="AE384" s="24">
        <v>1750.65</v>
      </c>
      <c r="AF384" s="24">
        <v>690.0</v>
      </c>
      <c r="AG384" s="24">
        <v>742.93</v>
      </c>
      <c r="AH384" s="24">
        <v>0.0</v>
      </c>
      <c r="AI384" s="24">
        <v>5618.9</v>
      </c>
      <c r="AJ384" s="24">
        <v>4041.86</v>
      </c>
      <c r="AK384" s="15">
        <v>1.0</v>
      </c>
      <c r="AL384" s="16">
        <v>53000.0</v>
      </c>
      <c r="AM384" s="16">
        <v>2120.0</v>
      </c>
      <c r="AN384" s="16">
        <v>1780.8</v>
      </c>
      <c r="AO384" s="16">
        <v>850.0</v>
      </c>
      <c r="AP384" s="16">
        <v>497.57</v>
      </c>
      <c r="AQ384" s="16">
        <v>385.88</v>
      </c>
      <c r="AR384" s="16">
        <v>0.0</v>
      </c>
      <c r="AS384" s="7">
        <f>25398.95-AT384</f>
        <v>23618.15</v>
      </c>
      <c r="AT384" s="7">
        <v>1780.8</v>
      </c>
      <c r="AU384" s="7">
        <v>4271.89</v>
      </c>
      <c r="AV384" s="7">
        <v>1520.43</v>
      </c>
      <c r="AW384" s="7">
        <v>2120.0</v>
      </c>
      <c r="AX384" s="7">
        <v>857.4</v>
      </c>
      <c r="AY384" s="7">
        <f t="shared" si="762"/>
        <v>34168.67</v>
      </c>
      <c r="AZ384" s="9">
        <v>0.0</v>
      </c>
      <c r="BA384" s="9">
        <v>2.0</v>
      </c>
      <c r="BB384" s="84">
        <v>0.0</v>
      </c>
      <c r="BC384" s="84">
        <v>0.0</v>
      </c>
    </row>
    <row r="385">
      <c r="A385" s="11">
        <v>2025.0</v>
      </c>
      <c r="B385" s="11" t="s">
        <v>124</v>
      </c>
      <c r="C385" s="12">
        <v>45744.0</v>
      </c>
      <c r="D385" s="44">
        <v>13.0</v>
      </c>
      <c r="E385" s="26">
        <v>784538.14</v>
      </c>
      <c r="F385" s="26">
        <v>41833.31</v>
      </c>
      <c r="G385" s="26">
        <v>4248.41</v>
      </c>
      <c r="H385" s="26">
        <v>1518.0</v>
      </c>
      <c r="I385" s="66">
        <v>2771.16</v>
      </c>
      <c r="J385" s="26">
        <v>6843.23</v>
      </c>
      <c r="K385" s="26">
        <v>25748.5</v>
      </c>
      <c r="L385" s="26">
        <v>13752.44</v>
      </c>
      <c r="M385" s="15">
        <v>6.0</v>
      </c>
      <c r="N385" s="16">
        <v>751375.72</v>
      </c>
      <c r="O385" s="16">
        <f t="shared" si="750"/>
        <v>30055.0288</v>
      </c>
      <c r="P385" s="16">
        <f t="shared" si="751"/>
        <v>12623.1121</v>
      </c>
      <c r="Q385" s="16">
        <f t="shared" si="752"/>
        <v>5112</v>
      </c>
      <c r="R385" s="67">
        <f t="shared" si="753"/>
        <v>1435.14</v>
      </c>
      <c r="S385" s="17">
        <f t="shared" si="754"/>
        <v>2360.52</v>
      </c>
      <c r="T385" s="17">
        <f t="shared" si="755"/>
        <v>828</v>
      </c>
      <c r="U385" s="7">
        <v>2750.49</v>
      </c>
      <c r="V385" s="18">
        <f t="shared" si="756"/>
        <v>12623.1121</v>
      </c>
      <c r="W385" s="68">
        <f t="shared" si="757"/>
        <v>4206.3</v>
      </c>
      <c r="X385" s="69">
        <f t="shared" si="758"/>
        <v>6843.23</v>
      </c>
      <c r="Y385" s="7">
        <f t="shared" si="759"/>
        <v>30055.0288</v>
      </c>
      <c r="Z385" s="7">
        <f t="shared" si="760"/>
        <v>5112</v>
      </c>
      <c r="AA385" s="18">
        <f t="shared" si="761"/>
        <v>61590.1609</v>
      </c>
      <c r="AB385" s="56">
        <v>2.0</v>
      </c>
      <c r="AC385" s="24">
        <v>54592.88</v>
      </c>
      <c r="AD385" s="24">
        <v>3476.3</v>
      </c>
      <c r="AE385" s="24">
        <v>294.0</v>
      </c>
      <c r="AF385" s="24">
        <v>138.0</v>
      </c>
      <c r="AG385" s="24">
        <v>139.19</v>
      </c>
      <c r="AH385" s="24">
        <v>0.0</v>
      </c>
      <c r="AI385" s="24">
        <v>1905.02</v>
      </c>
      <c r="AJ385" s="24">
        <v>1000.09</v>
      </c>
      <c r="AK385" s="15">
        <v>1.0</v>
      </c>
      <c r="AL385" s="16">
        <v>133432.4</v>
      </c>
      <c r="AM385" s="16">
        <v>5046.0</v>
      </c>
      <c r="AN385" s="16">
        <v>2246.0</v>
      </c>
      <c r="AO385" s="16">
        <v>650.0</v>
      </c>
      <c r="AP385" s="16">
        <v>484.84</v>
      </c>
      <c r="AQ385" s="16">
        <v>805.56</v>
      </c>
      <c r="AR385" s="16">
        <v>0.0</v>
      </c>
      <c r="AS385" s="7">
        <f>14539.36-AT385</f>
        <v>10956.36</v>
      </c>
      <c r="AT385" s="7">
        <v>3583.0</v>
      </c>
      <c r="AU385" s="7">
        <v>8973.98</v>
      </c>
      <c r="AV385" s="7">
        <v>1096.48</v>
      </c>
      <c r="AW385" s="7">
        <v>5046.0</v>
      </c>
      <c r="AX385" s="7">
        <v>3381.53</v>
      </c>
      <c r="AY385" s="7">
        <f t="shared" si="762"/>
        <v>33037.35</v>
      </c>
      <c r="AZ385" s="9">
        <v>0.0</v>
      </c>
      <c r="BA385" s="9">
        <v>1.0</v>
      </c>
      <c r="BB385" s="84">
        <v>4.0</v>
      </c>
      <c r="BC385" s="84">
        <v>3.0</v>
      </c>
    </row>
    <row r="386">
      <c r="A386" s="11">
        <v>2025.0</v>
      </c>
      <c r="B386" s="11" t="s">
        <v>124</v>
      </c>
      <c r="C386" s="1"/>
      <c r="D386" s="2">
        <v>89.0</v>
      </c>
      <c r="E386" s="2"/>
      <c r="F386" s="59" t="s">
        <v>128</v>
      </c>
      <c r="G386" s="2"/>
      <c r="H386" s="33"/>
      <c r="I386" s="33"/>
      <c r="J386" s="33"/>
      <c r="K386" s="33"/>
      <c r="L386" s="33"/>
      <c r="M386" s="4">
        <v>15.0</v>
      </c>
      <c r="N386" s="4">
        <v>1504257.68</v>
      </c>
      <c r="O386" s="35"/>
      <c r="P386" s="35"/>
      <c r="Q386" s="35"/>
      <c r="R386" s="35"/>
      <c r="S386" s="35"/>
      <c r="T386" s="35"/>
      <c r="U386" s="37"/>
      <c r="V386" s="48"/>
      <c r="W386" s="48"/>
      <c r="X386" s="37"/>
      <c r="Y386" s="48"/>
      <c r="Z386" s="48"/>
      <c r="AA386" s="48"/>
      <c r="AB386" s="2"/>
      <c r="AC386" s="33"/>
      <c r="AD386" s="2"/>
      <c r="AE386" s="33"/>
      <c r="AF386" s="33"/>
      <c r="AG386" s="33"/>
      <c r="AH386" s="33"/>
      <c r="AI386" s="33"/>
      <c r="AJ386" s="33"/>
      <c r="AK386" s="4">
        <v>0.0</v>
      </c>
      <c r="AL386" s="4">
        <v>0.0</v>
      </c>
      <c r="AM386" s="35"/>
      <c r="AN386" s="35"/>
      <c r="AO386" s="35"/>
      <c r="AP386" s="35"/>
      <c r="AQ386" s="35"/>
      <c r="AR386" s="35"/>
      <c r="AS386" s="37"/>
      <c r="AT386" s="48"/>
      <c r="AU386" s="48"/>
      <c r="AV386" s="48"/>
      <c r="AW386" s="48"/>
      <c r="AX386" s="48"/>
      <c r="AY386" s="48"/>
      <c r="AZ386" s="38"/>
      <c r="BA386" s="39"/>
      <c r="BB386" s="85"/>
      <c r="BC386" s="85"/>
    </row>
    <row r="387">
      <c r="A387" s="1">
        <v>2025.0</v>
      </c>
      <c r="B387" s="11" t="s">
        <v>124</v>
      </c>
      <c r="C387" s="1" t="s">
        <v>49</v>
      </c>
      <c r="D387" s="33">
        <f t="shared" ref="D387:F387" si="763">SUM(D379:D385)</f>
        <v>67</v>
      </c>
      <c r="E387" s="34">
        <f t="shared" si="763"/>
        <v>3754722.71</v>
      </c>
      <c r="F387" s="34">
        <f t="shared" si="763"/>
        <v>201838.53</v>
      </c>
      <c r="G387" s="34">
        <f>SUM(G379:G386)</f>
        <v>22444.78</v>
      </c>
      <c r="H387" s="34">
        <f t="shared" ref="H387:L387" si="764">SUM(H379:H385)</f>
        <v>8832</v>
      </c>
      <c r="I387" s="55">
        <f t="shared" si="764"/>
        <v>13809.24</v>
      </c>
      <c r="J387" s="34">
        <f t="shared" si="764"/>
        <v>61575.64</v>
      </c>
      <c r="K387" s="34">
        <f t="shared" si="764"/>
        <v>67332.17</v>
      </c>
      <c r="L387" s="34">
        <f t="shared" si="764"/>
        <v>65652.77</v>
      </c>
      <c r="M387" s="35">
        <f t="shared" ref="M387:N387" si="765">SUM(M379:M386)</f>
        <v>45</v>
      </c>
      <c r="N387" s="36">
        <f t="shared" si="765"/>
        <v>5147909.39</v>
      </c>
      <c r="O387" s="36">
        <f t="shared" ref="O387:AJ387" si="766">SUM(O379:O385)</f>
        <v>145746.0684</v>
      </c>
      <c r="P387" s="36">
        <f t="shared" si="766"/>
        <v>61213.34873</v>
      </c>
      <c r="Q387" s="36">
        <f t="shared" si="766"/>
        <v>25560</v>
      </c>
      <c r="R387" s="70">
        <f t="shared" si="766"/>
        <v>7175.7</v>
      </c>
      <c r="S387" s="36">
        <f t="shared" si="766"/>
        <v>11802.6</v>
      </c>
      <c r="T387" s="36">
        <f t="shared" si="766"/>
        <v>4140</v>
      </c>
      <c r="U387" s="37">
        <f t="shared" si="766"/>
        <v>13130.52</v>
      </c>
      <c r="V387" s="37">
        <f t="shared" si="766"/>
        <v>61213.34873</v>
      </c>
      <c r="W387" s="71">
        <f t="shared" si="766"/>
        <v>20984.94</v>
      </c>
      <c r="X387" s="37">
        <f t="shared" si="766"/>
        <v>61575.64</v>
      </c>
      <c r="Y387" s="37">
        <f t="shared" si="766"/>
        <v>145746.0684</v>
      </c>
      <c r="Z387" s="37">
        <f t="shared" si="766"/>
        <v>25560</v>
      </c>
      <c r="AA387" s="37">
        <f t="shared" si="766"/>
        <v>328210.5171</v>
      </c>
      <c r="AB387" s="33">
        <f t="shared" si="766"/>
        <v>30</v>
      </c>
      <c r="AC387" s="34">
        <f t="shared" si="766"/>
        <v>1627319.83</v>
      </c>
      <c r="AD387" s="34">
        <f t="shared" si="766"/>
        <v>91882.07</v>
      </c>
      <c r="AE387" s="34">
        <f t="shared" si="766"/>
        <v>11394.14</v>
      </c>
      <c r="AF387" s="34">
        <f t="shared" si="766"/>
        <v>3864</v>
      </c>
      <c r="AG387" s="34">
        <f t="shared" si="766"/>
        <v>4240.15</v>
      </c>
      <c r="AH387" s="34">
        <f t="shared" si="766"/>
        <v>0</v>
      </c>
      <c r="AI387" s="34">
        <f t="shared" si="766"/>
        <v>45260.28</v>
      </c>
      <c r="AJ387" s="34">
        <f t="shared" si="766"/>
        <v>23484.17</v>
      </c>
      <c r="AK387" s="35">
        <f t="shared" ref="AK387:AL387" si="767">SUM(AK379:AK386)</f>
        <v>4</v>
      </c>
      <c r="AL387" s="36">
        <f t="shared" si="767"/>
        <v>505977.86</v>
      </c>
      <c r="AM387" s="36">
        <f t="shared" ref="AM387:BC387" si="768">SUM(AM379:AM385)</f>
        <v>7166</v>
      </c>
      <c r="AN387" s="36">
        <f t="shared" si="768"/>
        <v>9404.8</v>
      </c>
      <c r="AO387" s="36">
        <f t="shared" si="768"/>
        <v>1500</v>
      </c>
      <c r="AP387" s="36">
        <f t="shared" si="768"/>
        <v>2942.33</v>
      </c>
      <c r="AQ387" s="36">
        <f t="shared" si="768"/>
        <v>2216.32</v>
      </c>
      <c r="AR387" s="36">
        <f t="shared" si="768"/>
        <v>0</v>
      </c>
      <c r="AS387" s="37">
        <f t="shared" si="768"/>
        <v>121965.76</v>
      </c>
      <c r="AT387" s="37">
        <f t="shared" si="768"/>
        <v>9729.8</v>
      </c>
      <c r="AU387" s="37">
        <f t="shared" si="768"/>
        <v>42271.09</v>
      </c>
      <c r="AV387" s="37">
        <f t="shared" si="768"/>
        <v>33031.86</v>
      </c>
      <c r="AW387" s="37">
        <f t="shared" si="768"/>
        <v>16974</v>
      </c>
      <c r="AX387" s="37">
        <f t="shared" si="768"/>
        <v>8753.98</v>
      </c>
      <c r="AY387" s="37">
        <f t="shared" si="768"/>
        <v>232726.49</v>
      </c>
      <c r="AZ387" s="38">
        <f t="shared" si="768"/>
        <v>2</v>
      </c>
      <c r="BA387" s="39">
        <f t="shared" si="768"/>
        <v>5</v>
      </c>
      <c r="BB387" s="85">
        <f t="shared" si="768"/>
        <v>4</v>
      </c>
      <c r="BC387" s="85">
        <f t="shared" si="768"/>
        <v>5</v>
      </c>
    </row>
    <row r="388">
      <c r="A388" s="11">
        <v>2025.0</v>
      </c>
      <c r="B388" s="11" t="s">
        <v>124</v>
      </c>
      <c r="C388" s="12">
        <v>45745.0</v>
      </c>
      <c r="D388" s="44">
        <v>12.0</v>
      </c>
      <c r="E388" s="26">
        <v>888513.4</v>
      </c>
      <c r="F388" s="26">
        <v>45752.94</v>
      </c>
      <c r="G388" s="26">
        <v>5527.22</v>
      </c>
      <c r="H388" s="26">
        <v>1518.0</v>
      </c>
      <c r="I388" s="26">
        <v>1760.4</v>
      </c>
      <c r="J388" s="26">
        <v>387.43</v>
      </c>
      <c r="K388" s="26">
        <v>15924.68</v>
      </c>
      <c r="L388" s="26">
        <v>21022.64</v>
      </c>
      <c r="M388" s="15">
        <v>0.0</v>
      </c>
      <c r="N388" s="16">
        <v>0.0</v>
      </c>
      <c r="O388" s="16">
        <f t="shared" ref="O388:O394" si="769">N388*4%</f>
        <v>0</v>
      </c>
      <c r="P388" s="16">
        <f t="shared" ref="P388:P394" si="770">N388*1.68%</f>
        <v>0</v>
      </c>
      <c r="Q388" s="16">
        <f t="shared" ref="Q388:Q394" si="771">M388*(400+350+100+2)</f>
        <v>0</v>
      </c>
      <c r="R388" s="67">
        <f t="shared" ref="R388:R394" si="772">M388*239.19</f>
        <v>0</v>
      </c>
      <c r="S388" s="17">
        <f t="shared" ref="S388:S394" si="773">M388*393.42</f>
        <v>0</v>
      </c>
      <c r="T388" s="17">
        <f t="shared" ref="T388:T394" si="774">M388*138</f>
        <v>0</v>
      </c>
      <c r="U388" s="7">
        <v>4198.16</v>
      </c>
      <c r="V388" s="18">
        <f t="shared" ref="V388:V394" si="775">P388</f>
        <v>0</v>
      </c>
      <c r="W388" s="7">
        <f t="shared" ref="W388:W394" si="776">I388+R388</f>
        <v>1760.4</v>
      </c>
      <c r="X388" s="69">
        <f t="shared" ref="X388:X394" si="777">J388</f>
        <v>387.43</v>
      </c>
      <c r="Y388" s="7">
        <f t="shared" ref="Y388:Y394" si="778">O388</f>
        <v>0</v>
      </c>
      <c r="Z388" s="7">
        <f t="shared" ref="Z388:Z394" si="779">Q388</f>
        <v>0</v>
      </c>
      <c r="AA388" s="18">
        <f t="shared" ref="AA388:AA394" si="780">SUM(U388:Z388)</f>
        <v>6345.99</v>
      </c>
      <c r="AB388" s="56">
        <v>3.0</v>
      </c>
      <c r="AC388" s="24">
        <v>412439.62</v>
      </c>
      <c r="AD388" s="24">
        <v>23083.67</v>
      </c>
      <c r="AE388" s="24">
        <v>2876.35</v>
      </c>
      <c r="AF388" s="24">
        <v>414.0</v>
      </c>
      <c r="AG388" s="24">
        <v>551.66</v>
      </c>
      <c r="AH388" s="24">
        <v>0.0</v>
      </c>
      <c r="AI388" s="24">
        <v>6217.06</v>
      </c>
      <c r="AJ388" s="24">
        <v>13024.6</v>
      </c>
      <c r="AK388" s="15">
        <v>0.0</v>
      </c>
      <c r="AL388" s="16">
        <v>0.0</v>
      </c>
      <c r="AM388" s="16">
        <v>0.0</v>
      </c>
      <c r="AN388" s="16">
        <v>0.0</v>
      </c>
      <c r="AO388" s="16">
        <v>0.0</v>
      </c>
      <c r="AP388" s="16">
        <v>0.0</v>
      </c>
      <c r="AQ388" s="16">
        <v>0.0</v>
      </c>
      <c r="AR388" s="16">
        <v>0.0</v>
      </c>
      <c r="AS388" s="7">
        <v>0.0</v>
      </c>
      <c r="AT388" s="7">
        <v>0.0</v>
      </c>
      <c r="AU388" s="7">
        <v>0.0</v>
      </c>
      <c r="AV388" s="7">
        <v>0.0</v>
      </c>
      <c r="AW388" s="7">
        <v>0.0</v>
      </c>
      <c r="AX388" s="7">
        <v>0.0</v>
      </c>
      <c r="AY388" s="7">
        <f t="shared" ref="AY388:AY394" si="781">SUM(AS388:AX388)</f>
        <v>0</v>
      </c>
      <c r="AZ388" s="9">
        <v>0.0</v>
      </c>
      <c r="BA388" s="9">
        <v>0.0</v>
      </c>
      <c r="BB388" s="84">
        <v>0.0</v>
      </c>
      <c r="BC388" s="84">
        <v>0.0</v>
      </c>
    </row>
    <row r="389">
      <c r="A389" s="11">
        <v>2025.0</v>
      </c>
      <c r="B389" s="11" t="s">
        <v>124</v>
      </c>
      <c r="C389" s="12">
        <v>45746.0</v>
      </c>
      <c r="D389" s="44">
        <v>331.0</v>
      </c>
      <c r="E389" s="26">
        <v>2.358517081E7</v>
      </c>
      <c r="F389" s="26">
        <v>962979.26</v>
      </c>
      <c r="G389" s="26">
        <v>110293.96</v>
      </c>
      <c r="H389" s="26">
        <v>19734.0</v>
      </c>
      <c r="I389" s="26">
        <v>115482.83</v>
      </c>
      <c r="J389" s="26">
        <v>55752.97</v>
      </c>
      <c r="K389" s="26">
        <v>382368.04</v>
      </c>
      <c r="L389" s="26">
        <v>399420.08</v>
      </c>
      <c r="M389" s="15">
        <v>0.0</v>
      </c>
      <c r="N389" s="16">
        <v>0.0</v>
      </c>
      <c r="O389" s="16">
        <f t="shared" si="769"/>
        <v>0</v>
      </c>
      <c r="P389" s="16">
        <f t="shared" si="770"/>
        <v>0</v>
      </c>
      <c r="Q389" s="16">
        <f t="shared" si="771"/>
        <v>0</v>
      </c>
      <c r="R389" s="67">
        <f t="shared" si="772"/>
        <v>0</v>
      </c>
      <c r="S389" s="17">
        <f t="shared" si="773"/>
        <v>0</v>
      </c>
      <c r="T389" s="17">
        <f t="shared" si="774"/>
        <v>0</v>
      </c>
      <c r="U389" s="7">
        <v>79864.89</v>
      </c>
      <c r="V389" s="18">
        <f t="shared" si="775"/>
        <v>0</v>
      </c>
      <c r="W389" s="7">
        <f t="shared" si="776"/>
        <v>115482.83</v>
      </c>
      <c r="X389" s="69">
        <f t="shared" si="777"/>
        <v>55752.97</v>
      </c>
      <c r="Y389" s="7">
        <f t="shared" si="778"/>
        <v>0</v>
      </c>
      <c r="Z389" s="7">
        <f t="shared" si="779"/>
        <v>0</v>
      </c>
      <c r="AA389" s="18">
        <f t="shared" si="780"/>
        <v>251100.69</v>
      </c>
      <c r="AB389" s="56">
        <v>213.0</v>
      </c>
      <c r="AC389" s="24">
        <v>1.48537588E7</v>
      </c>
      <c r="AD389" s="24">
        <v>604413.4</v>
      </c>
      <c r="AE389" s="24">
        <v>73242.0</v>
      </c>
      <c r="AF389" s="24">
        <v>12420.0</v>
      </c>
      <c r="AG389" s="24">
        <v>69492.16</v>
      </c>
      <c r="AH389" s="24">
        <v>0.0</v>
      </c>
      <c r="AI389" s="24">
        <v>197462.52</v>
      </c>
      <c r="AJ389" s="24">
        <v>250459.36</v>
      </c>
      <c r="AK389" s="15">
        <v>0.0</v>
      </c>
      <c r="AL389" s="16">
        <v>0.0</v>
      </c>
      <c r="AM389" s="16">
        <v>0.0</v>
      </c>
      <c r="AN389" s="16">
        <v>0.0</v>
      </c>
      <c r="AO389" s="16">
        <v>0.0</v>
      </c>
      <c r="AP389" s="16">
        <v>0.0</v>
      </c>
      <c r="AQ389" s="16">
        <v>0.0</v>
      </c>
      <c r="AR389" s="16">
        <v>0.0</v>
      </c>
      <c r="AS389" s="7">
        <v>0.0</v>
      </c>
      <c r="AT389" s="7">
        <v>0.0</v>
      </c>
      <c r="AU389" s="7">
        <v>0.0</v>
      </c>
      <c r="AV389" s="7">
        <v>0.0</v>
      </c>
      <c r="AW389" s="7">
        <v>0.0</v>
      </c>
      <c r="AX389" s="7">
        <v>0.0</v>
      </c>
      <c r="AY389" s="7">
        <f t="shared" si="781"/>
        <v>0</v>
      </c>
      <c r="AZ389" s="9">
        <v>0.0</v>
      </c>
      <c r="BA389" s="9">
        <v>0.0</v>
      </c>
      <c r="BB389" s="84">
        <v>0.0</v>
      </c>
      <c r="BC389" s="84">
        <v>0.0</v>
      </c>
    </row>
    <row r="390">
      <c r="A390" s="11">
        <v>2025.0</v>
      </c>
      <c r="B390" s="11" t="s">
        <v>124</v>
      </c>
      <c r="C390" s="12">
        <v>45747.0</v>
      </c>
      <c r="D390" s="44">
        <v>5.0</v>
      </c>
      <c r="E390" s="26">
        <v>160927.96</v>
      </c>
      <c r="F390" s="26">
        <v>8247.48</v>
      </c>
      <c r="G390" s="26">
        <v>1012.83</v>
      </c>
      <c r="H390" s="26">
        <v>690.0</v>
      </c>
      <c r="I390" s="26">
        <v>1258.81</v>
      </c>
      <c r="J390" s="26">
        <v>0.0</v>
      </c>
      <c r="K390" s="26">
        <v>2582.25</v>
      </c>
      <c r="L390" s="26">
        <v>2703.59</v>
      </c>
      <c r="M390" s="15">
        <v>0.0</v>
      </c>
      <c r="N390" s="16">
        <v>0.0</v>
      </c>
      <c r="O390" s="16">
        <f t="shared" si="769"/>
        <v>0</v>
      </c>
      <c r="P390" s="16">
        <f t="shared" si="770"/>
        <v>0</v>
      </c>
      <c r="Q390" s="16">
        <f t="shared" si="771"/>
        <v>0</v>
      </c>
      <c r="R390" s="67">
        <f t="shared" si="772"/>
        <v>0</v>
      </c>
      <c r="S390" s="17">
        <f t="shared" si="773"/>
        <v>0</v>
      </c>
      <c r="T390" s="17">
        <f t="shared" si="774"/>
        <v>0</v>
      </c>
      <c r="U390" s="7">
        <v>540.72</v>
      </c>
      <c r="V390" s="18">
        <f t="shared" si="775"/>
        <v>0</v>
      </c>
      <c r="W390" s="7">
        <f t="shared" si="776"/>
        <v>1258.81</v>
      </c>
      <c r="X390" s="69">
        <f t="shared" si="777"/>
        <v>0</v>
      </c>
      <c r="Y390" s="7">
        <f t="shared" si="778"/>
        <v>0</v>
      </c>
      <c r="Z390" s="7">
        <f t="shared" si="779"/>
        <v>0</v>
      </c>
      <c r="AA390" s="18">
        <f t="shared" si="780"/>
        <v>1799.53</v>
      </c>
      <c r="AB390" s="56">
        <v>2.0</v>
      </c>
      <c r="AC390" s="24">
        <v>69913.08</v>
      </c>
      <c r="AD390" s="24">
        <v>3662.23</v>
      </c>
      <c r="AE390" s="24">
        <v>691.47</v>
      </c>
      <c r="AF390" s="24">
        <v>276.0</v>
      </c>
      <c r="AG390" s="24">
        <v>378.38</v>
      </c>
      <c r="AH390" s="24">
        <v>0.0</v>
      </c>
      <c r="AI390" s="24">
        <v>1141.84</v>
      </c>
      <c r="AJ390" s="24">
        <v>1174.54</v>
      </c>
      <c r="AK390" s="15">
        <v>4.0</v>
      </c>
      <c r="AL390" s="16">
        <v>401329.54</v>
      </c>
      <c r="AM390" s="16">
        <v>14119.0</v>
      </c>
      <c r="AN390" s="16">
        <v>7392.8</v>
      </c>
      <c r="AO390" s="16">
        <v>4500.0</v>
      </c>
      <c r="AP390" s="16">
        <v>2019.79</v>
      </c>
      <c r="AQ390" s="16">
        <v>2070.15</v>
      </c>
      <c r="AR390" s="16">
        <v>0.0</v>
      </c>
      <c r="AS390" s="7">
        <f>133739.77-6116</f>
        <v>127623.77</v>
      </c>
      <c r="AT390" s="7">
        <v>6116.0</v>
      </c>
      <c r="AU390" s="7">
        <v>60013.18</v>
      </c>
      <c r="AV390" s="7">
        <v>10911.95</v>
      </c>
      <c r="AW390" s="7">
        <v>12599.0</v>
      </c>
      <c r="AX390" s="7">
        <v>7800.59</v>
      </c>
      <c r="AY390" s="7">
        <f t="shared" si="781"/>
        <v>225064.49</v>
      </c>
      <c r="AZ390" s="9">
        <v>0.0</v>
      </c>
      <c r="BA390" s="9">
        <v>0.0</v>
      </c>
      <c r="BB390" s="84">
        <v>0.0</v>
      </c>
      <c r="BC390" s="84">
        <v>1.0</v>
      </c>
    </row>
    <row r="391">
      <c r="A391" s="11">
        <v>2025.0</v>
      </c>
      <c r="B391" s="11" t="s">
        <v>129</v>
      </c>
      <c r="C391" s="12">
        <v>45748.0</v>
      </c>
      <c r="D391" s="44">
        <v>12.0</v>
      </c>
      <c r="E391" s="26">
        <v>478318.47</v>
      </c>
      <c r="F391" s="26">
        <v>29903.69</v>
      </c>
      <c r="G391" s="26">
        <v>3697.4</v>
      </c>
      <c r="H391" s="26">
        <v>1656.0</v>
      </c>
      <c r="I391" s="26">
        <v>2161.88</v>
      </c>
      <c r="J391" s="26">
        <v>1937.9</v>
      </c>
      <c r="K391" s="26">
        <v>15739.49</v>
      </c>
      <c r="L391" s="26">
        <v>8035.75</v>
      </c>
      <c r="M391" s="15">
        <v>10.0</v>
      </c>
      <c r="N391" s="16">
        <v>1736418.83</v>
      </c>
      <c r="O391" s="16">
        <f t="shared" si="769"/>
        <v>69456.7532</v>
      </c>
      <c r="P391" s="16">
        <f t="shared" si="770"/>
        <v>29171.83634</v>
      </c>
      <c r="Q391" s="16">
        <f t="shared" si="771"/>
        <v>8520</v>
      </c>
      <c r="R391" s="67">
        <f t="shared" si="772"/>
        <v>2391.9</v>
      </c>
      <c r="S391" s="17">
        <f t="shared" si="773"/>
        <v>3934.2</v>
      </c>
      <c r="T391" s="17">
        <f t="shared" si="774"/>
        <v>1380</v>
      </c>
      <c r="U391" s="7">
        <v>1607.15</v>
      </c>
      <c r="V391" s="18">
        <f t="shared" si="775"/>
        <v>29171.83634</v>
      </c>
      <c r="W391" s="7">
        <f t="shared" si="776"/>
        <v>4553.78</v>
      </c>
      <c r="X391" s="69">
        <f t="shared" si="777"/>
        <v>1937.9</v>
      </c>
      <c r="Y391" s="7">
        <f t="shared" si="778"/>
        <v>69456.7532</v>
      </c>
      <c r="Z391" s="7">
        <f t="shared" si="779"/>
        <v>8520</v>
      </c>
      <c r="AA391" s="18">
        <f t="shared" si="780"/>
        <v>115247.4195</v>
      </c>
      <c r="AB391" s="56">
        <v>5.0</v>
      </c>
      <c r="AC391" s="24">
        <v>296371.61</v>
      </c>
      <c r="AD391" s="24">
        <v>14227.27</v>
      </c>
      <c r="AE391" s="24">
        <v>1949.44</v>
      </c>
      <c r="AF391" s="24">
        <v>690.0</v>
      </c>
      <c r="AG391" s="24">
        <v>598.19</v>
      </c>
      <c r="AH391" s="24">
        <v>0.0</v>
      </c>
      <c r="AI391" s="24">
        <v>6010.6</v>
      </c>
      <c r="AJ391" s="24">
        <v>4979.04</v>
      </c>
      <c r="AK391" s="15">
        <v>4.0</v>
      </c>
      <c r="AL391" s="16">
        <v>938303.04</v>
      </c>
      <c r="AM391" s="16">
        <v>35483.0</v>
      </c>
      <c r="AN391" s="16">
        <v>15791.0</v>
      </c>
      <c r="AO391" s="16">
        <v>2650.0</v>
      </c>
      <c r="AP391" s="16">
        <v>2774.58</v>
      </c>
      <c r="AQ391" s="16">
        <v>3104.46</v>
      </c>
      <c r="AR391" s="16">
        <v>0.0</v>
      </c>
      <c r="AS391" s="7">
        <v>3887.0</v>
      </c>
      <c r="AT391" s="7">
        <v>0.0</v>
      </c>
      <c r="AU391" s="7">
        <v>4300.0</v>
      </c>
      <c r="AV391" s="7">
        <v>0.0</v>
      </c>
      <c r="AW391" s="7">
        <v>0.0</v>
      </c>
      <c r="AX391" s="7">
        <v>0.0</v>
      </c>
      <c r="AY391" s="7">
        <f t="shared" si="781"/>
        <v>8187</v>
      </c>
      <c r="AZ391" s="9">
        <v>0.0</v>
      </c>
      <c r="BA391" s="9">
        <v>0.0</v>
      </c>
      <c r="BB391" s="84">
        <v>3.0</v>
      </c>
      <c r="BC391" s="84">
        <v>0.0</v>
      </c>
    </row>
    <row r="392">
      <c r="A392" s="11">
        <v>2025.0</v>
      </c>
      <c r="B392" s="11" t="s">
        <v>129</v>
      </c>
      <c r="C392" s="12">
        <v>45749.0</v>
      </c>
      <c r="D392" s="44">
        <v>7.0</v>
      </c>
      <c r="E392" s="26">
        <v>406412.54</v>
      </c>
      <c r="F392" s="26">
        <v>22372.44</v>
      </c>
      <c r="G392" s="26">
        <v>2078.54</v>
      </c>
      <c r="H392" s="26">
        <v>966.0</v>
      </c>
      <c r="I392" s="26">
        <v>1832.58</v>
      </c>
      <c r="J392" s="26">
        <v>5458.85</v>
      </c>
      <c r="K392" s="26">
        <v>18987.33</v>
      </c>
      <c r="L392" s="26">
        <v>7312.4</v>
      </c>
      <c r="M392" s="15">
        <v>10.0</v>
      </c>
      <c r="N392" s="16">
        <v>1032215.83</v>
      </c>
      <c r="O392" s="16">
        <f t="shared" si="769"/>
        <v>41288.6332</v>
      </c>
      <c r="P392" s="16">
        <f t="shared" si="770"/>
        <v>17341.22594</v>
      </c>
      <c r="Q392" s="16">
        <f t="shared" si="771"/>
        <v>8520</v>
      </c>
      <c r="R392" s="67">
        <f t="shared" si="772"/>
        <v>2391.9</v>
      </c>
      <c r="S392" s="17">
        <f t="shared" si="773"/>
        <v>3934.2</v>
      </c>
      <c r="T392" s="17">
        <f t="shared" si="774"/>
        <v>1380</v>
      </c>
      <c r="U392" s="7">
        <v>1462.48</v>
      </c>
      <c r="V392" s="18">
        <f t="shared" si="775"/>
        <v>17341.22594</v>
      </c>
      <c r="W392" s="7">
        <f t="shared" si="776"/>
        <v>4224.48</v>
      </c>
      <c r="X392" s="69">
        <f t="shared" si="777"/>
        <v>5458.85</v>
      </c>
      <c r="Y392" s="7">
        <f t="shared" si="778"/>
        <v>41288.6332</v>
      </c>
      <c r="Z392" s="7">
        <f t="shared" si="779"/>
        <v>8520</v>
      </c>
      <c r="AA392" s="18">
        <f t="shared" si="780"/>
        <v>78295.66914</v>
      </c>
      <c r="AB392" s="56">
        <v>2.0</v>
      </c>
      <c r="AC392" s="24">
        <v>100255.77</v>
      </c>
      <c r="AD392" s="24">
        <v>4843.47</v>
      </c>
      <c r="AE392" s="24">
        <v>740.38</v>
      </c>
      <c r="AF392" s="24">
        <v>276.0</v>
      </c>
      <c r="AG392" s="24">
        <v>478.38</v>
      </c>
      <c r="AH392" s="24">
        <v>0.0</v>
      </c>
      <c r="AI392" s="24">
        <v>1664.41</v>
      </c>
      <c r="AJ392" s="24">
        <v>1684.3</v>
      </c>
      <c r="AK392" s="15">
        <v>14.0</v>
      </c>
      <c r="AL392" s="16">
        <v>1395664.43</v>
      </c>
      <c r="AM392" s="16">
        <v>52783.0</v>
      </c>
      <c r="AN392" s="16">
        <v>23492.0</v>
      </c>
      <c r="AO392" s="16">
        <v>10950.0</v>
      </c>
      <c r="AP392" s="16">
        <v>6592.9</v>
      </c>
      <c r="AQ392" s="16">
        <v>7056.93</v>
      </c>
      <c r="AR392" s="16">
        <v>0.0</v>
      </c>
      <c r="AS392" s="7">
        <v>2623.0</v>
      </c>
      <c r="AT392" s="7">
        <v>0.0</v>
      </c>
      <c r="AU392" s="7">
        <v>1410.0</v>
      </c>
      <c r="AV392" s="7">
        <v>0.0</v>
      </c>
      <c r="AW392" s="7">
        <v>0.0</v>
      </c>
      <c r="AX392" s="7">
        <v>0.0</v>
      </c>
      <c r="AY392" s="7">
        <f t="shared" si="781"/>
        <v>4033</v>
      </c>
      <c r="AZ392" s="9">
        <v>3.0</v>
      </c>
      <c r="BA392" s="9">
        <v>1.0</v>
      </c>
      <c r="BB392" s="84">
        <v>0.0</v>
      </c>
      <c r="BC392" s="84">
        <v>1.0</v>
      </c>
    </row>
    <row r="393">
      <c r="A393" s="11">
        <v>2025.0</v>
      </c>
      <c r="B393" s="11" t="s">
        <v>129</v>
      </c>
      <c r="C393" s="12">
        <v>45750.0</v>
      </c>
      <c r="D393" s="44">
        <v>6.0</v>
      </c>
      <c r="E393" s="26">
        <v>447714.9</v>
      </c>
      <c r="F393" s="26">
        <v>15836.62</v>
      </c>
      <c r="G393" s="26">
        <v>999.36</v>
      </c>
      <c r="H393" s="26">
        <v>552.0</v>
      </c>
      <c r="I393" s="26">
        <v>921.8</v>
      </c>
      <c r="J393" s="26">
        <v>1677.0</v>
      </c>
      <c r="K393" s="26">
        <v>16941.44</v>
      </c>
      <c r="L393" s="26">
        <v>7435.22</v>
      </c>
      <c r="M393" s="15">
        <v>10.0</v>
      </c>
      <c r="N393" s="16">
        <v>917350.81</v>
      </c>
      <c r="O393" s="16">
        <f t="shared" si="769"/>
        <v>36694.0324</v>
      </c>
      <c r="P393" s="16">
        <f t="shared" si="770"/>
        <v>15411.49361</v>
      </c>
      <c r="Q393" s="16">
        <f t="shared" si="771"/>
        <v>8520</v>
      </c>
      <c r="R393" s="67">
        <f t="shared" si="772"/>
        <v>2391.9</v>
      </c>
      <c r="S393" s="17">
        <f t="shared" si="773"/>
        <v>3934.2</v>
      </c>
      <c r="T393" s="17">
        <f t="shared" si="774"/>
        <v>1380</v>
      </c>
      <c r="U393" s="7">
        <v>1487.04</v>
      </c>
      <c r="V393" s="18">
        <f t="shared" si="775"/>
        <v>15411.49361</v>
      </c>
      <c r="W393" s="7">
        <f t="shared" si="776"/>
        <v>3313.7</v>
      </c>
      <c r="X393" s="69">
        <f t="shared" si="777"/>
        <v>1677</v>
      </c>
      <c r="Y393" s="7">
        <f t="shared" si="778"/>
        <v>36694.0324</v>
      </c>
      <c r="Z393" s="7">
        <f t="shared" si="779"/>
        <v>8520</v>
      </c>
      <c r="AA393" s="18">
        <f t="shared" si="780"/>
        <v>67103.26601</v>
      </c>
      <c r="AB393" s="56">
        <v>3.0</v>
      </c>
      <c r="AC393" s="24">
        <v>131711.14</v>
      </c>
      <c r="AD393" s="24">
        <v>6168.79</v>
      </c>
      <c r="AE393" s="24">
        <v>899.88</v>
      </c>
      <c r="AF393" s="24">
        <v>414.0</v>
      </c>
      <c r="AG393" s="24">
        <v>473.42</v>
      </c>
      <c r="AH393" s="24">
        <v>0.0</v>
      </c>
      <c r="AI393" s="24">
        <v>2168.74</v>
      </c>
      <c r="AJ393" s="24">
        <v>2212.75</v>
      </c>
      <c r="AK393" s="15">
        <v>9.0</v>
      </c>
      <c r="AL393" s="16">
        <v>953900.54</v>
      </c>
      <c r="AM393" s="16">
        <v>35887.0</v>
      </c>
      <c r="AN393" s="16">
        <v>15973.0</v>
      </c>
      <c r="AO393" s="16">
        <v>7700.0</v>
      </c>
      <c r="AP393" s="16">
        <v>4350.72</v>
      </c>
      <c r="AQ393" s="16">
        <v>3876.87</v>
      </c>
      <c r="AR393" s="16">
        <v>0.0</v>
      </c>
      <c r="AS393" s="7">
        <v>2479.0</v>
      </c>
      <c r="AT393" s="7">
        <v>0.0</v>
      </c>
      <c r="AU393" s="7">
        <v>12632.0</v>
      </c>
      <c r="AV393" s="7">
        <v>0.0</v>
      </c>
      <c r="AW393" s="7">
        <v>0.0</v>
      </c>
      <c r="AX393" s="7">
        <v>0.0</v>
      </c>
      <c r="AY393" s="7">
        <f t="shared" si="781"/>
        <v>15111</v>
      </c>
      <c r="AZ393" s="9">
        <v>0.0</v>
      </c>
      <c r="BA393" s="9">
        <v>1.0</v>
      </c>
      <c r="BB393" s="84">
        <v>1.0</v>
      </c>
      <c r="BC393" s="84">
        <v>0.0</v>
      </c>
    </row>
    <row r="394">
      <c r="A394" s="11">
        <v>2025.0</v>
      </c>
      <c r="B394" s="11" t="s">
        <v>129</v>
      </c>
      <c r="C394" s="12">
        <v>45751.0</v>
      </c>
      <c r="D394" s="44">
        <v>10.0</v>
      </c>
      <c r="E394" s="26">
        <v>468082.88</v>
      </c>
      <c r="F394" s="26">
        <v>24939.95</v>
      </c>
      <c r="G394" s="26">
        <v>3112.0</v>
      </c>
      <c r="H394" s="26">
        <v>1242.0</v>
      </c>
      <c r="I394" s="26">
        <v>1897.78</v>
      </c>
      <c r="J394" s="26">
        <v>1481.9</v>
      </c>
      <c r="K394" s="26">
        <v>9556.6</v>
      </c>
      <c r="L394" s="26">
        <v>9131.51</v>
      </c>
      <c r="M394" s="15">
        <v>12.0</v>
      </c>
      <c r="N394" s="16">
        <v>1063030.66</v>
      </c>
      <c r="O394" s="16">
        <f t="shared" si="769"/>
        <v>42521.2264</v>
      </c>
      <c r="P394" s="16">
        <f t="shared" si="770"/>
        <v>17858.91509</v>
      </c>
      <c r="Q394" s="16">
        <f t="shared" si="771"/>
        <v>10224</v>
      </c>
      <c r="R394" s="67">
        <f t="shared" si="772"/>
        <v>2870.28</v>
      </c>
      <c r="S394" s="17">
        <f t="shared" si="773"/>
        <v>4721.04</v>
      </c>
      <c r="T394" s="17">
        <f t="shared" si="774"/>
        <v>1656</v>
      </c>
      <c r="U394" s="7">
        <v>1826.3</v>
      </c>
      <c r="V394" s="18">
        <f t="shared" si="775"/>
        <v>17858.91509</v>
      </c>
      <c r="W394" s="7">
        <f t="shared" si="776"/>
        <v>4768.06</v>
      </c>
      <c r="X394" s="69">
        <f t="shared" si="777"/>
        <v>1481.9</v>
      </c>
      <c r="Y394" s="7">
        <f t="shared" si="778"/>
        <v>42521.2264</v>
      </c>
      <c r="Z394" s="7">
        <f t="shared" si="779"/>
        <v>10224</v>
      </c>
      <c r="AA394" s="18">
        <f t="shared" si="780"/>
        <v>78680.40149</v>
      </c>
      <c r="AB394" s="56">
        <v>1.0</v>
      </c>
      <c r="AC394" s="24">
        <v>44736.71</v>
      </c>
      <c r="AD394" s="24">
        <v>2455.61</v>
      </c>
      <c r="AE394" s="24">
        <v>393.42</v>
      </c>
      <c r="AF394" s="24">
        <v>138.0</v>
      </c>
      <c r="AG394" s="24">
        <v>11.33</v>
      </c>
      <c r="AH394" s="24">
        <v>0.0</v>
      </c>
      <c r="AI394" s="24">
        <v>1161.28</v>
      </c>
      <c r="AJ394" s="24">
        <v>751.58</v>
      </c>
      <c r="AK394" s="15">
        <v>0.0</v>
      </c>
      <c r="AL394" s="16">
        <v>0.0</v>
      </c>
      <c r="AM394" s="16">
        <v>0.0</v>
      </c>
      <c r="AN394" s="16">
        <v>0.0</v>
      </c>
      <c r="AO394" s="16">
        <v>0.0</v>
      </c>
      <c r="AP394" s="16">
        <v>0.0</v>
      </c>
      <c r="AQ394" s="16">
        <v>0.0</v>
      </c>
      <c r="AR394" s="16">
        <v>0.0</v>
      </c>
      <c r="AS394" s="7">
        <v>2456.0</v>
      </c>
      <c r="AT394" s="7">
        <v>0.0</v>
      </c>
      <c r="AU394" s="7">
        <v>1688.0</v>
      </c>
      <c r="AV394" s="7">
        <v>0.0</v>
      </c>
      <c r="AW394" s="7">
        <v>0.0</v>
      </c>
      <c r="AX394" s="7">
        <v>0.0</v>
      </c>
      <c r="AY394" s="7">
        <f t="shared" si="781"/>
        <v>4144</v>
      </c>
      <c r="AZ394" s="9">
        <v>0.0</v>
      </c>
      <c r="BA394" s="9">
        <v>2.0</v>
      </c>
      <c r="BB394" s="84">
        <v>0.0</v>
      </c>
      <c r="BC394" s="84">
        <v>0.0</v>
      </c>
    </row>
    <row r="395">
      <c r="A395" s="11">
        <v>2025.0</v>
      </c>
      <c r="B395" s="11" t="s">
        <v>129</v>
      </c>
      <c r="C395" s="1"/>
      <c r="D395" s="2">
        <v>94.0</v>
      </c>
      <c r="E395" s="2"/>
      <c r="F395" s="59" t="s">
        <v>130</v>
      </c>
      <c r="G395" s="2"/>
      <c r="H395" s="33"/>
      <c r="I395" s="33"/>
      <c r="J395" s="33"/>
      <c r="K395" s="33"/>
      <c r="L395" s="33"/>
      <c r="M395" s="4">
        <v>14.0</v>
      </c>
      <c r="N395" s="4">
        <v>1128868.05</v>
      </c>
      <c r="O395" s="35"/>
      <c r="P395" s="35"/>
      <c r="Q395" s="35"/>
      <c r="R395" s="35"/>
      <c r="S395" s="35"/>
      <c r="T395" s="35"/>
      <c r="U395" s="37"/>
      <c r="V395" s="48"/>
      <c r="W395" s="48"/>
      <c r="X395" s="37"/>
      <c r="Y395" s="48"/>
      <c r="Z395" s="48"/>
      <c r="AA395" s="48"/>
      <c r="AB395" s="2"/>
      <c r="AC395" s="33"/>
      <c r="AD395" s="2"/>
      <c r="AE395" s="33"/>
      <c r="AF395" s="33"/>
      <c r="AG395" s="33"/>
      <c r="AH395" s="33"/>
      <c r="AI395" s="33"/>
      <c r="AJ395" s="33"/>
      <c r="AK395" s="4">
        <v>0.0</v>
      </c>
      <c r="AL395" s="4">
        <v>0.0</v>
      </c>
      <c r="AM395" s="35"/>
      <c r="AN395" s="35"/>
      <c r="AO395" s="35"/>
      <c r="AP395" s="35"/>
      <c r="AQ395" s="35"/>
      <c r="AR395" s="35"/>
      <c r="AS395" s="37"/>
      <c r="AT395" s="48"/>
      <c r="AU395" s="48"/>
      <c r="AV395" s="48"/>
      <c r="AW395" s="48"/>
      <c r="AX395" s="48"/>
      <c r="AY395" s="48"/>
      <c r="AZ395" s="38"/>
      <c r="BA395" s="39"/>
      <c r="BB395" s="85"/>
      <c r="BC395" s="85"/>
    </row>
    <row r="396">
      <c r="A396" s="1">
        <v>2025.0</v>
      </c>
      <c r="B396" s="11" t="s">
        <v>129</v>
      </c>
      <c r="C396" s="1" t="s">
        <v>49</v>
      </c>
      <c r="D396" s="33">
        <f t="shared" ref="D396:F396" si="782">SUM(D388:D394)</f>
        <v>383</v>
      </c>
      <c r="E396" s="34">
        <f t="shared" si="782"/>
        <v>26435140.96</v>
      </c>
      <c r="F396" s="34">
        <f t="shared" si="782"/>
        <v>1110032.38</v>
      </c>
      <c r="G396" s="34">
        <f>SUM(G388:G395)</f>
        <v>126721.31</v>
      </c>
      <c r="H396" s="34">
        <f t="shared" ref="H396:L396" si="783">SUM(H388:H394)</f>
        <v>26358</v>
      </c>
      <c r="I396" s="34">
        <f t="shared" si="783"/>
        <v>125316.08</v>
      </c>
      <c r="J396" s="34">
        <f t="shared" si="783"/>
        <v>66696.05</v>
      </c>
      <c r="K396" s="34">
        <f t="shared" si="783"/>
        <v>462099.83</v>
      </c>
      <c r="L396" s="34">
        <f t="shared" si="783"/>
        <v>455061.19</v>
      </c>
      <c r="M396" s="35">
        <f t="shared" ref="M396:N396" si="784">SUM(M388:M395)</f>
        <v>56</v>
      </c>
      <c r="N396" s="36">
        <f t="shared" si="784"/>
        <v>5877884.18</v>
      </c>
      <c r="O396" s="36">
        <f t="shared" ref="O396:AA396" si="785">SUM(O388:O394)</f>
        <v>189960.6452</v>
      </c>
      <c r="P396" s="36">
        <f t="shared" si="785"/>
        <v>79783.47098</v>
      </c>
      <c r="Q396" s="36">
        <f t="shared" si="785"/>
        <v>35784</v>
      </c>
      <c r="R396" s="70">
        <f t="shared" si="785"/>
        <v>10045.98</v>
      </c>
      <c r="S396" s="36">
        <f t="shared" si="785"/>
        <v>16523.64</v>
      </c>
      <c r="T396" s="36">
        <f t="shared" si="785"/>
        <v>5796</v>
      </c>
      <c r="U396" s="37">
        <f t="shared" si="785"/>
        <v>90986.74</v>
      </c>
      <c r="V396" s="37">
        <f t="shared" si="785"/>
        <v>79783.47098</v>
      </c>
      <c r="W396" s="37">
        <f t="shared" si="785"/>
        <v>135362.06</v>
      </c>
      <c r="X396" s="37">
        <f t="shared" si="785"/>
        <v>66696.05</v>
      </c>
      <c r="Y396" s="37">
        <f t="shared" si="785"/>
        <v>189960.6452</v>
      </c>
      <c r="Z396" s="37">
        <f t="shared" si="785"/>
        <v>35784</v>
      </c>
      <c r="AA396" s="37">
        <f t="shared" si="785"/>
        <v>598572.9662</v>
      </c>
      <c r="AB396" s="33">
        <f>SUM(AB388:AB395)</f>
        <v>229</v>
      </c>
      <c r="AC396" s="34">
        <f t="shared" ref="AC396:AJ396" si="786">SUM(AC388:AC394)</f>
        <v>15909186.73</v>
      </c>
      <c r="AD396" s="34">
        <f t="shared" si="786"/>
        <v>658854.44</v>
      </c>
      <c r="AE396" s="34">
        <f t="shared" si="786"/>
        <v>80792.94</v>
      </c>
      <c r="AF396" s="34">
        <f t="shared" si="786"/>
        <v>14628</v>
      </c>
      <c r="AG396" s="34">
        <f t="shared" si="786"/>
        <v>71983.52</v>
      </c>
      <c r="AH396" s="34">
        <f t="shared" si="786"/>
        <v>0</v>
      </c>
      <c r="AI396" s="34">
        <f t="shared" si="786"/>
        <v>215826.45</v>
      </c>
      <c r="AJ396" s="34">
        <f t="shared" si="786"/>
        <v>274286.17</v>
      </c>
      <c r="AK396" s="35">
        <f t="shared" ref="AK396:AL396" si="787">SUM(AK388:AK395)</f>
        <v>31</v>
      </c>
      <c r="AL396" s="36">
        <f t="shared" si="787"/>
        <v>3689197.55</v>
      </c>
      <c r="AM396" s="36">
        <f t="shared" ref="AM396:BC396" si="788">SUM(AM388:AM394)</f>
        <v>138272</v>
      </c>
      <c r="AN396" s="36">
        <f t="shared" si="788"/>
        <v>62648.8</v>
      </c>
      <c r="AO396" s="36">
        <f t="shared" si="788"/>
        <v>25800</v>
      </c>
      <c r="AP396" s="36">
        <f t="shared" si="788"/>
        <v>15737.99</v>
      </c>
      <c r="AQ396" s="36">
        <f t="shared" si="788"/>
        <v>16108.41</v>
      </c>
      <c r="AR396" s="36">
        <f t="shared" si="788"/>
        <v>0</v>
      </c>
      <c r="AS396" s="37">
        <f t="shared" si="788"/>
        <v>139068.77</v>
      </c>
      <c r="AT396" s="37">
        <f t="shared" si="788"/>
        <v>6116</v>
      </c>
      <c r="AU396" s="37">
        <f t="shared" si="788"/>
        <v>80043.18</v>
      </c>
      <c r="AV396" s="37">
        <f t="shared" si="788"/>
        <v>10911.95</v>
      </c>
      <c r="AW396" s="37">
        <f t="shared" si="788"/>
        <v>12599</v>
      </c>
      <c r="AX396" s="37">
        <f t="shared" si="788"/>
        <v>7800.59</v>
      </c>
      <c r="AY396" s="37">
        <f t="shared" si="788"/>
        <v>256539.49</v>
      </c>
      <c r="AZ396" s="38">
        <f t="shared" si="788"/>
        <v>3</v>
      </c>
      <c r="BA396" s="39">
        <f t="shared" si="788"/>
        <v>4</v>
      </c>
      <c r="BB396" s="85">
        <f t="shared" si="788"/>
        <v>4</v>
      </c>
      <c r="BC396" s="85">
        <f t="shared" si="788"/>
        <v>2</v>
      </c>
    </row>
    <row r="397">
      <c r="A397" s="11">
        <v>2025.0</v>
      </c>
      <c r="B397" s="11" t="s">
        <v>129</v>
      </c>
      <c r="C397" s="12">
        <v>45752.0</v>
      </c>
      <c r="D397" s="44">
        <v>10.0</v>
      </c>
      <c r="E397" s="26">
        <v>477817.06</v>
      </c>
      <c r="F397" s="26">
        <v>24934.4</v>
      </c>
      <c r="G397" s="26">
        <v>3192.06</v>
      </c>
      <c r="H397" s="26">
        <v>1242.0</v>
      </c>
      <c r="I397" s="26">
        <v>1288.44</v>
      </c>
      <c r="J397" s="26">
        <v>338.48</v>
      </c>
      <c r="K397" s="26">
        <v>10837.18</v>
      </c>
      <c r="L397" s="26">
        <v>8027.33</v>
      </c>
      <c r="M397" s="15">
        <v>0.0</v>
      </c>
      <c r="N397" s="16">
        <v>0.0</v>
      </c>
      <c r="O397" s="16">
        <f t="shared" ref="O397:O403" si="789">N397*4%</f>
        <v>0</v>
      </c>
      <c r="P397" s="16">
        <f t="shared" ref="P397:P403" si="790">N397*1.68%</f>
        <v>0</v>
      </c>
      <c r="Q397" s="16">
        <f t="shared" ref="Q397:Q403" si="791">M397*(400+350+100+2)</f>
        <v>0</v>
      </c>
      <c r="R397" s="67">
        <f t="shared" ref="R397:R403" si="792">M397*239.19</f>
        <v>0</v>
      </c>
      <c r="S397" s="17">
        <f t="shared" ref="S397:S403" si="793">M397*393.42</f>
        <v>0</v>
      </c>
      <c r="T397" s="17">
        <f t="shared" ref="T397:T403" si="794">M397*138</f>
        <v>0</v>
      </c>
      <c r="U397" s="7">
        <v>1605.0</v>
      </c>
      <c r="V397" s="18">
        <f t="shared" ref="V397:V403" si="795">P397</f>
        <v>0</v>
      </c>
      <c r="W397" s="7">
        <f t="shared" ref="W397:W403" si="796">I397+R397</f>
        <v>1288.44</v>
      </c>
      <c r="X397" s="69">
        <f t="shared" ref="X397:X403" si="797">J397</f>
        <v>338.48</v>
      </c>
      <c r="Y397" s="7">
        <f t="shared" ref="Y397:Y403" si="798">O397</f>
        <v>0</v>
      </c>
      <c r="Z397" s="7">
        <f t="shared" ref="Z397:Z403" si="799">Q397</f>
        <v>0</v>
      </c>
      <c r="AA397" s="18">
        <f t="shared" ref="AA397:AA403" si="800">SUM(U397:Z397)</f>
        <v>3231.92</v>
      </c>
      <c r="AB397" s="56">
        <v>9.0</v>
      </c>
      <c r="AC397" s="24">
        <v>441277.19</v>
      </c>
      <c r="AD397" s="24">
        <v>23440.79</v>
      </c>
      <c r="AE397" s="24">
        <v>3046.93</v>
      </c>
      <c r="AF397" s="24">
        <v>1104.0</v>
      </c>
      <c r="AG397" s="24">
        <v>1434.2</v>
      </c>
      <c r="AH397" s="24">
        <v>0.0</v>
      </c>
      <c r="AI397" s="24">
        <v>10442.2</v>
      </c>
      <c r="AJ397" s="24">
        <v>7413.46</v>
      </c>
      <c r="AK397" s="15">
        <v>0.0</v>
      </c>
      <c r="AL397" s="16">
        <v>0.0</v>
      </c>
      <c r="AM397" s="16">
        <v>0.0</v>
      </c>
      <c r="AN397" s="16">
        <v>0.0</v>
      </c>
      <c r="AO397" s="16">
        <v>0.0</v>
      </c>
      <c r="AP397" s="16">
        <v>0.0</v>
      </c>
      <c r="AQ397" s="16">
        <v>0.0</v>
      </c>
      <c r="AR397" s="16">
        <v>0.0</v>
      </c>
      <c r="AS397" s="86">
        <v>0.0</v>
      </c>
      <c r="AT397" s="7">
        <v>0.0</v>
      </c>
      <c r="AU397" s="7">
        <v>0.0</v>
      </c>
      <c r="AV397" s="7">
        <v>0.0</v>
      </c>
      <c r="AW397" s="7">
        <v>0.0</v>
      </c>
      <c r="AX397" s="7">
        <v>0.0</v>
      </c>
      <c r="AY397" s="7">
        <f t="shared" ref="AY397:AY403" si="801">SUM(AS397:AX397)</f>
        <v>0</v>
      </c>
      <c r="AZ397" s="9">
        <v>0.0</v>
      </c>
      <c r="BA397" s="9">
        <v>0.0</v>
      </c>
      <c r="BB397" s="84">
        <v>0.0</v>
      </c>
      <c r="BC397" s="84">
        <v>0.0</v>
      </c>
    </row>
    <row r="398">
      <c r="A398" s="11">
        <v>2025.0</v>
      </c>
      <c r="B398" s="11" t="s">
        <v>129</v>
      </c>
      <c r="C398" s="12">
        <v>45753.0</v>
      </c>
      <c r="D398" s="44">
        <v>9.0</v>
      </c>
      <c r="E398" s="26">
        <v>259016.09</v>
      </c>
      <c r="F398" s="26">
        <v>14947.26</v>
      </c>
      <c r="G398" s="26">
        <v>2097.2</v>
      </c>
      <c r="H398" s="26">
        <v>1104.0</v>
      </c>
      <c r="I398" s="26">
        <v>987.77</v>
      </c>
      <c r="J398" s="26">
        <v>665.01</v>
      </c>
      <c r="K398" s="26">
        <v>6406.82</v>
      </c>
      <c r="L398" s="26">
        <v>4351.47</v>
      </c>
      <c r="M398" s="15">
        <v>0.0</v>
      </c>
      <c r="N398" s="16">
        <v>0.0</v>
      </c>
      <c r="O398" s="16">
        <f t="shared" si="789"/>
        <v>0</v>
      </c>
      <c r="P398" s="16">
        <f t="shared" si="790"/>
        <v>0</v>
      </c>
      <c r="Q398" s="16">
        <f t="shared" si="791"/>
        <v>0</v>
      </c>
      <c r="R398" s="67">
        <f t="shared" si="792"/>
        <v>0</v>
      </c>
      <c r="S398" s="17">
        <f t="shared" si="793"/>
        <v>0</v>
      </c>
      <c r="T398" s="17">
        <f t="shared" si="794"/>
        <v>0</v>
      </c>
      <c r="U398" s="7">
        <v>870.0</v>
      </c>
      <c r="V398" s="18">
        <f t="shared" si="795"/>
        <v>0</v>
      </c>
      <c r="W398" s="7">
        <f t="shared" si="796"/>
        <v>987.77</v>
      </c>
      <c r="X398" s="69">
        <f t="shared" si="797"/>
        <v>665.01</v>
      </c>
      <c r="Y398" s="7">
        <f t="shared" si="798"/>
        <v>0</v>
      </c>
      <c r="Z398" s="7">
        <f t="shared" si="799"/>
        <v>0</v>
      </c>
      <c r="AA398" s="18">
        <f t="shared" si="800"/>
        <v>2522.78</v>
      </c>
      <c r="AB398" s="56">
        <v>6.0</v>
      </c>
      <c r="AC398" s="24">
        <v>171766.21</v>
      </c>
      <c r="AD398" s="24">
        <v>9870.9</v>
      </c>
      <c r="AE398" s="24">
        <v>1593.86</v>
      </c>
      <c r="AF398" s="24">
        <v>828.0</v>
      </c>
      <c r="AG398" s="24">
        <v>784.04</v>
      </c>
      <c r="AH398" s="24">
        <v>0.0</v>
      </c>
      <c r="AI398" s="24">
        <v>3779.33</v>
      </c>
      <c r="AJ398" s="24">
        <v>2885.67</v>
      </c>
      <c r="AK398" s="15">
        <v>0.0</v>
      </c>
      <c r="AL398" s="16">
        <v>0.0</v>
      </c>
      <c r="AM398" s="16">
        <v>0.0</v>
      </c>
      <c r="AN398" s="16">
        <v>0.0</v>
      </c>
      <c r="AO398" s="16">
        <v>0.0</v>
      </c>
      <c r="AP398" s="16">
        <v>0.0</v>
      </c>
      <c r="AQ398" s="16">
        <v>0.0</v>
      </c>
      <c r="AR398" s="16">
        <v>0.0</v>
      </c>
      <c r="AS398" s="7">
        <v>0.0</v>
      </c>
      <c r="AT398" s="7">
        <v>0.0</v>
      </c>
      <c r="AU398" s="7">
        <v>0.0</v>
      </c>
      <c r="AV398" s="7">
        <v>0.0</v>
      </c>
      <c r="AW398" s="7">
        <v>0.0</v>
      </c>
      <c r="AX398" s="7">
        <v>0.0</v>
      </c>
      <c r="AY398" s="7">
        <f t="shared" si="801"/>
        <v>0</v>
      </c>
      <c r="AZ398" s="9">
        <v>0.0</v>
      </c>
      <c r="BA398" s="9">
        <v>0.0</v>
      </c>
      <c r="BB398" s="84">
        <v>0.0</v>
      </c>
      <c r="BC398" s="84">
        <v>0.0</v>
      </c>
    </row>
    <row r="399">
      <c r="A399" s="11">
        <v>2025.0</v>
      </c>
      <c r="B399" s="11" t="s">
        <v>129</v>
      </c>
      <c r="C399" s="12">
        <v>45754.0</v>
      </c>
      <c r="D399" s="44">
        <v>17.0</v>
      </c>
      <c r="E399" s="26">
        <v>694045.68</v>
      </c>
      <c r="F399" s="26">
        <v>39147.32</v>
      </c>
      <c r="G399" s="26">
        <v>5169.55</v>
      </c>
      <c r="H399" s="26">
        <v>2346.0</v>
      </c>
      <c r="I399" s="26">
        <v>3428.56</v>
      </c>
      <c r="J399" s="26">
        <v>1903.57</v>
      </c>
      <c r="K399" s="26">
        <v>14099.76</v>
      </c>
      <c r="L399" s="26">
        <v>14103.45</v>
      </c>
      <c r="M399" s="15">
        <v>3.0</v>
      </c>
      <c r="N399" s="16">
        <v>154249.28</v>
      </c>
      <c r="O399" s="16">
        <f t="shared" si="789"/>
        <v>6169.9712</v>
      </c>
      <c r="P399" s="16">
        <f t="shared" si="790"/>
        <v>2591.387904</v>
      </c>
      <c r="Q399" s="16">
        <f t="shared" si="791"/>
        <v>2556</v>
      </c>
      <c r="R399" s="67">
        <f t="shared" si="792"/>
        <v>717.57</v>
      </c>
      <c r="S399" s="17">
        <f t="shared" si="793"/>
        <v>1180.26</v>
      </c>
      <c r="T399" s="17">
        <f t="shared" si="794"/>
        <v>414</v>
      </c>
      <c r="U399" s="7">
        <v>2820.69</v>
      </c>
      <c r="V399" s="18">
        <f t="shared" si="795"/>
        <v>2591.387904</v>
      </c>
      <c r="W399" s="7">
        <f t="shared" si="796"/>
        <v>4146.13</v>
      </c>
      <c r="X399" s="69">
        <f t="shared" si="797"/>
        <v>1903.57</v>
      </c>
      <c r="Y399" s="7">
        <f t="shared" si="798"/>
        <v>6169.9712</v>
      </c>
      <c r="Z399" s="7">
        <f t="shared" si="799"/>
        <v>2556</v>
      </c>
      <c r="AA399" s="18">
        <f t="shared" si="800"/>
        <v>20187.7491</v>
      </c>
      <c r="AB399" s="56">
        <v>9.0</v>
      </c>
      <c r="AC399" s="24">
        <v>446979.14</v>
      </c>
      <c r="AD399" s="24">
        <v>23178.95</v>
      </c>
      <c r="AE399" s="24">
        <v>3382.11</v>
      </c>
      <c r="AF399" s="24">
        <v>1242.0</v>
      </c>
      <c r="AG399" s="24">
        <v>2080.77</v>
      </c>
      <c r="AH399" s="24">
        <v>0.0</v>
      </c>
      <c r="AI399" s="24">
        <v>6544.82</v>
      </c>
      <c r="AJ399" s="24">
        <v>9929.25</v>
      </c>
      <c r="AK399" s="15">
        <v>1.0</v>
      </c>
      <c r="AL399" s="16">
        <v>73519.35</v>
      </c>
      <c r="AM399" s="16">
        <v>2781.0</v>
      </c>
      <c r="AN399" s="16">
        <v>1238.0</v>
      </c>
      <c r="AO399" s="16">
        <v>1000.0</v>
      </c>
      <c r="AP399" s="16">
        <v>498.1</v>
      </c>
      <c r="AQ399" s="16">
        <v>257.25</v>
      </c>
      <c r="AR399" s="16">
        <v>0.0</v>
      </c>
      <c r="AS399" s="86">
        <v>7962.41</v>
      </c>
      <c r="AT399" s="7"/>
      <c r="AU399" s="86">
        <v>232.0</v>
      </c>
      <c r="AV399" s="7">
        <v>0.0</v>
      </c>
      <c r="AW399" s="86">
        <v>2781.0</v>
      </c>
      <c r="AX399" s="86">
        <f>112026.87-AT400</f>
        <v>110788.87</v>
      </c>
      <c r="AY399" s="7">
        <f t="shared" si="801"/>
        <v>121764.28</v>
      </c>
      <c r="AZ399" s="9">
        <v>2.0</v>
      </c>
      <c r="BA399" s="9">
        <v>3.0</v>
      </c>
      <c r="BB399" s="84">
        <v>2.0</v>
      </c>
      <c r="BC399" s="84">
        <v>2.0</v>
      </c>
    </row>
    <row r="400">
      <c r="A400" s="11">
        <v>2025.0</v>
      </c>
      <c r="B400" s="11" t="s">
        <v>129</v>
      </c>
      <c r="C400" s="12">
        <v>45755.0</v>
      </c>
      <c r="D400" s="44">
        <v>10.0</v>
      </c>
      <c r="E400" s="26">
        <v>353342.2</v>
      </c>
      <c r="F400" s="26">
        <v>19098.0</v>
      </c>
      <c r="G400" s="26">
        <v>2533.06</v>
      </c>
      <c r="H400" s="26">
        <v>1380.0</v>
      </c>
      <c r="I400" s="26">
        <v>1980.4</v>
      </c>
      <c r="J400" s="26">
        <v>158.57</v>
      </c>
      <c r="K400" s="26">
        <v>6792.21</v>
      </c>
      <c r="L400" s="26">
        <v>6412.33</v>
      </c>
      <c r="M400" s="15">
        <v>3.0</v>
      </c>
      <c r="N400" s="16">
        <v>278001.34</v>
      </c>
      <c r="O400" s="16">
        <f t="shared" si="789"/>
        <v>11120.0536</v>
      </c>
      <c r="P400" s="16">
        <f t="shared" si="790"/>
        <v>4670.422512</v>
      </c>
      <c r="Q400" s="16">
        <f t="shared" si="791"/>
        <v>2556</v>
      </c>
      <c r="R400" s="67">
        <f t="shared" si="792"/>
        <v>717.57</v>
      </c>
      <c r="S400" s="17">
        <f t="shared" si="793"/>
        <v>1180.26</v>
      </c>
      <c r="T400" s="17">
        <f t="shared" si="794"/>
        <v>414</v>
      </c>
      <c r="U400" s="7">
        <v>1282.47</v>
      </c>
      <c r="V400" s="18">
        <f t="shared" si="795"/>
        <v>4670.422512</v>
      </c>
      <c r="W400" s="7">
        <f t="shared" si="796"/>
        <v>2697.97</v>
      </c>
      <c r="X400" s="69">
        <f t="shared" si="797"/>
        <v>158.57</v>
      </c>
      <c r="Y400" s="7">
        <f t="shared" si="798"/>
        <v>11120.0536</v>
      </c>
      <c r="Z400" s="7">
        <f t="shared" si="799"/>
        <v>2556</v>
      </c>
      <c r="AA400" s="18">
        <f t="shared" si="800"/>
        <v>22485.48611</v>
      </c>
      <c r="AB400" s="56">
        <v>18.0</v>
      </c>
      <c r="AC400" s="24">
        <v>262354.52</v>
      </c>
      <c r="AD400" s="24">
        <v>37253.39</v>
      </c>
      <c r="AE400" s="24">
        <v>2324.64</v>
      </c>
      <c r="AF400" s="24">
        <v>966.0</v>
      </c>
      <c r="AG400" s="24">
        <v>1028.89</v>
      </c>
      <c r="AH400" s="24">
        <v>0.0</v>
      </c>
      <c r="AI400" s="24">
        <v>4934.05</v>
      </c>
      <c r="AJ400" s="24">
        <v>4883.73</v>
      </c>
      <c r="AK400" s="15">
        <v>0.0</v>
      </c>
      <c r="AL400" s="16">
        <v>0.0</v>
      </c>
      <c r="AM400" s="16">
        <v>0.0</v>
      </c>
      <c r="AN400" s="16">
        <v>0.0</v>
      </c>
      <c r="AO400" s="16">
        <v>0.0</v>
      </c>
      <c r="AP400" s="16">
        <v>0.0</v>
      </c>
      <c r="AQ400" s="16">
        <v>0.0</v>
      </c>
      <c r="AR400" s="16">
        <v>0.0</v>
      </c>
      <c r="AS400" s="86">
        <v>30199.07</v>
      </c>
      <c r="AT400" s="86">
        <v>1238.0</v>
      </c>
      <c r="AU400" s="86">
        <v>14374.07</v>
      </c>
      <c r="AV400" s="86">
        <v>9113.08</v>
      </c>
      <c r="AW400" s="7">
        <v>0.0</v>
      </c>
      <c r="AX400" s="86">
        <f>183.97</f>
        <v>183.97</v>
      </c>
      <c r="AY400" s="7">
        <f t="shared" si="801"/>
        <v>55108.19</v>
      </c>
      <c r="AZ400" s="9">
        <v>0.0</v>
      </c>
      <c r="BA400" s="9">
        <v>0.0</v>
      </c>
      <c r="BB400" s="84">
        <v>0.0</v>
      </c>
      <c r="BC400" s="84">
        <v>0.0</v>
      </c>
    </row>
    <row r="401">
      <c r="A401" s="11">
        <v>2025.0</v>
      </c>
      <c r="B401" s="11" t="s">
        <v>129</v>
      </c>
      <c r="C401" s="12">
        <v>45756.0</v>
      </c>
      <c r="D401" s="44">
        <v>8.0</v>
      </c>
      <c r="E401" s="26">
        <v>533379.32</v>
      </c>
      <c r="F401" s="26">
        <v>25523.5</v>
      </c>
      <c r="G401" s="26">
        <v>3034.62</v>
      </c>
      <c r="H401" s="26">
        <v>828.0</v>
      </c>
      <c r="I401" s="26">
        <v>1689.87</v>
      </c>
      <c r="J401" s="26">
        <v>2357.76</v>
      </c>
      <c r="K401" s="26">
        <v>10770.84</v>
      </c>
      <c r="L401" s="26">
        <v>11520.16</v>
      </c>
      <c r="M401" s="15">
        <v>3.0</v>
      </c>
      <c r="N401" s="16">
        <v>217730.63</v>
      </c>
      <c r="O401" s="16">
        <f t="shared" si="789"/>
        <v>8709.2252</v>
      </c>
      <c r="P401" s="16">
        <f t="shared" si="790"/>
        <v>3657.874584</v>
      </c>
      <c r="Q401" s="16">
        <f t="shared" si="791"/>
        <v>2556</v>
      </c>
      <c r="R401" s="67">
        <f t="shared" si="792"/>
        <v>717.57</v>
      </c>
      <c r="S401" s="17">
        <f t="shared" si="793"/>
        <v>1180.26</v>
      </c>
      <c r="T401" s="17">
        <f t="shared" si="794"/>
        <v>414</v>
      </c>
      <c r="U401" s="7">
        <v>2304.03</v>
      </c>
      <c r="V401" s="18">
        <f t="shared" si="795"/>
        <v>3657.874584</v>
      </c>
      <c r="W401" s="7">
        <f t="shared" si="796"/>
        <v>2407.44</v>
      </c>
      <c r="X401" s="69">
        <f t="shared" si="797"/>
        <v>2357.76</v>
      </c>
      <c r="Y401" s="7">
        <f t="shared" si="798"/>
        <v>8709.2252</v>
      </c>
      <c r="Z401" s="7">
        <f t="shared" si="799"/>
        <v>2556</v>
      </c>
      <c r="AA401" s="18">
        <f t="shared" si="800"/>
        <v>21992.32978</v>
      </c>
      <c r="AB401" s="56">
        <v>2.0</v>
      </c>
      <c r="AC401" s="24">
        <v>153046.38</v>
      </c>
      <c r="AD401" s="24">
        <v>3770.36</v>
      </c>
      <c r="AE401" s="24">
        <v>281.06</v>
      </c>
      <c r="AF401" s="24">
        <v>0.0</v>
      </c>
      <c r="AG401" s="24">
        <v>0.0</v>
      </c>
      <c r="AH401" s="24">
        <v>0.0</v>
      </c>
      <c r="AI401" s="24">
        <v>605.92</v>
      </c>
      <c r="AJ401" s="24">
        <v>2883.38</v>
      </c>
      <c r="AK401" s="15">
        <v>5.0</v>
      </c>
      <c r="AL401" s="16">
        <v>547037.91</v>
      </c>
      <c r="AM401" s="16">
        <v>20688.0</v>
      </c>
      <c r="AN401" s="16">
        <v>9208.0</v>
      </c>
      <c r="AO401" s="16">
        <v>4700.0</v>
      </c>
      <c r="AP401" s="16">
        <v>2568.23</v>
      </c>
      <c r="AQ401" s="16">
        <v>2103.67</v>
      </c>
      <c r="AR401" s="16">
        <v>0.0</v>
      </c>
      <c r="AS401" s="86">
        <v>9899.87</v>
      </c>
      <c r="AT401" s="86">
        <f>9208-1238</f>
        <v>7970</v>
      </c>
      <c r="AU401" s="86">
        <v>5695.62</v>
      </c>
      <c r="AV401" s="86">
        <v>506.31</v>
      </c>
      <c r="AW401" s="86">
        <v>20688.0</v>
      </c>
      <c r="AX401" s="86">
        <f>16541.31-AT401</f>
        <v>8571.31</v>
      </c>
      <c r="AY401" s="7">
        <f t="shared" si="801"/>
        <v>53331.11</v>
      </c>
      <c r="AZ401" s="9">
        <v>1.0</v>
      </c>
      <c r="BA401" s="9">
        <v>0.0</v>
      </c>
      <c r="BB401" s="84">
        <v>0.0</v>
      </c>
      <c r="BC401" s="84">
        <v>0.0</v>
      </c>
    </row>
    <row r="402">
      <c r="A402" s="11">
        <v>2025.0</v>
      </c>
      <c r="B402" s="11" t="s">
        <v>129</v>
      </c>
      <c r="C402" s="12">
        <v>45757.0</v>
      </c>
      <c r="D402" s="44">
        <v>6.0</v>
      </c>
      <c r="E402" s="26">
        <v>419298.4</v>
      </c>
      <c r="F402" s="26">
        <v>19888.7</v>
      </c>
      <c r="G402" s="26">
        <v>2481.12</v>
      </c>
      <c r="H402" s="26">
        <v>828.0</v>
      </c>
      <c r="I402" s="26">
        <v>1289.35</v>
      </c>
      <c r="J402" s="26">
        <v>2885.05</v>
      </c>
      <c r="K402" s="26">
        <v>7317.55</v>
      </c>
      <c r="L402" s="26">
        <v>7972.68</v>
      </c>
      <c r="M402" s="15">
        <v>3.0</v>
      </c>
      <c r="N402" s="16">
        <v>396086.86</v>
      </c>
      <c r="O402" s="16">
        <f t="shared" si="789"/>
        <v>15843.4744</v>
      </c>
      <c r="P402" s="16">
        <f t="shared" si="790"/>
        <v>6654.259248</v>
      </c>
      <c r="Q402" s="16">
        <f t="shared" si="791"/>
        <v>2556</v>
      </c>
      <c r="R402" s="67">
        <f t="shared" si="792"/>
        <v>717.57</v>
      </c>
      <c r="S402" s="17">
        <f t="shared" si="793"/>
        <v>1180.26</v>
      </c>
      <c r="T402" s="17">
        <f t="shared" si="794"/>
        <v>414</v>
      </c>
      <c r="U402" s="7">
        <v>1594.54</v>
      </c>
      <c r="V402" s="18">
        <f t="shared" si="795"/>
        <v>6654.259248</v>
      </c>
      <c r="W402" s="7">
        <f t="shared" si="796"/>
        <v>2006.92</v>
      </c>
      <c r="X402" s="69">
        <f t="shared" si="797"/>
        <v>2885.05</v>
      </c>
      <c r="Y402" s="7">
        <f t="shared" si="798"/>
        <v>15843.4744</v>
      </c>
      <c r="Z402" s="7">
        <f t="shared" si="799"/>
        <v>2556</v>
      </c>
      <c r="AA402" s="18">
        <f t="shared" si="800"/>
        <v>31540.24365</v>
      </c>
      <c r="AB402" s="56">
        <v>2.0</v>
      </c>
      <c r="AC402" s="24">
        <v>66071.06</v>
      </c>
      <c r="AD402" s="24">
        <v>4969.21</v>
      </c>
      <c r="AE402" s="24">
        <v>794.85</v>
      </c>
      <c r="AF402" s="24">
        <v>276.0</v>
      </c>
      <c r="AG402" s="24">
        <v>385.17</v>
      </c>
      <c r="AH402" s="24">
        <v>0.0</v>
      </c>
      <c r="AI402" s="24">
        <v>1483.46</v>
      </c>
      <c r="AJ402" s="24">
        <v>2029.73</v>
      </c>
      <c r="AK402" s="15">
        <v>0.0</v>
      </c>
      <c r="AL402" s="16">
        <v>0.0</v>
      </c>
      <c r="AM402" s="16">
        <v>0.0</v>
      </c>
      <c r="AN402" s="16">
        <v>0.0</v>
      </c>
      <c r="AO402" s="16">
        <v>0.0</v>
      </c>
      <c r="AP402" s="16">
        <v>0.0</v>
      </c>
      <c r="AQ402" s="16">
        <v>0.0</v>
      </c>
      <c r="AR402" s="16">
        <v>0.0</v>
      </c>
      <c r="AS402" s="86">
        <v>25410.09</v>
      </c>
      <c r="AT402" s="7">
        <v>0.0</v>
      </c>
      <c r="AU402" s="86">
        <v>10977.78</v>
      </c>
      <c r="AV402" s="86">
        <v>3290.77</v>
      </c>
      <c r="AW402" s="7">
        <v>0.0</v>
      </c>
      <c r="AX402" s="86">
        <v>411.23</v>
      </c>
      <c r="AY402" s="7">
        <f t="shared" si="801"/>
        <v>40089.87</v>
      </c>
      <c r="AZ402" s="9">
        <v>0.0</v>
      </c>
      <c r="BA402" s="9">
        <v>1.0</v>
      </c>
      <c r="BB402" s="84">
        <v>4.0</v>
      </c>
      <c r="BC402" s="84">
        <v>0.0</v>
      </c>
    </row>
    <row r="403">
      <c r="A403" s="11">
        <v>2025.0</v>
      </c>
      <c r="B403" s="11" t="s">
        <v>129</v>
      </c>
      <c r="C403" s="12">
        <v>45758.0</v>
      </c>
      <c r="D403" s="44">
        <v>1.0</v>
      </c>
      <c r="E403" s="26">
        <v>49242.88</v>
      </c>
      <c r="F403" s="26">
        <v>2197.14</v>
      </c>
      <c r="G403" s="26">
        <v>245.0</v>
      </c>
      <c r="H403" s="26">
        <v>138.0</v>
      </c>
      <c r="I403" s="26">
        <v>196.75</v>
      </c>
      <c r="J403" s="26">
        <v>551.52</v>
      </c>
      <c r="K403" s="26">
        <v>790.11</v>
      </c>
      <c r="L403" s="26">
        <v>827.28</v>
      </c>
      <c r="M403" s="15">
        <v>5.0</v>
      </c>
      <c r="N403" s="16">
        <v>716003.13</v>
      </c>
      <c r="O403" s="16">
        <f t="shared" si="789"/>
        <v>28640.1252</v>
      </c>
      <c r="P403" s="16">
        <f t="shared" si="790"/>
        <v>12028.85258</v>
      </c>
      <c r="Q403" s="16">
        <f t="shared" si="791"/>
        <v>4260</v>
      </c>
      <c r="R403" s="67">
        <f t="shared" si="792"/>
        <v>1195.95</v>
      </c>
      <c r="S403" s="17">
        <f t="shared" si="793"/>
        <v>1967.1</v>
      </c>
      <c r="T403" s="17">
        <f t="shared" si="794"/>
        <v>690</v>
      </c>
      <c r="U403" s="7">
        <v>165.46</v>
      </c>
      <c r="V403" s="18">
        <f t="shared" si="795"/>
        <v>12028.85258</v>
      </c>
      <c r="W403" s="7">
        <f t="shared" si="796"/>
        <v>1392.7</v>
      </c>
      <c r="X403" s="69">
        <f t="shared" si="797"/>
        <v>551.52</v>
      </c>
      <c r="Y403" s="7">
        <f t="shared" si="798"/>
        <v>28640.1252</v>
      </c>
      <c r="Z403" s="7">
        <f t="shared" si="799"/>
        <v>4260</v>
      </c>
      <c r="AA403" s="18">
        <f t="shared" si="800"/>
        <v>47038.65778</v>
      </c>
      <c r="AB403" s="56">
        <v>0.0</v>
      </c>
      <c r="AC403" s="24">
        <v>0.0</v>
      </c>
      <c r="AD403" s="24">
        <v>0.0</v>
      </c>
      <c r="AE403" s="24">
        <v>0.0</v>
      </c>
      <c r="AF403" s="24">
        <v>0.0</v>
      </c>
      <c r="AG403" s="24">
        <v>0.0</v>
      </c>
      <c r="AH403" s="24">
        <v>0.0</v>
      </c>
      <c r="AI403" s="24">
        <v>0.0</v>
      </c>
      <c r="AJ403" s="24">
        <v>0.0</v>
      </c>
      <c r="AK403" s="15">
        <v>6.0</v>
      </c>
      <c r="AL403" s="16">
        <v>506903.77</v>
      </c>
      <c r="AM403" s="16">
        <v>19171.0</v>
      </c>
      <c r="AN403" s="16">
        <v>8532.0</v>
      </c>
      <c r="AO403" s="16">
        <v>5500.0</v>
      </c>
      <c r="AP403" s="16">
        <v>2718.73</v>
      </c>
      <c r="AQ403" s="16">
        <v>2497.04</v>
      </c>
      <c r="AR403" s="16">
        <v>0.0</v>
      </c>
      <c r="AS403" s="86">
        <v>3053.24</v>
      </c>
      <c r="AT403" s="86">
        <v>7928.0</v>
      </c>
      <c r="AU403" s="86">
        <v>8834.31</v>
      </c>
      <c r="AV403" s="86">
        <v>1442.61</v>
      </c>
      <c r="AW403" s="86">
        <v>17814.0</v>
      </c>
      <c r="AX403" s="86">
        <f>16588.54-AT403</f>
        <v>8660.54</v>
      </c>
      <c r="AY403" s="7">
        <f t="shared" si="801"/>
        <v>47732.7</v>
      </c>
      <c r="AZ403" s="9">
        <v>0.0</v>
      </c>
      <c r="BA403" s="9">
        <v>2.0</v>
      </c>
      <c r="BB403" s="84">
        <v>0.0</v>
      </c>
      <c r="BC403" s="84">
        <v>1.0</v>
      </c>
    </row>
    <row r="404">
      <c r="A404" s="11">
        <v>2025.0</v>
      </c>
      <c r="B404" s="11" t="s">
        <v>129</v>
      </c>
      <c r="C404" s="1"/>
      <c r="D404" s="2">
        <v>113.0</v>
      </c>
      <c r="E404" s="2"/>
      <c r="F404" s="59" t="s">
        <v>131</v>
      </c>
      <c r="G404" s="2"/>
      <c r="H404" s="33"/>
      <c r="I404" s="33"/>
      <c r="J404" s="33"/>
      <c r="K404" s="33"/>
      <c r="L404" s="33"/>
      <c r="M404" s="4">
        <v>15.0</v>
      </c>
      <c r="N404" s="4">
        <v>1422557.97</v>
      </c>
      <c r="O404" s="35"/>
      <c r="P404" s="35"/>
      <c r="Q404" s="35"/>
      <c r="R404" s="35"/>
      <c r="S404" s="35"/>
      <c r="T404" s="35"/>
      <c r="U404" s="37"/>
      <c r="V404" s="48"/>
      <c r="W404" s="48"/>
      <c r="X404" s="37"/>
      <c r="Y404" s="48"/>
      <c r="Z404" s="48"/>
      <c r="AA404" s="48"/>
      <c r="AB404" s="2"/>
      <c r="AC404" s="33"/>
      <c r="AD404" s="2"/>
      <c r="AE404" s="33"/>
      <c r="AF404" s="33"/>
      <c r="AG404" s="33"/>
      <c r="AH404" s="33"/>
      <c r="AI404" s="33"/>
      <c r="AJ404" s="33"/>
      <c r="AK404" s="4">
        <v>0.0</v>
      </c>
      <c r="AL404" s="4">
        <v>0.0</v>
      </c>
      <c r="AM404" s="35"/>
      <c r="AN404" s="35"/>
      <c r="AO404" s="35"/>
      <c r="AP404" s="35"/>
      <c r="AQ404" s="35"/>
      <c r="AR404" s="35"/>
      <c r="AS404" s="37"/>
      <c r="AT404" s="48"/>
      <c r="AU404" s="48"/>
      <c r="AV404" s="48"/>
      <c r="AW404" s="48"/>
      <c r="AX404" s="48"/>
      <c r="AY404" s="48"/>
      <c r="AZ404" s="38"/>
      <c r="BA404" s="39"/>
      <c r="BB404" s="85"/>
      <c r="BC404" s="85"/>
    </row>
    <row r="405">
      <c r="A405" s="1">
        <v>2025.0</v>
      </c>
      <c r="B405" s="11" t="s">
        <v>129</v>
      </c>
      <c r="C405" s="1" t="s">
        <v>49</v>
      </c>
      <c r="D405" s="33">
        <f t="shared" ref="D405:F405" si="802">SUM(D397:D403)</f>
        <v>61</v>
      </c>
      <c r="E405" s="34">
        <f t="shared" si="802"/>
        <v>2786141.63</v>
      </c>
      <c r="F405" s="34">
        <f t="shared" si="802"/>
        <v>145736.32</v>
      </c>
      <c r="G405" s="34">
        <f>SUM(G397:G404)</f>
        <v>18752.61</v>
      </c>
      <c r="H405" s="34">
        <f t="shared" ref="H405:L405" si="803">SUM(H397:H403)</f>
        <v>7866</v>
      </c>
      <c r="I405" s="34">
        <f t="shared" si="803"/>
        <v>10861.14</v>
      </c>
      <c r="J405" s="34">
        <f t="shared" si="803"/>
        <v>8859.96</v>
      </c>
      <c r="K405" s="34">
        <f t="shared" si="803"/>
        <v>57014.47</v>
      </c>
      <c r="L405" s="34">
        <f t="shared" si="803"/>
        <v>53214.7</v>
      </c>
      <c r="M405" s="35">
        <f t="shared" ref="M405:N405" si="804">SUM(M397:M404)</f>
        <v>32</v>
      </c>
      <c r="N405" s="36">
        <f t="shared" si="804"/>
        <v>3184629.21</v>
      </c>
      <c r="O405" s="36">
        <f t="shared" ref="O405:AA405" si="805">SUM(O397:O403)</f>
        <v>70482.8496</v>
      </c>
      <c r="P405" s="36">
        <f t="shared" si="805"/>
        <v>29602.79683</v>
      </c>
      <c r="Q405" s="36">
        <f t="shared" si="805"/>
        <v>14484</v>
      </c>
      <c r="R405" s="70">
        <f t="shared" si="805"/>
        <v>4066.23</v>
      </c>
      <c r="S405" s="36">
        <f t="shared" si="805"/>
        <v>6688.14</v>
      </c>
      <c r="T405" s="36">
        <f t="shared" si="805"/>
        <v>2346</v>
      </c>
      <c r="U405" s="37">
        <f t="shared" si="805"/>
        <v>10642.19</v>
      </c>
      <c r="V405" s="37">
        <f t="shared" si="805"/>
        <v>29602.79683</v>
      </c>
      <c r="W405" s="37">
        <f t="shared" si="805"/>
        <v>14927.37</v>
      </c>
      <c r="X405" s="37">
        <f t="shared" si="805"/>
        <v>8859.96</v>
      </c>
      <c r="Y405" s="37">
        <f t="shared" si="805"/>
        <v>70482.8496</v>
      </c>
      <c r="Z405" s="37">
        <f t="shared" si="805"/>
        <v>14484</v>
      </c>
      <c r="AA405" s="37">
        <f t="shared" si="805"/>
        <v>148999.1664</v>
      </c>
      <c r="AB405" s="33">
        <f>SUM(AB397:AB404)</f>
        <v>46</v>
      </c>
      <c r="AC405" s="34">
        <f t="shared" ref="AC405:AJ405" si="806">SUM(AC397:AC403)</f>
        <v>1541494.5</v>
      </c>
      <c r="AD405" s="34">
        <f t="shared" si="806"/>
        <v>102483.6</v>
      </c>
      <c r="AE405" s="34">
        <f t="shared" si="806"/>
        <v>11423.45</v>
      </c>
      <c r="AF405" s="34">
        <f t="shared" si="806"/>
        <v>4416</v>
      </c>
      <c r="AG405" s="34">
        <f t="shared" si="806"/>
        <v>5713.07</v>
      </c>
      <c r="AH405" s="34">
        <f t="shared" si="806"/>
        <v>0</v>
      </c>
      <c r="AI405" s="34">
        <f t="shared" si="806"/>
        <v>27789.78</v>
      </c>
      <c r="AJ405" s="34">
        <f t="shared" si="806"/>
        <v>30025.22</v>
      </c>
      <c r="AK405" s="35">
        <f t="shared" ref="AK405:AL405" si="807">SUM(AK397:AK404)</f>
        <v>12</v>
      </c>
      <c r="AL405" s="36">
        <f t="shared" si="807"/>
        <v>1127461.03</v>
      </c>
      <c r="AM405" s="36">
        <f t="shared" ref="AM405:BC405" si="808">SUM(AM397:AM403)</f>
        <v>42640</v>
      </c>
      <c r="AN405" s="36">
        <f t="shared" si="808"/>
        <v>18978</v>
      </c>
      <c r="AO405" s="36">
        <f t="shared" si="808"/>
        <v>11200</v>
      </c>
      <c r="AP405" s="36">
        <f t="shared" si="808"/>
        <v>5785.06</v>
      </c>
      <c r="AQ405" s="36">
        <f t="shared" si="808"/>
        <v>4857.96</v>
      </c>
      <c r="AR405" s="36">
        <f t="shared" si="808"/>
        <v>0</v>
      </c>
      <c r="AS405" s="37">
        <f t="shared" si="808"/>
        <v>76524.68</v>
      </c>
      <c r="AT405" s="37">
        <f t="shared" si="808"/>
        <v>17136</v>
      </c>
      <c r="AU405" s="37">
        <f t="shared" si="808"/>
        <v>40113.78</v>
      </c>
      <c r="AV405" s="37">
        <f t="shared" si="808"/>
        <v>14352.77</v>
      </c>
      <c r="AW405" s="37">
        <f t="shared" si="808"/>
        <v>41283</v>
      </c>
      <c r="AX405" s="37">
        <f t="shared" si="808"/>
        <v>128615.92</v>
      </c>
      <c r="AY405" s="37">
        <f t="shared" si="808"/>
        <v>318026.15</v>
      </c>
      <c r="AZ405" s="38">
        <f t="shared" si="808"/>
        <v>3</v>
      </c>
      <c r="BA405" s="39">
        <f t="shared" si="808"/>
        <v>6</v>
      </c>
      <c r="BB405" s="85">
        <f t="shared" si="808"/>
        <v>6</v>
      </c>
      <c r="BC405" s="85">
        <f t="shared" si="808"/>
        <v>3</v>
      </c>
    </row>
    <row r="406">
      <c r="A406" s="11">
        <v>2025.0</v>
      </c>
      <c r="B406" s="11" t="s">
        <v>129</v>
      </c>
      <c r="C406" s="12">
        <v>45759.0</v>
      </c>
      <c r="D406" s="44">
        <v>2.0</v>
      </c>
      <c r="E406" s="26">
        <v>46387.47</v>
      </c>
      <c r="F406" s="26">
        <v>3244.56</v>
      </c>
      <c r="G406" s="26">
        <v>600.01</v>
      </c>
      <c r="H406" s="26">
        <v>276.0</v>
      </c>
      <c r="I406" s="26">
        <v>441.54</v>
      </c>
      <c r="J406" s="26">
        <v>0.0</v>
      </c>
      <c r="K406" s="26">
        <v>1147.7</v>
      </c>
      <c r="L406" s="26">
        <v>779.31</v>
      </c>
      <c r="M406" s="15">
        <v>0.0</v>
      </c>
      <c r="N406" s="16">
        <v>0.0</v>
      </c>
      <c r="O406" s="16">
        <f t="shared" ref="O406:O412" si="809">N406*4%</f>
        <v>0</v>
      </c>
      <c r="P406" s="16">
        <f t="shared" ref="P406:P412" si="810">N406*1.68%</f>
        <v>0</v>
      </c>
      <c r="Q406" s="16">
        <f t="shared" ref="Q406:Q412" si="811">M406*(400+350+100+2)</f>
        <v>0</v>
      </c>
      <c r="R406" s="67">
        <f t="shared" ref="R406:R412" si="812">M406*239.19</f>
        <v>0</v>
      </c>
      <c r="S406" s="17">
        <f t="shared" ref="S406:S412" si="813">M406*393.42</f>
        <v>0</v>
      </c>
      <c r="T406" s="17">
        <f t="shared" ref="T406:T412" si="814">M406*138</f>
        <v>0</v>
      </c>
      <c r="U406" s="86">
        <v>155.86</v>
      </c>
      <c r="V406" s="18">
        <f t="shared" ref="V406:V412" si="815">P406</f>
        <v>0</v>
      </c>
      <c r="W406" s="7">
        <f t="shared" ref="W406:W412" si="816">I406+R406</f>
        <v>441.54</v>
      </c>
      <c r="X406" s="69">
        <f t="shared" ref="X406:X412" si="817">J406</f>
        <v>0</v>
      </c>
      <c r="Y406" s="7">
        <f t="shared" ref="Y406:Y412" si="818">O406</f>
        <v>0</v>
      </c>
      <c r="Z406" s="7">
        <f t="shared" ref="Z406:Z412" si="819">Q406</f>
        <v>0</v>
      </c>
      <c r="AA406" s="18">
        <f t="shared" ref="AA406:AA412" si="820">SUM(U406:Z406)</f>
        <v>597.4</v>
      </c>
      <c r="AB406" s="56">
        <v>2.0</v>
      </c>
      <c r="AC406" s="24">
        <v>45791.08</v>
      </c>
      <c r="AD406" s="24">
        <v>3244.56</v>
      </c>
      <c r="AE406" s="24">
        <v>648.89</v>
      </c>
      <c r="AF406" s="24">
        <v>276.0</v>
      </c>
      <c r="AG406" s="24">
        <v>392.66</v>
      </c>
      <c r="AH406" s="24">
        <v>0.0</v>
      </c>
      <c r="AI406" s="24">
        <v>1157.72</v>
      </c>
      <c r="AJ406" s="24">
        <v>769.29</v>
      </c>
      <c r="AK406" s="15">
        <v>0.0</v>
      </c>
      <c r="AL406" s="16">
        <v>0.0</v>
      </c>
      <c r="AM406" s="16">
        <v>0.0</v>
      </c>
      <c r="AN406" s="16">
        <v>0.0</v>
      </c>
      <c r="AO406" s="16">
        <v>0.0</v>
      </c>
      <c r="AP406" s="16">
        <v>0.0</v>
      </c>
      <c r="AQ406" s="16">
        <v>0.0</v>
      </c>
      <c r="AR406" s="16">
        <v>0.0</v>
      </c>
      <c r="AS406" s="7">
        <v>0.0</v>
      </c>
      <c r="AT406" s="7">
        <v>0.0</v>
      </c>
      <c r="AU406" s="7">
        <v>0.0</v>
      </c>
      <c r="AV406" s="7">
        <v>0.0</v>
      </c>
      <c r="AW406" s="7">
        <v>0.0</v>
      </c>
      <c r="AX406" s="7">
        <v>0.0</v>
      </c>
      <c r="AY406" s="7">
        <f t="shared" ref="AY406:AY412" si="821">SUM(AS406:AX406)</f>
        <v>0</v>
      </c>
      <c r="AZ406" s="9">
        <v>0.0</v>
      </c>
      <c r="BA406" s="9">
        <v>0.0</v>
      </c>
      <c r="BB406" s="84">
        <v>0.0</v>
      </c>
      <c r="BC406" s="84">
        <v>0.0</v>
      </c>
    </row>
    <row r="407">
      <c r="A407" s="11">
        <v>2025.0</v>
      </c>
      <c r="B407" s="11" t="s">
        <v>129</v>
      </c>
      <c r="C407" s="12">
        <v>45760.0</v>
      </c>
      <c r="D407" s="44">
        <v>4.0</v>
      </c>
      <c r="E407" s="26">
        <v>174741.59</v>
      </c>
      <c r="F407" s="26">
        <v>14790.39</v>
      </c>
      <c r="G407" s="26">
        <v>1371.94</v>
      </c>
      <c r="H407" s="26">
        <v>414.0</v>
      </c>
      <c r="I407" s="26">
        <v>649.7</v>
      </c>
      <c r="J407" s="26">
        <v>374.38</v>
      </c>
      <c r="K407" s="26">
        <v>8646.4</v>
      </c>
      <c r="L407" s="26">
        <v>3708.35</v>
      </c>
      <c r="M407" s="15">
        <v>0.0</v>
      </c>
      <c r="N407" s="16">
        <v>0.0</v>
      </c>
      <c r="O407" s="16">
        <f t="shared" si="809"/>
        <v>0</v>
      </c>
      <c r="P407" s="16">
        <f t="shared" si="810"/>
        <v>0</v>
      </c>
      <c r="Q407" s="16">
        <f t="shared" si="811"/>
        <v>0</v>
      </c>
      <c r="R407" s="67">
        <f t="shared" si="812"/>
        <v>0</v>
      </c>
      <c r="S407" s="17">
        <f t="shared" si="813"/>
        <v>0</v>
      </c>
      <c r="T407" s="17">
        <f t="shared" si="814"/>
        <v>0</v>
      </c>
      <c r="U407" s="86">
        <v>741.67</v>
      </c>
      <c r="V407" s="18">
        <f t="shared" si="815"/>
        <v>0</v>
      </c>
      <c r="W407" s="7">
        <f t="shared" si="816"/>
        <v>649.7</v>
      </c>
      <c r="X407" s="69">
        <f t="shared" si="817"/>
        <v>374.38</v>
      </c>
      <c r="Y407" s="7">
        <f t="shared" si="818"/>
        <v>0</v>
      </c>
      <c r="Z407" s="7">
        <f t="shared" si="819"/>
        <v>0</v>
      </c>
      <c r="AA407" s="18">
        <f t="shared" si="820"/>
        <v>1765.75</v>
      </c>
      <c r="AB407" s="56">
        <v>2.0</v>
      </c>
      <c r="AC407" s="24">
        <v>139203.54</v>
      </c>
      <c r="AD407" s="24">
        <v>11255.33</v>
      </c>
      <c r="AE407" s="24">
        <v>950.92</v>
      </c>
      <c r="AF407" s="24">
        <v>138.0</v>
      </c>
      <c r="AG407" s="24">
        <v>297.62</v>
      </c>
      <c r="AH407" s="24">
        <v>0.0</v>
      </c>
      <c r="AI407" s="24">
        <v>7038.26</v>
      </c>
      <c r="AJ407" s="24">
        <v>2830.53</v>
      </c>
      <c r="AK407" s="15">
        <v>0.0</v>
      </c>
      <c r="AL407" s="16">
        <v>0.0</v>
      </c>
      <c r="AM407" s="16">
        <v>0.0</v>
      </c>
      <c r="AN407" s="16">
        <v>0.0</v>
      </c>
      <c r="AO407" s="16">
        <v>0.0</v>
      </c>
      <c r="AP407" s="16">
        <v>0.0</v>
      </c>
      <c r="AQ407" s="16">
        <v>0.0</v>
      </c>
      <c r="AR407" s="16">
        <v>0.0</v>
      </c>
      <c r="AS407" s="7">
        <v>0.0</v>
      </c>
      <c r="AT407" s="7">
        <v>0.0</v>
      </c>
      <c r="AU407" s="7">
        <v>0.0</v>
      </c>
      <c r="AV407" s="7">
        <v>0.0</v>
      </c>
      <c r="AW407" s="7">
        <v>0.0</v>
      </c>
      <c r="AX407" s="7">
        <v>0.0</v>
      </c>
      <c r="AY407" s="7">
        <f t="shared" si="821"/>
        <v>0</v>
      </c>
      <c r="AZ407" s="9">
        <v>0.0</v>
      </c>
      <c r="BA407" s="9">
        <v>0.0</v>
      </c>
      <c r="BB407" s="84">
        <v>0.0</v>
      </c>
      <c r="BC407" s="84">
        <v>0.0</v>
      </c>
    </row>
    <row r="408">
      <c r="A408" s="11">
        <v>2025.0</v>
      </c>
      <c r="B408" s="11" t="s">
        <v>129</v>
      </c>
      <c r="C408" s="12">
        <v>45761.0</v>
      </c>
      <c r="D408" s="44">
        <v>15.0</v>
      </c>
      <c r="E408" s="26">
        <v>2367091.82</v>
      </c>
      <c r="F408" s="26">
        <v>82328.05</v>
      </c>
      <c r="G408" s="26">
        <v>3809.81</v>
      </c>
      <c r="H408" s="26">
        <v>1794.0</v>
      </c>
      <c r="I408" s="26">
        <v>2335.21</v>
      </c>
      <c r="J408" s="26">
        <v>72628.87</v>
      </c>
      <c r="K408" s="26">
        <v>162127.75</v>
      </c>
      <c r="L408" s="26">
        <v>45045.97</v>
      </c>
      <c r="M408" s="15">
        <v>13.0</v>
      </c>
      <c r="N408" s="16">
        <v>1134638.18</v>
      </c>
      <c r="O408" s="16">
        <f t="shared" si="809"/>
        <v>45385.5272</v>
      </c>
      <c r="P408" s="16">
        <f t="shared" si="810"/>
        <v>19061.92142</v>
      </c>
      <c r="Q408" s="16">
        <f t="shared" si="811"/>
        <v>11076</v>
      </c>
      <c r="R408" s="67">
        <f t="shared" si="812"/>
        <v>3109.47</v>
      </c>
      <c r="S408" s="17">
        <f t="shared" si="813"/>
        <v>5114.46</v>
      </c>
      <c r="T408" s="17">
        <f t="shared" si="814"/>
        <v>1794</v>
      </c>
      <c r="U408" s="86">
        <v>9009.19</v>
      </c>
      <c r="V408" s="18">
        <f t="shared" si="815"/>
        <v>19061.92142</v>
      </c>
      <c r="W408" s="7">
        <f t="shared" si="816"/>
        <v>5444.68</v>
      </c>
      <c r="X408" s="69">
        <f t="shared" si="817"/>
        <v>72628.87</v>
      </c>
      <c r="Y408" s="7">
        <f t="shared" si="818"/>
        <v>45385.5272</v>
      </c>
      <c r="Z408" s="7">
        <f t="shared" si="819"/>
        <v>11076</v>
      </c>
      <c r="AA408" s="18">
        <f t="shared" si="820"/>
        <v>162606.1886</v>
      </c>
      <c r="AB408" s="56">
        <v>10.0</v>
      </c>
      <c r="AC408" s="24">
        <v>388119.99</v>
      </c>
      <c r="AD408" s="24">
        <v>20861.59</v>
      </c>
      <c r="AE408" s="24">
        <v>3161.06</v>
      </c>
      <c r="AF408" s="24">
        <v>1380.0</v>
      </c>
      <c r="AG408" s="24">
        <v>1229.09</v>
      </c>
      <c r="AH408" s="24">
        <v>0.0</v>
      </c>
      <c r="AI408" s="24">
        <v>8571.02</v>
      </c>
      <c r="AJ408" s="24">
        <v>6520.42</v>
      </c>
      <c r="AK408" s="15">
        <v>2.0</v>
      </c>
      <c r="AL408" s="16">
        <v>125578.62</v>
      </c>
      <c r="AM408" s="16">
        <v>2605.0</v>
      </c>
      <c r="AN408" s="16">
        <v>2110.23</v>
      </c>
      <c r="AO408" s="16">
        <v>1000.0</v>
      </c>
      <c r="AP408" s="16">
        <v>523.65</v>
      </c>
      <c r="AQ408" s="16">
        <v>491.96</v>
      </c>
      <c r="AR408" s="16">
        <v>0.0</v>
      </c>
      <c r="AS408" s="7">
        <f>26266.43-AT408</f>
        <v>23552.2</v>
      </c>
      <c r="AT408" s="7">
        <v>2714.23</v>
      </c>
      <c r="AU408" s="7">
        <v>11221.25</v>
      </c>
      <c r="AV408" s="7">
        <v>4971.75</v>
      </c>
      <c r="AW408" s="7">
        <v>3962.0</v>
      </c>
      <c r="AX408" s="7">
        <v>6067.62</v>
      </c>
      <c r="AY408" s="7">
        <f t="shared" si="821"/>
        <v>52489.05</v>
      </c>
      <c r="AZ408" s="9">
        <v>0.0</v>
      </c>
      <c r="BA408" s="9">
        <v>2.0</v>
      </c>
      <c r="BB408" s="84">
        <v>0.0</v>
      </c>
      <c r="BC408" s="84">
        <v>0.0</v>
      </c>
    </row>
    <row r="409">
      <c r="A409" s="11">
        <v>2025.0</v>
      </c>
      <c r="B409" s="11" t="s">
        <v>129</v>
      </c>
      <c r="C409" s="12">
        <v>45762.0</v>
      </c>
      <c r="D409" s="44">
        <v>98.0</v>
      </c>
      <c r="E409" s="26">
        <v>6700715.08</v>
      </c>
      <c r="F409" s="26">
        <v>279079.34</v>
      </c>
      <c r="G409" s="26">
        <v>32512.22</v>
      </c>
      <c r="H409" s="26">
        <v>3312.0</v>
      </c>
      <c r="I409" s="26">
        <v>38089.98</v>
      </c>
      <c r="J409" s="26">
        <v>11941.93</v>
      </c>
      <c r="K409" s="26">
        <v>101433.33</v>
      </c>
      <c r="L409" s="26">
        <v>117617.42</v>
      </c>
      <c r="M409" s="15">
        <v>13.0</v>
      </c>
      <c r="N409" s="16">
        <v>1239625.68</v>
      </c>
      <c r="O409" s="16">
        <f t="shared" si="809"/>
        <v>49585.0272</v>
      </c>
      <c r="P409" s="16">
        <f t="shared" si="810"/>
        <v>20825.71142</v>
      </c>
      <c r="Q409" s="16">
        <f t="shared" si="811"/>
        <v>11076</v>
      </c>
      <c r="R409" s="67">
        <f t="shared" si="812"/>
        <v>3109.47</v>
      </c>
      <c r="S409" s="17">
        <f t="shared" si="813"/>
        <v>5114.46</v>
      </c>
      <c r="T409" s="17">
        <f t="shared" si="814"/>
        <v>1794</v>
      </c>
      <c r="U409" s="86">
        <v>23523.48</v>
      </c>
      <c r="V409" s="18">
        <f t="shared" si="815"/>
        <v>20825.71142</v>
      </c>
      <c r="W409" s="7">
        <f t="shared" si="816"/>
        <v>41199.45</v>
      </c>
      <c r="X409" s="69">
        <f t="shared" si="817"/>
        <v>11941.93</v>
      </c>
      <c r="Y409" s="7">
        <f t="shared" si="818"/>
        <v>49585.0272</v>
      </c>
      <c r="Z409" s="7">
        <f t="shared" si="819"/>
        <v>11076</v>
      </c>
      <c r="AA409" s="18">
        <f t="shared" si="820"/>
        <v>158151.5986</v>
      </c>
      <c r="AB409" s="56">
        <v>55.0</v>
      </c>
      <c r="AC409" s="24">
        <v>4059374.96</v>
      </c>
      <c r="AD409" s="24">
        <v>167365.01</v>
      </c>
      <c r="AE409" s="24">
        <v>19452.54</v>
      </c>
      <c r="AF409" s="24">
        <v>1518.0</v>
      </c>
      <c r="AG409" s="24">
        <v>21906.68</v>
      </c>
      <c r="AH409" s="24">
        <v>0.0</v>
      </c>
      <c r="AI409" s="24">
        <v>53373.19</v>
      </c>
      <c r="AJ409" s="24">
        <v>71114.6</v>
      </c>
      <c r="AK409" s="15">
        <v>0.0</v>
      </c>
      <c r="AL409" s="16">
        <v>0.0</v>
      </c>
      <c r="AM409" s="16">
        <v>0.0</v>
      </c>
      <c r="AN409" s="16">
        <v>0.0</v>
      </c>
      <c r="AO409" s="16">
        <v>0.0</v>
      </c>
      <c r="AP409" s="16">
        <v>0.0</v>
      </c>
      <c r="AQ409" s="16">
        <v>0.0</v>
      </c>
      <c r="AR409" s="16">
        <v>0.0</v>
      </c>
      <c r="AS409" s="7">
        <f>52842.85-AT409</f>
        <v>52842.85</v>
      </c>
      <c r="AT409" s="7">
        <v>0.0</v>
      </c>
      <c r="AU409" s="7">
        <v>13605.56</v>
      </c>
      <c r="AV409" s="7">
        <v>11756.15</v>
      </c>
      <c r="AW409" s="7">
        <v>0.0</v>
      </c>
      <c r="AX409" s="7">
        <v>74.59</v>
      </c>
      <c r="AY409" s="7">
        <f t="shared" si="821"/>
        <v>78279.15</v>
      </c>
      <c r="AZ409" s="9">
        <v>4.0</v>
      </c>
      <c r="BA409" s="9">
        <v>2.0</v>
      </c>
      <c r="BB409" s="84">
        <v>0.0</v>
      </c>
      <c r="BC409" s="84">
        <v>0.0</v>
      </c>
    </row>
    <row r="410">
      <c r="A410" s="11">
        <v>2025.0</v>
      </c>
      <c r="B410" s="11" t="s">
        <v>129</v>
      </c>
      <c r="C410" s="12">
        <v>45763.0</v>
      </c>
      <c r="D410" s="44">
        <v>14.0</v>
      </c>
      <c r="E410" s="26">
        <v>1234823.64</v>
      </c>
      <c r="F410" s="26">
        <v>38513.19</v>
      </c>
      <c r="G410" s="26">
        <v>3490.03</v>
      </c>
      <c r="H410" s="26">
        <v>1518.0</v>
      </c>
      <c r="I410" s="26">
        <v>2481.16</v>
      </c>
      <c r="J410" s="26">
        <v>1461.62</v>
      </c>
      <c r="K410" s="26">
        <v>11377.71</v>
      </c>
      <c r="L410" s="26">
        <v>21147.85</v>
      </c>
      <c r="M410" s="15">
        <v>0.0</v>
      </c>
      <c r="N410" s="16">
        <v>0.0</v>
      </c>
      <c r="O410" s="16">
        <f t="shared" si="809"/>
        <v>0</v>
      </c>
      <c r="P410" s="16">
        <f t="shared" si="810"/>
        <v>0</v>
      </c>
      <c r="Q410" s="16">
        <f t="shared" si="811"/>
        <v>0</v>
      </c>
      <c r="R410" s="67">
        <f t="shared" si="812"/>
        <v>0</v>
      </c>
      <c r="S410" s="17">
        <f t="shared" si="813"/>
        <v>0</v>
      </c>
      <c r="T410" s="17">
        <f t="shared" si="814"/>
        <v>0</v>
      </c>
      <c r="U410" s="86">
        <v>4229.57</v>
      </c>
      <c r="V410" s="18">
        <f t="shared" si="815"/>
        <v>0</v>
      </c>
      <c r="W410" s="7">
        <f t="shared" si="816"/>
        <v>2481.16</v>
      </c>
      <c r="X410" s="69">
        <f t="shared" si="817"/>
        <v>1461.62</v>
      </c>
      <c r="Y410" s="7">
        <f t="shared" si="818"/>
        <v>0</v>
      </c>
      <c r="Z410" s="7">
        <f t="shared" si="819"/>
        <v>0</v>
      </c>
      <c r="AA410" s="18">
        <f t="shared" si="820"/>
        <v>8172.35</v>
      </c>
      <c r="AB410" s="56">
        <v>9.0</v>
      </c>
      <c r="AC410" s="24">
        <v>1033667.01</v>
      </c>
      <c r="AD410" s="24">
        <v>29115.44</v>
      </c>
      <c r="AE410" s="24">
        <v>2348.18</v>
      </c>
      <c r="AF410" s="24">
        <v>828.0</v>
      </c>
      <c r="AG410" s="24">
        <v>1092.62</v>
      </c>
      <c r="AH410" s="24">
        <v>0.0</v>
      </c>
      <c r="AI410" s="24">
        <v>8582.24</v>
      </c>
      <c r="AJ410" s="24">
        <v>17765.97</v>
      </c>
      <c r="AK410" s="15">
        <v>0.0</v>
      </c>
      <c r="AL410" s="16">
        <v>0.0</v>
      </c>
      <c r="AM410" s="16">
        <v>0.0</v>
      </c>
      <c r="AN410" s="16">
        <v>0.0</v>
      </c>
      <c r="AO410" s="16">
        <v>0.0</v>
      </c>
      <c r="AP410" s="16">
        <v>0.0</v>
      </c>
      <c r="AQ410" s="16">
        <v>0.0</v>
      </c>
      <c r="AR410" s="16">
        <v>0.0</v>
      </c>
      <c r="AS410" s="7">
        <v>0.0</v>
      </c>
      <c r="AT410" s="7">
        <v>0.0</v>
      </c>
      <c r="AU410" s="7">
        <v>0.0</v>
      </c>
      <c r="AV410" s="7">
        <v>0.0</v>
      </c>
      <c r="AW410" s="7">
        <v>0.0</v>
      </c>
      <c r="AX410" s="7">
        <v>0.0</v>
      </c>
      <c r="AY410" s="7">
        <f t="shared" si="821"/>
        <v>0</v>
      </c>
      <c r="AZ410" s="9">
        <v>0.0</v>
      </c>
      <c r="BA410" s="9">
        <v>0.0</v>
      </c>
      <c r="BB410" s="84">
        <v>0.0</v>
      </c>
      <c r="BC410" s="84">
        <v>0.0</v>
      </c>
    </row>
    <row r="411">
      <c r="A411" s="11">
        <v>2025.0</v>
      </c>
      <c r="B411" s="11" t="s">
        <v>129</v>
      </c>
      <c r="C411" s="12">
        <v>45764.0</v>
      </c>
      <c r="D411" s="44">
        <v>11.0</v>
      </c>
      <c r="E411" s="26">
        <v>968979.49</v>
      </c>
      <c r="F411" s="26">
        <v>38418.5</v>
      </c>
      <c r="G411" s="26">
        <v>2893.53</v>
      </c>
      <c r="H411" s="26">
        <v>1242.0</v>
      </c>
      <c r="I411" s="26">
        <v>2023.78</v>
      </c>
      <c r="J411" s="26">
        <v>1606.84</v>
      </c>
      <c r="K411" s="26">
        <v>14468.64</v>
      </c>
      <c r="L411" s="26">
        <v>17790.55</v>
      </c>
      <c r="M411" s="15">
        <v>0.0</v>
      </c>
      <c r="N411" s="16">
        <v>0.0</v>
      </c>
      <c r="O411" s="16">
        <f t="shared" si="809"/>
        <v>0</v>
      </c>
      <c r="P411" s="16">
        <f t="shared" si="810"/>
        <v>0</v>
      </c>
      <c r="Q411" s="16">
        <f t="shared" si="811"/>
        <v>0</v>
      </c>
      <c r="R411" s="67">
        <f t="shared" si="812"/>
        <v>0</v>
      </c>
      <c r="S411" s="17">
        <f t="shared" si="813"/>
        <v>0</v>
      </c>
      <c r="T411" s="17">
        <f t="shared" si="814"/>
        <v>0</v>
      </c>
      <c r="U411" s="86">
        <v>3558.11</v>
      </c>
      <c r="V411" s="18">
        <f t="shared" si="815"/>
        <v>0</v>
      </c>
      <c r="W411" s="7">
        <f t="shared" si="816"/>
        <v>2023.78</v>
      </c>
      <c r="X411" s="69">
        <f t="shared" si="817"/>
        <v>1606.84</v>
      </c>
      <c r="Y411" s="7">
        <f t="shared" si="818"/>
        <v>0</v>
      </c>
      <c r="Z411" s="7">
        <f t="shared" si="819"/>
        <v>0</v>
      </c>
      <c r="AA411" s="18">
        <f t="shared" si="820"/>
        <v>7188.73</v>
      </c>
      <c r="AB411" s="56">
        <v>1.0</v>
      </c>
      <c r="AC411" s="24">
        <v>61121.2</v>
      </c>
      <c r="AD411" s="24">
        <v>2865.35</v>
      </c>
      <c r="AE411" s="24">
        <v>439.19</v>
      </c>
      <c r="AF411" s="24">
        <v>138.0</v>
      </c>
      <c r="AG411" s="24">
        <v>139.19</v>
      </c>
      <c r="AH411" s="24">
        <v>0.0</v>
      </c>
      <c r="AI411" s="24">
        <v>1122.13</v>
      </c>
      <c r="AJ411" s="24">
        <v>1026.84</v>
      </c>
      <c r="AK411" s="15">
        <v>0.0</v>
      </c>
      <c r="AL411" s="16">
        <v>0.0</v>
      </c>
      <c r="AM411" s="16">
        <v>0.0</v>
      </c>
      <c r="AN411" s="16">
        <v>0.0</v>
      </c>
      <c r="AO411" s="16">
        <v>0.0</v>
      </c>
      <c r="AP411" s="16">
        <v>0.0</v>
      </c>
      <c r="AQ411" s="16">
        <v>0.0</v>
      </c>
      <c r="AR411" s="16">
        <v>0.0</v>
      </c>
      <c r="AS411" s="7">
        <v>0.0</v>
      </c>
      <c r="AT411" s="7">
        <v>0.0</v>
      </c>
      <c r="AU411" s="7">
        <v>0.0</v>
      </c>
      <c r="AV411" s="7">
        <v>0.0</v>
      </c>
      <c r="AW411" s="7">
        <v>0.0</v>
      </c>
      <c r="AX411" s="7">
        <v>0.0</v>
      </c>
      <c r="AY411" s="7">
        <f t="shared" si="821"/>
        <v>0</v>
      </c>
      <c r="AZ411" s="9">
        <v>0.0</v>
      </c>
      <c r="BA411" s="9">
        <v>0.0</v>
      </c>
      <c r="BB411" s="84">
        <v>0.0</v>
      </c>
      <c r="BC411" s="84">
        <v>0.0</v>
      </c>
    </row>
    <row r="412">
      <c r="A412" s="11">
        <v>2025.0</v>
      </c>
      <c r="B412" s="11" t="s">
        <v>129</v>
      </c>
      <c r="C412" s="12">
        <v>45765.0</v>
      </c>
      <c r="D412" s="44">
        <v>6.0</v>
      </c>
      <c r="E412" s="26">
        <v>169149.35</v>
      </c>
      <c r="F412" s="26">
        <v>14290.18</v>
      </c>
      <c r="G412" s="26">
        <v>1771.11</v>
      </c>
      <c r="H412" s="26">
        <v>828.0</v>
      </c>
      <c r="I412" s="26">
        <v>950.83</v>
      </c>
      <c r="J412" s="26">
        <v>0.0</v>
      </c>
      <c r="K412" s="26">
        <v>7517.12</v>
      </c>
      <c r="L412" s="26">
        <v>3223.12</v>
      </c>
      <c r="M412" s="15">
        <v>0.0</v>
      </c>
      <c r="N412" s="16">
        <v>0.0</v>
      </c>
      <c r="O412" s="16">
        <f t="shared" si="809"/>
        <v>0</v>
      </c>
      <c r="P412" s="16">
        <f t="shared" si="810"/>
        <v>0</v>
      </c>
      <c r="Q412" s="16">
        <f t="shared" si="811"/>
        <v>0</v>
      </c>
      <c r="R412" s="67">
        <f t="shared" si="812"/>
        <v>0</v>
      </c>
      <c r="S412" s="17">
        <f t="shared" si="813"/>
        <v>0</v>
      </c>
      <c r="T412" s="17">
        <f t="shared" si="814"/>
        <v>0</v>
      </c>
      <c r="U412" s="86">
        <v>644.62</v>
      </c>
      <c r="V412" s="18">
        <f t="shared" si="815"/>
        <v>0</v>
      </c>
      <c r="W412" s="7">
        <f t="shared" si="816"/>
        <v>950.83</v>
      </c>
      <c r="X412" s="69">
        <f t="shared" si="817"/>
        <v>0</v>
      </c>
      <c r="Y412" s="7">
        <f t="shared" si="818"/>
        <v>0</v>
      </c>
      <c r="Z412" s="7">
        <f t="shared" si="819"/>
        <v>0</v>
      </c>
      <c r="AA412" s="18">
        <f t="shared" si="820"/>
        <v>1595.45</v>
      </c>
      <c r="AB412" s="56">
        <v>4.0</v>
      </c>
      <c r="AC412" s="24">
        <v>170555.71</v>
      </c>
      <c r="AD412" s="24">
        <v>9396.43</v>
      </c>
      <c r="AE412" s="24">
        <v>1175.33</v>
      </c>
      <c r="AF412" s="24">
        <v>414.0</v>
      </c>
      <c r="AG412" s="24">
        <v>284.54</v>
      </c>
      <c r="AH412" s="24">
        <v>0.0</v>
      </c>
      <c r="AI412" s="24">
        <v>4581.52</v>
      </c>
      <c r="AJ412" s="24">
        <v>2941.04</v>
      </c>
      <c r="AK412" s="15">
        <v>0.0</v>
      </c>
      <c r="AL412" s="16">
        <v>0.0</v>
      </c>
      <c r="AM412" s="16">
        <v>0.0</v>
      </c>
      <c r="AN412" s="16">
        <v>0.0</v>
      </c>
      <c r="AO412" s="16">
        <v>0.0</v>
      </c>
      <c r="AP412" s="16">
        <v>0.0</v>
      </c>
      <c r="AQ412" s="16">
        <v>0.0</v>
      </c>
      <c r="AR412" s="16">
        <v>0.0</v>
      </c>
      <c r="AS412" s="7">
        <v>0.0</v>
      </c>
      <c r="AT412" s="7">
        <v>0.0</v>
      </c>
      <c r="AU412" s="7">
        <v>0.0</v>
      </c>
      <c r="AV412" s="7">
        <v>0.0</v>
      </c>
      <c r="AW412" s="7">
        <v>0.0</v>
      </c>
      <c r="AX412" s="7">
        <v>0.0</v>
      </c>
      <c r="AY412" s="7">
        <f t="shared" si="821"/>
        <v>0</v>
      </c>
      <c r="AZ412" s="9">
        <v>0.0</v>
      </c>
      <c r="BA412" s="9">
        <v>0.0</v>
      </c>
      <c r="BB412" s="84">
        <v>0.0</v>
      </c>
      <c r="BC412" s="84">
        <v>0.0</v>
      </c>
    </row>
    <row r="413">
      <c r="A413" s="11">
        <v>2025.0</v>
      </c>
      <c r="B413" s="11" t="s">
        <v>129</v>
      </c>
      <c r="C413" s="1"/>
      <c r="D413" s="2">
        <v>103.0</v>
      </c>
      <c r="E413" s="2"/>
      <c r="F413" s="59" t="s">
        <v>132</v>
      </c>
      <c r="G413" s="2"/>
      <c r="H413" s="33"/>
      <c r="I413" s="33"/>
      <c r="J413" s="33"/>
      <c r="K413" s="33"/>
      <c r="L413" s="33"/>
      <c r="M413" s="4">
        <v>6.0</v>
      </c>
      <c r="N413" s="51">
        <v>386671.33</v>
      </c>
      <c r="O413" s="35"/>
      <c r="P413" s="35"/>
      <c r="Q413" s="35"/>
      <c r="R413" s="35"/>
      <c r="S413" s="35"/>
      <c r="T413" s="35"/>
      <c r="U413" s="37"/>
      <c r="V413" s="48"/>
      <c r="W413" s="48"/>
      <c r="X413" s="37"/>
      <c r="Y413" s="48"/>
      <c r="Z413" s="48"/>
      <c r="AA413" s="48"/>
      <c r="AB413" s="2"/>
      <c r="AC413" s="33"/>
      <c r="AD413" s="2"/>
      <c r="AE413" s="33"/>
      <c r="AF413" s="33"/>
      <c r="AG413" s="33"/>
      <c r="AH413" s="33"/>
      <c r="AI413" s="33"/>
      <c r="AJ413" s="33"/>
      <c r="AK413" s="4">
        <v>0.0</v>
      </c>
      <c r="AL413" s="4">
        <v>0.0</v>
      </c>
      <c r="AM413" s="35"/>
      <c r="AN413" s="35"/>
      <c r="AO413" s="35"/>
      <c r="AP413" s="35"/>
      <c r="AQ413" s="35"/>
      <c r="AR413" s="35"/>
      <c r="AS413" s="37"/>
      <c r="AT413" s="48"/>
      <c r="AU413" s="48"/>
      <c r="AV413" s="48"/>
      <c r="AW413" s="48"/>
      <c r="AX413" s="48"/>
      <c r="AY413" s="48"/>
      <c r="AZ413" s="38"/>
      <c r="BA413" s="39"/>
      <c r="BB413" s="85"/>
      <c r="BC413" s="85"/>
    </row>
    <row r="414">
      <c r="A414" s="1">
        <v>2025.0</v>
      </c>
      <c r="B414" s="11" t="s">
        <v>129</v>
      </c>
      <c r="C414" s="1" t="s">
        <v>49</v>
      </c>
      <c r="D414" s="33">
        <f t="shared" ref="D414:F414" si="822">SUM(D406:D412)</f>
        <v>150</v>
      </c>
      <c r="E414" s="34">
        <f t="shared" si="822"/>
        <v>11661888.44</v>
      </c>
      <c r="F414" s="34">
        <f t="shared" si="822"/>
        <v>470664.21</v>
      </c>
      <c r="G414" s="34">
        <f>SUM(G406:G413)</f>
        <v>46448.65</v>
      </c>
      <c r="H414" s="34">
        <f t="shared" ref="H414:L414" si="823">SUM(H406:H412)</f>
        <v>9384</v>
      </c>
      <c r="I414" s="34">
        <f t="shared" si="823"/>
        <v>46972.2</v>
      </c>
      <c r="J414" s="34">
        <f t="shared" si="823"/>
        <v>88013.64</v>
      </c>
      <c r="K414" s="34">
        <f t="shared" si="823"/>
        <v>306718.65</v>
      </c>
      <c r="L414" s="34">
        <f t="shared" si="823"/>
        <v>209312.57</v>
      </c>
      <c r="M414" s="35">
        <f t="shared" ref="M414:N414" si="824">SUM(M406:M413)</f>
        <v>32</v>
      </c>
      <c r="N414" s="36">
        <f t="shared" si="824"/>
        <v>2760935.19</v>
      </c>
      <c r="O414" s="36">
        <f t="shared" ref="O414:AA414" si="825">SUM(O406:O412)</f>
        <v>94970.5544</v>
      </c>
      <c r="P414" s="36">
        <f t="shared" si="825"/>
        <v>39887.63285</v>
      </c>
      <c r="Q414" s="36">
        <f t="shared" si="825"/>
        <v>22152</v>
      </c>
      <c r="R414" s="70">
        <f t="shared" si="825"/>
        <v>6218.94</v>
      </c>
      <c r="S414" s="36">
        <f t="shared" si="825"/>
        <v>10228.92</v>
      </c>
      <c r="T414" s="36">
        <f t="shared" si="825"/>
        <v>3588</v>
      </c>
      <c r="U414" s="37">
        <f t="shared" si="825"/>
        <v>41862.5</v>
      </c>
      <c r="V414" s="37">
        <f t="shared" si="825"/>
        <v>39887.63285</v>
      </c>
      <c r="W414" s="37">
        <f t="shared" si="825"/>
        <v>53191.14</v>
      </c>
      <c r="X414" s="37">
        <f t="shared" si="825"/>
        <v>88013.64</v>
      </c>
      <c r="Y414" s="37">
        <f t="shared" si="825"/>
        <v>94970.5544</v>
      </c>
      <c r="Z414" s="37">
        <f t="shared" si="825"/>
        <v>22152</v>
      </c>
      <c r="AA414" s="37">
        <f t="shared" si="825"/>
        <v>340077.4672</v>
      </c>
      <c r="AB414" s="33">
        <f>SUM(AB406:AB413)</f>
        <v>83</v>
      </c>
      <c r="AC414" s="34">
        <f t="shared" ref="AC414:AJ414" si="826">SUM(AC406:AC412)</f>
        <v>5897833.49</v>
      </c>
      <c r="AD414" s="34">
        <f t="shared" si="826"/>
        <v>244103.71</v>
      </c>
      <c r="AE414" s="34">
        <f t="shared" si="826"/>
        <v>28176.11</v>
      </c>
      <c r="AF414" s="34">
        <f t="shared" si="826"/>
        <v>4692</v>
      </c>
      <c r="AG414" s="34">
        <f t="shared" si="826"/>
        <v>25342.4</v>
      </c>
      <c r="AH414" s="34">
        <f t="shared" si="826"/>
        <v>0</v>
      </c>
      <c r="AI414" s="34">
        <f t="shared" si="826"/>
        <v>84426.08</v>
      </c>
      <c r="AJ414" s="34">
        <f t="shared" si="826"/>
        <v>102968.69</v>
      </c>
      <c r="AK414" s="35">
        <f t="shared" ref="AK414:AL414" si="827">SUM(AK406:AK413)</f>
        <v>2</v>
      </c>
      <c r="AL414" s="36">
        <f t="shared" si="827"/>
        <v>125578.62</v>
      </c>
      <c r="AM414" s="36">
        <f t="shared" ref="AM414:BC414" si="828">SUM(AM406:AM412)</f>
        <v>2605</v>
      </c>
      <c r="AN414" s="36">
        <f t="shared" si="828"/>
        <v>2110.23</v>
      </c>
      <c r="AO414" s="36">
        <f t="shared" si="828"/>
        <v>1000</v>
      </c>
      <c r="AP414" s="36">
        <f t="shared" si="828"/>
        <v>523.65</v>
      </c>
      <c r="AQ414" s="36">
        <f t="shared" si="828"/>
        <v>491.96</v>
      </c>
      <c r="AR414" s="36">
        <f t="shared" si="828"/>
        <v>0</v>
      </c>
      <c r="AS414" s="37">
        <f t="shared" si="828"/>
        <v>76395.05</v>
      </c>
      <c r="AT414" s="37">
        <f t="shared" si="828"/>
        <v>2714.23</v>
      </c>
      <c r="AU414" s="37">
        <f t="shared" si="828"/>
        <v>24826.81</v>
      </c>
      <c r="AV414" s="37">
        <f t="shared" si="828"/>
        <v>16727.9</v>
      </c>
      <c r="AW414" s="37">
        <f t="shared" si="828"/>
        <v>3962</v>
      </c>
      <c r="AX414" s="37">
        <f t="shared" si="828"/>
        <v>6142.21</v>
      </c>
      <c r="AY414" s="37">
        <f t="shared" si="828"/>
        <v>130768.2</v>
      </c>
      <c r="AZ414" s="38">
        <f t="shared" si="828"/>
        <v>4</v>
      </c>
      <c r="BA414" s="39">
        <f t="shared" si="828"/>
        <v>4</v>
      </c>
      <c r="BB414" s="85">
        <f t="shared" si="828"/>
        <v>0</v>
      </c>
      <c r="BC414" s="85">
        <f t="shared" si="828"/>
        <v>0</v>
      </c>
    </row>
    <row r="415">
      <c r="A415" s="11">
        <v>2025.0</v>
      </c>
      <c r="B415" s="11" t="s">
        <v>129</v>
      </c>
      <c r="C415" s="12">
        <v>45766.0</v>
      </c>
      <c r="D415" s="44">
        <v>17.0</v>
      </c>
      <c r="E415" s="26">
        <v>1075030.9</v>
      </c>
      <c r="F415" s="26">
        <v>43594.67</v>
      </c>
      <c r="G415" s="26">
        <v>3961.47</v>
      </c>
      <c r="H415" s="26">
        <v>1656.0</v>
      </c>
      <c r="I415" s="26">
        <v>2238.24</v>
      </c>
      <c r="J415" s="26">
        <v>7002.41</v>
      </c>
      <c r="K415" s="26">
        <v>27721.95</v>
      </c>
      <c r="L415" s="26">
        <v>19090.62</v>
      </c>
      <c r="M415" s="15">
        <v>0.0</v>
      </c>
      <c r="N415" s="16">
        <v>0.0</v>
      </c>
      <c r="O415" s="16">
        <f t="shared" ref="O415:O421" si="829">N415*4%</f>
        <v>0</v>
      </c>
      <c r="P415" s="16">
        <f t="shared" ref="P415:P421" si="830">N415*1.68%</f>
        <v>0</v>
      </c>
      <c r="Q415" s="16">
        <f t="shared" ref="Q415:Q421" si="831">M415*(400+350+100+2)</f>
        <v>0</v>
      </c>
      <c r="R415" s="67">
        <f t="shared" ref="R415:R421" si="832">M415*239.19</f>
        <v>0</v>
      </c>
      <c r="S415" s="17">
        <f t="shared" ref="S415:S421" si="833">M415*393.42</f>
        <v>0</v>
      </c>
      <c r="T415" s="17">
        <f t="shared" ref="T415:T421" si="834">M415*138</f>
        <v>0</v>
      </c>
      <c r="U415" s="86">
        <v>3836.68</v>
      </c>
      <c r="V415" s="18">
        <f t="shared" ref="V415:V421" si="835">P415</f>
        <v>0</v>
      </c>
      <c r="W415" s="7">
        <f t="shared" ref="W415:W421" si="836">I415+R415</f>
        <v>2238.24</v>
      </c>
      <c r="X415" s="69">
        <f t="shared" ref="X415:X421" si="837">J415</f>
        <v>7002.41</v>
      </c>
      <c r="Y415" s="7">
        <f t="shared" ref="Y415:Y421" si="838">O415</f>
        <v>0</v>
      </c>
      <c r="Z415" s="7">
        <f t="shared" ref="Z415:Z421" si="839">Q415</f>
        <v>0</v>
      </c>
      <c r="AA415" s="18">
        <f t="shared" ref="AA415:AA421" si="840">SUM(U415:Z415)</f>
        <v>13077.33</v>
      </c>
      <c r="AB415" s="56">
        <v>7.0</v>
      </c>
      <c r="AC415" s="24">
        <v>677939.16</v>
      </c>
      <c r="AD415" s="24">
        <v>22693.31</v>
      </c>
      <c r="AE415" s="24">
        <v>2348.39</v>
      </c>
      <c r="AF415" s="24">
        <v>828.0</v>
      </c>
      <c r="AG415" s="24">
        <v>623.62</v>
      </c>
      <c r="AH415" s="24">
        <v>0.0</v>
      </c>
      <c r="AI415" s="24">
        <v>6544.18</v>
      </c>
      <c r="AJ415" s="24">
        <v>12349.12</v>
      </c>
      <c r="AK415" s="15">
        <v>0.0</v>
      </c>
      <c r="AL415" s="16">
        <v>0.0</v>
      </c>
      <c r="AM415" s="16">
        <v>0.0</v>
      </c>
      <c r="AN415" s="16">
        <v>0.0</v>
      </c>
      <c r="AO415" s="16">
        <v>0.0</v>
      </c>
      <c r="AP415" s="16">
        <v>0.0</v>
      </c>
      <c r="AQ415" s="16">
        <v>0.0</v>
      </c>
      <c r="AR415" s="16">
        <v>0.0</v>
      </c>
      <c r="AS415" s="7">
        <v>0.0</v>
      </c>
      <c r="AT415" s="7">
        <v>0.0</v>
      </c>
      <c r="AU415" s="7">
        <v>0.0</v>
      </c>
      <c r="AV415" s="7">
        <v>0.0</v>
      </c>
      <c r="AW415" s="7">
        <v>0.0</v>
      </c>
      <c r="AX415" s="7">
        <v>0.0</v>
      </c>
      <c r="AY415" s="7">
        <f t="shared" ref="AY415:AY421" si="841">SUM(AS415:AX415)</f>
        <v>0</v>
      </c>
      <c r="AZ415" s="9">
        <v>0.0</v>
      </c>
      <c r="BA415" s="9">
        <v>0.0</v>
      </c>
      <c r="BB415" s="84">
        <v>0.0</v>
      </c>
      <c r="BC415" s="84">
        <v>0.0</v>
      </c>
    </row>
    <row r="416">
      <c r="A416" s="11">
        <v>2025.0</v>
      </c>
      <c r="B416" s="11" t="s">
        <v>129</v>
      </c>
      <c r="C416" s="12">
        <v>45767.0</v>
      </c>
      <c r="D416" s="44">
        <v>15.0</v>
      </c>
      <c r="E416" s="26">
        <v>893906.23</v>
      </c>
      <c r="F416" s="26">
        <v>45807.3</v>
      </c>
      <c r="G416" s="26">
        <v>3890.17</v>
      </c>
      <c r="H416" s="26">
        <v>1518.0</v>
      </c>
      <c r="I416" s="26">
        <v>2736.57</v>
      </c>
      <c r="J416" s="26">
        <v>8587.52</v>
      </c>
      <c r="K416" s="26">
        <v>28558.21</v>
      </c>
      <c r="L416" s="26">
        <v>15511.3</v>
      </c>
      <c r="M416" s="15">
        <v>0.0</v>
      </c>
      <c r="N416" s="16">
        <v>0.0</v>
      </c>
      <c r="O416" s="16">
        <f t="shared" si="829"/>
        <v>0</v>
      </c>
      <c r="P416" s="16">
        <f t="shared" si="830"/>
        <v>0</v>
      </c>
      <c r="Q416" s="16">
        <f t="shared" si="831"/>
        <v>0</v>
      </c>
      <c r="R416" s="67">
        <f t="shared" si="832"/>
        <v>0</v>
      </c>
      <c r="S416" s="17">
        <f t="shared" si="833"/>
        <v>0</v>
      </c>
      <c r="T416" s="17">
        <f t="shared" si="834"/>
        <v>0</v>
      </c>
      <c r="U416" s="86">
        <v>3110.43</v>
      </c>
      <c r="V416" s="18">
        <f t="shared" si="835"/>
        <v>0</v>
      </c>
      <c r="W416" s="7">
        <f t="shared" si="836"/>
        <v>2736.57</v>
      </c>
      <c r="X416" s="69">
        <f t="shared" si="837"/>
        <v>8587.52</v>
      </c>
      <c r="Y416" s="7">
        <f t="shared" si="838"/>
        <v>0</v>
      </c>
      <c r="Z416" s="7">
        <f t="shared" si="839"/>
        <v>0</v>
      </c>
      <c r="AA416" s="18">
        <f t="shared" si="840"/>
        <v>14434.52</v>
      </c>
      <c r="AB416" s="56">
        <v>4.0</v>
      </c>
      <c r="AC416" s="24">
        <v>159425.03</v>
      </c>
      <c r="AD416" s="24">
        <v>9811.89</v>
      </c>
      <c r="AE416" s="24">
        <v>998.54</v>
      </c>
      <c r="AF416" s="24">
        <v>414.0</v>
      </c>
      <c r="AG416" s="24">
        <v>289.71</v>
      </c>
      <c r="AH416" s="24">
        <v>0.0</v>
      </c>
      <c r="AI416" s="24">
        <v>5272.18</v>
      </c>
      <c r="AJ416" s="24">
        <v>2837.46</v>
      </c>
      <c r="AK416" s="15">
        <v>0.0</v>
      </c>
      <c r="AL416" s="16">
        <v>0.0</v>
      </c>
      <c r="AM416" s="16">
        <v>0.0</v>
      </c>
      <c r="AN416" s="16">
        <v>0.0</v>
      </c>
      <c r="AO416" s="16">
        <v>0.0</v>
      </c>
      <c r="AP416" s="16">
        <v>0.0</v>
      </c>
      <c r="AQ416" s="16">
        <v>0.0</v>
      </c>
      <c r="AR416" s="16">
        <v>0.0</v>
      </c>
      <c r="AS416" s="7">
        <v>0.0</v>
      </c>
      <c r="AT416" s="7">
        <v>0.0</v>
      </c>
      <c r="AU416" s="7">
        <v>0.0</v>
      </c>
      <c r="AV416" s="7">
        <v>0.0</v>
      </c>
      <c r="AW416" s="7">
        <v>0.0</v>
      </c>
      <c r="AX416" s="7">
        <v>0.0</v>
      </c>
      <c r="AY416" s="7">
        <f t="shared" si="841"/>
        <v>0</v>
      </c>
      <c r="AZ416" s="9">
        <v>0.0</v>
      </c>
      <c r="BA416" s="9">
        <v>0.0</v>
      </c>
      <c r="BB416" s="84">
        <v>0.0</v>
      </c>
      <c r="BC416" s="84">
        <v>0.0</v>
      </c>
    </row>
    <row r="417">
      <c r="A417" s="11">
        <v>2025.0</v>
      </c>
      <c r="B417" s="11" t="s">
        <v>129</v>
      </c>
      <c r="C417" s="12">
        <v>45768.0</v>
      </c>
      <c r="D417" s="44">
        <v>6.0</v>
      </c>
      <c r="E417" s="26">
        <v>315447.27</v>
      </c>
      <c r="F417" s="26">
        <v>14487.8</v>
      </c>
      <c r="G417" s="26">
        <v>1674.58</v>
      </c>
      <c r="H417" s="26">
        <v>828.0</v>
      </c>
      <c r="I417" s="26">
        <v>1252.96</v>
      </c>
      <c r="J417" s="26">
        <v>1694.27</v>
      </c>
      <c r="K417" s="26">
        <v>5432.75</v>
      </c>
      <c r="L417" s="26">
        <v>5299.51</v>
      </c>
      <c r="M417" s="15">
        <v>6.0</v>
      </c>
      <c r="N417" s="16">
        <v>532106.31</v>
      </c>
      <c r="O417" s="16">
        <f t="shared" si="829"/>
        <v>21284.2524</v>
      </c>
      <c r="P417" s="16">
        <f t="shared" si="830"/>
        <v>8939.386008</v>
      </c>
      <c r="Q417" s="16">
        <f t="shared" si="831"/>
        <v>5112</v>
      </c>
      <c r="R417" s="67">
        <f t="shared" si="832"/>
        <v>1435.14</v>
      </c>
      <c r="S417" s="17">
        <f t="shared" si="833"/>
        <v>2360.52</v>
      </c>
      <c r="T417" s="17">
        <f t="shared" si="834"/>
        <v>828</v>
      </c>
      <c r="U417" s="86">
        <v>1065.95</v>
      </c>
      <c r="V417" s="18">
        <f t="shared" si="835"/>
        <v>8939.386008</v>
      </c>
      <c r="W417" s="7">
        <f t="shared" si="836"/>
        <v>2688.1</v>
      </c>
      <c r="X417" s="69">
        <f t="shared" si="837"/>
        <v>1694.27</v>
      </c>
      <c r="Y417" s="7">
        <f t="shared" si="838"/>
        <v>21284.2524</v>
      </c>
      <c r="Z417" s="7">
        <f t="shared" si="839"/>
        <v>5112</v>
      </c>
      <c r="AA417" s="18">
        <f t="shared" si="840"/>
        <v>40783.95841</v>
      </c>
      <c r="AB417" s="56">
        <v>2.0</v>
      </c>
      <c r="AC417" s="24">
        <v>99674.46</v>
      </c>
      <c r="AD417" s="24">
        <v>4262.8</v>
      </c>
      <c r="AE417" s="24">
        <v>583.99</v>
      </c>
      <c r="AF417" s="24">
        <v>276.0</v>
      </c>
      <c r="AG417" s="24">
        <v>378.38</v>
      </c>
      <c r="AH417" s="24">
        <v>0.0</v>
      </c>
      <c r="AI417" s="24">
        <v>1349.9</v>
      </c>
      <c r="AJ417" s="24">
        <v>1674.53</v>
      </c>
      <c r="AK417" s="15">
        <v>0.0</v>
      </c>
      <c r="AL417" s="16">
        <v>0.0</v>
      </c>
      <c r="AM417" s="16">
        <v>0.0</v>
      </c>
      <c r="AN417" s="16">
        <v>0.0</v>
      </c>
      <c r="AO417" s="16">
        <v>0.0</v>
      </c>
      <c r="AP417" s="16">
        <v>0.0</v>
      </c>
      <c r="AQ417" s="16">
        <v>0.0</v>
      </c>
      <c r="AR417" s="16">
        <v>0.0</v>
      </c>
      <c r="AS417" s="86">
        <v>22054.22</v>
      </c>
      <c r="AT417" s="7">
        <v>0.0</v>
      </c>
      <c r="AU417" s="86">
        <v>16318.85</v>
      </c>
      <c r="AV417" s="86">
        <v>5845.06</v>
      </c>
      <c r="AW417" s="7">
        <v>0.0</v>
      </c>
      <c r="AX417" s="86">
        <v>3987.95</v>
      </c>
      <c r="AY417" s="7">
        <f t="shared" si="841"/>
        <v>48206.08</v>
      </c>
      <c r="AZ417" s="9">
        <v>2.0</v>
      </c>
      <c r="BA417" s="9">
        <v>0.0</v>
      </c>
      <c r="BB417" s="84">
        <v>2.0</v>
      </c>
      <c r="BC417" s="84">
        <v>0.0</v>
      </c>
    </row>
    <row r="418">
      <c r="A418" s="11">
        <v>2025.0</v>
      </c>
      <c r="B418" s="11" t="s">
        <v>129</v>
      </c>
      <c r="C418" s="12">
        <v>45769.0</v>
      </c>
      <c r="D418" s="44">
        <v>11.0</v>
      </c>
      <c r="E418" s="26">
        <v>455920.05</v>
      </c>
      <c r="F418" s="26">
        <v>23908.57</v>
      </c>
      <c r="G418" s="26">
        <v>3028.95</v>
      </c>
      <c r="H418" s="26">
        <v>1518.0</v>
      </c>
      <c r="I418" s="26">
        <v>2270.13</v>
      </c>
      <c r="J418" s="26">
        <v>723.49</v>
      </c>
      <c r="K418" s="26">
        <v>10730.54</v>
      </c>
      <c r="L418" s="26">
        <v>8021.31</v>
      </c>
      <c r="M418" s="15">
        <v>7.0</v>
      </c>
      <c r="N418" s="16">
        <v>60415.55</v>
      </c>
      <c r="O418" s="16">
        <f t="shared" si="829"/>
        <v>2416.622</v>
      </c>
      <c r="P418" s="16">
        <f t="shared" si="830"/>
        <v>1014.98124</v>
      </c>
      <c r="Q418" s="16">
        <f t="shared" si="831"/>
        <v>5964</v>
      </c>
      <c r="R418" s="67">
        <f t="shared" si="832"/>
        <v>1674.33</v>
      </c>
      <c r="S418" s="17">
        <f t="shared" si="833"/>
        <v>2753.94</v>
      </c>
      <c r="T418" s="17">
        <f t="shared" si="834"/>
        <v>966</v>
      </c>
      <c r="U418" s="86">
        <v>1616.25</v>
      </c>
      <c r="V418" s="18">
        <f t="shared" si="835"/>
        <v>1014.98124</v>
      </c>
      <c r="W418" s="7">
        <f t="shared" si="836"/>
        <v>3944.46</v>
      </c>
      <c r="X418" s="69">
        <f t="shared" si="837"/>
        <v>723.49</v>
      </c>
      <c r="Y418" s="7">
        <f t="shared" si="838"/>
        <v>2416.622</v>
      </c>
      <c r="Z418" s="7">
        <f t="shared" si="839"/>
        <v>5964</v>
      </c>
      <c r="AA418" s="18">
        <f t="shared" si="840"/>
        <v>15679.80324</v>
      </c>
      <c r="AB418" s="56">
        <v>7.0</v>
      </c>
      <c r="AC418" s="24">
        <v>344458.49</v>
      </c>
      <c r="AD418" s="24">
        <v>18135.17</v>
      </c>
      <c r="AE418" s="24">
        <v>2533.95</v>
      </c>
      <c r="AF418" s="24">
        <v>966.0</v>
      </c>
      <c r="AG418" s="24">
        <v>1015.86</v>
      </c>
      <c r="AH418" s="24">
        <v>0.0</v>
      </c>
      <c r="AI418" s="24">
        <v>7482.24</v>
      </c>
      <c r="AJ418" s="24">
        <v>6137.12</v>
      </c>
      <c r="AK418" s="15">
        <v>0.0</v>
      </c>
      <c r="AL418" s="16">
        <v>0.0</v>
      </c>
      <c r="AM418" s="16">
        <v>0.0</v>
      </c>
      <c r="AN418" s="16">
        <v>0.0</v>
      </c>
      <c r="AO418" s="16">
        <v>0.0</v>
      </c>
      <c r="AP418" s="16">
        <v>0.0</v>
      </c>
      <c r="AQ418" s="16">
        <v>0.0</v>
      </c>
      <c r="AR418" s="16">
        <v>0.0</v>
      </c>
      <c r="AS418" s="86">
        <v>34668.69</v>
      </c>
      <c r="AT418" s="7">
        <v>0.0</v>
      </c>
      <c r="AU418" s="86">
        <v>21380.83</v>
      </c>
      <c r="AV418" s="86">
        <v>80769.8</v>
      </c>
      <c r="AW418" s="7">
        <v>0.0</v>
      </c>
      <c r="AX418" s="86">
        <v>81.3</v>
      </c>
      <c r="AY418" s="7">
        <f t="shared" si="841"/>
        <v>136900.62</v>
      </c>
      <c r="AZ418" s="9">
        <v>0.0</v>
      </c>
      <c r="BA418" s="9">
        <v>0.0</v>
      </c>
      <c r="BB418" s="84">
        <v>1.0</v>
      </c>
      <c r="BC418" s="84">
        <v>0.0</v>
      </c>
    </row>
    <row r="419">
      <c r="A419" s="11">
        <v>2025.0</v>
      </c>
      <c r="B419" s="11" t="s">
        <v>129</v>
      </c>
      <c r="C419" s="12">
        <v>45770.0</v>
      </c>
      <c r="D419" s="44">
        <v>14.0</v>
      </c>
      <c r="E419" s="26">
        <v>746591.63</v>
      </c>
      <c r="F419" s="26">
        <v>42225.73</v>
      </c>
      <c r="G419" s="26">
        <v>4242.87</v>
      </c>
      <c r="H419" s="26">
        <v>1794.0</v>
      </c>
      <c r="I419" s="26">
        <v>2987.29</v>
      </c>
      <c r="J419" s="26">
        <v>4160.15</v>
      </c>
      <c r="K419" s="26">
        <v>27205.34</v>
      </c>
      <c r="L419" s="26">
        <v>13973.71</v>
      </c>
      <c r="M419" s="15">
        <v>7.0</v>
      </c>
      <c r="N419" s="16">
        <v>625822.92</v>
      </c>
      <c r="O419" s="16">
        <f t="shared" si="829"/>
        <v>25032.9168</v>
      </c>
      <c r="P419" s="16">
        <f t="shared" si="830"/>
        <v>10513.82506</v>
      </c>
      <c r="Q419" s="16">
        <f t="shared" si="831"/>
        <v>5964</v>
      </c>
      <c r="R419" s="67">
        <f t="shared" si="832"/>
        <v>1674.33</v>
      </c>
      <c r="S419" s="17">
        <f t="shared" si="833"/>
        <v>2753.94</v>
      </c>
      <c r="T419" s="17">
        <f t="shared" si="834"/>
        <v>966</v>
      </c>
      <c r="U419" s="86">
        <v>2794.74</v>
      </c>
      <c r="V419" s="18">
        <f t="shared" si="835"/>
        <v>10513.82506</v>
      </c>
      <c r="W419" s="7">
        <f t="shared" si="836"/>
        <v>4661.62</v>
      </c>
      <c r="X419" s="69">
        <f t="shared" si="837"/>
        <v>4160.15</v>
      </c>
      <c r="Y419" s="7">
        <f t="shared" si="838"/>
        <v>25032.9168</v>
      </c>
      <c r="Z419" s="7">
        <f t="shared" si="839"/>
        <v>5964</v>
      </c>
      <c r="AA419" s="18">
        <f t="shared" si="840"/>
        <v>53127.25186</v>
      </c>
      <c r="AB419" s="56">
        <v>8.0</v>
      </c>
      <c r="AC419" s="24">
        <v>527582.06</v>
      </c>
      <c r="AD419" s="24">
        <v>26578.47</v>
      </c>
      <c r="AE419" s="24">
        <v>2930.4</v>
      </c>
      <c r="AF419" s="24">
        <v>966.0</v>
      </c>
      <c r="AG419" s="24">
        <v>1274.21</v>
      </c>
      <c r="AH419" s="24">
        <v>0.0</v>
      </c>
      <c r="AI419" s="24">
        <v>12176.51</v>
      </c>
      <c r="AJ419" s="24">
        <v>9231.35</v>
      </c>
      <c r="AK419" s="15">
        <v>0.0</v>
      </c>
      <c r="AL419" s="16">
        <v>0.0</v>
      </c>
      <c r="AM419" s="16">
        <v>0.0</v>
      </c>
      <c r="AN419" s="16">
        <v>0.0</v>
      </c>
      <c r="AO419" s="16">
        <v>0.0</v>
      </c>
      <c r="AP419" s="16">
        <v>0.0</v>
      </c>
      <c r="AQ419" s="16">
        <v>0.0</v>
      </c>
      <c r="AR419" s="16">
        <v>0.0</v>
      </c>
      <c r="AS419" s="86">
        <v>25864.84</v>
      </c>
      <c r="AT419" s="7">
        <v>0.0</v>
      </c>
      <c r="AU419" s="86">
        <v>15953.49</v>
      </c>
      <c r="AV419" s="86">
        <v>7912.4</v>
      </c>
      <c r="AW419" s="7">
        <v>0.0</v>
      </c>
      <c r="AX419" s="86">
        <v>258.93</v>
      </c>
      <c r="AY419" s="7">
        <f t="shared" si="841"/>
        <v>49989.66</v>
      </c>
      <c r="AZ419" s="9">
        <v>0.0</v>
      </c>
      <c r="BA419" s="9">
        <v>2.0</v>
      </c>
      <c r="BB419" s="84">
        <v>0.0</v>
      </c>
      <c r="BC419" s="84">
        <v>0.0</v>
      </c>
    </row>
    <row r="420">
      <c r="A420" s="11">
        <v>2025.0</v>
      </c>
      <c r="B420" s="11" t="s">
        <v>129</v>
      </c>
      <c r="C420" s="12">
        <v>45771.0</v>
      </c>
      <c r="D420" s="44">
        <v>8.0</v>
      </c>
      <c r="E420" s="26">
        <v>348741.1</v>
      </c>
      <c r="F420" s="26">
        <v>21474.28</v>
      </c>
      <c r="G420" s="26">
        <v>2449.17</v>
      </c>
      <c r="H420" s="26">
        <v>1104.0</v>
      </c>
      <c r="I420" s="26">
        <v>1493.81</v>
      </c>
      <c r="J420" s="26">
        <v>0.0</v>
      </c>
      <c r="K420" s="26">
        <v>11228.72</v>
      </c>
      <c r="L420" s="26">
        <v>5198.58</v>
      </c>
      <c r="M420" s="15">
        <v>7.0</v>
      </c>
      <c r="N420" s="16">
        <v>822112.35</v>
      </c>
      <c r="O420" s="16">
        <f t="shared" si="829"/>
        <v>32884.494</v>
      </c>
      <c r="P420" s="16">
        <f t="shared" si="830"/>
        <v>13811.48748</v>
      </c>
      <c r="Q420" s="16">
        <f t="shared" si="831"/>
        <v>5964</v>
      </c>
      <c r="R420" s="67">
        <f t="shared" si="832"/>
        <v>1674.33</v>
      </c>
      <c r="S420" s="17">
        <f t="shared" si="833"/>
        <v>2753.94</v>
      </c>
      <c r="T420" s="17">
        <f t="shared" si="834"/>
        <v>966</v>
      </c>
      <c r="U420" s="86">
        <v>1039.72</v>
      </c>
      <c r="V420" s="18">
        <f t="shared" si="835"/>
        <v>13811.48748</v>
      </c>
      <c r="W420" s="7">
        <f t="shared" si="836"/>
        <v>3168.14</v>
      </c>
      <c r="X420" s="69">
        <f t="shared" si="837"/>
        <v>0</v>
      </c>
      <c r="Y420" s="7">
        <f t="shared" si="838"/>
        <v>32884.494</v>
      </c>
      <c r="Z420" s="7">
        <f t="shared" si="839"/>
        <v>5964</v>
      </c>
      <c r="AA420" s="18">
        <f t="shared" si="840"/>
        <v>56867.84148</v>
      </c>
      <c r="AB420" s="56">
        <v>2.0</v>
      </c>
      <c r="AC420" s="24">
        <v>161825.86</v>
      </c>
      <c r="AD420" s="24">
        <v>7910.18</v>
      </c>
      <c r="AE420" s="24">
        <v>968.61</v>
      </c>
      <c r="AF420" s="24">
        <v>276.0</v>
      </c>
      <c r="AG420" s="24">
        <v>214.79</v>
      </c>
      <c r="AH420" s="24">
        <v>0.0</v>
      </c>
      <c r="AI420" s="24">
        <v>3732.11</v>
      </c>
      <c r="AJ420" s="24">
        <v>2718.67</v>
      </c>
      <c r="AK420" s="15">
        <v>9.0</v>
      </c>
      <c r="AL420" s="16">
        <v>814280.95</v>
      </c>
      <c r="AM420" s="16">
        <v>30797.0</v>
      </c>
      <c r="AN420" s="16">
        <v>13706.0</v>
      </c>
      <c r="AO420" s="16">
        <v>8850.0</v>
      </c>
      <c r="AP420" s="16">
        <v>4231.21</v>
      </c>
      <c r="AQ420" s="16">
        <v>2846.76</v>
      </c>
      <c r="AR420" s="16">
        <v>0.0</v>
      </c>
      <c r="AS420" s="86">
        <f>13600.34-AT420</f>
        <v>9143.34</v>
      </c>
      <c r="AT420" s="86">
        <v>4457.0</v>
      </c>
      <c r="AU420" s="86">
        <v>9836.33</v>
      </c>
      <c r="AV420" s="86">
        <v>10094.08</v>
      </c>
      <c r="AW420" s="86">
        <v>10014.0</v>
      </c>
      <c r="AX420" s="86">
        <v>9599.64</v>
      </c>
      <c r="AY420" s="7">
        <f t="shared" si="841"/>
        <v>53144.39</v>
      </c>
      <c r="AZ420" s="9">
        <v>0.0</v>
      </c>
      <c r="BA420" s="9">
        <v>1.0</v>
      </c>
      <c r="BB420" s="84">
        <v>0.0</v>
      </c>
      <c r="BC420" s="84">
        <v>0.0</v>
      </c>
    </row>
    <row r="421">
      <c r="A421" s="11">
        <v>2025.0</v>
      </c>
      <c r="B421" s="11" t="s">
        <v>129</v>
      </c>
      <c r="C421" s="12">
        <v>45772.0</v>
      </c>
      <c r="D421" s="44">
        <v>7.0</v>
      </c>
      <c r="E421" s="26">
        <v>550490.92</v>
      </c>
      <c r="F421" s="26">
        <v>29912.83</v>
      </c>
      <c r="G421" s="26">
        <v>3521.43</v>
      </c>
      <c r="H421" s="26">
        <v>966.0</v>
      </c>
      <c r="I421" s="26">
        <v>1691.33</v>
      </c>
      <c r="J421" s="26">
        <v>819.23</v>
      </c>
      <c r="K421" s="26">
        <v>13871.4</v>
      </c>
      <c r="L421" s="26">
        <v>9862.67</v>
      </c>
      <c r="M421" s="15">
        <v>7.0</v>
      </c>
      <c r="N421" s="16">
        <v>872412.89</v>
      </c>
      <c r="O421" s="16">
        <f t="shared" si="829"/>
        <v>34896.5156</v>
      </c>
      <c r="P421" s="16">
        <f t="shared" si="830"/>
        <v>14656.53655</v>
      </c>
      <c r="Q421" s="16">
        <f t="shared" si="831"/>
        <v>5964</v>
      </c>
      <c r="R421" s="67">
        <f t="shared" si="832"/>
        <v>1674.33</v>
      </c>
      <c r="S421" s="17">
        <f t="shared" si="833"/>
        <v>2753.94</v>
      </c>
      <c r="T421" s="17">
        <f t="shared" si="834"/>
        <v>966</v>
      </c>
      <c r="U421" s="86">
        <v>1972.53</v>
      </c>
      <c r="V421" s="18">
        <f t="shared" si="835"/>
        <v>14656.53655</v>
      </c>
      <c r="W421" s="7">
        <f t="shared" si="836"/>
        <v>3365.66</v>
      </c>
      <c r="X421" s="69">
        <f t="shared" si="837"/>
        <v>819.23</v>
      </c>
      <c r="Y421" s="7">
        <f t="shared" si="838"/>
        <v>34896.5156</v>
      </c>
      <c r="Z421" s="7">
        <f t="shared" si="839"/>
        <v>5964</v>
      </c>
      <c r="AA421" s="18">
        <f t="shared" si="840"/>
        <v>61674.47215</v>
      </c>
      <c r="AB421" s="56">
        <v>3.0</v>
      </c>
      <c r="AC421" s="24">
        <v>301613.92</v>
      </c>
      <c r="AD421" s="24">
        <v>17653.69</v>
      </c>
      <c r="AE421" s="24">
        <v>2073.22</v>
      </c>
      <c r="AF421" s="24">
        <v>414.0</v>
      </c>
      <c r="AG421" s="24">
        <v>334.69</v>
      </c>
      <c r="AH421" s="24">
        <v>0.0</v>
      </c>
      <c r="AI421" s="24">
        <v>9764.67</v>
      </c>
      <c r="AJ421" s="24">
        <v>5067.11</v>
      </c>
      <c r="AK421" s="15">
        <v>10.0</v>
      </c>
      <c r="AL421" s="16">
        <v>1102626.83</v>
      </c>
      <c r="AM421" s="16">
        <v>41700.0</v>
      </c>
      <c r="AN421" s="16">
        <v>18560.0</v>
      </c>
      <c r="AO421" s="16">
        <v>9300.0</v>
      </c>
      <c r="AP421" s="16">
        <v>4871.4</v>
      </c>
      <c r="AQ421" s="16">
        <v>5145.45</v>
      </c>
      <c r="AR421" s="16">
        <v>0.0</v>
      </c>
      <c r="AS421" s="86">
        <f>26154.94-AT421</f>
        <v>14842.94</v>
      </c>
      <c r="AT421" s="86">
        <v>11312.0</v>
      </c>
      <c r="AU421" s="86">
        <v>11603.77</v>
      </c>
      <c r="AV421" s="86">
        <v>10749.89</v>
      </c>
      <c r="AW421" s="86">
        <v>25418.0</v>
      </c>
      <c r="AX421" s="86">
        <v>20253.04</v>
      </c>
      <c r="AY421" s="7">
        <f t="shared" si="841"/>
        <v>94179.64</v>
      </c>
      <c r="AZ421" s="9">
        <v>0.0</v>
      </c>
      <c r="BA421" s="9">
        <v>1.0</v>
      </c>
      <c r="BB421" s="84">
        <v>0.0</v>
      </c>
      <c r="BC421" s="84">
        <v>0.0</v>
      </c>
    </row>
    <row r="422">
      <c r="A422" s="11">
        <v>2025.0</v>
      </c>
      <c r="B422" s="11" t="s">
        <v>129</v>
      </c>
      <c r="C422" s="1"/>
      <c r="D422" s="2">
        <v>107.0</v>
      </c>
      <c r="E422" s="2"/>
      <c r="F422" s="59" t="s">
        <v>133</v>
      </c>
      <c r="G422" s="2"/>
      <c r="H422" s="33"/>
      <c r="I422" s="33"/>
      <c r="J422" s="33"/>
      <c r="K422" s="33"/>
      <c r="L422" s="33"/>
      <c r="M422" s="4">
        <v>5.0</v>
      </c>
      <c r="N422" s="51">
        <v>412000.0</v>
      </c>
      <c r="O422" s="35"/>
      <c r="P422" s="35"/>
      <c r="Q422" s="35"/>
      <c r="R422" s="35"/>
      <c r="S422" s="35"/>
      <c r="T422" s="35"/>
      <c r="U422" s="37"/>
      <c r="V422" s="48"/>
      <c r="W422" s="48"/>
      <c r="X422" s="37"/>
      <c r="Y422" s="48"/>
      <c r="Z422" s="48"/>
      <c r="AA422" s="48"/>
      <c r="AB422" s="2"/>
      <c r="AC422" s="33"/>
      <c r="AD422" s="2"/>
      <c r="AE422" s="33"/>
      <c r="AF422" s="33"/>
      <c r="AG422" s="33"/>
      <c r="AH422" s="33"/>
      <c r="AI422" s="33"/>
      <c r="AJ422" s="33"/>
      <c r="AK422" s="4">
        <v>0.0</v>
      </c>
      <c r="AL422" s="4">
        <v>0.0</v>
      </c>
      <c r="AM422" s="35"/>
      <c r="AN422" s="35"/>
      <c r="AO422" s="35"/>
      <c r="AP422" s="35"/>
      <c r="AQ422" s="35"/>
      <c r="AR422" s="35"/>
      <c r="AS422" s="37"/>
      <c r="AT422" s="48"/>
      <c r="AU422" s="48"/>
      <c r="AV422" s="48"/>
      <c r="AW422" s="48"/>
      <c r="AX422" s="48"/>
      <c r="AY422" s="48"/>
      <c r="AZ422" s="38"/>
      <c r="BA422" s="39"/>
      <c r="BB422" s="85"/>
      <c r="BC422" s="85"/>
    </row>
    <row r="423">
      <c r="A423" s="1">
        <v>2025.0</v>
      </c>
      <c r="B423" s="11" t="s">
        <v>129</v>
      </c>
      <c r="C423" s="1" t="s">
        <v>49</v>
      </c>
      <c r="D423" s="33">
        <f t="shared" ref="D423:F423" si="842">SUM(D415:D421)</f>
        <v>78</v>
      </c>
      <c r="E423" s="34">
        <f t="shared" si="842"/>
        <v>4386128.1</v>
      </c>
      <c r="F423" s="34">
        <f t="shared" si="842"/>
        <v>221411.18</v>
      </c>
      <c r="G423" s="34">
        <f>SUM(G415:G422)</f>
        <v>22768.64</v>
      </c>
      <c r="H423" s="34">
        <f t="shared" ref="H423:L423" si="843">SUM(H415:H421)</f>
        <v>9384</v>
      </c>
      <c r="I423" s="34">
        <f t="shared" si="843"/>
        <v>14670.33</v>
      </c>
      <c r="J423" s="34">
        <f t="shared" si="843"/>
        <v>22987.07</v>
      </c>
      <c r="K423" s="34">
        <f t="shared" si="843"/>
        <v>124748.91</v>
      </c>
      <c r="L423" s="34">
        <f t="shared" si="843"/>
        <v>76957.7</v>
      </c>
      <c r="M423" s="35">
        <f t="shared" ref="M423:N423" si="844">SUM(M415:M422)</f>
        <v>39</v>
      </c>
      <c r="N423" s="36">
        <f t="shared" si="844"/>
        <v>3324870.02</v>
      </c>
      <c r="O423" s="36">
        <f t="shared" ref="O423:AA423" si="845">SUM(O415:O421)</f>
        <v>116514.8008</v>
      </c>
      <c r="P423" s="36">
        <f t="shared" si="845"/>
        <v>48936.21634</v>
      </c>
      <c r="Q423" s="36">
        <f t="shared" si="845"/>
        <v>28968</v>
      </c>
      <c r="R423" s="70">
        <f t="shared" si="845"/>
        <v>8132.46</v>
      </c>
      <c r="S423" s="36">
        <f t="shared" si="845"/>
        <v>13376.28</v>
      </c>
      <c r="T423" s="36">
        <f t="shared" si="845"/>
        <v>4692</v>
      </c>
      <c r="U423" s="37">
        <f t="shared" si="845"/>
        <v>15436.3</v>
      </c>
      <c r="V423" s="37">
        <f t="shared" si="845"/>
        <v>48936.21634</v>
      </c>
      <c r="W423" s="37">
        <f t="shared" si="845"/>
        <v>22802.79</v>
      </c>
      <c r="X423" s="37">
        <f t="shared" si="845"/>
        <v>22987.07</v>
      </c>
      <c r="Y423" s="37">
        <f t="shared" si="845"/>
        <v>116514.8008</v>
      </c>
      <c r="Z423" s="37">
        <f t="shared" si="845"/>
        <v>28968</v>
      </c>
      <c r="AA423" s="37">
        <f t="shared" si="845"/>
        <v>255645.1771</v>
      </c>
      <c r="AB423" s="33">
        <f>SUM(AB415:AB422)</f>
        <v>33</v>
      </c>
      <c r="AC423" s="34">
        <f t="shared" ref="AC423:AJ423" si="846">SUM(AC415:AC421)</f>
        <v>2272518.98</v>
      </c>
      <c r="AD423" s="34">
        <f t="shared" si="846"/>
        <v>107045.51</v>
      </c>
      <c r="AE423" s="34">
        <f t="shared" si="846"/>
        <v>12437.1</v>
      </c>
      <c r="AF423" s="34">
        <f t="shared" si="846"/>
        <v>4140</v>
      </c>
      <c r="AG423" s="34">
        <f t="shared" si="846"/>
        <v>4131.26</v>
      </c>
      <c r="AH423" s="34">
        <f t="shared" si="846"/>
        <v>0</v>
      </c>
      <c r="AI423" s="34">
        <f t="shared" si="846"/>
        <v>46321.79</v>
      </c>
      <c r="AJ423" s="34">
        <f t="shared" si="846"/>
        <v>40015.36</v>
      </c>
      <c r="AK423" s="35">
        <f t="shared" ref="AK423:AL423" si="847">SUM(AK415:AK422)</f>
        <v>19</v>
      </c>
      <c r="AL423" s="36">
        <f t="shared" si="847"/>
        <v>1916907.78</v>
      </c>
      <c r="AM423" s="36">
        <f t="shared" ref="AM423:BC423" si="848">SUM(AM415:AM421)</f>
        <v>72497</v>
      </c>
      <c r="AN423" s="36">
        <f t="shared" si="848"/>
        <v>32266</v>
      </c>
      <c r="AO423" s="36">
        <f t="shared" si="848"/>
        <v>18150</v>
      </c>
      <c r="AP423" s="36">
        <f t="shared" si="848"/>
        <v>9102.61</v>
      </c>
      <c r="AQ423" s="36">
        <f t="shared" si="848"/>
        <v>7992.21</v>
      </c>
      <c r="AR423" s="36">
        <f t="shared" si="848"/>
        <v>0</v>
      </c>
      <c r="AS423" s="37">
        <f t="shared" si="848"/>
        <v>106574.03</v>
      </c>
      <c r="AT423" s="37">
        <f t="shared" si="848"/>
        <v>15769</v>
      </c>
      <c r="AU423" s="37">
        <f t="shared" si="848"/>
        <v>75093.27</v>
      </c>
      <c r="AV423" s="37">
        <f t="shared" si="848"/>
        <v>115371.23</v>
      </c>
      <c r="AW423" s="37">
        <f t="shared" si="848"/>
        <v>35432</v>
      </c>
      <c r="AX423" s="37">
        <f t="shared" si="848"/>
        <v>34180.86</v>
      </c>
      <c r="AY423" s="37">
        <f t="shared" si="848"/>
        <v>382420.39</v>
      </c>
      <c r="AZ423" s="38">
        <f t="shared" si="848"/>
        <v>2</v>
      </c>
      <c r="BA423" s="39">
        <f t="shared" si="848"/>
        <v>4</v>
      </c>
      <c r="BB423" s="85">
        <f t="shared" si="848"/>
        <v>3</v>
      </c>
      <c r="BC423" s="85">
        <f t="shared" si="848"/>
        <v>0</v>
      </c>
    </row>
    <row r="424">
      <c r="A424" s="11">
        <v>2025.0</v>
      </c>
      <c r="B424" s="11" t="s">
        <v>129</v>
      </c>
      <c r="C424" s="12">
        <v>45773.0</v>
      </c>
      <c r="D424" s="44">
        <v>7.0</v>
      </c>
      <c r="E424" s="26">
        <v>288116.29</v>
      </c>
      <c r="F424" s="26">
        <v>18026.76</v>
      </c>
      <c r="G424" s="26">
        <v>2122.2</v>
      </c>
      <c r="H424" s="26">
        <v>966.0</v>
      </c>
      <c r="I424" s="26">
        <v>1405.09</v>
      </c>
      <c r="J424" s="26">
        <v>3190.17</v>
      </c>
      <c r="K424" s="26">
        <v>17875.7</v>
      </c>
      <c r="L424" s="26">
        <v>5090.91</v>
      </c>
      <c r="M424" s="15">
        <v>0.0</v>
      </c>
      <c r="N424" s="16">
        <v>0.0</v>
      </c>
      <c r="O424" s="16">
        <f t="shared" ref="O424:O430" si="849">N424*4%</f>
        <v>0</v>
      </c>
      <c r="P424" s="16">
        <f t="shared" ref="P424:P430" si="850">N424*1.68%</f>
        <v>0</v>
      </c>
      <c r="Q424" s="16">
        <f t="shared" ref="Q424:Q430" si="851">M424*(400+350+100+2)</f>
        <v>0</v>
      </c>
      <c r="R424" s="67">
        <f t="shared" ref="R424:R430" si="852">M424*239.19</f>
        <v>0</v>
      </c>
      <c r="S424" s="17">
        <f t="shared" ref="S424:S430" si="853">M424*393.42</f>
        <v>0</v>
      </c>
      <c r="T424" s="17">
        <f t="shared" ref="T424:T430" si="854">M424*138</f>
        <v>0</v>
      </c>
      <c r="U424" s="86">
        <v>1018.18</v>
      </c>
      <c r="V424" s="18">
        <f t="shared" ref="V424:V430" si="855">P424</f>
        <v>0</v>
      </c>
      <c r="W424" s="7">
        <f t="shared" ref="W424:W430" si="856">I424+R424</f>
        <v>1405.09</v>
      </c>
      <c r="X424" s="69">
        <f t="shared" ref="X424:X430" si="857">J424</f>
        <v>3190.17</v>
      </c>
      <c r="Y424" s="7">
        <f t="shared" ref="Y424:Y430" si="858">O424</f>
        <v>0</v>
      </c>
      <c r="Z424" s="7">
        <f t="shared" ref="Z424:Z430" si="859">Q424</f>
        <v>0</v>
      </c>
      <c r="AA424" s="18">
        <f t="shared" ref="AA424:AA430" si="860">SUM(U424:Z424)</f>
        <v>5613.44</v>
      </c>
      <c r="AB424" s="56">
        <v>4.0</v>
      </c>
      <c r="AC424" s="24" t="s">
        <v>134</v>
      </c>
      <c r="AD424" s="24">
        <v>10460.54</v>
      </c>
      <c r="AE424" s="24">
        <v>1447.92</v>
      </c>
      <c r="AF424" s="24">
        <v>552.0</v>
      </c>
      <c r="AG424" s="24">
        <v>543.25</v>
      </c>
      <c r="AH424" s="24">
        <v>0.0</v>
      </c>
      <c r="AI424" s="24">
        <v>4850.44</v>
      </c>
      <c r="AJ424" s="24">
        <v>3066.93</v>
      </c>
      <c r="AK424" s="15">
        <v>0.0</v>
      </c>
      <c r="AL424" s="16">
        <v>0.0</v>
      </c>
      <c r="AM424" s="16">
        <v>0.0</v>
      </c>
      <c r="AN424" s="16">
        <v>0.0</v>
      </c>
      <c r="AO424" s="16">
        <v>0.0</v>
      </c>
      <c r="AP424" s="16">
        <v>0.0</v>
      </c>
      <c r="AQ424" s="16">
        <v>0.0</v>
      </c>
      <c r="AR424" s="16">
        <v>0.0</v>
      </c>
      <c r="AS424" s="7">
        <v>0.0</v>
      </c>
      <c r="AT424" s="7">
        <v>0.0</v>
      </c>
      <c r="AU424" s="7">
        <v>0.0</v>
      </c>
      <c r="AV424" s="7">
        <v>0.0</v>
      </c>
      <c r="AW424" s="7">
        <v>0.0</v>
      </c>
      <c r="AX424" s="7">
        <v>0.0</v>
      </c>
      <c r="AY424" s="7">
        <f t="shared" ref="AY424:AY430" si="861">SUM(AS424:AX424)</f>
        <v>0</v>
      </c>
      <c r="AZ424" s="9">
        <v>0.0</v>
      </c>
      <c r="BA424" s="9">
        <v>0.0</v>
      </c>
      <c r="BB424" s="84">
        <v>0.0</v>
      </c>
      <c r="BC424" s="84">
        <v>0.0</v>
      </c>
    </row>
    <row r="425">
      <c r="A425" s="11">
        <v>2025.0</v>
      </c>
      <c r="B425" s="11" t="s">
        <v>129</v>
      </c>
      <c r="C425" s="12">
        <v>45774.0</v>
      </c>
      <c r="D425" s="44">
        <v>6.0</v>
      </c>
      <c r="E425" s="26">
        <v>333154.41</v>
      </c>
      <c r="F425" s="26">
        <v>17441.39</v>
      </c>
      <c r="G425" s="26">
        <v>1928.8</v>
      </c>
      <c r="H425" s="26">
        <v>828.0</v>
      </c>
      <c r="I425" s="26">
        <v>1148.85</v>
      </c>
      <c r="J425" s="26">
        <v>0.0</v>
      </c>
      <c r="K425" s="26">
        <v>7938.75</v>
      </c>
      <c r="L425" s="26">
        <v>5596.99</v>
      </c>
      <c r="M425" s="15">
        <v>0.0</v>
      </c>
      <c r="N425" s="16">
        <v>0.0</v>
      </c>
      <c r="O425" s="16">
        <f t="shared" si="849"/>
        <v>0</v>
      </c>
      <c r="P425" s="16">
        <f t="shared" si="850"/>
        <v>0</v>
      </c>
      <c r="Q425" s="16">
        <f t="shared" si="851"/>
        <v>0</v>
      </c>
      <c r="R425" s="67">
        <f t="shared" si="852"/>
        <v>0</v>
      </c>
      <c r="S425" s="17">
        <f t="shared" si="853"/>
        <v>0</v>
      </c>
      <c r="T425" s="17">
        <f t="shared" si="854"/>
        <v>0</v>
      </c>
      <c r="U425" s="86">
        <v>1119.4</v>
      </c>
      <c r="V425" s="18">
        <f t="shared" si="855"/>
        <v>0</v>
      </c>
      <c r="W425" s="7">
        <f t="shared" si="856"/>
        <v>1148.85</v>
      </c>
      <c r="X425" s="69">
        <f t="shared" si="857"/>
        <v>0</v>
      </c>
      <c r="Y425" s="7">
        <f t="shared" si="858"/>
        <v>0</v>
      </c>
      <c r="Z425" s="7">
        <f t="shared" si="859"/>
        <v>0</v>
      </c>
      <c r="AA425" s="18">
        <f t="shared" si="860"/>
        <v>2268.25</v>
      </c>
      <c r="AB425" s="56">
        <v>4.0</v>
      </c>
      <c r="AC425" s="24">
        <v>195074.43</v>
      </c>
      <c r="AD425" s="24">
        <v>11356.93</v>
      </c>
      <c r="AE425" s="24">
        <v>1525.25</v>
      </c>
      <c r="AF425" s="24">
        <v>552.0</v>
      </c>
      <c r="AG425" s="24">
        <v>647.89</v>
      </c>
      <c r="AH425" s="24">
        <v>0.0</v>
      </c>
      <c r="AI425" s="24">
        <v>5354.54</v>
      </c>
      <c r="AJ425" s="24">
        <v>3277.25</v>
      </c>
      <c r="AK425" s="15">
        <v>0.0</v>
      </c>
      <c r="AL425" s="16">
        <v>0.0</v>
      </c>
      <c r="AM425" s="16">
        <v>0.0</v>
      </c>
      <c r="AN425" s="16">
        <v>0.0</v>
      </c>
      <c r="AO425" s="16">
        <v>0.0</v>
      </c>
      <c r="AP425" s="16">
        <v>0.0</v>
      </c>
      <c r="AQ425" s="16">
        <v>0.0</v>
      </c>
      <c r="AR425" s="16">
        <v>0.0</v>
      </c>
      <c r="AS425" s="7">
        <v>0.0</v>
      </c>
      <c r="AT425" s="7">
        <v>0.0</v>
      </c>
      <c r="AU425" s="7">
        <v>0.0</v>
      </c>
      <c r="AV425" s="7">
        <v>0.0</v>
      </c>
      <c r="AW425" s="7">
        <v>0.0</v>
      </c>
      <c r="AX425" s="7">
        <v>0.0</v>
      </c>
      <c r="AY425" s="7">
        <f t="shared" si="861"/>
        <v>0</v>
      </c>
      <c r="AZ425" s="9">
        <v>0.0</v>
      </c>
      <c r="BA425" s="9">
        <v>0.0</v>
      </c>
      <c r="BB425" s="84">
        <v>0.0</v>
      </c>
      <c r="BC425" s="84">
        <v>0.0</v>
      </c>
    </row>
    <row r="426">
      <c r="A426" s="11">
        <v>2025.0</v>
      </c>
      <c r="B426" s="11" t="s">
        <v>129</v>
      </c>
      <c r="C426" s="12">
        <v>45775.0</v>
      </c>
      <c r="D426" s="44">
        <v>12.0</v>
      </c>
      <c r="E426" s="26">
        <v>738956.67</v>
      </c>
      <c r="F426" s="26">
        <v>40408.81</v>
      </c>
      <c r="G426" s="26">
        <v>4248.41</v>
      </c>
      <c r="H426" s="26">
        <v>1518.0</v>
      </c>
      <c r="I426" s="26">
        <v>2771.16</v>
      </c>
      <c r="J426" s="26">
        <v>8927.88</v>
      </c>
      <c r="K426" s="26">
        <v>32112.72</v>
      </c>
      <c r="L426" s="26">
        <v>12894.1</v>
      </c>
      <c r="M426" s="15">
        <v>4.0</v>
      </c>
      <c r="N426" s="16">
        <v>655983.43</v>
      </c>
      <c r="O426" s="16">
        <f t="shared" si="849"/>
        <v>26239.3372</v>
      </c>
      <c r="P426" s="16">
        <f t="shared" si="850"/>
        <v>11020.52162</v>
      </c>
      <c r="Q426" s="16">
        <f t="shared" si="851"/>
        <v>3408</v>
      </c>
      <c r="R426" s="67">
        <f t="shared" si="852"/>
        <v>956.76</v>
      </c>
      <c r="S426" s="17">
        <f t="shared" si="853"/>
        <v>1573.68</v>
      </c>
      <c r="T426" s="17">
        <f t="shared" si="854"/>
        <v>552</v>
      </c>
      <c r="U426" s="86">
        <v>2578.82</v>
      </c>
      <c r="V426" s="18">
        <f t="shared" si="855"/>
        <v>11020.52162</v>
      </c>
      <c r="W426" s="7">
        <f t="shared" si="856"/>
        <v>3727.92</v>
      </c>
      <c r="X426" s="69">
        <f t="shared" si="857"/>
        <v>8927.88</v>
      </c>
      <c r="Y426" s="7">
        <f t="shared" si="858"/>
        <v>26239.3372</v>
      </c>
      <c r="Z426" s="7">
        <f t="shared" si="859"/>
        <v>3408</v>
      </c>
      <c r="AA426" s="18">
        <f t="shared" si="860"/>
        <v>55902.47882</v>
      </c>
      <c r="AB426" s="56">
        <v>2.0</v>
      </c>
      <c r="AC426" s="24">
        <v>157317.56</v>
      </c>
      <c r="AD426" s="24">
        <v>7313.83</v>
      </c>
      <c r="AE426" s="24">
        <v>1045.89</v>
      </c>
      <c r="AF426" s="24">
        <v>276.0</v>
      </c>
      <c r="AG426" s="24">
        <v>383.8</v>
      </c>
      <c r="AH426" s="24">
        <v>0.0</v>
      </c>
      <c r="AI426" s="24">
        <v>2965.2</v>
      </c>
      <c r="AJ426" s="24">
        <v>2642.94</v>
      </c>
      <c r="AK426" s="15">
        <v>7.0</v>
      </c>
      <c r="AL426" s="16">
        <v>570641.7</v>
      </c>
      <c r="AM426" s="16">
        <v>21582.0</v>
      </c>
      <c r="AN426" s="16">
        <v>9606.0</v>
      </c>
      <c r="AO426" s="16">
        <v>6200.0</v>
      </c>
      <c r="AP426" s="16">
        <v>3375.95</v>
      </c>
      <c r="AQ426" s="16">
        <v>1982.84</v>
      </c>
      <c r="AR426" s="16">
        <v>0.0</v>
      </c>
      <c r="AS426" s="7">
        <f>17981.03</f>
        <v>17981.03</v>
      </c>
      <c r="AT426" s="7">
        <v>19310.0</v>
      </c>
      <c r="AU426" s="7">
        <v>10525.18</v>
      </c>
      <c r="AV426" s="7">
        <v>0.0</v>
      </c>
      <c r="AW426" s="7">
        <v>43386.0</v>
      </c>
      <c r="AX426" s="7">
        <f>35976.69-AT426</f>
        <v>16666.69</v>
      </c>
      <c r="AY426" s="7">
        <f t="shared" si="861"/>
        <v>107868.9</v>
      </c>
      <c r="AZ426" s="9">
        <v>0.0</v>
      </c>
      <c r="BA426" s="9">
        <v>0.0</v>
      </c>
      <c r="BB426" s="84">
        <v>0.0</v>
      </c>
      <c r="BC426" s="84">
        <v>0.0</v>
      </c>
    </row>
    <row r="427">
      <c r="A427" s="11">
        <v>2025.0</v>
      </c>
      <c r="B427" s="11" t="s">
        <v>129</v>
      </c>
      <c r="C427" s="12">
        <v>45776.0</v>
      </c>
      <c r="D427" s="44">
        <v>12.0</v>
      </c>
      <c r="E427" s="26">
        <v>880286.03</v>
      </c>
      <c r="F427" s="26">
        <v>45752.94</v>
      </c>
      <c r="G427" s="26">
        <v>5527.22</v>
      </c>
      <c r="H427" s="26">
        <v>1518.0</v>
      </c>
      <c r="I427" s="26">
        <v>1760.4</v>
      </c>
      <c r="J427" s="26">
        <v>1428.92</v>
      </c>
      <c r="K427" s="26">
        <v>19033.94</v>
      </c>
      <c r="L427" s="26">
        <v>20884.42</v>
      </c>
      <c r="M427" s="15">
        <v>4.0</v>
      </c>
      <c r="N427" s="16">
        <v>248225.5</v>
      </c>
      <c r="O427" s="16">
        <f t="shared" si="849"/>
        <v>9929.02</v>
      </c>
      <c r="P427" s="16">
        <f t="shared" si="850"/>
        <v>4170.1884</v>
      </c>
      <c r="Q427" s="16">
        <f t="shared" si="851"/>
        <v>3408</v>
      </c>
      <c r="R427" s="67">
        <f t="shared" si="852"/>
        <v>956.76</v>
      </c>
      <c r="S427" s="17">
        <f t="shared" si="853"/>
        <v>1573.68</v>
      </c>
      <c r="T427" s="17">
        <f t="shared" si="854"/>
        <v>552</v>
      </c>
      <c r="U427" s="86">
        <v>3734.75</v>
      </c>
      <c r="V427" s="18">
        <f t="shared" si="855"/>
        <v>4170.1884</v>
      </c>
      <c r="W427" s="7">
        <f t="shared" si="856"/>
        <v>2717.16</v>
      </c>
      <c r="X427" s="69">
        <f t="shared" si="857"/>
        <v>1428.92</v>
      </c>
      <c r="Y427" s="7">
        <f t="shared" si="858"/>
        <v>9929.02</v>
      </c>
      <c r="Z427" s="7">
        <f t="shared" si="859"/>
        <v>3408</v>
      </c>
      <c r="AA427" s="18">
        <f t="shared" si="860"/>
        <v>25388.0384</v>
      </c>
      <c r="AB427" s="56">
        <v>3.0</v>
      </c>
      <c r="AC427" s="24">
        <v>82783.96</v>
      </c>
      <c r="AD427" s="24">
        <v>4772.44</v>
      </c>
      <c r="AE427" s="24">
        <v>829.51</v>
      </c>
      <c r="AF427" s="24">
        <v>414.0</v>
      </c>
      <c r="AG427" s="24">
        <v>244.43</v>
      </c>
      <c r="AH427" s="24">
        <v>0.0</v>
      </c>
      <c r="AI427" s="24">
        <v>3191.39</v>
      </c>
      <c r="AJ427" s="24">
        <v>1390.77</v>
      </c>
      <c r="AK427" s="15">
        <v>8.0</v>
      </c>
      <c r="AL427" s="16">
        <v>636688.58</v>
      </c>
      <c r="AM427" s="16">
        <v>24081.0</v>
      </c>
      <c r="AN427" s="16">
        <v>10409.89</v>
      </c>
      <c r="AO427" s="16">
        <v>6500.0</v>
      </c>
      <c r="AP427" s="16">
        <v>3630.94</v>
      </c>
      <c r="AQ427" s="16">
        <v>331.76</v>
      </c>
      <c r="AR427" s="16">
        <v>0.0</v>
      </c>
      <c r="AS427" s="7">
        <f>18614.71</f>
        <v>18614.71</v>
      </c>
      <c r="AT427" s="7">
        <v>10608.89</v>
      </c>
      <c r="AU427" s="7">
        <v>12096.49</v>
      </c>
      <c r="AV427" s="7">
        <v>0.0</v>
      </c>
      <c r="AW427" s="7">
        <v>24528.0</v>
      </c>
      <c r="AX427" s="7">
        <f>19096.98-AT427</f>
        <v>8488.09</v>
      </c>
      <c r="AY427" s="7">
        <f t="shared" si="861"/>
        <v>74336.18</v>
      </c>
      <c r="AZ427" s="9">
        <v>0.0</v>
      </c>
      <c r="BA427" s="9">
        <v>1.0</v>
      </c>
      <c r="BB427" s="84">
        <v>0.0</v>
      </c>
      <c r="BC427" s="84">
        <v>0.0</v>
      </c>
    </row>
    <row r="428">
      <c r="A428" s="11">
        <v>2025.0</v>
      </c>
      <c r="B428" s="11" t="s">
        <v>129</v>
      </c>
      <c r="C428" s="12">
        <v>45777.0</v>
      </c>
      <c r="D428" s="44">
        <v>336.0</v>
      </c>
      <c r="E428" s="26">
        <v>2.352047531E7</v>
      </c>
      <c r="F428" s="26">
        <v>973662.94</v>
      </c>
      <c r="G428" s="26">
        <v>111551.79</v>
      </c>
      <c r="H428" s="26">
        <v>20562.0</v>
      </c>
      <c r="I428" s="26">
        <v>116741.14</v>
      </c>
      <c r="J428" s="26">
        <v>82329.86</v>
      </c>
      <c r="K428" s="26">
        <v>424360.66</v>
      </c>
      <c r="L428" s="26">
        <v>398236.21</v>
      </c>
      <c r="M428" s="15">
        <v>4.0</v>
      </c>
      <c r="N428" s="16">
        <v>300328.72</v>
      </c>
      <c r="O428" s="16">
        <f t="shared" si="849"/>
        <v>12013.1488</v>
      </c>
      <c r="P428" s="16">
        <f t="shared" si="850"/>
        <v>5045.522496</v>
      </c>
      <c r="Q428" s="16">
        <f t="shared" si="851"/>
        <v>3408</v>
      </c>
      <c r="R428" s="67">
        <f t="shared" si="852"/>
        <v>956.76</v>
      </c>
      <c r="S428" s="17">
        <f t="shared" si="853"/>
        <v>1573.68</v>
      </c>
      <c r="T428" s="17">
        <f t="shared" si="854"/>
        <v>552</v>
      </c>
      <c r="U428" s="86">
        <v>80071.16</v>
      </c>
      <c r="V428" s="18">
        <f t="shared" si="855"/>
        <v>5045.522496</v>
      </c>
      <c r="W428" s="7">
        <f t="shared" si="856"/>
        <v>117697.9</v>
      </c>
      <c r="X428" s="69">
        <f t="shared" si="857"/>
        <v>82329.86</v>
      </c>
      <c r="Y428" s="7">
        <f t="shared" si="858"/>
        <v>12013.1488</v>
      </c>
      <c r="Z428" s="7">
        <f t="shared" si="859"/>
        <v>3408</v>
      </c>
      <c r="AA428" s="18">
        <f t="shared" si="860"/>
        <v>300565.5913</v>
      </c>
      <c r="AB428" s="56">
        <v>200.0</v>
      </c>
      <c r="AC428" s="87">
        <v>1.3161442639999999E7</v>
      </c>
      <c r="AD428" s="87">
        <v>548622.61</v>
      </c>
      <c r="AE428" s="87">
        <v>64746.3</v>
      </c>
      <c r="AF428" s="87">
        <v>10902.0</v>
      </c>
      <c r="AG428" s="87">
        <v>61694.329999999994</v>
      </c>
      <c r="AH428" s="87">
        <v>0.0</v>
      </c>
      <c r="AI428" s="87">
        <v>186055.77</v>
      </c>
      <c r="AJ428" s="87">
        <v>219157.87000000002</v>
      </c>
      <c r="AK428" s="15">
        <v>1.0</v>
      </c>
      <c r="AL428" s="16">
        <v>378513.92</v>
      </c>
      <c r="AM428" s="16">
        <v>14314.0</v>
      </c>
      <c r="AN428" s="16">
        <v>6370.0</v>
      </c>
      <c r="AO428" s="16">
        <v>500.0</v>
      </c>
      <c r="AP428" s="16">
        <v>991.59</v>
      </c>
      <c r="AQ428" s="16">
        <v>1238.33</v>
      </c>
      <c r="AR428" s="16">
        <v>0.0</v>
      </c>
      <c r="AS428" s="7">
        <f>106439.64</f>
        <v>106439.64</v>
      </c>
      <c r="AT428" s="7">
        <v>12964.0</v>
      </c>
      <c r="AU428" s="7">
        <v>45741.23</v>
      </c>
      <c r="AV428" s="7">
        <v>0.0</v>
      </c>
      <c r="AW428" s="7">
        <v>29128.0</v>
      </c>
      <c r="AX428" s="7">
        <f>45741.23-AT428</f>
        <v>32777.23</v>
      </c>
      <c r="AY428" s="7">
        <f t="shared" si="861"/>
        <v>227050.1</v>
      </c>
      <c r="AZ428" s="9">
        <v>0.0</v>
      </c>
      <c r="BA428" s="9">
        <v>1.0</v>
      </c>
      <c r="BB428" s="84">
        <v>0.0</v>
      </c>
      <c r="BC428" s="84">
        <v>1.0</v>
      </c>
    </row>
    <row r="429">
      <c r="A429" s="11">
        <v>2025.0</v>
      </c>
      <c r="B429" s="11" t="s">
        <v>135</v>
      </c>
      <c r="C429" s="12">
        <v>45778.0</v>
      </c>
      <c r="D429" s="44">
        <v>12.0</v>
      </c>
      <c r="E429" s="26">
        <v>473749.98</v>
      </c>
      <c r="F429" s="26">
        <v>29903.69</v>
      </c>
      <c r="G429" s="26">
        <v>3697.4</v>
      </c>
      <c r="H429" s="26">
        <v>1656.0</v>
      </c>
      <c r="I429" s="26">
        <v>2161.88</v>
      </c>
      <c r="J429" s="26">
        <v>3504.12</v>
      </c>
      <c r="K429" s="26">
        <v>17203.07</v>
      </c>
      <c r="L429" s="26">
        <v>7959.0</v>
      </c>
      <c r="M429" s="15">
        <v>4.0</v>
      </c>
      <c r="N429" s="16">
        <v>344679.94</v>
      </c>
      <c r="O429" s="16">
        <f t="shared" si="849"/>
        <v>13787.1976</v>
      </c>
      <c r="P429" s="16">
        <f t="shared" si="850"/>
        <v>5790.622992</v>
      </c>
      <c r="Q429" s="16">
        <f t="shared" si="851"/>
        <v>3408</v>
      </c>
      <c r="R429" s="67">
        <f t="shared" si="852"/>
        <v>956.76</v>
      </c>
      <c r="S429" s="17">
        <f t="shared" si="853"/>
        <v>1573.68</v>
      </c>
      <c r="T429" s="17">
        <f t="shared" si="854"/>
        <v>552</v>
      </c>
      <c r="U429" s="86">
        <v>1591.8</v>
      </c>
      <c r="V429" s="18">
        <f t="shared" si="855"/>
        <v>5790.622992</v>
      </c>
      <c r="W429" s="7">
        <f t="shared" si="856"/>
        <v>3118.64</v>
      </c>
      <c r="X429" s="69">
        <f t="shared" si="857"/>
        <v>3504.12</v>
      </c>
      <c r="Y429" s="7">
        <f t="shared" si="858"/>
        <v>13787.1976</v>
      </c>
      <c r="Z429" s="7">
        <f t="shared" si="859"/>
        <v>3408</v>
      </c>
      <c r="AA429" s="18">
        <f t="shared" si="860"/>
        <v>31200.38059</v>
      </c>
      <c r="AB429" s="56">
        <v>6.0</v>
      </c>
      <c r="AC429" s="24">
        <v>323872.88</v>
      </c>
      <c r="AD429" s="24">
        <v>15848.93</v>
      </c>
      <c r="AE429" s="24">
        <v>2083.79</v>
      </c>
      <c r="AF429" s="24">
        <v>828.0</v>
      </c>
      <c r="AG429" s="24">
        <v>837.38</v>
      </c>
      <c r="AH429" s="24">
        <v>0.0</v>
      </c>
      <c r="AI429" s="24">
        <v>6658.7</v>
      </c>
      <c r="AJ429" s="24">
        <v>5441.06</v>
      </c>
      <c r="AK429" s="15">
        <v>0.0</v>
      </c>
      <c r="AL429" s="16">
        <v>0.0</v>
      </c>
      <c r="AM429" s="16">
        <v>0.0</v>
      </c>
      <c r="AN429" s="16">
        <v>0.0</v>
      </c>
      <c r="AO429" s="16">
        <v>0.0</v>
      </c>
      <c r="AP429" s="16">
        <v>0.0</v>
      </c>
      <c r="AQ429" s="16">
        <v>0.0</v>
      </c>
      <c r="AR429" s="16">
        <v>0.0</v>
      </c>
      <c r="AS429" s="7">
        <v>0.0</v>
      </c>
      <c r="AT429" s="7">
        <v>0.0</v>
      </c>
      <c r="AU429" s="7">
        <v>0.0</v>
      </c>
      <c r="AV429" s="7">
        <v>0.0</v>
      </c>
      <c r="AW429" s="7">
        <v>0.0</v>
      </c>
      <c r="AX429" s="7">
        <v>0.0</v>
      </c>
      <c r="AY429" s="7">
        <f t="shared" si="861"/>
        <v>0</v>
      </c>
      <c r="AZ429" s="9">
        <v>0.0</v>
      </c>
      <c r="BA429" s="9">
        <v>1.0</v>
      </c>
      <c r="BB429" s="84">
        <v>0.0</v>
      </c>
      <c r="BC429" s="84">
        <v>0.0</v>
      </c>
    </row>
    <row r="430">
      <c r="A430" s="11">
        <v>2025.0</v>
      </c>
      <c r="B430" s="11" t="s">
        <v>135</v>
      </c>
      <c r="C430" s="12">
        <v>45779.0</v>
      </c>
      <c r="D430" s="44">
        <v>7.0</v>
      </c>
      <c r="E430" s="26">
        <v>403577.61</v>
      </c>
      <c r="F430" s="26">
        <v>22372.44</v>
      </c>
      <c r="G430" s="26">
        <v>2078.54</v>
      </c>
      <c r="H430" s="26">
        <v>966.0</v>
      </c>
      <c r="I430" s="26">
        <v>1832.58</v>
      </c>
      <c r="J430" s="26">
        <v>5344.32</v>
      </c>
      <c r="K430" s="26">
        <v>17893.08</v>
      </c>
      <c r="L430" s="26">
        <v>7258.88</v>
      </c>
      <c r="M430" s="15">
        <v>4.0</v>
      </c>
      <c r="N430" s="16">
        <v>364538.08</v>
      </c>
      <c r="O430" s="16">
        <f t="shared" si="849"/>
        <v>14581.5232</v>
      </c>
      <c r="P430" s="16">
        <f t="shared" si="850"/>
        <v>6124.239744</v>
      </c>
      <c r="Q430" s="16">
        <f t="shared" si="851"/>
        <v>3408</v>
      </c>
      <c r="R430" s="67">
        <f t="shared" si="852"/>
        <v>956.76</v>
      </c>
      <c r="S430" s="17">
        <f t="shared" si="853"/>
        <v>1573.68</v>
      </c>
      <c r="T430" s="17">
        <f t="shared" si="854"/>
        <v>552</v>
      </c>
      <c r="U430" s="86">
        <v>1451.78</v>
      </c>
      <c r="V430" s="18">
        <f t="shared" si="855"/>
        <v>6124.239744</v>
      </c>
      <c r="W430" s="7">
        <f t="shared" si="856"/>
        <v>2789.34</v>
      </c>
      <c r="X430" s="69">
        <f t="shared" si="857"/>
        <v>5344.32</v>
      </c>
      <c r="Y430" s="7">
        <f t="shared" si="858"/>
        <v>14581.5232</v>
      </c>
      <c r="Z430" s="7">
        <f t="shared" si="859"/>
        <v>3408</v>
      </c>
      <c r="AA430" s="18">
        <f t="shared" si="860"/>
        <v>33699.20294</v>
      </c>
      <c r="AB430" s="56">
        <v>3.0</v>
      </c>
      <c r="AC430" s="24">
        <v>106883.54</v>
      </c>
      <c r="AD430" s="24">
        <v>5991.24</v>
      </c>
      <c r="AE430" s="24">
        <v>965.78</v>
      </c>
      <c r="AF430" s="24">
        <v>414.0</v>
      </c>
      <c r="AG430" s="24">
        <v>573.42</v>
      </c>
      <c r="AH430" s="24">
        <v>0.0</v>
      </c>
      <c r="AI430" s="24">
        <v>2242.4</v>
      </c>
      <c r="AJ430" s="24">
        <v>1795.64</v>
      </c>
      <c r="AK430" s="15">
        <v>0.0</v>
      </c>
      <c r="AL430" s="16">
        <v>0.0</v>
      </c>
      <c r="AM430" s="16">
        <v>0.0</v>
      </c>
      <c r="AN430" s="16">
        <v>0.0</v>
      </c>
      <c r="AO430" s="16">
        <v>0.0</v>
      </c>
      <c r="AP430" s="16">
        <v>0.0</v>
      </c>
      <c r="AQ430" s="16">
        <v>0.0</v>
      </c>
      <c r="AR430" s="16">
        <v>0.0</v>
      </c>
      <c r="AS430" s="7">
        <v>0.0</v>
      </c>
      <c r="AT430" s="7">
        <v>0.0</v>
      </c>
      <c r="AU430" s="7">
        <v>0.0</v>
      </c>
      <c r="AV430" s="7">
        <v>0.0</v>
      </c>
      <c r="AW430" s="7">
        <v>0.0</v>
      </c>
      <c r="AX430" s="7">
        <v>0.0</v>
      </c>
      <c r="AY430" s="7">
        <f t="shared" si="861"/>
        <v>0</v>
      </c>
      <c r="AZ430" s="9">
        <v>0.0</v>
      </c>
      <c r="BA430" s="9">
        <v>1.0</v>
      </c>
      <c r="BB430" s="84">
        <v>0.0</v>
      </c>
      <c r="BC430" s="84">
        <v>0.0</v>
      </c>
    </row>
    <row r="431">
      <c r="A431" s="11">
        <v>2025.0</v>
      </c>
      <c r="B431" s="11" t="s">
        <v>129</v>
      </c>
      <c r="C431" s="1"/>
      <c r="D431" s="2">
        <v>119.0</v>
      </c>
      <c r="E431" s="2"/>
      <c r="F431" s="59" t="s">
        <v>136</v>
      </c>
      <c r="G431" s="2"/>
      <c r="H431" s="33"/>
      <c r="I431" s="33"/>
      <c r="J431" s="33"/>
      <c r="K431" s="33"/>
      <c r="L431" s="33"/>
      <c r="M431" s="4">
        <v>5.0</v>
      </c>
      <c r="N431" s="51">
        <v>471671.0</v>
      </c>
      <c r="O431" s="35"/>
      <c r="P431" s="35"/>
      <c r="Q431" s="35"/>
      <c r="R431" s="35"/>
      <c r="S431" s="35"/>
      <c r="T431" s="35"/>
      <c r="U431" s="37"/>
      <c r="V431" s="48"/>
      <c r="W431" s="48"/>
      <c r="X431" s="37"/>
      <c r="Y431" s="48"/>
      <c r="Z431" s="48"/>
      <c r="AA431" s="48"/>
      <c r="AB431" s="2"/>
      <c r="AC431" s="33"/>
      <c r="AD431" s="2"/>
      <c r="AE431" s="33"/>
      <c r="AF431" s="33"/>
      <c r="AG431" s="33"/>
      <c r="AH431" s="33"/>
      <c r="AI431" s="33"/>
      <c r="AJ431" s="33"/>
      <c r="AK431" s="4">
        <v>0.0</v>
      </c>
      <c r="AL431" s="4">
        <v>0.0</v>
      </c>
      <c r="AM431" s="35"/>
      <c r="AN431" s="35"/>
      <c r="AO431" s="35"/>
      <c r="AP431" s="35"/>
      <c r="AQ431" s="35"/>
      <c r="AR431" s="35"/>
      <c r="AS431" s="37"/>
      <c r="AT431" s="48"/>
      <c r="AU431" s="48"/>
      <c r="AV431" s="48"/>
      <c r="AW431" s="48"/>
      <c r="AX431" s="48"/>
      <c r="AY431" s="48"/>
      <c r="AZ431" s="38"/>
      <c r="BA431" s="39"/>
      <c r="BB431" s="85"/>
      <c r="BC431" s="85"/>
    </row>
    <row r="432">
      <c r="A432" s="1">
        <v>2025.0</v>
      </c>
      <c r="B432" s="11" t="s">
        <v>129</v>
      </c>
      <c r="C432" s="1" t="s">
        <v>49</v>
      </c>
      <c r="D432" s="33">
        <f t="shared" ref="D432:F432" si="862">SUM(D424:D430)</f>
        <v>392</v>
      </c>
      <c r="E432" s="34">
        <f t="shared" si="862"/>
        <v>26638316.3</v>
      </c>
      <c r="F432" s="34">
        <f t="shared" si="862"/>
        <v>1147568.97</v>
      </c>
      <c r="G432" s="34">
        <f>SUM(G424:G431)</f>
        <v>131154.36</v>
      </c>
      <c r="H432" s="34">
        <f t="shared" ref="H432:L432" si="863">SUM(H424:H430)</f>
        <v>28014</v>
      </c>
      <c r="I432" s="34">
        <f t="shared" si="863"/>
        <v>127821.1</v>
      </c>
      <c r="J432" s="34">
        <f t="shared" si="863"/>
        <v>104725.27</v>
      </c>
      <c r="K432" s="34">
        <f t="shared" si="863"/>
        <v>536417.92</v>
      </c>
      <c r="L432" s="34">
        <f t="shared" si="863"/>
        <v>457920.51</v>
      </c>
      <c r="M432" s="35">
        <f t="shared" ref="M432:N432" si="864">SUM(M424:M431)</f>
        <v>25</v>
      </c>
      <c r="N432" s="36">
        <f t="shared" si="864"/>
        <v>2385426.67</v>
      </c>
      <c r="O432" s="36">
        <f t="shared" ref="O432:AA432" si="865">SUM(O424:O430)</f>
        <v>76550.2268</v>
      </c>
      <c r="P432" s="36">
        <f t="shared" si="865"/>
        <v>32151.09526</v>
      </c>
      <c r="Q432" s="36">
        <f t="shared" si="865"/>
        <v>17040</v>
      </c>
      <c r="R432" s="70">
        <f t="shared" si="865"/>
        <v>4783.8</v>
      </c>
      <c r="S432" s="36">
        <f t="shared" si="865"/>
        <v>7868.4</v>
      </c>
      <c r="T432" s="36">
        <f t="shared" si="865"/>
        <v>2760</v>
      </c>
      <c r="U432" s="37">
        <f t="shared" si="865"/>
        <v>91565.89</v>
      </c>
      <c r="V432" s="37">
        <f t="shared" si="865"/>
        <v>32151.09526</v>
      </c>
      <c r="W432" s="37">
        <f t="shared" si="865"/>
        <v>132604.9</v>
      </c>
      <c r="X432" s="37">
        <f t="shared" si="865"/>
        <v>104725.27</v>
      </c>
      <c r="Y432" s="37">
        <f t="shared" si="865"/>
        <v>76550.2268</v>
      </c>
      <c r="Z432" s="37">
        <f t="shared" si="865"/>
        <v>17040</v>
      </c>
      <c r="AA432" s="37">
        <f t="shared" si="865"/>
        <v>454637.3821</v>
      </c>
      <c r="AB432" s="33">
        <f>SUM(AB424:AB431)</f>
        <v>222</v>
      </c>
      <c r="AC432" s="34">
        <f t="shared" ref="AC432:AJ432" si="866">SUM(AC424:AC430)</f>
        <v>14027375.01</v>
      </c>
      <c r="AD432" s="34">
        <f t="shared" si="866"/>
        <v>604366.52</v>
      </c>
      <c r="AE432" s="34">
        <f t="shared" si="866"/>
        <v>72644.44</v>
      </c>
      <c r="AF432" s="34">
        <f t="shared" si="866"/>
        <v>13938</v>
      </c>
      <c r="AG432" s="34">
        <f t="shared" si="866"/>
        <v>64924.5</v>
      </c>
      <c r="AH432" s="34">
        <f t="shared" si="866"/>
        <v>0</v>
      </c>
      <c r="AI432" s="34">
        <f t="shared" si="866"/>
        <v>211318.44</v>
      </c>
      <c r="AJ432" s="34">
        <f t="shared" si="866"/>
        <v>236772.46</v>
      </c>
      <c r="AK432" s="35">
        <f t="shared" ref="AK432:AL432" si="867">SUM(AK424:AK431)</f>
        <v>16</v>
      </c>
      <c r="AL432" s="36">
        <f t="shared" si="867"/>
        <v>1585844.2</v>
      </c>
      <c r="AM432" s="36">
        <f t="shared" ref="AM432:BC432" si="868">SUM(AM424:AM430)</f>
        <v>59977</v>
      </c>
      <c r="AN432" s="36">
        <f t="shared" si="868"/>
        <v>26385.89</v>
      </c>
      <c r="AO432" s="36">
        <f t="shared" si="868"/>
        <v>13200</v>
      </c>
      <c r="AP432" s="36">
        <f t="shared" si="868"/>
        <v>7998.48</v>
      </c>
      <c r="AQ432" s="36">
        <f t="shared" si="868"/>
        <v>3552.93</v>
      </c>
      <c r="AR432" s="36">
        <f t="shared" si="868"/>
        <v>0</v>
      </c>
      <c r="AS432" s="37">
        <f t="shared" si="868"/>
        <v>143035.38</v>
      </c>
      <c r="AT432" s="37">
        <f t="shared" si="868"/>
        <v>42882.89</v>
      </c>
      <c r="AU432" s="37">
        <f t="shared" si="868"/>
        <v>68362.9</v>
      </c>
      <c r="AV432" s="37">
        <f t="shared" si="868"/>
        <v>0</v>
      </c>
      <c r="AW432" s="37">
        <f t="shared" si="868"/>
        <v>97042</v>
      </c>
      <c r="AX432" s="37">
        <f t="shared" si="868"/>
        <v>57932.01</v>
      </c>
      <c r="AY432" s="37">
        <f t="shared" si="868"/>
        <v>409255.18</v>
      </c>
      <c r="AZ432" s="38">
        <f t="shared" si="868"/>
        <v>0</v>
      </c>
      <c r="BA432" s="39">
        <f t="shared" si="868"/>
        <v>4</v>
      </c>
      <c r="BB432" s="85">
        <f t="shared" si="868"/>
        <v>0</v>
      </c>
      <c r="BC432" s="85">
        <f t="shared" si="868"/>
        <v>1</v>
      </c>
    </row>
    <row r="433">
      <c r="A433" s="11">
        <v>2025.0</v>
      </c>
      <c r="B433" s="11" t="s">
        <v>135</v>
      </c>
      <c r="C433" s="12">
        <v>45780.0</v>
      </c>
      <c r="D433" s="44">
        <v>6.0</v>
      </c>
      <c r="E433" s="26">
        <v>446508.33</v>
      </c>
      <c r="F433" s="26">
        <v>15836.89</v>
      </c>
      <c r="G433" s="26">
        <v>999.36</v>
      </c>
      <c r="H433" s="26">
        <v>552.0</v>
      </c>
      <c r="I433" s="26">
        <v>921.8</v>
      </c>
      <c r="J433" s="26">
        <v>0.0</v>
      </c>
      <c r="K433" s="26">
        <v>16961.98</v>
      </c>
      <c r="L433" s="26">
        <v>7414.95</v>
      </c>
      <c r="M433" s="15">
        <v>0.0</v>
      </c>
      <c r="N433" s="16">
        <v>0.0</v>
      </c>
      <c r="O433" s="16">
        <f t="shared" ref="O433:O439" si="869">N433*4%</f>
        <v>0</v>
      </c>
      <c r="P433" s="16">
        <f t="shared" ref="P433:P439" si="870">N433*1.68%</f>
        <v>0</v>
      </c>
      <c r="Q433" s="16">
        <f t="shared" ref="Q433:Q439" si="871">M433*(400+350+100+2)</f>
        <v>0</v>
      </c>
      <c r="R433" s="67">
        <f t="shared" ref="R433:R439" si="872">M433*239.19</f>
        <v>0</v>
      </c>
      <c r="S433" s="17">
        <f t="shared" ref="S433:S439" si="873">M433*393.42</f>
        <v>0</v>
      </c>
      <c r="T433" s="17">
        <f t="shared" ref="T433:T439" si="874">M433*138</f>
        <v>0</v>
      </c>
      <c r="U433" s="86">
        <v>1482.99</v>
      </c>
      <c r="V433" s="18">
        <f t="shared" ref="V433:V439" si="875">P433</f>
        <v>0</v>
      </c>
      <c r="W433" s="7">
        <f t="shared" ref="W433:W439" si="876">I433+R433</f>
        <v>921.8</v>
      </c>
      <c r="X433" s="69">
        <f t="shared" ref="X433:X439" si="877">J433</f>
        <v>0</v>
      </c>
      <c r="Y433" s="7">
        <f t="shared" ref="Y433:Y439" si="878">O433</f>
        <v>0</v>
      </c>
      <c r="Z433" s="7">
        <f t="shared" ref="Z433:Z439" si="879">Q433</f>
        <v>0</v>
      </c>
      <c r="AA433" s="18">
        <f t="shared" ref="AA433:AA439" si="880">SUM(U433:Z433)</f>
        <v>2404.79</v>
      </c>
      <c r="AB433" s="56">
        <v>4.0</v>
      </c>
      <c r="AC433" s="24">
        <v>427922.22</v>
      </c>
      <c r="AD433" s="24">
        <v>11243.04</v>
      </c>
      <c r="AE433" s="24">
        <v>935.41</v>
      </c>
      <c r="AF433" s="24">
        <v>414.0</v>
      </c>
      <c r="AG433" s="24">
        <v>437.9</v>
      </c>
      <c r="AH433" s="24">
        <v>0.0</v>
      </c>
      <c r="AI433" s="24">
        <v>2266.64</v>
      </c>
      <c r="AJ433" s="24">
        <v>7189.09</v>
      </c>
      <c r="AK433" s="15">
        <v>0.0</v>
      </c>
      <c r="AL433" s="16">
        <v>0.0</v>
      </c>
      <c r="AM433" s="16">
        <v>0.0</v>
      </c>
      <c r="AN433" s="16">
        <v>0.0</v>
      </c>
      <c r="AO433" s="16">
        <v>0.0</v>
      </c>
      <c r="AP433" s="16">
        <v>0.0</v>
      </c>
      <c r="AQ433" s="16">
        <v>0.0</v>
      </c>
      <c r="AR433" s="16">
        <v>0.0</v>
      </c>
      <c r="AS433" s="7">
        <v>0.0</v>
      </c>
      <c r="AT433" s="7">
        <v>0.0</v>
      </c>
      <c r="AU433" s="7">
        <v>0.0</v>
      </c>
      <c r="AV433" s="7">
        <v>0.0</v>
      </c>
      <c r="AW433" s="7">
        <v>0.0</v>
      </c>
      <c r="AX433" s="7">
        <v>0.0</v>
      </c>
      <c r="AY433" s="7">
        <f t="shared" ref="AY433:AY439" si="881">SUM(AS433:AX433)</f>
        <v>0</v>
      </c>
      <c r="AZ433" s="9">
        <v>0.0</v>
      </c>
      <c r="BA433" s="9">
        <v>0.0</v>
      </c>
      <c r="BB433" s="84">
        <v>0.0</v>
      </c>
      <c r="BC433" s="84">
        <v>0.0</v>
      </c>
    </row>
    <row r="434">
      <c r="A434" s="11">
        <v>2025.0</v>
      </c>
      <c r="B434" s="11" t="s">
        <v>135</v>
      </c>
      <c r="C434" s="12">
        <v>45781.0</v>
      </c>
      <c r="D434" s="44">
        <v>10.0</v>
      </c>
      <c r="E434" s="26">
        <v>458126.9</v>
      </c>
      <c r="F434" s="26">
        <v>24939.95</v>
      </c>
      <c r="G434" s="26">
        <v>3112.0</v>
      </c>
      <c r="H434" s="26">
        <v>1242.0</v>
      </c>
      <c r="I434" s="26">
        <v>1897.78</v>
      </c>
      <c r="J434" s="26">
        <v>1070.09</v>
      </c>
      <c r="K434" s="26">
        <v>9736.53</v>
      </c>
      <c r="L434" s="26">
        <v>8951.58</v>
      </c>
      <c r="M434" s="15">
        <v>0.0</v>
      </c>
      <c r="N434" s="16">
        <v>0.0</v>
      </c>
      <c r="O434" s="16">
        <f t="shared" si="869"/>
        <v>0</v>
      </c>
      <c r="P434" s="16">
        <f t="shared" si="870"/>
        <v>0</v>
      </c>
      <c r="Q434" s="16">
        <f t="shared" si="871"/>
        <v>0</v>
      </c>
      <c r="R434" s="67">
        <f t="shared" si="872"/>
        <v>0</v>
      </c>
      <c r="S434" s="17">
        <f t="shared" si="873"/>
        <v>0</v>
      </c>
      <c r="T434" s="17">
        <f t="shared" si="874"/>
        <v>0</v>
      </c>
      <c r="U434" s="86">
        <v>1790.32</v>
      </c>
      <c r="V434" s="18">
        <f t="shared" si="875"/>
        <v>0</v>
      </c>
      <c r="W434" s="7">
        <f t="shared" si="876"/>
        <v>1897.78</v>
      </c>
      <c r="X434" s="69">
        <f t="shared" si="877"/>
        <v>1070.09</v>
      </c>
      <c r="Y434" s="7">
        <f t="shared" si="878"/>
        <v>0</v>
      </c>
      <c r="Z434" s="7">
        <f t="shared" si="879"/>
        <v>0</v>
      </c>
      <c r="AA434" s="18">
        <f t="shared" si="880"/>
        <v>4758.19</v>
      </c>
      <c r="AB434" s="56">
        <v>7.0</v>
      </c>
      <c r="AC434" s="24">
        <v>304459.47</v>
      </c>
      <c r="AD434" s="24">
        <v>17461.64</v>
      </c>
      <c r="AE434" s="24">
        <v>2330.08</v>
      </c>
      <c r="AF434" s="24">
        <v>828.0</v>
      </c>
      <c r="AG434" s="24">
        <v>1277.97</v>
      </c>
      <c r="AH434" s="24">
        <v>0.0</v>
      </c>
      <c r="AI434" s="24">
        <v>6852.18</v>
      </c>
      <c r="AJ434" s="24">
        <v>6173.41</v>
      </c>
      <c r="AK434" s="15">
        <v>0.0</v>
      </c>
      <c r="AL434" s="16">
        <v>0.0</v>
      </c>
      <c r="AM434" s="16">
        <v>0.0</v>
      </c>
      <c r="AN434" s="16">
        <v>0.0</v>
      </c>
      <c r="AO434" s="16">
        <v>0.0</v>
      </c>
      <c r="AP434" s="16">
        <v>0.0</v>
      </c>
      <c r="AQ434" s="16">
        <v>0.0</v>
      </c>
      <c r="AR434" s="16">
        <v>0.0</v>
      </c>
      <c r="AS434" s="7">
        <v>0.0</v>
      </c>
      <c r="AT434" s="7">
        <v>0.0</v>
      </c>
      <c r="AU434" s="7">
        <v>0.0</v>
      </c>
      <c r="AV434" s="7">
        <v>0.0</v>
      </c>
      <c r="AW434" s="7">
        <v>0.0</v>
      </c>
      <c r="AX434" s="7">
        <v>0.0</v>
      </c>
      <c r="AY434" s="7">
        <f t="shared" si="881"/>
        <v>0</v>
      </c>
      <c r="AZ434" s="9">
        <v>0.0</v>
      </c>
      <c r="BA434" s="9">
        <v>0.0</v>
      </c>
      <c r="BB434" s="84">
        <v>0.0</v>
      </c>
      <c r="BC434" s="84">
        <v>0.0</v>
      </c>
    </row>
    <row r="435">
      <c r="A435" s="11">
        <v>2025.0</v>
      </c>
      <c r="B435" s="11" t="s">
        <v>135</v>
      </c>
      <c r="C435" s="12">
        <v>45782.0</v>
      </c>
      <c r="D435" s="44">
        <v>10.0</v>
      </c>
      <c r="E435" s="26">
        <v>471498.32</v>
      </c>
      <c r="F435" s="26">
        <v>24934.4</v>
      </c>
      <c r="G435" s="26">
        <v>3192.06</v>
      </c>
      <c r="H435" s="26">
        <v>1242.0</v>
      </c>
      <c r="I435" s="26">
        <v>1288.44</v>
      </c>
      <c r="J435" s="26">
        <v>338.48</v>
      </c>
      <c r="K435" s="26">
        <v>10943.34</v>
      </c>
      <c r="L435" s="26">
        <v>7921.17</v>
      </c>
      <c r="M435" s="15">
        <v>0.0</v>
      </c>
      <c r="N435" s="16">
        <v>0.0</v>
      </c>
      <c r="O435" s="16">
        <f t="shared" si="869"/>
        <v>0</v>
      </c>
      <c r="P435" s="16">
        <f t="shared" si="870"/>
        <v>0</v>
      </c>
      <c r="Q435" s="16">
        <f t="shared" si="871"/>
        <v>0</v>
      </c>
      <c r="R435" s="67">
        <f t="shared" si="872"/>
        <v>0</v>
      </c>
      <c r="S435" s="17">
        <f t="shared" si="873"/>
        <v>0</v>
      </c>
      <c r="T435" s="17">
        <f t="shared" si="874"/>
        <v>0</v>
      </c>
      <c r="U435" s="86">
        <v>1584.23</v>
      </c>
      <c r="V435" s="18">
        <f t="shared" si="875"/>
        <v>0</v>
      </c>
      <c r="W435" s="7">
        <f t="shared" si="876"/>
        <v>1288.44</v>
      </c>
      <c r="X435" s="69">
        <f t="shared" si="877"/>
        <v>338.48</v>
      </c>
      <c r="Y435" s="7">
        <f t="shared" si="878"/>
        <v>0</v>
      </c>
      <c r="Z435" s="7">
        <f t="shared" si="879"/>
        <v>0</v>
      </c>
      <c r="AA435" s="18">
        <f t="shared" si="880"/>
        <v>3211.15</v>
      </c>
      <c r="AB435" s="56">
        <v>8.0</v>
      </c>
      <c r="AC435" s="24">
        <v>333531.54</v>
      </c>
      <c r="AD435" s="24">
        <v>18683.11</v>
      </c>
      <c r="AE435" s="24">
        <v>2585.39</v>
      </c>
      <c r="AF435" s="24">
        <v>966.0</v>
      </c>
      <c r="AG435" s="24">
        <v>1357.81</v>
      </c>
      <c r="AH435" s="24">
        <v>0.0</v>
      </c>
      <c r="AI435" s="24">
        <v>8085.05</v>
      </c>
      <c r="AJ435" s="24">
        <v>5688.86</v>
      </c>
      <c r="AK435" s="15">
        <v>0.0</v>
      </c>
      <c r="AL435" s="16">
        <v>0.0</v>
      </c>
      <c r="AM435" s="16">
        <v>0.0</v>
      </c>
      <c r="AN435" s="16">
        <v>0.0</v>
      </c>
      <c r="AO435" s="16">
        <v>0.0</v>
      </c>
      <c r="AP435" s="16">
        <v>0.0</v>
      </c>
      <c r="AQ435" s="16">
        <v>0.0</v>
      </c>
      <c r="AR435" s="16">
        <v>0.0</v>
      </c>
      <c r="AS435" s="7">
        <v>2229.0</v>
      </c>
      <c r="AT435" s="7">
        <v>0.0</v>
      </c>
      <c r="AU435" s="7">
        <v>1275.0</v>
      </c>
      <c r="AV435" s="7">
        <v>0.0</v>
      </c>
      <c r="AW435" s="7">
        <v>0.0</v>
      </c>
      <c r="AX435" s="7">
        <v>0.0</v>
      </c>
      <c r="AY435" s="7">
        <f t="shared" si="881"/>
        <v>3504</v>
      </c>
      <c r="AZ435" s="9">
        <v>0.0</v>
      </c>
      <c r="BA435" s="9">
        <v>0.0</v>
      </c>
      <c r="BB435" s="84">
        <v>0.0</v>
      </c>
      <c r="BC435" s="84">
        <v>0.0</v>
      </c>
    </row>
    <row r="436">
      <c r="A436" s="11">
        <v>2025.0</v>
      </c>
      <c r="B436" s="11" t="s">
        <v>135</v>
      </c>
      <c r="C436" s="12">
        <v>45783.0</v>
      </c>
      <c r="D436" s="44">
        <v>9.0</v>
      </c>
      <c r="E436" s="26">
        <v>256230.83</v>
      </c>
      <c r="F436" s="26">
        <v>14947.26</v>
      </c>
      <c r="G436" s="26">
        <v>2097.2</v>
      </c>
      <c r="H436" s="26">
        <v>1104.0</v>
      </c>
      <c r="I436" s="26">
        <v>987.77</v>
      </c>
      <c r="J436" s="26">
        <v>965.63</v>
      </c>
      <c r="K436" s="26">
        <v>6453.61</v>
      </c>
      <c r="L436" s="26">
        <v>4304.68</v>
      </c>
      <c r="M436" s="15">
        <v>4.0</v>
      </c>
      <c r="N436" s="16">
        <v>331786.3</v>
      </c>
      <c r="O436" s="16">
        <f t="shared" si="869"/>
        <v>13271.452</v>
      </c>
      <c r="P436" s="16">
        <f t="shared" si="870"/>
        <v>5574.00984</v>
      </c>
      <c r="Q436" s="16">
        <f t="shared" si="871"/>
        <v>3408</v>
      </c>
      <c r="R436" s="67">
        <f t="shared" si="872"/>
        <v>956.76</v>
      </c>
      <c r="S436" s="17">
        <f t="shared" si="873"/>
        <v>1573.68</v>
      </c>
      <c r="T436" s="17">
        <f t="shared" si="874"/>
        <v>552</v>
      </c>
      <c r="U436" s="86">
        <v>860.94</v>
      </c>
      <c r="V436" s="18">
        <f t="shared" si="875"/>
        <v>5574.00984</v>
      </c>
      <c r="W436" s="7">
        <f t="shared" si="876"/>
        <v>1944.53</v>
      </c>
      <c r="X436" s="69">
        <f t="shared" si="877"/>
        <v>965.63</v>
      </c>
      <c r="Y436" s="7">
        <f t="shared" si="878"/>
        <v>13271.452</v>
      </c>
      <c r="Z436" s="7">
        <f t="shared" si="879"/>
        <v>3408</v>
      </c>
      <c r="AA436" s="18">
        <f t="shared" si="880"/>
        <v>26024.56184</v>
      </c>
      <c r="AB436" s="56">
        <v>7.0</v>
      </c>
      <c r="AC436" s="24">
        <v>169101.78</v>
      </c>
      <c r="AD436" s="24">
        <v>11313.65</v>
      </c>
      <c r="AE436" s="24">
        <v>1826.51</v>
      </c>
      <c r="AF436" s="24">
        <v>966.0</v>
      </c>
      <c r="AG436" s="24">
        <v>980.79</v>
      </c>
      <c r="AH436" s="24">
        <v>0.0</v>
      </c>
      <c r="AI436" s="24">
        <v>4699.44</v>
      </c>
      <c r="AJ436" s="24">
        <v>2840.91</v>
      </c>
      <c r="AK436" s="15">
        <v>1.0</v>
      </c>
      <c r="AL436" s="16">
        <v>48500.0</v>
      </c>
      <c r="AM436" s="16">
        <v>1940.0</v>
      </c>
      <c r="AN436" s="16">
        <v>1629.6</v>
      </c>
      <c r="AO436" s="16">
        <v>1000.0</v>
      </c>
      <c r="AP436" s="16">
        <v>494.66</v>
      </c>
      <c r="AQ436" s="16">
        <v>401.09</v>
      </c>
      <c r="AR436" s="16">
        <v>0.0</v>
      </c>
      <c r="AS436" s="7">
        <v>20622.28</v>
      </c>
      <c r="AT436" s="7">
        <v>0.0</v>
      </c>
      <c r="AU436" s="7">
        <v>7658.98</v>
      </c>
      <c r="AV436" s="7">
        <v>4219.86</v>
      </c>
      <c r="AW436" s="7">
        <v>0.0</v>
      </c>
      <c r="AX436" s="7">
        <f>91.71+10250.82</f>
        <v>10342.53</v>
      </c>
      <c r="AY436" s="7">
        <f t="shared" si="881"/>
        <v>42843.65</v>
      </c>
      <c r="AZ436" s="9">
        <v>0.0</v>
      </c>
      <c r="BA436" s="9">
        <v>0.0</v>
      </c>
      <c r="BB436" s="84">
        <v>0.0</v>
      </c>
      <c r="BC436" s="84">
        <v>0.0</v>
      </c>
    </row>
    <row r="437">
      <c r="A437" s="11">
        <v>2025.0</v>
      </c>
      <c r="B437" s="11" t="s">
        <v>135</v>
      </c>
      <c r="C437" s="12">
        <v>45784.0</v>
      </c>
      <c r="D437" s="44">
        <v>17.0</v>
      </c>
      <c r="E437" s="26">
        <v>682880.28</v>
      </c>
      <c r="F437" s="26">
        <v>39147.32</v>
      </c>
      <c r="G437" s="26">
        <v>5169.55</v>
      </c>
      <c r="H437" s="26">
        <v>2346.0</v>
      </c>
      <c r="I437" s="26">
        <v>3428.56</v>
      </c>
      <c r="J437" s="26">
        <v>1431.54</v>
      </c>
      <c r="K437" s="26">
        <v>14310.82</v>
      </c>
      <c r="L437" s="26">
        <v>13892.39</v>
      </c>
      <c r="M437" s="15">
        <v>4.0</v>
      </c>
      <c r="N437" s="16">
        <v>417432.33</v>
      </c>
      <c r="O437" s="16">
        <f t="shared" si="869"/>
        <v>16697.2932</v>
      </c>
      <c r="P437" s="16">
        <f t="shared" si="870"/>
        <v>7012.863144</v>
      </c>
      <c r="Q437" s="16">
        <f t="shared" si="871"/>
        <v>3408</v>
      </c>
      <c r="R437" s="67">
        <f t="shared" si="872"/>
        <v>956.76</v>
      </c>
      <c r="S437" s="17">
        <f t="shared" si="873"/>
        <v>1573.68</v>
      </c>
      <c r="T437" s="17">
        <f t="shared" si="874"/>
        <v>552</v>
      </c>
      <c r="U437" s="86">
        <v>2778.48</v>
      </c>
      <c r="V437" s="18">
        <f t="shared" si="875"/>
        <v>7012.863144</v>
      </c>
      <c r="W437" s="7">
        <f t="shared" si="876"/>
        <v>4385.32</v>
      </c>
      <c r="X437" s="69">
        <f t="shared" si="877"/>
        <v>1431.54</v>
      </c>
      <c r="Y437" s="7">
        <f t="shared" si="878"/>
        <v>16697.2932</v>
      </c>
      <c r="Z437" s="7">
        <f t="shared" si="879"/>
        <v>3408</v>
      </c>
      <c r="AA437" s="18">
        <f t="shared" si="880"/>
        <v>35713.49634</v>
      </c>
      <c r="AB437" s="56">
        <v>8.0</v>
      </c>
      <c r="AC437" s="24">
        <v>385884.99</v>
      </c>
      <c r="AD437" s="24">
        <v>19846.09</v>
      </c>
      <c r="AE437" s="24">
        <v>2854.33</v>
      </c>
      <c r="AF437" s="24">
        <v>1104.0</v>
      </c>
      <c r="AG437" s="24">
        <v>1645.45</v>
      </c>
      <c r="AH437" s="24">
        <v>0.0</v>
      </c>
      <c r="AI437" s="24">
        <v>6055.04</v>
      </c>
      <c r="AJ437" s="24">
        <v>8187.27</v>
      </c>
      <c r="AK437" s="15">
        <v>1.0</v>
      </c>
      <c r="AL437" s="16">
        <v>77496.58</v>
      </c>
      <c r="AM437" s="16">
        <v>2931.0</v>
      </c>
      <c r="AN437" s="16">
        <v>1305.0</v>
      </c>
      <c r="AO437" s="16">
        <v>850.0</v>
      </c>
      <c r="AP437" s="16">
        <v>510.35</v>
      </c>
      <c r="AQ437" s="16">
        <v>260.93</v>
      </c>
      <c r="AR437" s="16">
        <v>0.0</v>
      </c>
      <c r="AS437" s="7">
        <f>54915.18-AT437</f>
        <v>53285.58</v>
      </c>
      <c r="AT437" s="7">
        <v>1629.6</v>
      </c>
      <c r="AU437" s="7">
        <v>24909.76</v>
      </c>
      <c r="AV437" s="7">
        <v>1500.82</v>
      </c>
      <c r="AW437" s="7">
        <v>1940.0</v>
      </c>
      <c r="AX437" s="7">
        <f>3281.11+18013.54</f>
        <v>21294.65</v>
      </c>
      <c r="AY437" s="7">
        <f t="shared" si="881"/>
        <v>104560.41</v>
      </c>
      <c r="AZ437" s="9">
        <v>9.0</v>
      </c>
      <c r="BA437" s="9">
        <v>1.0</v>
      </c>
      <c r="BB437" s="84">
        <v>0.0</v>
      </c>
      <c r="BC437" s="84">
        <v>0.0</v>
      </c>
    </row>
    <row r="438">
      <c r="A438" s="11">
        <v>2025.0</v>
      </c>
      <c r="B438" s="11" t="s">
        <v>135</v>
      </c>
      <c r="C438" s="12">
        <v>45785.0</v>
      </c>
      <c r="D438" s="44">
        <v>10.0</v>
      </c>
      <c r="E438" s="26">
        <v>345383.1</v>
      </c>
      <c r="F438" s="26">
        <v>19098.0</v>
      </c>
      <c r="G438" s="26">
        <v>2533.06</v>
      </c>
      <c r="H438" s="26">
        <v>1380.0</v>
      </c>
      <c r="I438" s="26">
        <v>1980.4</v>
      </c>
      <c r="J438" s="26">
        <v>0.0</v>
      </c>
      <c r="K438" s="26">
        <v>6925.93</v>
      </c>
      <c r="L438" s="26">
        <v>6278.61</v>
      </c>
      <c r="M438" s="15">
        <v>4.0</v>
      </c>
      <c r="N438" s="16">
        <v>379902.54</v>
      </c>
      <c r="O438" s="16">
        <f t="shared" si="869"/>
        <v>15196.1016</v>
      </c>
      <c r="P438" s="16">
        <f t="shared" si="870"/>
        <v>6382.362672</v>
      </c>
      <c r="Q438" s="16">
        <f t="shared" si="871"/>
        <v>3408</v>
      </c>
      <c r="R438" s="67">
        <f t="shared" si="872"/>
        <v>956.76</v>
      </c>
      <c r="S438" s="17">
        <f t="shared" si="873"/>
        <v>1573.68</v>
      </c>
      <c r="T438" s="17">
        <f t="shared" si="874"/>
        <v>552</v>
      </c>
      <c r="U438" s="86">
        <v>1255.72</v>
      </c>
      <c r="V438" s="18">
        <f t="shared" si="875"/>
        <v>6382.362672</v>
      </c>
      <c r="W438" s="7">
        <f t="shared" si="876"/>
        <v>2937.16</v>
      </c>
      <c r="X438" s="69">
        <f t="shared" si="877"/>
        <v>0</v>
      </c>
      <c r="Y438" s="7">
        <f t="shared" si="878"/>
        <v>15196.1016</v>
      </c>
      <c r="Z438" s="7">
        <f t="shared" si="879"/>
        <v>3408</v>
      </c>
      <c r="AA438" s="18">
        <f t="shared" si="880"/>
        <v>29179.34427</v>
      </c>
      <c r="AB438" s="56">
        <v>3.0</v>
      </c>
      <c r="AC438" s="24">
        <v>113068.7</v>
      </c>
      <c r="AD438" s="24">
        <v>6076.6</v>
      </c>
      <c r="AE438" s="24">
        <v>900.02</v>
      </c>
      <c r="AF438" s="24">
        <v>414.0</v>
      </c>
      <c r="AG438" s="24">
        <v>472.63</v>
      </c>
      <c r="AH438" s="24">
        <v>0.0</v>
      </c>
      <c r="AI438" s="24">
        <v>2390.4</v>
      </c>
      <c r="AJ438" s="24">
        <v>1899.55</v>
      </c>
      <c r="AK438" s="15">
        <v>3.0</v>
      </c>
      <c r="AL438" s="16">
        <v>194339.5</v>
      </c>
      <c r="AM438" s="16">
        <v>7350.0</v>
      </c>
      <c r="AN438" s="16">
        <v>3272.0</v>
      </c>
      <c r="AO438" s="16">
        <v>3000.0</v>
      </c>
      <c r="AP438" s="16">
        <v>1382.45</v>
      </c>
      <c r="AQ438" s="16">
        <v>740.05</v>
      </c>
      <c r="AR438" s="16">
        <v>0.0</v>
      </c>
      <c r="AS438" s="7">
        <f>34039.21-AT438</f>
        <v>29462.21</v>
      </c>
      <c r="AT438" s="7">
        <v>4577.0</v>
      </c>
      <c r="AU438" s="7">
        <v>17772.23</v>
      </c>
      <c r="AV438" s="7">
        <v>507.46</v>
      </c>
      <c r="AW438" s="7">
        <v>10281.0</v>
      </c>
      <c r="AX438" s="7">
        <f>10405.39+16950.65</f>
        <v>27356.04</v>
      </c>
      <c r="AY438" s="7">
        <f t="shared" si="881"/>
        <v>89955.94</v>
      </c>
      <c r="AZ438" s="9">
        <v>9.0</v>
      </c>
      <c r="BA438" s="9">
        <v>1.0</v>
      </c>
      <c r="BB438" s="84">
        <v>11.0</v>
      </c>
      <c r="BC438" s="84">
        <v>0.0</v>
      </c>
    </row>
    <row r="439">
      <c r="A439" s="11">
        <v>2025.0</v>
      </c>
      <c r="B439" s="11" t="s">
        <v>135</v>
      </c>
      <c r="C439" s="12">
        <v>45786.0</v>
      </c>
      <c r="D439" s="44">
        <v>8.0</v>
      </c>
      <c r="E439" s="26">
        <v>529819.09</v>
      </c>
      <c r="F439" s="26">
        <v>25523.5</v>
      </c>
      <c r="G439" s="26">
        <v>3034.62</v>
      </c>
      <c r="H439" s="26">
        <v>828.0</v>
      </c>
      <c r="I439" s="26">
        <v>1689.87</v>
      </c>
      <c r="J439" s="26">
        <v>3480.27</v>
      </c>
      <c r="K439" s="26">
        <v>13175.94</v>
      </c>
      <c r="L439" s="26">
        <v>11435.05</v>
      </c>
      <c r="M439" s="15">
        <v>3.0</v>
      </c>
      <c r="N439" s="16">
        <v>197167.53</v>
      </c>
      <c r="O439" s="16">
        <f t="shared" si="869"/>
        <v>7886.7012</v>
      </c>
      <c r="P439" s="16">
        <f t="shared" si="870"/>
        <v>3312.414504</v>
      </c>
      <c r="Q439" s="16">
        <f t="shared" si="871"/>
        <v>2556</v>
      </c>
      <c r="R439" s="67">
        <f t="shared" si="872"/>
        <v>717.57</v>
      </c>
      <c r="S439" s="17">
        <f t="shared" si="873"/>
        <v>1180.26</v>
      </c>
      <c r="T439" s="17">
        <f t="shared" si="874"/>
        <v>414</v>
      </c>
      <c r="U439" s="86">
        <v>2287.01</v>
      </c>
      <c r="V439" s="18">
        <f t="shared" si="875"/>
        <v>3312.414504</v>
      </c>
      <c r="W439" s="7">
        <f t="shared" si="876"/>
        <v>2407.44</v>
      </c>
      <c r="X439" s="69">
        <f t="shared" si="877"/>
        <v>3480.27</v>
      </c>
      <c r="Y439" s="7">
        <f t="shared" si="878"/>
        <v>7886.7012</v>
      </c>
      <c r="Z439" s="7">
        <f t="shared" si="879"/>
        <v>2556</v>
      </c>
      <c r="AA439" s="18">
        <f t="shared" si="880"/>
        <v>21929.8357</v>
      </c>
      <c r="AB439" s="56">
        <v>2.0</v>
      </c>
      <c r="AC439" s="24">
        <v>153046.38</v>
      </c>
      <c r="AD439" s="24">
        <v>3770.36</v>
      </c>
      <c r="AE439" s="24">
        <v>260.93</v>
      </c>
      <c r="AF439" s="24">
        <v>0.0</v>
      </c>
      <c r="AG439" s="24">
        <v>20.14</v>
      </c>
      <c r="AH439" s="24">
        <v>0.0</v>
      </c>
      <c r="AI439" s="24">
        <v>605.91</v>
      </c>
      <c r="AJ439" s="24">
        <v>2883.38</v>
      </c>
      <c r="AK439" s="15">
        <v>1.0</v>
      </c>
      <c r="AL439" s="16">
        <v>122736.44</v>
      </c>
      <c r="AM439" s="16">
        <v>4642.0</v>
      </c>
      <c r="AN439" s="16">
        <v>2066.0</v>
      </c>
      <c r="AO439" s="16">
        <v>1000.0</v>
      </c>
      <c r="AP439" s="16">
        <v>497.57</v>
      </c>
      <c r="AQ439" s="16">
        <v>385.88</v>
      </c>
      <c r="AR439" s="16">
        <v>0.0</v>
      </c>
      <c r="AS439" s="7">
        <f>30877.83-AT439</f>
        <v>28811.83</v>
      </c>
      <c r="AT439" s="7">
        <v>2066.0</v>
      </c>
      <c r="AU439" s="7">
        <v>32857.61</v>
      </c>
      <c r="AV439" s="7">
        <v>13898.86</v>
      </c>
      <c r="AW439" s="7">
        <v>4642.0</v>
      </c>
      <c r="AX439" s="7">
        <f>3752.53+30582.51</f>
        <v>34335.04</v>
      </c>
      <c r="AY439" s="7">
        <f t="shared" si="881"/>
        <v>116611.34</v>
      </c>
      <c r="AZ439" s="9">
        <v>8.0</v>
      </c>
      <c r="BA439" s="9">
        <v>1.0</v>
      </c>
      <c r="BB439" s="84">
        <v>9.0</v>
      </c>
      <c r="BC439" s="84">
        <v>0.0</v>
      </c>
    </row>
    <row r="440">
      <c r="A440" s="11">
        <v>2025.0</v>
      </c>
      <c r="B440" s="11" t="s">
        <v>135</v>
      </c>
      <c r="C440" s="1"/>
      <c r="D440" s="2">
        <v>152.0</v>
      </c>
      <c r="E440" s="2"/>
      <c r="F440" s="59" t="s">
        <v>137</v>
      </c>
      <c r="G440" s="2"/>
      <c r="H440" s="33"/>
      <c r="I440" s="33"/>
      <c r="J440" s="33"/>
      <c r="K440" s="33"/>
      <c r="L440" s="33"/>
      <c r="M440" s="4">
        <v>16.0</v>
      </c>
      <c r="N440" s="51">
        <v>1777931.5</v>
      </c>
      <c r="O440" s="35"/>
      <c r="P440" s="35"/>
      <c r="Q440" s="35"/>
      <c r="R440" s="35"/>
      <c r="S440" s="35"/>
      <c r="T440" s="35"/>
      <c r="U440" s="37"/>
      <c r="V440" s="48"/>
      <c r="W440" s="48"/>
      <c r="X440" s="37"/>
      <c r="Y440" s="48"/>
      <c r="Z440" s="48"/>
      <c r="AA440" s="48"/>
      <c r="AB440" s="2"/>
      <c r="AC440" s="33"/>
      <c r="AD440" s="2"/>
      <c r="AE440" s="33"/>
      <c r="AF440" s="33"/>
      <c r="AG440" s="33"/>
      <c r="AH440" s="33"/>
      <c r="AI440" s="33"/>
      <c r="AJ440" s="33"/>
      <c r="AK440" s="4">
        <v>0.0</v>
      </c>
      <c r="AL440" s="4">
        <v>0.0</v>
      </c>
      <c r="AM440" s="35"/>
      <c r="AN440" s="35"/>
      <c r="AO440" s="35"/>
      <c r="AP440" s="35"/>
      <c r="AQ440" s="35"/>
      <c r="AR440" s="35"/>
      <c r="AS440" s="37"/>
      <c r="AT440" s="48"/>
      <c r="AU440" s="48"/>
      <c r="AV440" s="48"/>
      <c r="AW440" s="48"/>
      <c r="AX440" s="48"/>
      <c r="AY440" s="48"/>
      <c r="AZ440" s="38"/>
      <c r="BA440" s="39"/>
      <c r="BB440" s="85"/>
      <c r="BC440" s="85"/>
    </row>
    <row r="441">
      <c r="A441" s="1">
        <v>2025.0</v>
      </c>
      <c r="B441" s="11" t="s">
        <v>135</v>
      </c>
      <c r="C441" s="1" t="s">
        <v>49</v>
      </c>
      <c r="D441" s="33">
        <f t="shared" ref="D441:F441" si="882">SUM(D433:D439)</f>
        <v>70</v>
      </c>
      <c r="E441" s="34">
        <f t="shared" si="882"/>
        <v>3190446.85</v>
      </c>
      <c r="F441" s="34">
        <f t="shared" si="882"/>
        <v>164427.32</v>
      </c>
      <c r="G441" s="34">
        <f>SUM(G433:G440)</f>
        <v>20137.85</v>
      </c>
      <c r="H441" s="34">
        <f t="shared" ref="H441:L441" si="883">SUM(H433:H439)</f>
        <v>8694</v>
      </c>
      <c r="I441" s="34">
        <f t="shared" si="883"/>
        <v>12194.62</v>
      </c>
      <c r="J441" s="34">
        <f t="shared" si="883"/>
        <v>7286.01</v>
      </c>
      <c r="K441" s="34">
        <f t="shared" si="883"/>
        <v>78508.15</v>
      </c>
      <c r="L441" s="34">
        <f t="shared" si="883"/>
        <v>60198.43</v>
      </c>
      <c r="M441" s="35">
        <f t="shared" ref="M441:N441" si="884">SUM(M433:M440)</f>
        <v>31</v>
      </c>
      <c r="N441" s="36">
        <f t="shared" si="884"/>
        <v>3104220.2</v>
      </c>
      <c r="O441" s="36">
        <f t="shared" ref="O441:AA441" si="885">SUM(O433:O439)</f>
        <v>53051.548</v>
      </c>
      <c r="P441" s="36">
        <f t="shared" si="885"/>
        <v>22281.65016</v>
      </c>
      <c r="Q441" s="36">
        <f t="shared" si="885"/>
        <v>12780</v>
      </c>
      <c r="R441" s="70">
        <f t="shared" si="885"/>
        <v>3587.85</v>
      </c>
      <c r="S441" s="36">
        <f t="shared" si="885"/>
        <v>5901.3</v>
      </c>
      <c r="T441" s="36">
        <f t="shared" si="885"/>
        <v>2070</v>
      </c>
      <c r="U441" s="37">
        <f t="shared" si="885"/>
        <v>12039.69</v>
      </c>
      <c r="V441" s="37">
        <f t="shared" si="885"/>
        <v>22281.65016</v>
      </c>
      <c r="W441" s="37">
        <f t="shared" si="885"/>
        <v>15782.47</v>
      </c>
      <c r="X441" s="37">
        <f t="shared" si="885"/>
        <v>7286.01</v>
      </c>
      <c r="Y441" s="37">
        <f t="shared" si="885"/>
        <v>53051.548</v>
      </c>
      <c r="Z441" s="37">
        <f t="shared" si="885"/>
        <v>12780</v>
      </c>
      <c r="AA441" s="37">
        <f t="shared" si="885"/>
        <v>123221.3682</v>
      </c>
      <c r="AB441" s="33">
        <f>SUM(AB433:AB440)</f>
        <v>39</v>
      </c>
      <c r="AC441" s="34">
        <f t="shared" ref="AC441:AJ441" si="886">SUM(AC433:AC439)</f>
        <v>1887015.08</v>
      </c>
      <c r="AD441" s="34">
        <f t="shared" si="886"/>
        <v>88394.49</v>
      </c>
      <c r="AE441" s="34">
        <f t="shared" si="886"/>
        <v>11692.67</v>
      </c>
      <c r="AF441" s="34">
        <f t="shared" si="886"/>
        <v>4692</v>
      </c>
      <c r="AG441" s="34">
        <f t="shared" si="886"/>
        <v>6192.69</v>
      </c>
      <c r="AH441" s="34">
        <f t="shared" si="886"/>
        <v>0</v>
      </c>
      <c r="AI441" s="34">
        <f t="shared" si="886"/>
        <v>30954.66</v>
      </c>
      <c r="AJ441" s="34">
        <f t="shared" si="886"/>
        <v>34862.47</v>
      </c>
      <c r="AK441" s="35">
        <f t="shared" ref="AK441:AL441" si="887">SUM(AK433:AK440)</f>
        <v>6</v>
      </c>
      <c r="AL441" s="36">
        <f t="shared" si="887"/>
        <v>443072.52</v>
      </c>
      <c r="AM441" s="36">
        <f t="shared" ref="AM441:BC441" si="888">SUM(AM433:AM439)</f>
        <v>16863</v>
      </c>
      <c r="AN441" s="36">
        <f t="shared" si="888"/>
        <v>8272.6</v>
      </c>
      <c r="AO441" s="36">
        <f t="shared" si="888"/>
        <v>5850</v>
      </c>
      <c r="AP441" s="36">
        <f t="shared" si="888"/>
        <v>2885.03</v>
      </c>
      <c r="AQ441" s="36">
        <f t="shared" si="888"/>
        <v>1787.95</v>
      </c>
      <c r="AR441" s="36">
        <f t="shared" si="888"/>
        <v>0</v>
      </c>
      <c r="AS441" s="37">
        <f t="shared" si="888"/>
        <v>134410.9</v>
      </c>
      <c r="AT441" s="37">
        <f t="shared" si="888"/>
        <v>8272.6</v>
      </c>
      <c r="AU441" s="37">
        <f t="shared" si="888"/>
        <v>84473.58</v>
      </c>
      <c r="AV441" s="37">
        <f t="shared" si="888"/>
        <v>20127</v>
      </c>
      <c r="AW441" s="37">
        <f t="shared" si="888"/>
        <v>16863</v>
      </c>
      <c r="AX441" s="37">
        <f t="shared" si="888"/>
        <v>93328.26</v>
      </c>
      <c r="AY441" s="37">
        <f t="shared" si="888"/>
        <v>357475.34</v>
      </c>
      <c r="AZ441" s="38">
        <f t="shared" si="888"/>
        <v>26</v>
      </c>
      <c r="BA441" s="39">
        <f t="shared" si="888"/>
        <v>3</v>
      </c>
      <c r="BB441" s="85">
        <f t="shared" si="888"/>
        <v>20</v>
      </c>
      <c r="BC441" s="85">
        <f t="shared" si="888"/>
        <v>0</v>
      </c>
    </row>
    <row r="442">
      <c r="A442" s="11">
        <v>2025.0</v>
      </c>
      <c r="B442" s="11" t="s">
        <v>135</v>
      </c>
      <c r="C442" s="12">
        <v>45787.0</v>
      </c>
      <c r="D442" s="44">
        <v>6.0</v>
      </c>
      <c r="E442" s="26">
        <v>411802.78</v>
      </c>
      <c r="F442" s="26">
        <v>19888.7</v>
      </c>
      <c r="G442" s="26">
        <v>2368.04</v>
      </c>
      <c r="H442" s="26">
        <v>828.0</v>
      </c>
      <c r="I442" s="26">
        <v>1402.45</v>
      </c>
      <c r="J442" s="26">
        <v>3872.2</v>
      </c>
      <c r="K442" s="26">
        <v>7452.19</v>
      </c>
      <c r="L442" s="26">
        <v>7838.02</v>
      </c>
      <c r="M442" s="15">
        <v>0.0</v>
      </c>
      <c r="N442" s="16">
        <v>0.0</v>
      </c>
      <c r="O442" s="16">
        <f t="shared" ref="O442:O448" si="889">N442*4%</f>
        <v>0</v>
      </c>
      <c r="P442" s="16">
        <f t="shared" ref="P442:P448" si="890">N442*1.68%</f>
        <v>0</v>
      </c>
      <c r="Q442" s="16">
        <f t="shared" ref="Q442:Q448" si="891">M442*(400+350+100+2)</f>
        <v>0</v>
      </c>
      <c r="R442" s="67">
        <f t="shared" ref="R442:R448" si="892">M442*239.19</f>
        <v>0</v>
      </c>
      <c r="S442" s="17">
        <f t="shared" ref="S442:S448" si="893">M442*393.42</f>
        <v>0</v>
      </c>
      <c r="T442" s="17">
        <f t="shared" ref="T442:T448" si="894">M442*138</f>
        <v>0</v>
      </c>
      <c r="U442" s="86">
        <v>2279.05</v>
      </c>
      <c r="V442" s="18">
        <f t="shared" ref="V442:V448" si="895">P442</f>
        <v>0</v>
      </c>
      <c r="W442" s="7">
        <f t="shared" ref="W442:W448" si="896">I442+R442</f>
        <v>1402.45</v>
      </c>
      <c r="X442" s="69">
        <f t="shared" ref="X442:X448" si="897">J442</f>
        <v>3872.2</v>
      </c>
      <c r="Y442" s="7">
        <f t="shared" ref="Y442:Y448" si="898">O442</f>
        <v>0</v>
      </c>
      <c r="Z442" s="7">
        <f t="shared" ref="Z442:Z448" si="899">Q442</f>
        <v>0</v>
      </c>
      <c r="AA442" s="18">
        <f t="shared" ref="AA442:AA448" si="900">SUM(U442:Z442)</f>
        <v>7553.7</v>
      </c>
      <c r="AB442" s="56">
        <v>3.0</v>
      </c>
      <c r="AC442" s="24">
        <v>176832.57</v>
      </c>
      <c r="AD442" s="24">
        <v>9164.76</v>
      </c>
      <c r="AE442" s="24">
        <v>1299.37</v>
      </c>
      <c r="AF442" s="24">
        <v>414.0</v>
      </c>
      <c r="AG442" s="24">
        <v>723.4</v>
      </c>
      <c r="AH442" s="24">
        <v>0.0</v>
      </c>
      <c r="AI442" s="24">
        <v>3182.49</v>
      </c>
      <c r="AJ442" s="24">
        <v>3545.5</v>
      </c>
      <c r="AK442" s="15">
        <v>0.0</v>
      </c>
      <c r="AL442" s="16">
        <v>0.0</v>
      </c>
      <c r="AM442" s="16">
        <v>0.0</v>
      </c>
      <c r="AN442" s="16">
        <v>0.0</v>
      </c>
      <c r="AO442" s="16">
        <v>0.0</v>
      </c>
      <c r="AP442" s="16">
        <v>0.0</v>
      </c>
      <c r="AQ442" s="16">
        <v>0.0</v>
      </c>
      <c r="AR442" s="16">
        <v>0.0</v>
      </c>
      <c r="AS442" s="7">
        <v>0.0</v>
      </c>
      <c r="AT442" s="7">
        <v>0.0</v>
      </c>
      <c r="AU442" s="7">
        <v>0.0</v>
      </c>
      <c r="AV442" s="7">
        <v>0.0</v>
      </c>
      <c r="AW442" s="7">
        <v>0.0</v>
      </c>
      <c r="AX442" s="7">
        <v>0.0</v>
      </c>
      <c r="AY442" s="7">
        <f t="shared" ref="AY442:AY448" si="901">SUM(AS442:AX442)</f>
        <v>0</v>
      </c>
      <c r="AZ442" s="9">
        <v>0.0</v>
      </c>
      <c r="BA442" s="9">
        <v>0.0</v>
      </c>
      <c r="BB442" s="84">
        <v>0.0</v>
      </c>
      <c r="BC442" s="84">
        <v>0.0</v>
      </c>
    </row>
    <row r="443">
      <c r="A443" s="11">
        <v>2025.0</v>
      </c>
      <c r="B443" s="11" t="s">
        <v>135</v>
      </c>
      <c r="C443" s="12">
        <v>45788.0</v>
      </c>
      <c r="D443" s="44">
        <v>1.0</v>
      </c>
      <c r="E443" s="26">
        <v>49242.88</v>
      </c>
      <c r="F443" s="26">
        <v>2197.14</v>
      </c>
      <c r="G443" s="26">
        <v>302.56</v>
      </c>
      <c r="H443" s="26">
        <v>138.0</v>
      </c>
      <c r="I443" s="26">
        <v>139.19</v>
      </c>
      <c r="J443" s="26">
        <v>551.52</v>
      </c>
      <c r="K443" s="26">
        <v>790.11</v>
      </c>
      <c r="L443" s="26">
        <v>827.28</v>
      </c>
      <c r="M443" s="15">
        <v>0.0</v>
      </c>
      <c r="N443" s="16">
        <v>0.0</v>
      </c>
      <c r="O443" s="16">
        <f t="shared" si="889"/>
        <v>0</v>
      </c>
      <c r="P443" s="16">
        <f t="shared" si="890"/>
        <v>0</v>
      </c>
      <c r="Q443" s="16">
        <f t="shared" si="891"/>
        <v>0</v>
      </c>
      <c r="R443" s="67">
        <f t="shared" si="892"/>
        <v>0</v>
      </c>
      <c r="S443" s="17">
        <f t="shared" si="893"/>
        <v>0</v>
      </c>
      <c r="T443" s="17">
        <f t="shared" si="894"/>
        <v>0</v>
      </c>
      <c r="U443" s="86">
        <v>1567.6</v>
      </c>
      <c r="V443" s="18">
        <f t="shared" si="895"/>
        <v>0</v>
      </c>
      <c r="W443" s="7">
        <f t="shared" si="896"/>
        <v>139.19</v>
      </c>
      <c r="X443" s="69">
        <f t="shared" si="897"/>
        <v>551.52</v>
      </c>
      <c r="Y443" s="7">
        <f t="shared" si="898"/>
        <v>0</v>
      </c>
      <c r="Z443" s="7">
        <f t="shared" si="899"/>
        <v>0</v>
      </c>
      <c r="AA443" s="18">
        <f t="shared" si="900"/>
        <v>2258.31</v>
      </c>
      <c r="AB443" s="56">
        <v>0.0</v>
      </c>
      <c r="AC443" s="24">
        <v>0.0</v>
      </c>
      <c r="AD443" s="24">
        <v>0.0</v>
      </c>
      <c r="AE443" s="24">
        <v>0.0</v>
      </c>
      <c r="AF443" s="24">
        <v>0.0</v>
      </c>
      <c r="AG443" s="24">
        <v>0.0</v>
      </c>
      <c r="AH443" s="24">
        <v>0.0</v>
      </c>
      <c r="AI443" s="24">
        <v>0.0</v>
      </c>
      <c r="AJ443" s="24">
        <v>0.0</v>
      </c>
      <c r="AK443" s="15">
        <v>0.0</v>
      </c>
      <c r="AL443" s="16">
        <v>0.0</v>
      </c>
      <c r="AM443" s="16">
        <v>0.0</v>
      </c>
      <c r="AN443" s="16">
        <v>0.0</v>
      </c>
      <c r="AO443" s="16">
        <v>0.0</v>
      </c>
      <c r="AP443" s="16">
        <v>0.0</v>
      </c>
      <c r="AQ443" s="16">
        <v>0.0</v>
      </c>
      <c r="AR443" s="16">
        <v>0.0</v>
      </c>
      <c r="AS443" s="7">
        <v>0.0</v>
      </c>
      <c r="AT443" s="7">
        <v>0.0</v>
      </c>
      <c r="AU443" s="7">
        <v>0.0</v>
      </c>
      <c r="AV443" s="7">
        <v>0.0</v>
      </c>
      <c r="AW443" s="7">
        <v>0.0</v>
      </c>
      <c r="AX443" s="7">
        <v>0.0</v>
      </c>
      <c r="AY443" s="7">
        <f t="shared" si="901"/>
        <v>0</v>
      </c>
      <c r="AZ443" s="9">
        <v>0.0</v>
      </c>
      <c r="BA443" s="9">
        <v>0.0</v>
      </c>
      <c r="BB443" s="84">
        <v>0.0</v>
      </c>
      <c r="BC443" s="84">
        <v>0.0</v>
      </c>
    </row>
    <row r="444">
      <c r="A444" s="11">
        <v>2025.0</v>
      </c>
      <c r="B444" s="11" t="s">
        <v>135</v>
      </c>
      <c r="C444" s="12">
        <v>45789.0</v>
      </c>
      <c r="D444" s="44">
        <v>2.0</v>
      </c>
      <c r="E444" s="26">
        <v>45791.08</v>
      </c>
      <c r="F444" s="26">
        <v>3244.56</v>
      </c>
      <c r="G444" s="26">
        <v>639.02</v>
      </c>
      <c r="H444" s="26">
        <v>276.0</v>
      </c>
      <c r="I444" s="26">
        <v>402.54</v>
      </c>
      <c r="J444" s="26">
        <v>0.0</v>
      </c>
      <c r="K444" s="26">
        <v>1157.71</v>
      </c>
      <c r="L444" s="26">
        <v>769.29</v>
      </c>
      <c r="M444" s="15">
        <v>0.0</v>
      </c>
      <c r="N444" s="16">
        <v>0.0</v>
      </c>
      <c r="O444" s="16">
        <f t="shared" si="889"/>
        <v>0</v>
      </c>
      <c r="P444" s="16">
        <f t="shared" si="890"/>
        <v>0</v>
      </c>
      <c r="Q444" s="16">
        <f t="shared" si="891"/>
        <v>0</v>
      </c>
      <c r="R444" s="67">
        <f t="shared" si="892"/>
        <v>0</v>
      </c>
      <c r="S444" s="17">
        <f t="shared" si="893"/>
        <v>0</v>
      </c>
      <c r="T444" s="17">
        <f t="shared" si="894"/>
        <v>0</v>
      </c>
      <c r="U444" s="86">
        <v>165.46</v>
      </c>
      <c r="V444" s="18">
        <f t="shared" si="895"/>
        <v>0</v>
      </c>
      <c r="W444" s="7">
        <f t="shared" si="896"/>
        <v>402.54</v>
      </c>
      <c r="X444" s="69">
        <f t="shared" si="897"/>
        <v>0</v>
      </c>
      <c r="Y444" s="7">
        <f t="shared" si="898"/>
        <v>0</v>
      </c>
      <c r="Z444" s="7">
        <f t="shared" si="899"/>
        <v>0</v>
      </c>
      <c r="AA444" s="18">
        <f t="shared" si="900"/>
        <v>568</v>
      </c>
      <c r="AB444" s="56">
        <v>2.0</v>
      </c>
      <c r="AC444" s="24">
        <v>44679.2</v>
      </c>
      <c r="AD444" s="24">
        <v>3244.56</v>
      </c>
      <c r="AE444" s="24">
        <v>639.02</v>
      </c>
      <c r="AF444" s="24">
        <v>276.0</v>
      </c>
      <c r="AG444" s="24">
        <v>402.54</v>
      </c>
      <c r="AH444" s="24">
        <v>0.0</v>
      </c>
      <c r="AI444" s="24">
        <v>1176.39</v>
      </c>
      <c r="AJ444" s="24">
        <v>750.61</v>
      </c>
      <c r="AK444" s="15">
        <v>0.0</v>
      </c>
      <c r="AL444" s="16">
        <v>0.0</v>
      </c>
      <c r="AM444" s="16">
        <v>0.0</v>
      </c>
      <c r="AN444" s="16">
        <v>0.0</v>
      </c>
      <c r="AO444" s="16">
        <v>0.0</v>
      </c>
      <c r="AP444" s="16">
        <v>0.0</v>
      </c>
      <c r="AQ444" s="16">
        <v>0.0</v>
      </c>
      <c r="AR444" s="16">
        <v>0.0</v>
      </c>
      <c r="AS444" s="7">
        <v>20910.13</v>
      </c>
      <c r="AT444" s="7">
        <v>0.0</v>
      </c>
      <c r="AU444" s="7">
        <v>6803.25</v>
      </c>
      <c r="AV444" s="7">
        <v>8667.02</v>
      </c>
      <c r="AW444" s="7">
        <v>0.0</v>
      </c>
      <c r="AX444" s="7">
        <f>637.46+12525.84</f>
        <v>13163.3</v>
      </c>
      <c r="AY444" s="7">
        <f t="shared" si="901"/>
        <v>49543.7</v>
      </c>
      <c r="AZ444" s="9">
        <v>0.0</v>
      </c>
      <c r="BA444" s="9">
        <v>0.0</v>
      </c>
      <c r="BB444" s="84">
        <v>0.0</v>
      </c>
      <c r="BC444" s="84">
        <v>0.0</v>
      </c>
    </row>
    <row r="445">
      <c r="A445" s="11">
        <v>2025.0</v>
      </c>
      <c r="B445" s="11" t="s">
        <v>135</v>
      </c>
      <c r="C445" s="12">
        <v>45790.0</v>
      </c>
      <c r="D445" s="44">
        <v>4.0</v>
      </c>
      <c r="E445" s="26">
        <v>173312.32</v>
      </c>
      <c r="F445" s="26">
        <v>14790.39</v>
      </c>
      <c r="G445" s="26">
        <v>1461.13</v>
      </c>
      <c r="H445" s="26">
        <v>414.0</v>
      </c>
      <c r="I445" s="26">
        <v>560.63</v>
      </c>
      <c r="J445" s="26">
        <v>748.76</v>
      </c>
      <c r="K445" s="26">
        <v>9913.2</v>
      </c>
      <c r="L445" s="26">
        <v>3684.34</v>
      </c>
      <c r="M445" s="15">
        <v>6.0</v>
      </c>
      <c r="N445" s="16">
        <v>609340.69</v>
      </c>
      <c r="O445" s="16">
        <f t="shared" si="889"/>
        <v>24373.6276</v>
      </c>
      <c r="P445" s="16">
        <f t="shared" si="890"/>
        <v>10236.92359</v>
      </c>
      <c r="Q445" s="16">
        <f t="shared" si="891"/>
        <v>5112</v>
      </c>
      <c r="R445" s="67">
        <f t="shared" si="892"/>
        <v>1435.14</v>
      </c>
      <c r="S445" s="17">
        <f t="shared" si="893"/>
        <v>2360.52</v>
      </c>
      <c r="T445" s="17">
        <f t="shared" si="894"/>
        <v>828</v>
      </c>
      <c r="U445" s="86">
        <v>153.86</v>
      </c>
      <c r="V445" s="18">
        <f t="shared" si="895"/>
        <v>10236.92359</v>
      </c>
      <c r="W445" s="7">
        <f t="shared" si="896"/>
        <v>1995.77</v>
      </c>
      <c r="X445" s="69">
        <f t="shared" si="897"/>
        <v>748.76</v>
      </c>
      <c r="Y445" s="7">
        <f t="shared" si="898"/>
        <v>24373.6276</v>
      </c>
      <c r="Z445" s="7">
        <f t="shared" si="899"/>
        <v>5112</v>
      </c>
      <c r="AA445" s="18">
        <f t="shared" si="900"/>
        <v>42620.94119</v>
      </c>
      <c r="AB445" s="56">
        <v>2.0</v>
      </c>
      <c r="AC445" s="24">
        <v>115150.86</v>
      </c>
      <c r="AD445" s="24">
        <v>11255.33</v>
      </c>
      <c r="AE445" s="24">
        <v>939.27</v>
      </c>
      <c r="AF445" s="24">
        <v>138.0</v>
      </c>
      <c r="AG445" s="24">
        <v>309.27</v>
      </c>
      <c r="AH445" s="24">
        <v>0.0</v>
      </c>
      <c r="AI445" s="24">
        <v>7552.03</v>
      </c>
      <c r="AJ445" s="24">
        <v>2316.76</v>
      </c>
      <c r="AK445" s="15">
        <v>1.0</v>
      </c>
      <c r="AL445" s="16">
        <v>27563.0</v>
      </c>
      <c r="AM445" s="16">
        <v>0.0</v>
      </c>
      <c r="AN445" s="16">
        <v>466.0</v>
      </c>
      <c r="AO445" s="16">
        <v>0.0</v>
      </c>
      <c r="AP445" s="16">
        <v>0.0</v>
      </c>
      <c r="AQ445" s="16">
        <v>260.93</v>
      </c>
      <c r="AR445" s="16">
        <v>0.0</v>
      </c>
      <c r="AS445" s="7">
        <v>28662.04</v>
      </c>
      <c r="AT445" s="7">
        <v>0.0</v>
      </c>
      <c r="AU445" s="7">
        <v>3283.07</v>
      </c>
      <c r="AV445" s="7">
        <v>2591.4</v>
      </c>
      <c r="AW445" s="7">
        <v>0.0</v>
      </c>
      <c r="AX445" s="7">
        <f>7.52+5581.59</f>
        <v>5589.11</v>
      </c>
      <c r="AY445" s="7">
        <f t="shared" si="901"/>
        <v>40125.62</v>
      </c>
      <c r="AZ445" s="9">
        <v>0.0</v>
      </c>
      <c r="BA445" s="9">
        <v>1.0</v>
      </c>
      <c r="BB445" s="84">
        <v>0.0</v>
      </c>
      <c r="BC445" s="84">
        <v>0.0</v>
      </c>
    </row>
    <row r="446">
      <c r="A446" s="11">
        <v>2025.0</v>
      </c>
      <c r="B446" s="11" t="s">
        <v>135</v>
      </c>
      <c r="C446" s="12">
        <v>45791.0</v>
      </c>
      <c r="D446" s="44">
        <v>15.0</v>
      </c>
      <c r="E446" s="26">
        <v>2353514.68</v>
      </c>
      <c r="F446" s="26">
        <v>81010.09</v>
      </c>
      <c r="G446" s="26">
        <v>4273.27</v>
      </c>
      <c r="H446" s="26">
        <v>1794.0</v>
      </c>
      <c r="I446" s="26">
        <v>1897.13</v>
      </c>
      <c r="J446" s="26">
        <v>72628.87</v>
      </c>
      <c r="K446" s="26">
        <v>161012.5</v>
      </c>
      <c r="L446" s="26">
        <v>44817.87</v>
      </c>
      <c r="M446" s="15">
        <v>7.0</v>
      </c>
      <c r="N446" s="16">
        <v>817764.14</v>
      </c>
      <c r="O446" s="16">
        <f t="shared" si="889"/>
        <v>32710.5656</v>
      </c>
      <c r="P446" s="16">
        <f t="shared" si="890"/>
        <v>13738.43755</v>
      </c>
      <c r="Q446" s="16">
        <f t="shared" si="891"/>
        <v>5964</v>
      </c>
      <c r="R446" s="67">
        <f t="shared" si="892"/>
        <v>1674.33</v>
      </c>
      <c r="S446" s="17">
        <f t="shared" si="893"/>
        <v>2753.94</v>
      </c>
      <c r="T446" s="17">
        <f t="shared" si="894"/>
        <v>966</v>
      </c>
      <c r="U446" s="86">
        <v>736.87</v>
      </c>
      <c r="V446" s="18">
        <f t="shared" si="895"/>
        <v>13738.43755</v>
      </c>
      <c r="W446" s="7">
        <f t="shared" si="896"/>
        <v>3571.46</v>
      </c>
      <c r="X446" s="69">
        <f t="shared" si="897"/>
        <v>72628.87</v>
      </c>
      <c r="Y446" s="7">
        <f t="shared" si="898"/>
        <v>32710.5656</v>
      </c>
      <c r="Z446" s="7">
        <f t="shared" si="899"/>
        <v>5964</v>
      </c>
      <c r="AA446" s="18">
        <f t="shared" si="900"/>
        <v>129350.2032</v>
      </c>
      <c r="AB446" s="56">
        <v>3.0</v>
      </c>
      <c r="AC446" s="24">
        <v>190032.69</v>
      </c>
      <c r="AD446" s="24">
        <v>9454.92</v>
      </c>
      <c r="AE446" s="24">
        <v>1194.62</v>
      </c>
      <c r="AF446" s="24">
        <v>414.0</v>
      </c>
      <c r="AG446" s="24">
        <v>770.93</v>
      </c>
      <c r="AH446" s="24">
        <v>0.0</v>
      </c>
      <c r="AI446" s="24">
        <v>3882.82</v>
      </c>
      <c r="AJ446" s="24">
        <v>3192.55</v>
      </c>
      <c r="AK446" s="15">
        <v>0.0</v>
      </c>
      <c r="AL446" s="16">
        <v>0.0</v>
      </c>
      <c r="AM446" s="16">
        <v>0.0</v>
      </c>
      <c r="AN446" s="16">
        <v>0.0</v>
      </c>
      <c r="AO446" s="16">
        <v>0.0</v>
      </c>
      <c r="AP446" s="16">
        <v>0.0</v>
      </c>
      <c r="AQ446" s="16">
        <v>0.0</v>
      </c>
      <c r="AR446" s="16">
        <v>0.0</v>
      </c>
      <c r="AS446" s="7">
        <f>14170.17-AT446</f>
        <v>13704.17</v>
      </c>
      <c r="AT446" s="7">
        <v>466.0</v>
      </c>
      <c r="AU446" s="7">
        <v>4919.96</v>
      </c>
      <c r="AV446" s="7">
        <v>6994.02</v>
      </c>
      <c r="AW446" s="7">
        <v>0.0</v>
      </c>
      <c r="AX446" s="7">
        <f>470.26+2563.43</f>
        <v>3033.69</v>
      </c>
      <c r="AY446" s="7">
        <f t="shared" si="901"/>
        <v>29117.84</v>
      </c>
      <c r="AZ446" s="9">
        <v>0.0</v>
      </c>
      <c r="BA446" s="9">
        <v>1.0</v>
      </c>
      <c r="BB446" s="84">
        <v>0.0</v>
      </c>
      <c r="BC446" s="84">
        <v>0.0</v>
      </c>
    </row>
    <row r="447">
      <c r="A447" s="11">
        <v>2025.0</v>
      </c>
      <c r="B447" s="11" t="s">
        <v>135</v>
      </c>
      <c r="C447" s="12">
        <v>45792.0</v>
      </c>
      <c r="D447" s="44">
        <v>96.0</v>
      </c>
      <c r="E447" s="26">
        <v>6409676.32</v>
      </c>
      <c r="F447" s="26">
        <v>273424.75</v>
      </c>
      <c r="G447" s="26">
        <v>33954.36</v>
      </c>
      <c r="H447" s="26">
        <v>3174.0</v>
      </c>
      <c r="I447" s="26">
        <v>35426.88</v>
      </c>
      <c r="J447" s="26">
        <v>16008.1</v>
      </c>
      <c r="K447" s="26">
        <v>103200.92</v>
      </c>
      <c r="L447" s="26">
        <v>111461.25</v>
      </c>
      <c r="M447" s="15">
        <v>8.0</v>
      </c>
      <c r="N447" s="16">
        <v>739720.14</v>
      </c>
      <c r="O447" s="16">
        <f t="shared" si="889"/>
        <v>29588.8056</v>
      </c>
      <c r="P447" s="16">
        <f t="shared" si="890"/>
        <v>12427.29835</v>
      </c>
      <c r="Q447" s="16">
        <f t="shared" si="891"/>
        <v>6816</v>
      </c>
      <c r="R447" s="67">
        <f t="shared" si="892"/>
        <v>1913.52</v>
      </c>
      <c r="S447" s="17">
        <f t="shared" si="893"/>
        <v>3147.36</v>
      </c>
      <c r="T447" s="17">
        <f t="shared" si="894"/>
        <v>1104</v>
      </c>
      <c r="U447" s="86">
        <v>8963.57</v>
      </c>
      <c r="V447" s="18">
        <f t="shared" si="895"/>
        <v>12427.29835</v>
      </c>
      <c r="W447" s="7">
        <f t="shared" si="896"/>
        <v>37340.4</v>
      </c>
      <c r="X447" s="69">
        <f t="shared" si="897"/>
        <v>16008.1</v>
      </c>
      <c r="Y447" s="7">
        <f t="shared" si="898"/>
        <v>29588.8056</v>
      </c>
      <c r="Z447" s="7">
        <f t="shared" si="899"/>
        <v>6816</v>
      </c>
      <c r="AA447" s="18">
        <f t="shared" si="900"/>
        <v>111144.174</v>
      </c>
      <c r="AB447" s="56">
        <v>47.0</v>
      </c>
      <c r="AC447" s="24">
        <v>3332852.38</v>
      </c>
      <c r="AD447" s="24">
        <v>138833.03</v>
      </c>
      <c r="AE447" s="24">
        <v>16749.72</v>
      </c>
      <c r="AF447" s="24">
        <v>1380.0</v>
      </c>
      <c r="AG447" s="24">
        <v>18193.9</v>
      </c>
      <c r="AH447" s="24">
        <v>0.0</v>
      </c>
      <c r="AI447" s="24">
        <v>44896.16</v>
      </c>
      <c r="AJ447" s="24">
        <v>57613.25</v>
      </c>
      <c r="AK447" s="15">
        <v>3.0</v>
      </c>
      <c r="AL447" s="16">
        <v>222875.21</v>
      </c>
      <c r="AM447" s="16">
        <v>8619.0</v>
      </c>
      <c r="AN447" s="16">
        <v>5211.2</v>
      </c>
      <c r="AO447" s="16">
        <v>2850.0</v>
      </c>
      <c r="AP447" s="16">
        <v>1418.5</v>
      </c>
      <c r="AQ447" s="16">
        <v>1199.16</v>
      </c>
      <c r="AR447" s="16">
        <v>0.0</v>
      </c>
      <c r="AS447" s="7">
        <f>62277.33-AT447</f>
        <v>57066.13</v>
      </c>
      <c r="AT447" s="7">
        <v>5211.2</v>
      </c>
      <c r="AU447" s="7">
        <v>26382.09</v>
      </c>
      <c r="AV447" s="7">
        <v>3987.5</v>
      </c>
      <c r="AW447" s="7">
        <v>8619.0</v>
      </c>
      <c r="AX447" s="7">
        <f>9539.69+32444.94</f>
        <v>41984.63</v>
      </c>
      <c r="AY447" s="7">
        <f t="shared" si="901"/>
        <v>143250.55</v>
      </c>
      <c r="AZ447" s="9">
        <v>2.0</v>
      </c>
      <c r="BA447" s="9">
        <v>1.0</v>
      </c>
      <c r="BB447" s="84">
        <v>4.0</v>
      </c>
      <c r="BC447" s="84">
        <v>1.0</v>
      </c>
    </row>
    <row r="448">
      <c r="A448" s="11">
        <v>2025.0</v>
      </c>
      <c r="B448" s="11" t="s">
        <v>135</v>
      </c>
      <c r="C448" s="12">
        <v>45793.0</v>
      </c>
      <c r="D448" s="44">
        <v>14.0</v>
      </c>
      <c r="E448" s="26">
        <v>1222544.26</v>
      </c>
      <c r="F448" s="26">
        <v>38513.19</v>
      </c>
      <c r="G448" s="26">
        <v>3737.05</v>
      </c>
      <c r="H448" s="26">
        <v>1518.0</v>
      </c>
      <c r="I448" s="26">
        <v>2234.2</v>
      </c>
      <c r="J448" s="26">
        <v>1631.22</v>
      </c>
      <c r="K448" s="26">
        <v>13439.78</v>
      </c>
      <c r="L448" s="26">
        <v>20939.11</v>
      </c>
      <c r="M448" s="15">
        <v>8.0</v>
      </c>
      <c r="N448" s="16">
        <v>1139375.98</v>
      </c>
      <c r="O448" s="16">
        <f t="shared" si="889"/>
        <v>45575.0392</v>
      </c>
      <c r="P448" s="16">
        <f t="shared" si="890"/>
        <v>19141.51646</v>
      </c>
      <c r="Q448" s="16">
        <f t="shared" si="891"/>
        <v>6816</v>
      </c>
      <c r="R448" s="67">
        <f t="shared" si="892"/>
        <v>1913.52</v>
      </c>
      <c r="S448" s="17">
        <f t="shared" si="893"/>
        <v>3147.36</v>
      </c>
      <c r="T448" s="17">
        <f t="shared" si="894"/>
        <v>1104</v>
      </c>
      <c r="U448" s="86">
        <v>22292.25</v>
      </c>
      <c r="V448" s="18">
        <f t="shared" si="895"/>
        <v>19141.51646</v>
      </c>
      <c r="W448" s="7">
        <f t="shared" si="896"/>
        <v>4147.72</v>
      </c>
      <c r="X448" s="69">
        <f t="shared" si="897"/>
        <v>1631.22</v>
      </c>
      <c r="Y448" s="7">
        <f t="shared" si="898"/>
        <v>45575.0392</v>
      </c>
      <c r="Z448" s="7">
        <f t="shared" si="899"/>
        <v>6816</v>
      </c>
      <c r="AA448" s="18">
        <f t="shared" si="900"/>
        <v>99603.74566</v>
      </c>
      <c r="AB448" s="56">
        <v>6.0</v>
      </c>
      <c r="AC448" s="24">
        <v>993949.8</v>
      </c>
      <c r="AD448" s="24">
        <v>26675.69</v>
      </c>
      <c r="AE448" s="24">
        <v>1888.33</v>
      </c>
      <c r="AF448" s="24">
        <v>552.0</v>
      </c>
      <c r="AG448" s="24">
        <v>915.73</v>
      </c>
      <c r="AH448" s="24">
        <v>0.0</v>
      </c>
      <c r="AI448" s="24">
        <v>6565.27</v>
      </c>
      <c r="AJ448" s="24">
        <v>16754.36</v>
      </c>
      <c r="AK448" s="15">
        <v>4.0</v>
      </c>
      <c r="AL448" s="16">
        <v>300272.52</v>
      </c>
      <c r="AM448" s="16">
        <v>12098.0</v>
      </c>
      <c r="AN448" s="16">
        <v>7092.6</v>
      </c>
      <c r="AO448" s="16">
        <v>2850.0</v>
      </c>
      <c r="AP448" s="16">
        <v>2030.22</v>
      </c>
      <c r="AQ448" s="16">
        <v>1422.61</v>
      </c>
      <c r="AR448" s="16">
        <v>0.0</v>
      </c>
      <c r="AS448" s="7">
        <f>40158.49-AT448</f>
        <v>35869.49</v>
      </c>
      <c r="AT448" s="7">
        <v>4289.0</v>
      </c>
      <c r="AU448" s="7">
        <v>17457.05</v>
      </c>
      <c r="AV448" s="7">
        <v>6173.57</v>
      </c>
      <c r="AW448" s="7">
        <v>9635.0</v>
      </c>
      <c r="AX448" s="7">
        <f>7437.89+22038.76</f>
        <v>29476.65</v>
      </c>
      <c r="AY448" s="7">
        <f t="shared" si="901"/>
        <v>102900.76</v>
      </c>
      <c r="AZ448" s="9">
        <v>2.0</v>
      </c>
      <c r="BA448" s="9">
        <v>0.0</v>
      </c>
      <c r="BB448" s="84">
        <v>0.0</v>
      </c>
      <c r="BC448" s="84">
        <v>1.0</v>
      </c>
    </row>
    <row r="449">
      <c r="A449" s="11">
        <v>2025.0</v>
      </c>
      <c r="B449" s="11" t="s">
        <v>135</v>
      </c>
      <c r="C449" s="1"/>
      <c r="D449" s="2">
        <v>118.0</v>
      </c>
      <c r="E449" s="2"/>
      <c r="F449" s="59" t="s">
        <v>138</v>
      </c>
      <c r="G449" s="2"/>
      <c r="H449" s="33"/>
      <c r="I449" s="33"/>
      <c r="J449" s="33"/>
      <c r="K449" s="33"/>
      <c r="L449" s="33"/>
      <c r="M449" s="4">
        <v>16.0</v>
      </c>
      <c r="N449" s="51">
        <v>1402610.93</v>
      </c>
      <c r="O449" s="35"/>
      <c r="P449" s="35"/>
      <c r="Q449" s="35"/>
      <c r="R449" s="35"/>
      <c r="S449" s="35"/>
      <c r="T449" s="35"/>
      <c r="U449" s="37"/>
      <c r="V449" s="48"/>
      <c r="W449" s="48"/>
      <c r="X449" s="37"/>
      <c r="Y449" s="48"/>
      <c r="Z449" s="48"/>
      <c r="AA449" s="48"/>
      <c r="AB449" s="2"/>
      <c r="AC449" s="33"/>
      <c r="AD449" s="2"/>
      <c r="AE449" s="33"/>
      <c r="AF449" s="33"/>
      <c r="AG449" s="33"/>
      <c r="AH449" s="33"/>
      <c r="AI449" s="33"/>
      <c r="AJ449" s="33"/>
      <c r="AK449" s="4">
        <v>0.0</v>
      </c>
      <c r="AL449" s="4">
        <v>0.0</v>
      </c>
      <c r="AM449" s="35"/>
      <c r="AN449" s="35"/>
      <c r="AO449" s="35"/>
      <c r="AP449" s="35"/>
      <c r="AQ449" s="35"/>
      <c r="AR449" s="35"/>
      <c r="AS449" s="37"/>
      <c r="AT449" s="48"/>
      <c r="AU449" s="48"/>
      <c r="AV449" s="48"/>
      <c r="AW449" s="48"/>
      <c r="AX449" s="48"/>
      <c r="AY449" s="48"/>
      <c r="AZ449" s="38"/>
      <c r="BA449" s="39"/>
      <c r="BB449" s="85"/>
      <c r="BC449" s="85"/>
    </row>
    <row r="450">
      <c r="A450" s="1">
        <v>2025.0</v>
      </c>
      <c r="B450" s="11" t="s">
        <v>135</v>
      </c>
      <c r="C450" s="1" t="s">
        <v>49</v>
      </c>
      <c r="D450" s="33">
        <f t="shared" ref="D450:F450" si="902">SUM(D442:D448)</f>
        <v>138</v>
      </c>
      <c r="E450" s="34">
        <f t="shared" si="902"/>
        <v>10665884.32</v>
      </c>
      <c r="F450" s="34">
        <f t="shared" si="902"/>
        <v>433068.82</v>
      </c>
      <c r="G450" s="34">
        <f>SUM(G442:G449)</f>
        <v>46735.43</v>
      </c>
      <c r="H450" s="34">
        <f t="shared" ref="H450:L450" si="903">SUM(H442:H448)</f>
        <v>8142</v>
      </c>
      <c r="I450" s="34">
        <f t="shared" si="903"/>
        <v>42063.02</v>
      </c>
      <c r="J450" s="34">
        <f t="shared" si="903"/>
        <v>95440.67</v>
      </c>
      <c r="K450" s="34">
        <f t="shared" si="903"/>
        <v>296966.41</v>
      </c>
      <c r="L450" s="34">
        <f t="shared" si="903"/>
        <v>190337.16</v>
      </c>
      <c r="M450" s="35">
        <f t="shared" ref="M450:N450" si="904">SUM(M442:M449)</f>
        <v>45</v>
      </c>
      <c r="N450" s="36">
        <f t="shared" si="904"/>
        <v>4708811.88</v>
      </c>
      <c r="O450" s="36">
        <f t="shared" ref="O450:AA450" si="905">SUM(O442:O448)</f>
        <v>132248.038</v>
      </c>
      <c r="P450" s="36">
        <f t="shared" si="905"/>
        <v>55544.17596</v>
      </c>
      <c r="Q450" s="36">
        <f t="shared" si="905"/>
        <v>24708</v>
      </c>
      <c r="R450" s="70">
        <f t="shared" si="905"/>
        <v>6936.51</v>
      </c>
      <c r="S450" s="36">
        <f t="shared" si="905"/>
        <v>11409.18</v>
      </c>
      <c r="T450" s="36">
        <f t="shared" si="905"/>
        <v>4002</v>
      </c>
      <c r="U450" s="37">
        <f t="shared" si="905"/>
        <v>36158.66</v>
      </c>
      <c r="V450" s="37">
        <f t="shared" si="905"/>
        <v>55544.17596</v>
      </c>
      <c r="W450" s="37">
        <f t="shared" si="905"/>
        <v>48999.53</v>
      </c>
      <c r="X450" s="37">
        <f t="shared" si="905"/>
        <v>95440.67</v>
      </c>
      <c r="Y450" s="37">
        <f t="shared" si="905"/>
        <v>132248.038</v>
      </c>
      <c r="Z450" s="37">
        <f t="shared" si="905"/>
        <v>24708</v>
      </c>
      <c r="AA450" s="37">
        <f t="shared" si="905"/>
        <v>393099.074</v>
      </c>
      <c r="AB450" s="33">
        <f>SUM(AB442:AB449)</f>
        <v>63</v>
      </c>
      <c r="AC450" s="34">
        <f t="shared" ref="AC450:AJ450" si="906">SUM(AC442:AC448)</f>
        <v>4853497.5</v>
      </c>
      <c r="AD450" s="34">
        <f t="shared" si="906"/>
        <v>198628.29</v>
      </c>
      <c r="AE450" s="34">
        <f t="shared" si="906"/>
        <v>22710.33</v>
      </c>
      <c r="AF450" s="34">
        <f t="shared" si="906"/>
        <v>3174</v>
      </c>
      <c r="AG450" s="34">
        <f t="shared" si="906"/>
        <v>21315.77</v>
      </c>
      <c r="AH450" s="34">
        <f t="shared" si="906"/>
        <v>0</v>
      </c>
      <c r="AI450" s="34">
        <f t="shared" si="906"/>
        <v>67255.16</v>
      </c>
      <c r="AJ450" s="34">
        <f t="shared" si="906"/>
        <v>84173.03</v>
      </c>
      <c r="AK450" s="35">
        <f t="shared" ref="AK450:AL450" si="907">SUM(AK442:AK449)</f>
        <v>8</v>
      </c>
      <c r="AL450" s="36">
        <f t="shared" si="907"/>
        <v>550710.73</v>
      </c>
      <c r="AM450" s="36">
        <f t="shared" ref="AM450:BC450" si="908">SUM(AM442:AM448)</f>
        <v>20717</v>
      </c>
      <c r="AN450" s="36">
        <f t="shared" si="908"/>
        <v>12769.8</v>
      </c>
      <c r="AO450" s="36">
        <f t="shared" si="908"/>
        <v>5700</v>
      </c>
      <c r="AP450" s="36">
        <f t="shared" si="908"/>
        <v>3448.72</v>
      </c>
      <c r="AQ450" s="36">
        <f t="shared" si="908"/>
        <v>2882.7</v>
      </c>
      <c r="AR450" s="36">
        <f t="shared" si="908"/>
        <v>0</v>
      </c>
      <c r="AS450" s="37">
        <f t="shared" si="908"/>
        <v>156211.96</v>
      </c>
      <c r="AT450" s="37">
        <f t="shared" si="908"/>
        <v>9966.2</v>
      </c>
      <c r="AU450" s="37">
        <f t="shared" si="908"/>
        <v>58845.42</v>
      </c>
      <c r="AV450" s="37">
        <f t="shared" si="908"/>
        <v>28413.51</v>
      </c>
      <c r="AW450" s="37">
        <f t="shared" si="908"/>
        <v>18254</v>
      </c>
      <c r="AX450" s="37">
        <f t="shared" si="908"/>
        <v>93247.38</v>
      </c>
      <c r="AY450" s="37">
        <f t="shared" si="908"/>
        <v>364938.47</v>
      </c>
      <c r="AZ450" s="38">
        <f t="shared" si="908"/>
        <v>4</v>
      </c>
      <c r="BA450" s="39">
        <f t="shared" si="908"/>
        <v>3</v>
      </c>
      <c r="BB450" s="85">
        <f t="shared" si="908"/>
        <v>4</v>
      </c>
      <c r="BC450" s="85">
        <f t="shared" si="908"/>
        <v>2</v>
      </c>
    </row>
    <row r="451">
      <c r="A451" s="11">
        <v>2025.0</v>
      </c>
      <c r="B451" s="11" t="s">
        <v>135</v>
      </c>
      <c r="C451" s="12">
        <v>45794.0</v>
      </c>
      <c r="D451" s="44">
        <v>11.0</v>
      </c>
      <c r="E451" s="26">
        <v>950491.77</v>
      </c>
      <c r="F451" s="26">
        <v>38418.5</v>
      </c>
      <c r="G451" s="26">
        <v>3088.24</v>
      </c>
      <c r="H451" s="26">
        <v>1242.0</v>
      </c>
      <c r="I451" s="26">
        <v>1829.11</v>
      </c>
      <c r="J451" s="26">
        <v>210.3</v>
      </c>
      <c r="K451" s="26">
        <v>17118.61</v>
      </c>
      <c r="L451" s="26">
        <v>17447.13</v>
      </c>
      <c r="M451" s="15">
        <v>0.0</v>
      </c>
      <c r="N451" s="16">
        <v>0.0</v>
      </c>
      <c r="O451" s="16">
        <f t="shared" ref="O451:O457" si="909">N451*4%</f>
        <v>0</v>
      </c>
      <c r="P451" s="16">
        <f t="shared" ref="P451:P457" si="910">N451*1.68%</f>
        <v>0</v>
      </c>
      <c r="Q451" s="16">
        <f t="shared" ref="Q451:Q457" si="911">M451*(400+350+100+2)</f>
        <v>0</v>
      </c>
      <c r="R451" s="67">
        <f t="shared" ref="R451:R457" si="912">M451*239.19</f>
        <v>0</v>
      </c>
      <c r="S451" s="17">
        <f t="shared" ref="S451:S457" si="913">M451*393.42</f>
        <v>0</v>
      </c>
      <c r="T451" s="17">
        <f t="shared" ref="T451:T457" si="914">M451*138</f>
        <v>0</v>
      </c>
      <c r="U451" s="86">
        <v>1416.37</v>
      </c>
      <c r="V451" s="18">
        <f t="shared" ref="V451:V457" si="915">P451</f>
        <v>0</v>
      </c>
      <c r="W451" s="7">
        <f t="shared" ref="W451:W457" si="916">I451+R451</f>
        <v>1829.11</v>
      </c>
      <c r="X451" s="69">
        <f t="shared" ref="X451:X457" si="917">J451</f>
        <v>210.3</v>
      </c>
      <c r="Y451" s="7">
        <f t="shared" ref="Y451:Y457" si="918">O451</f>
        <v>0</v>
      </c>
      <c r="Z451" s="7">
        <f t="shared" ref="Z451:Z457" si="919">Q451</f>
        <v>0</v>
      </c>
      <c r="AA451" s="18">
        <f t="shared" ref="AA451:AA457" si="920">SUM(U451:Z451)</f>
        <v>3455.78</v>
      </c>
      <c r="AB451" s="56">
        <v>3.0</v>
      </c>
      <c r="AC451" s="24">
        <v>201022.39</v>
      </c>
      <c r="AD451" s="24">
        <v>9276.14</v>
      </c>
      <c r="AE451" s="24">
        <v>1052.06</v>
      </c>
      <c r="AF451" s="24">
        <v>414.0</v>
      </c>
      <c r="AG451" s="24">
        <v>853.02</v>
      </c>
      <c r="AH451" s="24">
        <v>0.0</v>
      </c>
      <c r="AI451" s="24">
        <v>3579.88</v>
      </c>
      <c r="AJ451" s="24">
        <v>3377.18</v>
      </c>
      <c r="AK451" s="15">
        <v>0.0</v>
      </c>
      <c r="AL451" s="16">
        <v>0.0</v>
      </c>
      <c r="AM451" s="16">
        <v>0.0</v>
      </c>
      <c r="AN451" s="16">
        <v>0.0</v>
      </c>
      <c r="AO451" s="16">
        <v>0.0</v>
      </c>
      <c r="AP451" s="16">
        <v>0.0</v>
      </c>
      <c r="AQ451" s="16">
        <v>0.0</v>
      </c>
      <c r="AR451" s="16">
        <v>0.0</v>
      </c>
      <c r="AS451" s="7">
        <v>0.0</v>
      </c>
      <c r="AT451" s="7">
        <v>0.0</v>
      </c>
      <c r="AU451" s="7">
        <v>0.0</v>
      </c>
      <c r="AV451" s="7">
        <v>0.0</v>
      </c>
      <c r="AW451" s="7">
        <v>0.0</v>
      </c>
      <c r="AX451" s="7">
        <v>0.0</v>
      </c>
      <c r="AY451" s="7">
        <f t="shared" ref="AY451:AY457" si="921">SUM(AS451:AX451)</f>
        <v>0</v>
      </c>
      <c r="AZ451" s="9">
        <v>0.0</v>
      </c>
      <c r="BA451" s="9">
        <v>0.0</v>
      </c>
      <c r="BB451" s="84">
        <v>0.0</v>
      </c>
      <c r="BC451" s="84">
        <v>0.0</v>
      </c>
    </row>
    <row r="452">
      <c r="A452" s="11">
        <v>2025.0</v>
      </c>
      <c r="B452" s="11" t="s">
        <v>135</v>
      </c>
      <c r="C452" s="12">
        <v>45795.0</v>
      </c>
      <c r="D452" s="44">
        <v>6.0</v>
      </c>
      <c r="E452" s="26">
        <v>168055.87</v>
      </c>
      <c r="F452" s="26">
        <v>14003.0</v>
      </c>
      <c r="G452" s="26">
        <v>1809.16</v>
      </c>
      <c r="H452" s="26">
        <v>690.0</v>
      </c>
      <c r="I452" s="26">
        <v>508.04</v>
      </c>
      <c r="J452" s="26">
        <v>0.0</v>
      </c>
      <c r="K452" s="26">
        <v>8099.26</v>
      </c>
      <c r="L452" s="26">
        <v>2896.54</v>
      </c>
      <c r="M452" s="15">
        <v>0.0</v>
      </c>
      <c r="N452" s="16">
        <v>0.0</v>
      </c>
      <c r="O452" s="16">
        <f t="shared" si="909"/>
        <v>0</v>
      </c>
      <c r="P452" s="16">
        <f t="shared" si="910"/>
        <v>0</v>
      </c>
      <c r="Q452" s="16">
        <f t="shared" si="911"/>
        <v>0</v>
      </c>
      <c r="R452" s="67">
        <f t="shared" si="912"/>
        <v>0</v>
      </c>
      <c r="S452" s="17">
        <f t="shared" si="913"/>
        <v>0</v>
      </c>
      <c r="T452" s="17">
        <f t="shared" si="914"/>
        <v>0</v>
      </c>
      <c r="U452" s="86">
        <v>0.0</v>
      </c>
      <c r="V452" s="18">
        <f t="shared" si="915"/>
        <v>0</v>
      </c>
      <c r="W452" s="7">
        <f t="shared" si="916"/>
        <v>508.04</v>
      </c>
      <c r="X452" s="69">
        <f t="shared" si="917"/>
        <v>0</v>
      </c>
      <c r="Y452" s="7">
        <f t="shared" si="918"/>
        <v>0</v>
      </c>
      <c r="Z452" s="7">
        <f t="shared" si="919"/>
        <v>0</v>
      </c>
      <c r="AA452" s="18">
        <f t="shared" si="920"/>
        <v>508.04</v>
      </c>
      <c r="AB452" s="56">
        <v>3.0</v>
      </c>
      <c r="AC452" s="24">
        <v>118796.11</v>
      </c>
      <c r="AD452" s="24">
        <v>7684.73</v>
      </c>
      <c r="AE452" s="24">
        <v>838.36</v>
      </c>
      <c r="AF452" s="24">
        <v>276.0</v>
      </c>
      <c r="AG452" s="24">
        <v>214.78</v>
      </c>
      <c r="AH452" s="24">
        <v>0.0</v>
      </c>
      <c r="AI452" s="24">
        <v>4286.61</v>
      </c>
      <c r="AJ452" s="24">
        <v>2068.98</v>
      </c>
      <c r="AK452" s="15">
        <v>0.0</v>
      </c>
      <c r="AL452" s="16">
        <v>0.0</v>
      </c>
      <c r="AM452" s="16">
        <v>0.0</v>
      </c>
      <c r="AN452" s="16">
        <v>0.0</v>
      </c>
      <c r="AO452" s="16">
        <v>0.0</v>
      </c>
      <c r="AP452" s="16">
        <v>0.0</v>
      </c>
      <c r="AQ452" s="16">
        <v>0.0</v>
      </c>
      <c r="AR452" s="16">
        <v>0.0</v>
      </c>
      <c r="AS452" s="7">
        <v>0.0</v>
      </c>
      <c r="AT452" s="7">
        <v>0.0</v>
      </c>
      <c r="AU452" s="7">
        <v>0.0</v>
      </c>
      <c r="AV452" s="7">
        <v>0.0</v>
      </c>
      <c r="AW452" s="7">
        <v>0.0</v>
      </c>
      <c r="AX452" s="7">
        <v>0.0</v>
      </c>
      <c r="AY452" s="7">
        <f t="shared" si="921"/>
        <v>0</v>
      </c>
      <c r="AZ452" s="9">
        <v>0.0</v>
      </c>
      <c r="BA452" s="9">
        <v>0.0</v>
      </c>
      <c r="BB452" s="84">
        <v>0.0</v>
      </c>
      <c r="BC452" s="84">
        <v>0.0</v>
      </c>
    </row>
    <row r="453">
      <c r="A453" s="11">
        <v>2025.0</v>
      </c>
      <c r="B453" s="11" t="s">
        <v>135</v>
      </c>
      <c r="C453" s="12">
        <v>45796.0</v>
      </c>
      <c r="D453" s="44">
        <v>17.0</v>
      </c>
      <c r="E453" s="26">
        <v>1065661.29</v>
      </c>
      <c r="F453" s="26">
        <v>43594.67</v>
      </c>
      <c r="G453" s="26">
        <v>4267.25</v>
      </c>
      <c r="H453" s="26">
        <v>1656.0</v>
      </c>
      <c r="I453" s="26">
        <v>1957.84</v>
      </c>
      <c r="J453" s="26">
        <v>4384.54</v>
      </c>
      <c r="K453" s="26">
        <v>25769.57</v>
      </c>
      <c r="L453" s="26">
        <v>18933.21</v>
      </c>
      <c r="M453" s="15">
        <v>5.0</v>
      </c>
      <c r="N453" s="16">
        <v>526484.59</v>
      </c>
      <c r="O453" s="16">
        <f t="shared" si="909"/>
        <v>21059.3836</v>
      </c>
      <c r="P453" s="16">
        <f t="shared" si="910"/>
        <v>8844.941112</v>
      </c>
      <c r="Q453" s="16">
        <f t="shared" si="911"/>
        <v>4260</v>
      </c>
      <c r="R453" s="67">
        <f t="shared" si="912"/>
        <v>1195.95</v>
      </c>
      <c r="S453" s="17">
        <f t="shared" si="913"/>
        <v>1967.1</v>
      </c>
      <c r="T453" s="17">
        <f t="shared" si="914"/>
        <v>690</v>
      </c>
      <c r="U453" s="86">
        <v>150.12</v>
      </c>
      <c r="V453" s="18">
        <f t="shared" si="915"/>
        <v>8844.941112</v>
      </c>
      <c r="W453" s="7">
        <f t="shared" si="916"/>
        <v>3153.79</v>
      </c>
      <c r="X453" s="69">
        <f t="shared" si="917"/>
        <v>4384.54</v>
      </c>
      <c r="Y453" s="7">
        <f t="shared" si="918"/>
        <v>21059.3836</v>
      </c>
      <c r="Z453" s="7">
        <f t="shared" si="919"/>
        <v>4260</v>
      </c>
      <c r="AA453" s="18">
        <f t="shared" si="920"/>
        <v>41852.77471</v>
      </c>
      <c r="AB453" s="56">
        <v>7.0</v>
      </c>
      <c r="AC453" s="24">
        <v>634905.98</v>
      </c>
      <c r="AD453" s="24">
        <v>22133.87</v>
      </c>
      <c r="AE453" s="24">
        <v>2177.97</v>
      </c>
      <c r="AF453" s="24">
        <v>828.0</v>
      </c>
      <c r="AG453" s="24">
        <v>901.03</v>
      </c>
      <c r="AH453" s="24">
        <v>0.0</v>
      </c>
      <c r="AI453" s="24">
        <v>6609.21</v>
      </c>
      <c r="AJ453" s="24">
        <v>11617.66</v>
      </c>
      <c r="AK453" s="15">
        <v>1.0</v>
      </c>
      <c r="AL453" s="16">
        <v>84979.86</v>
      </c>
      <c r="AM453" s="16">
        <v>0.0</v>
      </c>
      <c r="AN453" s="16">
        <v>0.0</v>
      </c>
      <c r="AO453" s="16">
        <v>0.0</v>
      </c>
      <c r="AP453" s="16">
        <v>0.0</v>
      </c>
      <c r="AQ453" s="16">
        <v>0.0</v>
      </c>
      <c r="AR453" s="16">
        <v>0.0</v>
      </c>
      <c r="AS453" s="7">
        <f>29055.54-AT453</f>
        <v>26251.94</v>
      </c>
      <c r="AT453" s="7">
        <v>2803.6</v>
      </c>
      <c r="AU453" s="7">
        <v>10661.36</v>
      </c>
      <c r="AV453" s="7">
        <v>7399.69</v>
      </c>
      <c r="AW453" s="7">
        <v>5021.0</v>
      </c>
      <c r="AX453" s="7">
        <v>5753.09</v>
      </c>
      <c r="AY453" s="7">
        <f t="shared" si="921"/>
        <v>57890.68</v>
      </c>
      <c r="AZ453" s="9">
        <v>0.0</v>
      </c>
      <c r="BA453" s="9">
        <v>0.0</v>
      </c>
      <c r="BB453" s="84">
        <v>0.0</v>
      </c>
      <c r="BC453" s="84">
        <v>1.0</v>
      </c>
    </row>
    <row r="454">
      <c r="A454" s="11">
        <v>2025.0</v>
      </c>
      <c r="B454" s="11" t="s">
        <v>135</v>
      </c>
      <c r="C454" s="12">
        <v>45797.0</v>
      </c>
      <c r="D454" s="44">
        <v>13.0</v>
      </c>
      <c r="E454" s="26">
        <v>707785.42</v>
      </c>
      <c r="F454" s="26">
        <v>38324.99</v>
      </c>
      <c r="G454" s="26">
        <v>3612.33</v>
      </c>
      <c r="H454" s="26">
        <v>1242.0</v>
      </c>
      <c r="I454" s="26">
        <v>1935.78</v>
      </c>
      <c r="J454" s="26">
        <v>484.18</v>
      </c>
      <c r="K454" s="26">
        <v>19150.41</v>
      </c>
      <c r="L454" s="26">
        <v>12384.47</v>
      </c>
      <c r="M454" s="15">
        <v>6.0</v>
      </c>
      <c r="N454" s="16">
        <v>632666.58</v>
      </c>
      <c r="O454" s="16">
        <f t="shared" si="909"/>
        <v>25306.6632</v>
      </c>
      <c r="P454" s="16">
        <f t="shared" si="910"/>
        <v>10628.79854</v>
      </c>
      <c r="Q454" s="16">
        <f t="shared" si="911"/>
        <v>5112</v>
      </c>
      <c r="R454" s="67">
        <f t="shared" si="912"/>
        <v>1435.14</v>
      </c>
      <c r="S454" s="17">
        <f t="shared" si="913"/>
        <v>2360.52</v>
      </c>
      <c r="T454" s="17">
        <f t="shared" si="914"/>
        <v>828</v>
      </c>
      <c r="U454" s="86">
        <v>625.46</v>
      </c>
      <c r="V454" s="18">
        <f t="shared" si="915"/>
        <v>10628.79854</v>
      </c>
      <c r="W454" s="7">
        <f t="shared" si="916"/>
        <v>3370.92</v>
      </c>
      <c r="X454" s="69">
        <f t="shared" si="917"/>
        <v>484.18</v>
      </c>
      <c r="Y454" s="7">
        <f t="shared" si="918"/>
        <v>25306.6632</v>
      </c>
      <c r="Z454" s="7">
        <f t="shared" si="919"/>
        <v>5112</v>
      </c>
      <c r="AA454" s="18">
        <f t="shared" si="920"/>
        <v>45528.02174</v>
      </c>
      <c r="AB454" s="56">
        <v>4.0</v>
      </c>
      <c r="AC454" s="24">
        <v>159157.35</v>
      </c>
      <c r="AD454" s="24">
        <v>10311.88</v>
      </c>
      <c r="AE454" s="24">
        <v>1110.82</v>
      </c>
      <c r="AF454" s="24">
        <v>414.0</v>
      </c>
      <c r="AG454" s="24">
        <v>676.25</v>
      </c>
      <c r="AH454" s="24">
        <v>0.0</v>
      </c>
      <c r="AI454" s="24">
        <v>4537.13</v>
      </c>
      <c r="AJ454" s="24">
        <v>3573.68</v>
      </c>
      <c r="AK454" s="15">
        <v>6.0</v>
      </c>
      <c r="AL454" s="16">
        <v>492868.08</v>
      </c>
      <c r="AM454" s="16">
        <v>3214.0</v>
      </c>
      <c r="AN454" s="16">
        <v>1430.0</v>
      </c>
      <c r="AO454" s="16">
        <v>1000.0</v>
      </c>
      <c r="AP454" s="16">
        <v>523.47</v>
      </c>
      <c r="AQ454" s="16">
        <v>262.4</v>
      </c>
      <c r="AR454" s="16">
        <v>0.0</v>
      </c>
      <c r="AS454" s="7">
        <f>33586.77-AT454</f>
        <v>26967.77</v>
      </c>
      <c r="AT454" s="7">
        <v>6619.0</v>
      </c>
      <c r="AU454" s="7">
        <v>11351.73</v>
      </c>
      <c r="AV454" s="7">
        <v>2313.05</v>
      </c>
      <c r="AW454" s="7">
        <v>14873.0</v>
      </c>
      <c r="AX454" s="7">
        <v>15421.44</v>
      </c>
      <c r="AY454" s="7">
        <f t="shared" si="921"/>
        <v>77545.99</v>
      </c>
      <c r="AZ454" s="9">
        <v>2.0</v>
      </c>
      <c r="BA454" s="9">
        <v>0.0</v>
      </c>
      <c r="BB454" s="84">
        <v>2.0</v>
      </c>
      <c r="BC454" s="84">
        <v>0.0</v>
      </c>
    </row>
    <row r="455">
      <c r="A455" s="11">
        <v>2025.0</v>
      </c>
      <c r="B455" s="11" t="s">
        <v>135</v>
      </c>
      <c r="C455" s="12">
        <v>45798.0</v>
      </c>
      <c r="D455" s="44">
        <v>6.0</v>
      </c>
      <c r="E455" s="26">
        <v>312897.65</v>
      </c>
      <c r="F455" s="26">
        <v>14487.8</v>
      </c>
      <c r="G455" s="26">
        <v>1783.45</v>
      </c>
      <c r="H455" s="26">
        <v>828.0</v>
      </c>
      <c r="I455" s="26">
        <v>1144.13</v>
      </c>
      <c r="J455" s="26">
        <v>932.73</v>
      </c>
      <c r="K455" s="26">
        <v>5475.54</v>
      </c>
      <c r="L455" s="26">
        <v>5256.68</v>
      </c>
      <c r="M455" s="15">
        <v>6.0</v>
      </c>
      <c r="N455" s="16">
        <v>825820.39</v>
      </c>
      <c r="O455" s="16">
        <f t="shared" si="909"/>
        <v>33032.8156</v>
      </c>
      <c r="P455" s="16">
        <f t="shared" si="910"/>
        <v>13873.78255</v>
      </c>
      <c r="Q455" s="16">
        <f t="shared" si="911"/>
        <v>5112</v>
      </c>
      <c r="R455" s="67">
        <f t="shared" si="912"/>
        <v>1435.14</v>
      </c>
      <c r="S455" s="17">
        <f t="shared" si="913"/>
        <v>2360.52</v>
      </c>
      <c r="T455" s="17">
        <f t="shared" si="914"/>
        <v>828</v>
      </c>
      <c r="U455" s="86">
        <v>8915.22</v>
      </c>
      <c r="V455" s="18">
        <f t="shared" si="915"/>
        <v>13873.78255</v>
      </c>
      <c r="W455" s="7">
        <f t="shared" si="916"/>
        <v>2579.27</v>
      </c>
      <c r="X455" s="69">
        <f t="shared" si="917"/>
        <v>932.73</v>
      </c>
      <c r="Y455" s="7">
        <f t="shared" si="918"/>
        <v>33032.8156</v>
      </c>
      <c r="Z455" s="7">
        <f t="shared" si="919"/>
        <v>5112</v>
      </c>
      <c r="AA455" s="18">
        <f t="shared" si="920"/>
        <v>64445.81815</v>
      </c>
      <c r="AB455" s="56">
        <v>2.0</v>
      </c>
      <c r="AC455" s="24">
        <v>89536.08</v>
      </c>
      <c r="AD455" s="24">
        <v>4080.77</v>
      </c>
      <c r="AE455" s="24">
        <v>540.39</v>
      </c>
      <c r="AF455" s="24">
        <v>276.0</v>
      </c>
      <c r="AG455" s="24">
        <v>414.21</v>
      </c>
      <c r="AH455" s="24">
        <v>0.0</v>
      </c>
      <c r="AI455" s="24">
        <v>1345.96</v>
      </c>
      <c r="AJ455" s="24">
        <v>1504.21</v>
      </c>
      <c r="AK455" s="15">
        <v>4.0</v>
      </c>
      <c r="AL455" s="16">
        <v>423526.19</v>
      </c>
      <c r="AM455" s="16">
        <v>12024.0</v>
      </c>
      <c r="AN455" s="16">
        <v>5321.13</v>
      </c>
      <c r="AO455" s="16">
        <v>3850.0</v>
      </c>
      <c r="AP455" s="16">
        <v>3101.1</v>
      </c>
      <c r="AQ455" s="16">
        <v>1670.22</v>
      </c>
      <c r="AR455" s="16">
        <v>0.0</v>
      </c>
      <c r="AS455" s="7">
        <f>11202.76-AT455</f>
        <v>4477.76</v>
      </c>
      <c r="AT455" s="7">
        <v>6725.0</v>
      </c>
      <c r="AU455" s="7">
        <v>9999.01</v>
      </c>
      <c r="AV455" s="7">
        <v>7737.13</v>
      </c>
      <c r="AW455" s="7">
        <v>15108.0</v>
      </c>
      <c r="AX455" s="7">
        <v>14840.65</v>
      </c>
      <c r="AY455" s="7">
        <f t="shared" si="921"/>
        <v>58887.55</v>
      </c>
      <c r="AZ455" s="9">
        <v>0.0</v>
      </c>
      <c r="BA455" s="9">
        <v>0.0</v>
      </c>
      <c r="BB455" s="84">
        <v>0.0</v>
      </c>
      <c r="BC455" s="84">
        <v>1.0</v>
      </c>
    </row>
    <row r="456">
      <c r="A456" s="11">
        <v>2025.0</v>
      </c>
      <c r="B456" s="11" t="s">
        <v>135</v>
      </c>
      <c r="C456" s="12">
        <v>45799.0</v>
      </c>
      <c r="D456" s="44">
        <v>11.0</v>
      </c>
      <c r="E456" s="26">
        <v>443098.15</v>
      </c>
      <c r="F456" s="26">
        <v>23908.57</v>
      </c>
      <c r="G456" s="26">
        <v>3349.71</v>
      </c>
      <c r="H456" s="26">
        <v>1518.0</v>
      </c>
      <c r="I456" s="26">
        <v>1949.41</v>
      </c>
      <c r="J456" s="26">
        <v>973.96</v>
      </c>
      <c r="K456" s="26">
        <v>10957.54</v>
      </c>
      <c r="L456" s="26">
        <v>7794.27</v>
      </c>
      <c r="M456" s="15">
        <v>7.0</v>
      </c>
      <c r="N456" s="16">
        <v>858066.89</v>
      </c>
      <c r="O456" s="16">
        <f t="shared" si="909"/>
        <v>34322.6756</v>
      </c>
      <c r="P456" s="16">
        <f t="shared" si="910"/>
        <v>14415.52375</v>
      </c>
      <c r="Q456" s="16">
        <f t="shared" si="911"/>
        <v>5964</v>
      </c>
      <c r="R456" s="67">
        <f t="shared" si="912"/>
        <v>1674.33</v>
      </c>
      <c r="S456" s="17">
        <f t="shared" si="913"/>
        <v>2753.94</v>
      </c>
      <c r="T456" s="17">
        <f t="shared" si="914"/>
        <v>966</v>
      </c>
      <c r="U456" s="86">
        <v>22183.34</v>
      </c>
      <c r="V456" s="18">
        <f t="shared" si="915"/>
        <v>14415.52375</v>
      </c>
      <c r="W456" s="7">
        <f t="shared" si="916"/>
        <v>3623.74</v>
      </c>
      <c r="X456" s="69">
        <f t="shared" si="917"/>
        <v>973.96</v>
      </c>
      <c r="Y456" s="7">
        <f t="shared" si="918"/>
        <v>34322.6756</v>
      </c>
      <c r="Z456" s="7">
        <f t="shared" si="919"/>
        <v>5964</v>
      </c>
      <c r="AA456" s="18">
        <f t="shared" si="920"/>
        <v>81483.23935</v>
      </c>
      <c r="AB456" s="56">
        <v>3.0</v>
      </c>
      <c r="AC456" s="24">
        <v>110034.66</v>
      </c>
      <c r="AD456" s="24">
        <v>6837.66</v>
      </c>
      <c r="AE456" s="24">
        <v>801.32</v>
      </c>
      <c r="AF456" s="24">
        <v>414.0</v>
      </c>
      <c r="AG456" s="24">
        <v>660.02</v>
      </c>
      <c r="AH456" s="24">
        <v>0.0</v>
      </c>
      <c r="AI456" s="24">
        <v>2763.52</v>
      </c>
      <c r="AJ456" s="24">
        <v>2198.8</v>
      </c>
      <c r="AK456" s="15">
        <v>1.0</v>
      </c>
      <c r="AL456" s="16">
        <v>78702.31</v>
      </c>
      <c r="AM456" s="16">
        <v>2977.0</v>
      </c>
      <c r="AN456" s="16">
        <v>1325.0</v>
      </c>
      <c r="AO456" s="16">
        <v>850.0</v>
      </c>
      <c r="AP456" s="16">
        <v>510.35</v>
      </c>
      <c r="AQ456" s="16">
        <v>260.93</v>
      </c>
      <c r="AR456" s="16">
        <v>0.0</v>
      </c>
      <c r="AS456" s="7">
        <f>6204.74-AT456</f>
        <v>4628.74</v>
      </c>
      <c r="AT456" s="7">
        <v>1576.0</v>
      </c>
      <c r="AU456" s="7">
        <v>4799.68</v>
      </c>
      <c r="AV456" s="7">
        <v>2662.97</v>
      </c>
      <c r="AW456" s="7">
        <v>3541.0</v>
      </c>
      <c r="AX456" s="7">
        <v>4427.66</v>
      </c>
      <c r="AY456" s="7">
        <f t="shared" si="921"/>
        <v>21636.05</v>
      </c>
      <c r="AZ456" s="9">
        <v>0.0</v>
      </c>
      <c r="BA456" s="9">
        <v>3.0</v>
      </c>
      <c r="BB456" s="84">
        <v>3.0</v>
      </c>
      <c r="BC456" s="84">
        <v>2.0</v>
      </c>
    </row>
    <row r="457">
      <c r="A457" s="11">
        <v>2025.0</v>
      </c>
      <c r="B457" s="11" t="s">
        <v>135</v>
      </c>
      <c r="C457" s="12">
        <v>45800.0</v>
      </c>
      <c r="D457" s="44">
        <v>12.0</v>
      </c>
      <c r="E457" s="26">
        <v>662818.03</v>
      </c>
      <c r="F457" s="26">
        <v>37809.15</v>
      </c>
      <c r="G457" s="26">
        <v>3936.8</v>
      </c>
      <c r="H457" s="26">
        <v>1518.0</v>
      </c>
      <c r="I457" s="26">
        <v>2382.9</v>
      </c>
      <c r="J457" s="26">
        <v>2894.19</v>
      </c>
      <c r="K457" s="26">
        <v>26445.61</v>
      </c>
      <c r="L457" s="26">
        <v>11503.32</v>
      </c>
      <c r="M457" s="15">
        <v>9.0</v>
      </c>
      <c r="N457" s="16">
        <v>721145.87</v>
      </c>
      <c r="O457" s="16">
        <f t="shared" si="909"/>
        <v>28845.8348</v>
      </c>
      <c r="P457" s="16">
        <f t="shared" si="910"/>
        <v>12115.25062</v>
      </c>
      <c r="Q457" s="16">
        <f t="shared" si="911"/>
        <v>7668</v>
      </c>
      <c r="R457" s="67">
        <f t="shared" si="912"/>
        <v>2152.71</v>
      </c>
      <c r="S457" s="17">
        <f t="shared" si="913"/>
        <v>3540.78</v>
      </c>
      <c r="T457" s="17">
        <f t="shared" si="914"/>
        <v>1242</v>
      </c>
      <c r="U457" s="86">
        <v>4187.82</v>
      </c>
      <c r="V457" s="18">
        <f t="shared" si="915"/>
        <v>12115.25062</v>
      </c>
      <c r="W457" s="7">
        <f t="shared" si="916"/>
        <v>4535.61</v>
      </c>
      <c r="X457" s="69">
        <f t="shared" si="917"/>
        <v>2894.19</v>
      </c>
      <c r="Y457" s="7">
        <f t="shared" si="918"/>
        <v>28845.8348</v>
      </c>
      <c r="Z457" s="7">
        <f t="shared" si="919"/>
        <v>7668</v>
      </c>
      <c r="AA457" s="18">
        <f t="shared" si="920"/>
        <v>60246.70542</v>
      </c>
      <c r="AB457" s="56">
        <v>7.0</v>
      </c>
      <c r="AC457" s="24">
        <v>350905.31</v>
      </c>
      <c r="AD457" s="24">
        <v>19591.32</v>
      </c>
      <c r="AE457" s="24">
        <v>1831.61</v>
      </c>
      <c r="AF457" s="24">
        <v>828.0</v>
      </c>
      <c r="AG457" s="24">
        <v>1088.9</v>
      </c>
      <c r="AH457" s="24">
        <v>0.0</v>
      </c>
      <c r="AI457" s="24">
        <v>9579.63</v>
      </c>
      <c r="AJ457" s="24">
        <v>6263.18</v>
      </c>
      <c r="AK457" s="15">
        <v>3.0</v>
      </c>
      <c r="AL457" s="16">
        <v>189982.63</v>
      </c>
      <c r="AM457" s="16">
        <v>7185.0</v>
      </c>
      <c r="AN457" s="16">
        <v>3198.0</v>
      </c>
      <c r="AO457" s="16">
        <v>3000.0</v>
      </c>
      <c r="AP457" s="16">
        <v>1339.14</v>
      </c>
      <c r="AQ457" s="16">
        <v>860.49</v>
      </c>
      <c r="AR457" s="16">
        <v>0.0</v>
      </c>
      <c r="AS457" s="7">
        <f>7411.41-AT457</f>
        <v>3909.41</v>
      </c>
      <c r="AT457" s="7">
        <v>3502.0</v>
      </c>
      <c r="AU457" s="7">
        <v>2848.16</v>
      </c>
      <c r="AV457" s="7">
        <v>2519.19</v>
      </c>
      <c r="AW457" s="7">
        <v>4891.0</v>
      </c>
      <c r="AX457" s="7">
        <v>6917.62</v>
      </c>
      <c r="AY457" s="7">
        <f t="shared" si="921"/>
        <v>24587.38</v>
      </c>
      <c r="AZ457" s="9">
        <v>3.0</v>
      </c>
      <c r="BA457" s="9">
        <v>2.0</v>
      </c>
      <c r="BB457" s="84">
        <v>0.0</v>
      </c>
      <c r="BC457" s="84">
        <v>0.0</v>
      </c>
    </row>
    <row r="458">
      <c r="A458" s="11">
        <v>2025.0</v>
      </c>
      <c r="B458" s="11" t="s">
        <v>135</v>
      </c>
      <c r="C458" s="1"/>
      <c r="D458" s="2">
        <v>112.0</v>
      </c>
      <c r="E458" s="2"/>
      <c r="F458" s="59" t="s">
        <v>139</v>
      </c>
      <c r="G458" s="2"/>
      <c r="H458" s="33"/>
      <c r="I458" s="33"/>
      <c r="J458" s="33"/>
      <c r="K458" s="33"/>
      <c r="L458" s="33"/>
      <c r="M458" s="4">
        <v>13.0</v>
      </c>
      <c r="N458" s="51">
        <v>1347139.2</v>
      </c>
      <c r="O458" s="35"/>
      <c r="P458" s="35"/>
      <c r="Q458" s="35"/>
      <c r="R458" s="35"/>
      <c r="S458" s="35"/>
      <c r="T458" s="35"/>
      <c r="U458" s="37"/>
      <c r="V458" s="48"/>
      <c r="W458" s="48"/>
      <c r="X458" s="37"/>
      <c r="Y458" s="48"/>
      <c r="Z458" s="48"/>
      <c r="AA458" s="48"/>
      <c r="AB458" s="2"/>
      <c r="AC458" s="33"/>
      <c r="AD458" s="2"/>
      <c r="AE458" s="33"/>
      <c r="AF458" s="33"/>
      <c r="AG458" s="33"/>
      <c r="AH458" s="33"/>
      <c r="AI458" s="33"/>
      <c r="AJ458" s="33"/>
      <c r="AK458" s="4">
        <v>0.0</v>
      </c>
      <c r="AL458" s="4">
        <v>0.0</v>
      </c>
      <c r="AM458" s="35"/>
      <c r="AN458" s="35"/>
      <c r="AO458" s="35"/>
      <c r="AP458" s="35"/>
      <c r="AQ458" s="35"/>
      <c r="AR458" s="35"/>
      <c r="AS458" s="37"/>
      <c r="AT458" s="48"/>
      <c r="AU458" s="48"/>
      <c r="AV458" s="48"/>
      <c r="AW458" s="48"/>
      <c r="AX458" s="48"/>
      <c r="AY458" s="48"/>
      <c r="AZ458" s="38"/>
      <c r="BA458" s="39"/>
      <c r="BB458" s="85"/>
      <c r="BC458" s="85"/>
    </row>
    <row r="459">
      <c r="A459" s="1">
        <v>2025.0</v>
      </c>
      <c r="B459" s="11" t="s">
        <v>135</v>
      </c>
      <c r="C459" s="1" t="s">
        <v>49</v>
      </c>
      <c r="D459" s="33">
        <f t="shared" ref="D459:F459" si="922">SUM(D451:D457)</f>
        <v>76</v>
      </c>
      <c r="E459" s="34">
        <f t="shared" si="922"/>
        <v>4310808.18</v>
      </c>
      <c r="F459" s="34">
        <f t="shared" si="922"/>
        <v>210546.68</v>
      </c>
      <c r="G459" s="34">
        <f>SUM(G451:G458)</f>
        <v>21846.94</v>
      </c>
      <c r="H459" s="34">
        <f t="shared" ref="H459:L459" si="923">SUM(H451:H457)</f>
        <v>8694</v>
      </c>
      <c r="I459" s="34">
        <f t="shared" si="923"/>
        <v>11707.21</v>
      </c>
      <c r="J459" s="34">
        <f t="shared" si="923"/>
        <v>9879.9</v>
      </c>
      <c r="K459" s="34">
        <f t="shared" si="923"/>
        <v>113016.54</v>
      </c>
      <c r="L459" s="34">
        <f t="shared" si="923"/>
        <v>76215.62</v>
      </c>
      <c r="M459" s="35">
        <f t="shared" ref="M459:N459" si="924">SUM(M451:M458)</f>
        <v>46</v>
      </c>
      <c r="N459" s="36">
        <f t="shared" si="924"/>
        <v>4911323.52</v>
      </c>
      <c r="O459" s="36">
        <f t="shared" ref="O459:AA459" si="925">SUM(O451:O457)</f>
        <v>142567.3728</v>
      </c>
      <c r="P459" s="36">
        <f t="shared" si="925"/>
        <v>59878.29658</v>
      </c>
      <c r="Q459" s="36">
        <f t="shared" si="925"/>
        <v>28116</v>
      </c>
      <c r="R459" s="70">
        <f t="shared" si="925"/>
        <v>7893.27</v>
      </c>
      <c r="S459" s="36">
        <f t="shared" si="925"/>
        <v>12982.86</v>
      </c>
      <c r="T459" s="36">
        <f t="shared" si="925"/>
        <v>4554</v>
      </c>
      <c r="U459" s="37">
        <f t="shared" si="925"/>
        <v>37478.33</v>
      </c>
      <c r="V459" s="37">
        <f t="shared" si="925"/>
        <v>59878.29658</v>
      </c>
      <c r="W459" s="37">
        <f t="shared" si="925"/>
        <v>19600.48</v>
      </c>
      <c r="X459" s="37">
        <f t="shared" si="925"/>
        <v>9879.9</v>
      </c>
      <c r="Y459" s="37">
        <f t="shared" si="925"/>
        <v>142567.3728</v>
      </c>
      <c r="Z459" s="37">
        <f t="shared" si="925"/>
        <v>28116</v>
      </c>
      <c r="AA459" s="37">
        <f t="shared" si="925"/>
        <v>297520.3794</v>
      </c>
      <c r="AB459" s="33">
        <f>SUM(AB451:AB458)</f>
        <v>29</v>
      </c>
      <c r="AC459" s="34">
        <f t="shared" ref="AC459:AJ459" si="926">SUM(AC451:AC457)</f>
        <v>1664357.88</v>
      </c>
      <c r="AD459" s="34">
        <f t="shared" si="926"/>
        <v>79916.37</v>
      </c>
      <c r="AE459" s="34">
        <f t="shared" si="926"/>
        <v>8352.53</v>
      </c>
      <c r="AF459" s="34">
        <f t="shared" si="926"/>
        <v>3450</v>
      </c>
      <c r="AG459" s="34">
        <f t="shared" si="926"/>
        <v>4808.21</v>
      </c>
      <c r="AH459" s="34">
        <f t="shared" si="926"/>
        <v>0</v>
      </c>
      <c r="AI459" s="34">
        <f t="shared" si="926"/>
        <v>32701.94</v>
      </c>
      <c r="AJ459" s="34">
        <f t="shared" si="926"/>
        <v>30603.69</v>
      </c>
      <c r="AK459" s="35">
        <f t="shared" ref="AK459:AL459" si="927">SUM(AK451:AK458)</f>
        <v>15</v>
      </c>
      <c r="AL459" s="36">
        <f t="shared" si="927"/>
        <v>1270059.07</v>
      </c>
      <c r="AM459" s="36">
        <f t="shared" ref="AM459:BC459" si="928">SUM(AM451:AM457)</f>
        <v>25400</v>
      </c>
      <c r="AN459" s="36">
        <f t="shared" si="928"/>
        <v>11274.13</v>
      </c>
      <c r="AO459" s="36">
        <f t="shared" si="928"/>
        <v>8700</v>
      </c>
      <c r="AP459" s="36">
        <f t="shared" si="928"/>
        <v>5474.06</v>
      </c>
      <c r="AQ459" s="36">
        <f t="shared" si="928"/>
        <v>3054.04</v>
      </c>
      <c r="AR459" s="36">
        <f t="shared" si="928"/>
        <v>0</v>
      </c>
      <c r="AS459" s="37">
        <f t="shared" si="928"/>
        <v>66235.62</v>
      </c>
      <c r="AT459" s="37">
        <f t="shared" si="928"/>
        <v>21225.6</v>
      </c>
      <c r="AU459" s="37">
        <f t="shared" si="928"/>
        <v>39659.94</v>
      </c>
      <c r="AV459" s="37">
        <f t="shared" si="928"/>
        <v>22632.03</v>
      </c>
      <c r="AW459" s="37">
        <f t="shared" si="928"/>
        <v>43434</v>
      </c>
      <c r="AX459" s="37">
        <f t="shared" si="928"/>
        <v>47360.46</v>
      </c>
      <c r="AY459" s="37">
        <f t="shared" si="928"/>
        <v>240547.65</v>
      </c>
      <c r="AZ459" s="38">
        <f t="shared" si="928"/>
        <v>5</v>
      </c>
      <c r="BA459" s="39">
        <f t="shared" si="928"/>
        <v>5</v>
      </c>
      <c r="BB459" s="85">
        <f t="shared" si="928"/>
        <v>5</v>
      </c>
      <c r="BC459" s="85">
        <f t="shared" si="928"/>
        <v>4</v>
      </c>
    </row>
    <row r="460">
      <c r="A460" s="11">
        <v>2025.0</v>
      </c>
      <c r="B460" s="11" t="s">
        <v>135</v>
      </c>
      <c r="C460" s="12">
        <v>45801.0</v>
      </c>
      <c r="D460" s="44">
        <v>6.0</v>
      </c>
      <c r="E460" s="26">
        <v>276510.21</v>
      </c>
      <c r="F460" s="26">
        <v>18639.24</v>
      </c>
      <c r="G460" s="26">
        <v>1969.38</v>
      </c>
      <c r="H460" s="26">
        <v>828.0</v>
      </c>
      <c r="I460" s="26">
        <v>1053.06</v>
      </c>
      <c r="J460" s="26">
        <v>447.47</v>
      </c>
      <c r="K460" s="26">
        <v>8592.85</v>
      </c>
      <c r="L460" s="26">
        <v>3985.1</v>
      </c>
      <c r="M460" s="15">
        <v>0.0</v>
      </c>
      <c r="N460" s="16">
        <v>0.0</v>
      </c>
      <c r="O460" s="16">
        <f t="shared" ref="O460:O466" si="929">N460*4%</f>
        <v>0</v>
      </c>
      <c r="P460" s="16">
        <f t="shared" ref="P460:P466" si="930">N460*1.68%</f>
        <v>0</v>
      </c>
      <c r="Q460" s="16">
        <f t="shared" ref="Q460:Q466" si="931">M460*(400+350+100+2)</f>
        <v>0</v>
      </c>
      <c r="R460" s="67">
        <f t="shared" ref="R460:R466" si="932">M460*239.19</f>
        <v>0</v>
      </c>
      <c r="S460" s="17">
        <f t="shared" ref="S460:S466" si="933">M460*393.42</f>
        <v>0</v>
      </c>
      <c r="T460" s="17">
        <f t="shared" ref="T460:T466" si="934">M460*138</f>
        <v>0</v>
      </c>
      <c r="U460" s="86">
        <v>797.02</v>
      </c>
      <c r="V460" s="18">
        <f t="shared" ref="V460:V466" si="935">P460</f>
        <v>0</v>
      </c>
      <c r="W460" s="7">
        <f t="shared" ref="W460:W466" si="936">I460+R460</f>
        <v>1053.06</v>
      </c>
      <c r="X460" s="69">
        <f t="shared" ref="X460:X466" si="937">J460</f>
        <v>447.47</v>
      </c>
      <c r="Y460" s="7">
        <f t="shared" ref="Y460:Y466" si="938">O460</f>
        <v>0</v>
      </c>
      <c r="Z460" s="7">
        <f t="shared" ref="Z460:Z466" si="939">Q460</f>
        <v>0</v>
      </c>
      <c r="AA460" s="18">
        <f t="shared" ref="AA460:AA466" si="940">SUM(U460:Z460)</f>
        <v>2297.55</v>
      </c>
      <c r="AB460" s="56">
        <v>4.0</v>
      </c>
      <c r="AC460" s="24">
        <v>197255.41</v>
      </c>
      <c r="AD460" s="24">
        <v>14481.48</v>
      </c>
      <c r="AE460" s="24">
        <v>1428.99</v>
      </c>
      <c r="AF460" s="24">
        <v>552.0</v>
      </c>
      <c r="AG460" s="24">
        <v>754.32</v>
      </c>
      <c r="AH460" s="24">
        <v>0.0</v>
      </c>
      <c r="AI460" s="24">
        <v>9360.02</v>
      </c>
      <c r="AJ460" s="24">
        <v>3313.89</v>
      </c>
      <c r="AK460" s="15">
        <v>0.0</v>
      </c>
      <c r="AL460" s="16">
        <v>0.0</v>
      </c>
      <c r="AM460" s="16">
        <v>0.0</v>
      </c>
      <c r="AN460" s="16">
        <v>0.0</v>
      </c>
      <c r="AO460" s="16">
        <v>0.0</v>
      </c>
      <c r="AP460" s="16">
        <v>0.0</v>
      </c>
      <c r="AQ460" s="16">
        <v>0.0</v>
      </c>
      <c r="AR460" s="16">
        <v>0.0</v>
      </c>
      <c r="AS460" s="7">
        <v>0.0</v>
      </c>
      <c r="AT460" s="7">
        <v>0.0</v>
      </c>
      <c r="AU460" s="7">
        <v>0.0</v>
      </c>
      <c r="AV460" s="7">
        <v>0.0</v>
      </c>
      <c r="AW460" s="7">
        <v>0.0</v>
      </c>
      <c r="AX460" s="7">
        <v>0.0</v>
      </c>
      <c r="AY460" s="7">
        <f t="shared" ref="AY460:AY466" si="941">SUM(AS460:AX460)</f>
        <v>0</v>
      </c>
      <c r="AZ460" s="9">
        <v>0.0</v>
      </c>
      <c r="BA460" s="9">
        <v>0.0</v>
      </c>
      <c r="BB460" s="84">
        <v>0.0</v>
      </c>
      <c r="BC460" s="84">
        <v>0.0</v>
      </c>
    </row>
    <row r="461">
      <c r="A461" s="11">
        <v>2025.0</v>
      </c>
      <c r="B461" s="11" t="s">
        <v>135</v>
      </c>
      <c r="C461" s="12">
        <v>45802.0</v>
      </c>
      <c r="D461" s="44">
        <v>7.0</v>
      </c>
      <c r="E461" s="26">
        <v>371805.62</v>
      </c>
      <c r="F461" s="26">
        <v>29912.83</v>
      </c>
      <c r="G461" s="26">
        <v>3783.99</v>
      </c>
      <c r="H461" s="26">
        <v>966.0</v>
      </c>
      <c r="I461" s="26">
        <v>1428.79</v>
      </c>
      <c r="J461" s="26">
        <v>0.0</v>
      </c>
      <c r="K461" s="26">
        <v>16902.91</v>
      </c>
      <c r="L461" s="26">
        <v>6831.14</v>
      </c>
      <c r="M461" s="15">
        <v>0.0</v>
      </c>
      <c r="N461" s="16">
        <v>0.0</v>
      </c>
      <c r="O461" s="16">
        <f t="shared" si="929"/>
        <v>0</v>
      </c>
      <c r="P461" s="16">
        <f t="shared" si="930"/>
        <v>0</v>
      </c>
      <c r="Q461" s="16">
        <f t="shared" si="931"/>
        <v>0</v>
      </c>
      <c r="R461" s="67">
        <f t="shared" si="932"/>
        <v>0</v>
      </c>
      <c r="S461" s="17">
        <f t="shared" si="933"/>
        <v>0</v>
      </c>
      <c r="T461" s="17">
        <f t="shared" si="934"/>
        <v>0</v>
      </c>
      <c r="U461" s="86">
        <v>1366.23</v>
      </c>
      <c r="V461" s="18">
        <f t="shared" si="935"/>
        <v>0</v>
      </c>
      <c r="W461" s="7">
        <f t="shared" si="936"/>
        <v>1428.79</v>
      </c>
      <c r="X461" s="69">
        <f t="shared" si="937"/>
        <v>0</v>
      </c>
      <c r="Y461" s="7">
        <f t="shared" si="938"/>
        <v>0</v>
      </c>
      <c r="Z461" s="7">
        <f t="shared" si="939"/>
        <v>0</v>
      </c>
      <c r="AA461" s="18">
        <f t="shared" si="940"/>
        <v>2795.02</v>
      </c>
      <c r="AB461" s="56">
        <v>1.0</v>
      </c>
      <c r="AC461" s="24">
        <v>79784.49</v>
      </c>
      <c r="AD461" s="24">
        <v>4844.28</v>
      </c>
      <c r="AE461" s="24">
        <v>511.47</v>
      </c>
      <c r="AF461" s="24">
        <v>138.0</v>
      </c>
      <c r="AG461" s="24">
        <v>127.88</v>
      </c>
      <c r="AH461" s="24">
        <v>0.0</v>
      </c>
      <c r="AI461" s="24">
        <v>2726.55</v>
      </c>
      <c r="AJ461" s="24">
        <v>1340.38</v>
      </c>
      <c r="AK461" s="15">
        <v>0.0</v>
      </c>
      <c r="AL461" s="16">
        <v>0.0</v>
      </c>
      <c r="AM461" s="16">
        <v>0.0</v>
      </c>
      <c r="AN461" s="16">
        <v>0.0</v>
      </c>
      <c r="AO461" s="16">
        <v>0.0</v>
      </c>
      <c r="AP461" s="16">
        <v>0.0</v>
      </c>
      <c r="AQ461" s="16">
        <v>0.0</v>
      </c>
      <c r="AR461" s="16">
        <v>0.0</v>
      </c>
      <c r="AS461" s="7">
        <v>0.0</v>
      </c>
      <c r="AT461" s="7">
        <v>0.0</v>
      </c>
      <c r="AU461" s="7">
        <v>0.0</v>
      </c>
      <c r="AV461" s="7">
        <v>0.0</v>
      </c>
      <c r="AW461" s="7">
        <v>0.0</v>
      </c>
      <c r="AX461" s="7">
        <v>0.0</v>
      </c>
      <c r="AY461" s="7">
        <f t="shared" si="941"/>
        <v>0</v>
      </c>
      <c r="AZ461" s="9">
        <v>0.0</v>
      </c>
      <c r="BA461" s="9">
        <v>0.0</v>
      </c>
      <c r="BB461" s="84">
        <v>0.0</v>
      </c>
      <c r="BC461" s="84">
        <v>0.0</v>
      </c>
    </row>
    <row r="462">
      <c r="A462" s="11">
        <v>2025.0</v>
      </c>
      <c r="B462" s="11" t="s">
        <v>135</v>
      </c>
      <c r="C462" s="12">
        <v>45803.0</v>
      </c>
      <c r="D462" s="44">
        <v>7.0</v>
      </c>
      <c r="E462" s="26">
        <v>273193.24</v>
      </c>
      <c r="F462" s="26">
        <v>18026.76</v>
      </c>
      <c r="G462" s="26">
        <v>2309.85</v>
      </c>
      <c r="H462" s="26">
        <v>966.0</v>
      </c>
      <c r="I462" s="26">
        <v>1217.48</v>
      </c>
      <c r="J462" s="26">
        <v>3919.48</v>
      </c>
      <c r="K462" s="26">
        <v>22854.72</v>
      </c>
      <c r="L462" s="26">
        <v>4828.42</v>
      </c>
      <c r="M462" s="15">
        <v>5.0</v>
      </c>
      <c r="N462" s="16">
        <v>929330.85</v>
      </c>
      <c r="O462" s="16">
        <f t="shared" si="929"/>
        <v>37173.234</v>
      </c>
      <c r="P462" s="16">
        <f t="shared" si="930"/>
        <v>15612.75828</v>
      </c>
      <c r="Q462" s="16">
        <f t="shared" si="931"/>
        <v>4260</v>
      </c>
      <c r="R462" s="67">
        <f t="shared" si="932"/>
        <v>1195.95</v>
      </c>
      <c r="S462" s="17">
        <f t="shared" si="933"/>
        <v>1967.1</v>
      </c>
      <c r="T462" s="17">
        <f t="shared" si="934"/>
        <v>690</v>
      </c>
      <c r="U462" s="86">
        <v>965.68</v>
      </c>
      <c r="V462" s="18">
        <f t="shared" si="935"/>
        <v>15612.75828</v>
      </c>
      <c r="W462" s="7">
        <f t="shared" si="936"/>
        <v>2413.43</v>
      </c>
      <c r="X462" s="69">
        <f t="shared" si="937"/>
        <v>3919.48</v>
      </c>
      <c r="Y462" s="7">
        <f t="shared" si="938"/>
        <v>37173.234</v>
      </c>
      <c r="Z462" s="7">
        <f t="shared" si="939"/>
        <v>4260</v>
      </c>
      <c r="AA462" s="18">
        <f t="shared" si="940"/>
        <v>64344.58228</v>
      </c>
      <c r="AB462" s="56">
        <v>5.0</v>
      </c>
      <c r="AC462" s="24">
        <v>179610.22</v>
      </c>
      <c r="AD462" s="24">
        <v>11668.38</v>
      </c>
      <c r="AE462" s="24">
        <v>1637.59</v>
      </c>
      <c r="AF462" s="24">
        <v>690.0</v>
      </c>
      <c r="AG462" s="24">
        <v>674.05</v>
      </c>
      <c r="AH462" s="24">
        <v>0.0</v>
      </c>
      <c r="AI462" s="24">
        <v>5637.11</v>
      </c>
      <c r="AJ462" s="24">
        <v>3029.63</v>
      </c>
      <c r="AK462" s="15">
        <v>1.0</v>
      </c>
      <c r="AL462" s="16">
        <v>69500.0</v>
      </c>
      <c r="AM462" s="16">
        <v>2780.0</v>
      </c>
      <c r="AN462" s="16">
        <v>2335.2</v>
      </c>
      <c r="AO462" s="16">
        <v>1000.0</v>
      </c>
      <c r="AP462" s="16">
        <v>486.46</v>
      </c>
      <c r="AQ462" s="16">
        <v>539.36</v>
      </c>
      <c r="AR462" s="16">
        <v>0.0</v>
      </c>
      <c r="AS462" s="7">
        <f>21590.68-AT462</f>
        <v>19273.68</v>
      </c>
      <c r="AT462" s="7">
        <v>2317.0</v>
      </c>
      <c r="AU462" s="7">
        <v>8973.66</v>
      </c>
      <c r="AV462" s="7">
        <v>4835.14</v>
      </c>
      <c r="AW462" s="7">
        <v>2294.0</v>
      </c>
      <c r="AX462" s="7">
        <v>7167.88</v>
      </c>
      <c r="AY462" s="7">
        <f t="shared" si="941"/>
        <v>44861.36</v>
      </c>
      <c r="AZ462" s="9">
        <v>0.0</v>
      </c>
      <c r="BA462" s="9">
        <v>0.0</v>
      </c>
      <c r="BB462" s="84">
        <v>0.0</v>
      </c>
      <c r="BC462" s="84">
        <v>0.0</v>
      </c>
    </row>
    <row r="463">
      <c r="A463" s="11">
        <v>2025.0</v>
      </c>
      <c r="B463" s="11" t="s">
        <v>135</v>
      </c>
      <c r="C463" s="12">
        <v>45804.0</v>
      </c>
      <c r="D463" s="44">
        <v>6.0</v>
      </c>
      <c r="E463" s="26">
        <v>324016.97</v>
      </c>
      <c r="F463" s="26">
        <v>17441.39</v>
      </c>
      <c r="G463" s="26">
        <v>2054.19</v>
      </c>
      <c r="H463" s="26">
        <v>828.0</v>
      </c>
      <c r="I463" s="26">
        <v>1161.49</v>
      </c>
      <c r="J463" s="26">
        <v>0.0</v>
      </c>
      <c r="K463" s="26">
        <v>7954.22</v>
      </c>
      <c r="L463" s="26">
        <v>5443.49</v>
      </c>
      <c r="M463" s="15">
        <v>6.0</v>
      </c>
      <c r="N463" s="16">
        <v>623348.21</v>
      </c>
      <c r="O463" s="16">
        <f t="shared" si="929"/>
        <v>24933.9284</v>
      </c>
      <c r="P463" s="16">
        <f t="shared" si="930"/>
        <v>10472.24993</v>
      </c>
      <c r="Q463" s="16">
        <f t="shared" si="931"/>
        <v>5112</v>
      </c>
      <c r="R463" s="67">
        <f t="shared" si="932"/>
        <v>1435.14</v>
      </c>
      <c r="S463" s="17">
        <f t="shared" si="933"/>
        <v>2360.52</v>
      </c>
      <c r="T463" s="17">
        <f t="shared" si="934"/>
        <v>828</v>
      </c>
      <c r="U463" s="86">
        <v>1088.7</v>
      </c>
      <c r="V463" s="18">
        <f t="shared" si="935"/>
        <v>10472.24993</v>
      </c>
      <c r="W463" s="7">
        <f t="shared" si="936"/>
        <v>2596.63</v>
      </c>
      <c r="X463" s="69">
        <f t="shared" si="937"/>
        <v>0</v>
      </c>
      <c r="Y463" s="7">
        <f t="shared" si="938"/>
        <v>24933.9284</v>
      </c>
      <c r="Z463" s="7">
        <f t="shared" si="939"/>
        <v>5112</v>
      </c>
      <c r="AA463" s="18">
        <f t="shared" si="940"/>
        <v>44203.50833</v>
      </c>
      <c r="AB463" s="56">
        <v>5.0</v>
      </c>
      <c r="AC463" s="24">
        <v>230648.83</v>
      </c>
      <c r="AD463" s="24">
        <v>12809.57</v>
      </c>
      <c r="AE463" s="24">
        <v>1558.22</v>
      </c>
      <c r="AF463" s="24">
        <v>690.0</v>
      </c>
      <c r="AG463" s="24">
        <v>1073.39</v>
      </c>
      <c r="AH463" s="24">
        <v>0.0</v>
      </c>
      <c r="AI463" s="24">
        <v>5613.06</v>
      </c>
      <c r="AJ463" s="24">
        <v>3874.9</v>
      </c>
      <c r="AK463" s="15">
        <v>4.0</v>
      </c>
      <c r="AL463" s="16">
        <v>313087.92</v>
      </c>
      <c r="AM463" s="16">
        <v>7745.0</v>
      </c>
      <c r="AN463" s="16">
        <v>6335.6</v>
      </c>
      <c r="AO463" s="16">
        <v>3000.0</v>
      </c>
      <c r="AP463" s="16">
        <v>1988.02</v>
      </c>
      <c r="AQ463" s="16">
        <v>1570.57</v>
      </c>
      <c r="AR463" s="16">
        <v>0.0</v>
      </c>
      <c r="AS463" s="7">
        <f>12489.09-AT463</f>
        <v>5370.49</v>
      </c>
      <c r="AT463" s="7">
        <v>7118.6</v>
      </c>
      <c r="AU463" s="7">
        <v>8664.09</v>
      </c>
      <c r="AV463" s="7">
        <v>3212.93</v>
      </c>
      <c r="AW463" s="7">
        <v>5205.0</v>
      </c>
      <c r="AX463" s="7">
        <v>5250.19</v>
      </c>
      <c r="AY463" s="7">
        <f t="shared" si="941"/>
        <v>34821.3</v>
      </c>
      <c r="AZ463" s="9">
        <v>2.0</v>
      </c>
      <c r="BA463" s="9">
        <v>0.0</v>
      </c>
      <c r="BB463" s="84">
        <v>3.0</v>
      </c>
      <c r="BC463" s="84">
        <v>1.0</v>
      </c>
    </row>
    <row r="464">
      <c r="A464" s="11">
        <v>2025.0</v>
      </c>
      <c r="B464" s="11" t="s">
        <v>135</v>
      </c>
      <c r="C464" s="12">
        <v>45805.0</v>
      </c>
      <c r="D464" s="44">
        <v>12.0</v>
      </c>
      <c r="E464" s="26">
        <v>677436.1</v>
      </c>
      <c r="F464" s="26">
        <v>38272.74</v>
      </c>
      <c r="G464" s="26">
        <v>4388.52</v>
      </c>
      <c r="H464" s="26">
        <v>1518.0</v>
      </c>
      <c r="I464" s="26">
        <v>2546.91</v>
      </c>
      <c r="J464" s="26">
        <v>36635.15</v>
      </c>
      <c r="K464" s="26">
        <v>92796.9</v>
      </c>
      <c r="L464" s="26">
        <v>13434.35</v>
      </c>
      <c r="M464" s="15">
        <v>6.0</v>
      </c>
      <c r="N464" s="16">
        <v>543508.94</v>
      </c>
      <c r="O464" s="16">
        <f t="shared" si="929"/>
        <v>21740.3576</v>
      </c>
      <c r="P464" s="16">
        <f t="shared" si="930"/>
        <v>9130.950192</v>
      </c>
      <c r="Q464" s="16">
        <f t="shared" si="931"/>
        <v>5112</v>
      </c>
      <c r="R464" s="67">
        <f t="shared" si="932"/>
        <v>1435.14</v>
      </c>
      <c r="S464" s="17">
        <f t="shared" si="933"/>
        <v>2360.52</v>
      </c>
      <c r="T464" s="17">
        <f t="shared" si="934"/>
        <v>828</v>
      </c>
      <c r="U464" s="86">
        <v>2686.87</v>
      </c>
      <c r="V464" s="18">
        <f t="shared" si="935"/>
        <v>9130.950192</v>
      </c>
      <c r="W464" s="7">
        <f t="shared" si="936"/>
        <v>3982.05</v>
      </c>
      <c r="X464" s="69">
        <f t="shared" si="937"/>
        <v>36635.15</v>
      </c>
      <c r="Y464" s="7">
        <f t="shared" si="938"/>
        <v>21740.3576</v>
      </c>
      <c r="Z464" s="7">
        <f t="shared" si="939"/>
        <v>5112</v>
      </c>
      <c r="AA464" s="18">
        <f t="shared" si="940"/>
        <v>79287.37779</v>
      </c>
      <c r="AB464" s="56">
        <v>3.0</v>
      </c>
      <c r="AC464" s="24">
        <v>97759.77</v>
      </c>
      <c r="AD464" s="24">
        <v>9857.42</v>
      </c>
      <c r="AE464" s="24">
        <v>1024.14</v>
      </c>
      <c r="AF464" s="24">
        <v>414.0</v>
      </c>
      <c r="AG464" s="24">
        <v>585.55</v>
      </c>
      <c r="AH464" s="24">
        <v>0.0</v>
      </c>
      <c r="AI464" s="24">
        <v>6191.37</v>
      </c>
      <c r="AJ464" s="24">
        <v>1642.36</v>
      </c>
      <c r="AK464" s="15">
        <v>5.0</v>
      </c>
      <c r="AL464" s="16">
        <v>399674.01</v>
      </c>
      <c r="AM464" s="16">
        <v>9314.0</v>
      </c>
      <c r="AN464" s="16">
        <v>6728.0</v>
      </c>
      <c r="AO464" s="16">
        <v>3000.0</v>
      </c>
      <c r="AP464" s="16">
        <v>2246.02</v>
      </c>
      <c r="AQ464" s="16">
        <v>1529.09</v>
      </c>
      <c r="AR464" s="16">
        <v>0.0</v>
      </c>
      <c r="AS464" s="7">
        <f>33622.45-AT464</f>
        <v>33622.45</v>
      </c>
      <c r="AT464" s="7">
        <v>0.0</v>
      </c>
      <c r="AU464" s="7">
        <v>8961.97</v>
      </c>
      <c r="AV464" s="7">
        <v>2024.42</v>
      </c>
      <c r="AW464" s="7">
        <v>9504.0</v>
      </c>
      <c r="AX464" s="7">
        <v>12072.94</v>
      </c>
      <c r="AY464" s="7">
        <f t="shared" si="941"/>
        <v>66185.78</v>
      </c>
      <c r="AZ464" s="9">
        <v>2.0</v>
      </c>
      <c r="BA464" s="9">
        <v>1.0</v>
      </c>
      <c r="BB464" s="84">
        <v>0.0</v>
      </c>
      <c r="BC464" s="84">
        <v>1.0</v>
      </c>
    </row>
    <row r="465">
      <c r="A465" s="11">
        <v>2025.0</v>
      </c>
      <c r="B465" s="11" t="s">
        <v>135</v>
      </c>
      <c r="C465" s="12">
        <v>45806.0</v>
      </c>
      <c r="D465" s="44">
        <v>11.0</v>
      </c>
      <c r="E465" s="26">
        <v>735222.58</v>
      </c>
      <c r="F465" s="26">
        <v>39592.94</v>
      </c>
      <c r="G465" s="26">
        <v>5032.0</v>
      </c>
      <c r="H465" s="26">
        <v>1380.0</v>
      </c>
      <c r="I465" s="26">
        <v>1458.11</v>
      </c>
      <c r="J465" s="26">
        <v>598.99</v>
      </c>
      <c r="K465" s="26">
        <v>14654.72</v>
      </c>
      <c r="L465" s="26">
        <v>18365.77</v>
      </c>
      <c r="M465" s="15">
        <v>7.0</v>
      </c>
      <c r="N465" s="16">
        <v>818669.85</v>
      </c>
      <c r="O465" s="16">
        <f t="shared" si="929"/>
        <v>32746.794</v>
      </c>
      <c r="P465" s="16">
        <f t="shared" si="930"/>
        <v>13753.65348</v>
      </c>
      <c r="Q465" s="16">
        <f t="shared" si="931"/>
        <v>5964</v>
      </c>
      <c r="R465" s="67">
        <f t="shared" si="932"/>
        <v>1674.33</v>
      </c>
      <c r="S465" s="17">
        <f t="shared" si="933"/>
        <v>2753.94</v>
      </c>
      <c r="T465" s="17">
        <f t="shared" si="934"/>
        <v>966</v>
      </c>
      <c r="U465" s="86">
        <v>3673.15</v>
      </c>
      <c r="V465" s="18">
        <f t="shared" si="935"/>
        <v>13753.65348</v>
      </c>
      <c r="W465" s="7">
        <f t="shared" si="936"/>
        <v>3132.44</v>
      </c>
      <c r="X465" s="69">
        <f t="shared" si="937"/>
        <v>598.99</v>
      </c>
      <c r="Y465" s="7">
        <f t="shared" si="938"/>
        <v>32746.794</v>
      </c>
      <c r="Z465" s="7">
        <f t="shared" si="939"/>
        <v>5964</v>
      </c>
      <c r="AA465" s="18">
        <f t="shared" si="940"/>
        <v>59869.02748</v>
      </c>
      <c r="AB465" s="56">
        <v>3.0</v>
      </c>
      <c r="AC465" s="24">
        <v>410462.18</v>
      </c>
      <c r="AD465" s="24">
        <v>23484.83</v>
      </c>
      <c r="AE465" s="24">
        <v>2905.42</v>
      </c>
      <c r="AF465" s="24">
        <v>414.0</v>
      </c>
      <c r="AG465" s="24">
        <v>566.76</v>
      </c>
      <c r="AH465" s="24">
        <v>0.0</v>
      </c>
      <c r="AI465" s="24">
        <v>6773.17</v>
      </c>
      <c r="AJ465" s="24">
        <v>12825.48</v>
      </c>
      <c r="AK465" s="15">
        <v>4.0</v>
      </c>
      <c r="AL465" s="16">
        <v>614312.55</v>
      </c>
      <c r="AM465" s="16">
        <v>23231.0</v>
      </c>
      <c r="AN465" s="16">
        <v>10340.0</v>
      </c>
      <c r="AO465" s="16">
        <v>3150.0</v>
      </c>
      <c r="AP465" s="16">
        <v>2207.38</v>
      </c>
      <c r="AQ465" s="16">
        <v>2994.18</v>
      </c>
      <c r="AR465" s="16">
        <v>0.0</v>
      </c>
      <c r="AS465" s="7">
        <f>24085.83-AT465</f>
        <v>14789.83</v>
      </c>
      <c r="AT465" s="7">
        <v>9296.0</v>
      </c>
      <c r="AU465" s="7">
        <v>6439.27</v>
      </c>
      <c r="AV465" s="7">
        <v>2715.36</v>
      </c>
      <c r="AW465" s="7">
        <v>15086.0</v>
      </c>
      <c r="AX465" s="7">
        <v>9985.66</v>
      </c>
      <c r="AY465" s="7">
        <f t="shared" si="941"/>
        <v>58312.12</v>
      </c>
      <c r="AZ465" s="9">
        <v>2.0</v>
      </c>
      <c r="BA465" s="9">
        <v>1.0</v>
      </c>
      <c r="BB465" s="84">
        <v>0.0</v>
      </c>
      <c r="BC465" s="84">
        <v>0.0</v>
      </c>
    </row>
    <row r="466">
      <c r="A466" s="11">
        <v>2025.0</v>
      </c>
      <c r="B466" s="11" t="s">
        <v>135</v>
      </c>
      <c r="C466" s="12">
        <v>45807.0</v>
      </c>
      <c r="D466" s="44">
        <v>321.0</v>
      </c>
      <c r="E466" s="26">
        <v>2.252552856E7</v>
      </c>
      <c r="F466" s="26">
        <v>946562.08</v>
      </c>
      <c r="G466" s="26">
        <v>116779.82</v>
      </c>
      <c r="H466" s="26">
        <v>19320.0</v>
      </c>
      <c r="I466" s="26">
        <v>103858.97</v>
      </c>
      <c r="J466" s="26">
        <v>72932.19</v>
      </c>
      <c r="K466" s="26">
        <v>404559.01</v>
      </c>
      <c r="L466" s="26">
        <v>381053.34</v>
      </c>
      <c r="M466" s="15">
        <v>8.0</v>
      </c>
      <c r="N466" s="16">
        <v>784408.04</v>
      </c>
      <c r="O466" s="16">
        <f t="shared" si="929"/>
        <v>31376.3216</v>
      </c>
      <c r="P466" s="16">
        <f t="shared" si="930"/>
        <v>13178.05507</v>
      </c>
      <c r="Q466" s="16">
        <f t="shared" si="931"/>
        <v>6816</v>
      </c>
      <c r="R466" s="67">
        <f t="shared" si="932"/>
        <v>1913.52</v>
      </c>
      <c r="S466" s="17">
        <f t="shared" si="933"/>
        <v>3147.36</v>
      </c>
      <c r="T466" s="17">
        <f t="shared" si="934"/>
        <v>1104</v>
      </c>
      <c r="U466" s="86">
        <f>76210.67+536.6</f>
        <v>76747.27</v>
      </c>
      <c r="V466" s="18">
        <f t="shared" si="935"/>
        <v>13178.05507</v>
      </c>
      <c r="W466" s="7">
        <f t="shared" si="936"/>
        <v>105772.49</v>
      </c>
      <c r="X466" s="69">
        <f t="shared" si="937"/>
        <v>72932.19</v>
      </c>
      <c r="Y466" s="7">
        <f t="shared" si="938"/>
        <v>31376.3216</v>
      </c>
      <c r="Z466" s="7">
        <f t="shared" si="939"/>
        <v>6816</v>
      </c>
      <c r="AA466" s="18">
        <f t="shared" si="940"/>
        <v>306822.3267</v>
      </c>
      <c r="AB466" s="56">
        <v>90.0</v>
      </c>
      <c r="AC466" s="24">
        <v>7614722.37</v>
      </c>
      <c r="AD466" s="24">
        <v>281826.22</v>
      </c>
      <c r="AE466" s="24">
        <v>35228.51</v>
      </c>
      <c r="AF466" s="24">
        <v>4140.0</v>
      </c>
      <c r="AG466" s="24">
        <v>32179.6</v>
      </c>
      <c r="AH466" s="24">
        <v>0.0</v>
      </c>
      <c r="AI466" s="24">
        <v>81808.53</v>
      </c>
      <c r="AJ466" s="24">
        <v>127201.3</v>
      </c>
      <c r="AK466" s="15">
        <v>2.0</v>
      </c>
      <c r="AL466" s="16">
        <v>170765.7</v>
      </c>
      <c r="AM466" s="16">
        <v>6458.0</v>
      </c>
      <c r="AN466" s="16">
        <v>2875.0</v>
      </c>
      <c r="AO466" s="16">
        <v>1500.0</v>
      </c>
      <c r="AP466" s="16">
        <v>910.82</v>
      </c>
      <c r="AQ466" s="16">
        <v>671.89</v>
      </c>
      <c r="AR466" s="16">
        <v>0.0</v>
      </c>
      <c r="AS466" s="7">
        <f>73110.14-AT466</f>
        <v>65563.14</v>
      </c>
      <c r="AT466" s="7">
        <v>7547.0</v>
      </c>
      <c r="AU466" s="7">
        <v>24223.31</v>
      </c>
      <c r="AV466" s="7">
        <v>4396.11</v>
      </c>
      <c r="AW466" s="7">
        <v>16953.0</v>
      </c>
      <c r="AX466" s="7">
        <v>14308.43</v>
      </c>
      <c r="AY466" s="7">
        <f t="shared" si="941"/>
        <v>132990.99</v>
      </c>
      <c r="AZ466" s="9">
        <v>0.0</v>
      </c>
      <c r="BA466" s="9">
        <v>1.0</v>
      </c>
      <c r="BB466" s="84">
        <v>6.0</v>
      </c>
      <c r="BC466" s="84">
        <v>0.0</v>
      </c>
    </row>
    <row r="467">
      <c r="A467" s="11">
        <v>2025.0</v>
      </c>
      <c r="B467" s="11" t="s">
        <v>135</v>
      </c>
      <c r="C467" s="1"/>
      <c r="D467" s="2">
        <v>97.0</v>
      </c>
      <c r="E467" s="2"/>
      <c r="F467" s="59" t="s">
        <v>140</v>
      </c>
      <c r="G467" s="2"/>
      <c r="H467" s="33"/>
      <c r="I467" s="33"/>
      <c r="J467" s="33"/>
      <c r="K467" s="33"/>
      <c r="L467" s="33"/>
      <c r="M467" s="4">
        <v>13.0</v>
      </c>
      <c r="N467" s="51">
        <v>2105490.07</v>
      </c>
      <c r="O467" s="35"/>
      <c r="P467" s="35"/>
      <c r="Q467" s="35"/>
      <c r="R467" s="35"/>
      <c r="S467" s="35"/>
      <c r="T467" s="35"/>
      <c r="U467" s="37"/>
      <c r="V467" s="48"/>
      <c r="W467" s="48"/>
      <c r="X467" s="37"/>
      <c r="Y467" s="48"/>
      <c r="Z467" s="48"/>
      <c r="AA467" s="48"/>
      <c r="AB467" s="2"/>
      <c r="AC467" s="33"/>
      <c r="AD467" s="2"/>
      <c r="AE467" s="33"/>
      <c r="AF467" s="33"/>
      <c r="AG467" s="33"/>
      <c r="AH467" s="33"/>
      <c r="AI467" s="33"/>
      <c r="AJ467" s="33"/>
      <c r="AK467" s="4">
        <v>0.0</v>
      </c>
      <c r="AL467" s="4">
        <v>0.0</v>
      </c>
      <c r="AM467" s="35"/>
      <c r="AN467" s="35"/>
      <c r="AO467" s="35"/>
      <c r="AP467" s="35"/>
      <c r="AQ467" s="35"/>
      <c r="AR467" s="35"/>
      <c r="AS467" s="37"/>
      <c r="AT467" s="48"/>
      <c r="AU467" s="48"/>
      <c r="AV467" s="48"/>
      <c r="AW467" s="48"/>
      <c r="AX467" s="48"/>
      <c r="AY467" s="48"/>
      <c r="AZ467" s="38"/>
      <c r="BA467" s="39"/>
      <c r="BB467" s="85"/>
      <c r="BC467" s="85"/>
    </row>
    <row r="468">
      <c r="A468" s="1">
        <v>2025.0</v>
      </c>
      <c r="B468" s="11" t="s">
        <v>135</v>
      </c>
      <c r="C468" s="1" t="s">
        <v>49</v>
      </c>
      <c r="D468" s="33">
        <f t="shared" ref="D468:F468" si="942">SUM(D460:D466)</f>
        <v>370</v>
      </c>
      <c r="E468" s="34">
        <f t="shared" si="942"/>
        <v>25183713.28</v>
      </c>
      <c r="F468" s="34">
        <f t="shared" si="942"/>
        <v>1108447.98</v>
      </c>
      <c r="G468" s="34">
        <f>SUM(G460:G467)</f>
        <v>136317.75</v>
      </c>
      <c r="H468" s="34">
        <f t="shared" ref="H468:L468" si="943">SUM(H460:H466)</f>
        <v>25806</v>
      </c>
      <c r="I468" s="34">
        <f t="shared" si="943"/>
        <v>112724.81</v>
      </c>
      <c r="J468" s="34">
        <f t="shared" si="943"/>
        <v>114533.28</v>
      </c>
      <c r="K468" s="34">
        <f t="shared" si="943"/>
        <v>568315.33</v>
      </c>
      <c r="L468" s="34">
        <f t="shared" si="943"/>
        <v>433941.61</v>
      </c>
      <c r="M468" s="35">
        <f t="shared" ref="M468:N468" si="944">SUM(M460:M467)</f>
        <v>45</v>
      </c>
      <c r="N468" s="36">
        <f t="shared" si="944"/>
        <v>5804755.96</v>
      </c>
      <c r="O468" s="36">
        <f t="shared" ref="O468:AA468" si="945">SUM(O460:O466)</f>
        <v>147970.6356</v>
      </c>
      <c r="P468" s="36">
        <f t="shared" si="945"/>
        <v>62147.66695</v>
      </c>
      <c r="Q468" s="36">
        <f t="shared" si="945"/>
        <v>27264</v>
      </c>
      <c r="R468" s="70">
        <f t="shared" si="945"/>
        <v>7654.08</v>
      </c>
      <c r="S468" s="36">
        <f t="shared" si="945"/>
        <v>12589.44</v>
      </c>
      <c r="T468" s="36">
        <f t="shared" si="945"/>
        <v>4416</v>
      </c>
      <c r="U468" s="37">
        <f t="shared" si="945"/>
        <v>87324.92</v>
      </c>
      <c r="V468" s="37">
        <f t="shared" si="945"/>
        <v>62147.66695</v>
      </c>
      <c r="W468" s="37">
        <f t="shared" si="945"/>
        <v>120378.89</v>
      </c>
      <c r="X468" s="37">
        <f t="shared" si="945"/>
        <v>114533.28</v>
      </c>
      <c r="Y468" s="37">
        <f t="shared" si="945"/>
        <v>147970.6356</v>
      </c>
      <c r="Z468" s="37">
        <f t="shared" si="945"/>
        <v>27264</v>
      </c>
      <c r="AA468" s="37">
        <f t="shared" si="945"/>
        <v>559619.3926</v>
      </c>
      <c r="AB468" s="33">
        <f>SUM(AB460:AB467)</f>
        <v>111</v>
      </c>
      <c r="AC468" s="34">
        <f t="shared" ref="AC468:AJ468" si="946">SUM(AC460:AC466)</f>
        <v>8810243.27</v>
      </c>
      <c r="AD468" s="34">
        <f t="shared" si="946"/>
        <v>358972.18</v>
      </c>
      <c r="AE468" s="34">
        <f t="shared" si="946"/>
        <v>44294.34</v>
      </c>
      <c r="AF468" s="34">
        <f t="shared" si="946"/>
        <v>7038</v>
      </c>
      <c r="AG468" s="34">
        <f t="shared" si="946"/>
        <v>35961.55</v>
      </c>
      <c r="AH468" s="34">
        <f t="shared" si="946"/>
        <v>0</v>
      </c>
      <c r="AI468" s="34">
        <f t="shared" si="946"/>
        <v>118109.81</v>
      </c>
      <c r="AJ468" s="34">
        <f t="shared" si="946"/>
        <v>153227.94</v>
      </c>
      <c r="AK468" s="35">
        <f t="shared" ref="AK468:AL468" si="947">SUM(AK460:AK467)</f>
        <v>16</v>
      </c>
      <c r="AL468" s="36">
        <f t="shared" si="947"/>
        <v>1567340.18</v>
      </c>
      <c r="AM468" s="36">
        <f t="shared" ref="AM468:BC468" si="948">SUM(AM460:AM466)</f>
        <v>49528</v>
      </c>
      <c r="AN468" s="36">
        <f t="shared" si="948"/>
        <v>28613.8</v>
      </c>
      <c r="AO468" s="36">
        <f t="shared" si="948"/>
        <v>11650</v>
      </c>
      <c r="AP468" s="36">
        <f t="shared" si="948"/>
        <v>7838.7</v>
      </c>
      <c r="AQ468" s="36">
        <f t="shared" si="948"/>
        <v>7305.09</v>
      </c>
      <c r="AR468" s="36">
        <f t="shared" si="948"/>
        <v>0</v>
      </c>
      <c r="AS468" s="37">
        <f t="shared" si="948"/>
        <v>138619.59</v>
      </c>
      <c r="AT468" s="37">
        <f t="shared" si="948"/>
        <v>26278.6</v>
      </c>
      <c r="AU468" s="37">
        <f t="shared" si="948"/>
        <v>57262.3</v>
      </c>
      <c r="AV468" s="37">
        <f t="shared" si="948"/>
        <v>17183.96</v>
      </c>
      <c r="AW468" s="37">
        <f t="shared" si="948"/>
        <v>49042</v>
      </c>
      <c r="AX468" s="37">
        <f t="shared" si="948"/>
        <v>48785.1</v>
      </c>
      <c r="AY468" s="37">
        <f t="shared" si="948"/>
        <v>337171.55</v>
      </c>
      <c r="AZ468" s="38">
        <f t="shared" si="948"/>
        <v>6</v>
      </c>
      <c r="BA468" s="39">
        <f t="shared" si="948"/>
        <v>3</v>
      </c>
      <c r="BB468" s="85">
        <f t="shared" si="948"/>
        <v>9</v>
      </c>
      <c r="BC468" s="85">
        <f t="shared" si="948"/>
        <v>2</v>
      </c>
    </row>
    <row r="469">
      <c r="A469" s="11">
        <v>2025.0</v>
      </c>
      <c r="B469" s="11" t="s">
        <v>135</v>
      </c>
      <c r="C469" s="12">
        <v>45808.0</v>
      </c>
      <c r="D469" s="44">
        <v>5.0</v>
      </c>
      <c r="E469" s="26">
        <v>156965.03</v>
      </c>
      <c r="F469" s="26">
        <v>8247.48</v>
      </c>
      <c r="G469" s="26">
        <v>1078.68</v>
      </c>
      <c r="H469" s="26">
        <v>690.0</v>
      </c>
      <c r="I469" s="26">
        <v>1192.99</v>
      </c>
      <c r="J469" s="26">
        <v>0.0</v>
      </c>
      <c r="K469" s="26">
        <v>2648.8</v>
      </c>
      <c r="L469" s="26">
        <v>2637.01</v>
      </c>
      <c r="M469" s="15">
        <v>0.0</v>
      </c>
      <c r="N469" s="16">
        <v>0.0</v>
      </c>
      <c r="O469" s="16">
        <f t="shared" ref="O469:O475" si="949">N469*4%</f>
        <v>0</v>
      </c>
      <c r="P469" s="16">
        <f t="shared" ref="P469:P475" si="950">N469*1.68%</f>
        <v>0</v>
      </c>
      <c r="Q469" s="16">
        <f t="shared" ref="Q469:Q475" si="951">M469*(400+350+100+2)</f>
        <v>0</v>
      </c>
      <c r="R469" s="67">
        <f t="shared" ref="R469:R475" si="952">M469*239.19</f>
        <v>0</v>
      </c>
      <c r="S469" s="17">
        <f t="shared" ref="S469:S475" si="953">M469*393.42</f>
        <v>0</v>
      </c>
      <c r="T469" s="17">
        <f t="shared" ref="T469:T475" si="954">M469*138</f>
        <v>0</v>
      </c>
      <c r="U469" s="86">
        <v>527.4</v>
      </c>
      <c r="V469" s="18">
        <f t="shared" ref="V469:V475" si="955">P469</f>
        <v>0</v>
      </c>
      <c r="W469" s="7">
        <f t="shared" ref="W469:W475" si="956">I469+R469</f>
        <v>1192.99</v>
      </c>
      <c r="X469" s="69">
        <f t="shared" ref="X469:X475" si="957">J469</f>
        <v>0</v>
      </c>
      <c r="Y469" s="7">
        <f t="shared" ref="Y469:Y475" si="958">O469</f>
        <v>0</v>
      </c>
      <c r="Z469" s="7">
        <f t="shared" ref="Z469:Z475" si="959">Q469</f>
        <v>0</v>
      </c>
      <c r="AA469" s="18">
        <f t="shared" ref="AA469:AA475" si="960">SUM(U469:Z469)</f>
        <v>1720.39</v>
      </c>
      <c r="AB469" s="56">
        <v>1.0</v>
      </c>
      <c r="AC469" s="24">
        <v>26516.9</v>
      </c>
      <c r="AD469" s="24">
        <v>1688.75</v>
      </c>
      <c r="AE469" s="24">
        <v>295.89</v>
      </c>
      <c r="AF469" s="24">
        <v>138.0</v>
      </c>
      <c r="AG469" s="24">
        <v>267.23</v>
      </c>
      <c r="AH469" s="24">
        <v>0.0</v>
      </c>
      <c r="AI469" s="24">
        <v>542.15</v>
      </c>
      <c r="AJ469" s="24">
        <v>445.48</v>
      </c>
      <c r="AK469" s="15">
        <v>0.0</v>
      </c>
      <c r="AL469" s="16">
        <v>0.0</v>
      </c>
      <c r="AM469" s="16">
        <v>0.0</v>
      </c>
      <c r="AN469" s="16">
        <v>0.0</v>
      </c>
      <c r="AO469" s="16">
        <v>0.0</v>
      </c>
      <c r="AP469" s="16">
        <v>0.0</v>
      </c>
      <c r="AQ469" s="16">
        <v>0.0</v>
      </c>
      <c r="AR469" s="16">
        <v>0.0</v>
      </c>
      <c r="AS469" s="7">
        <v>131041.56</v>
      </c>
      <c r="AT469" s="7">
        <v>0.0</v>
      </c>
      <c r="AU469" s="7">
        <v>46310.73</v>
      </c>
      <c r="AV469" s="7">
        <v>11525.03</v>
      </c>
      <c r="AW469" s="7">
        <v>7518.0</v>
      </c>
      <c r="AX469" s="7">
        <v>5973.28</v>
      </c>
      <c r="AY469" s="7">
        <f t="shared" ref="AY469:AY475" si="961">SUM(AS469:AX469)</f>
        <v>202368.6</v>
      </c>
      <c r="AZ469" s="9">
        <v>0.0</v>
      </c>
      <c r="BA469" s="9">
        <v>0.0</v>
      </c>
      <c r="BB469" s="84">
        <v>0.0</v>
      </c>
      <c r="BC469" s="84">
        <v>0.0</v>
      </c>
    </row>
    <row r="470">
      <c r="A470" s="11">
        <v>2025.0</v>
      </c>
      <c r="B470" s="11" t="s">
        <v>135</v>
      </c>
      <c r="C470" s="12">
        <v>45809.0</v>
      </c>
      <c r="D470" s="44">
        <v>10.0</v>
      </c>
      <c r="E470" s="26">
        <v>377509.43</v>
      </c>
      <c r="F470" s="26">
        <v>25803.57</v>
      </c>
      <c r="G470" s="26">
        <v>3504.01</v>
      </c>
      <c r="H470" s="26">
        <v>1380.0</v>
      </c>
      <c r="I470" s="26">
        <v>1335.09</v>
      </c>
      <c r="J470" s="26">
        <v>638.36</v>
      </c>
      <c r="K470" s="26">
        <v>13242.31</v>
      </c>
      <c r="L470" s="26">
        <v>6342.16</v>
      </c>
      <c r="M470" s="15">
        <v>0.0</v>
      </c>
      <c r="N470" s="16">
        <v>0.0</v>
      </c>
      <c r="O470" s="16">
        <f t="shared" si="949"/>
        <v>0</v>
      </c>
      <c r="P470" s="16">
        <f t="shared" si="950"/>
        <v>0</v>
      </c>
      <c r="Q470" s="16">
        <f t="shared" si="951"/>
        <v>0</v>
      </c>
      <c r="R470" s="67">
        <f t="shared" si="952"/>
        <v>0</v>
      </c>
      <c r="S470" s="17">
        <f t="shared" si="953"/>
        <v>0</v>
      </c>
      <c r="T470" s="17">
        <f t="shared" si="954"/>
        <v>0</v>
      </c>
      <c r="U470" s="86">
        <v>1268.43</v>
      </c>
      <c r="V470" s="18">
        <f t="shared" si="955"/>
        <v>0</v>
      </c>
      <c r="W470" s="7">
        <f t="shared" si="956"/>
        <v>1335.09</v>
      </c>
      <c r="X470" s="69">
        <f t="shared" si="957"/>
        <v>638.36</v>
      </c>
      <c r="Y470" s="7">
        <f t="shared" si="958"/>
        <v>0</v>
      </c>
      <c r="Z470" s="7">
        <f t="shared" si="959"/>
        <v>0</v>
      </c>
      <c r="AA470" s="18">
        <f t="shared" si="960"/>
        <v>3241.88</v>
      </c>
      <c r="AB470" s="56">
        <v>5.0</v>
      </c>
      <c r="AC470" s="24">
        <v>217080.41</v>
      </c>
      <c r="AD470" s="24">
        <v>11367.63</v>
      </c>
      <c r="AE470" s="24">
        <v>1647.76</v>
      </c>
      <c r="AF470" s="24">
        <v>690.0</v>
      </c>
      <c r="AG470" s="24">
        <v>759.18</v>
      </c>
      <c r="AH470" s="24">
        <v>0.0</v>
      </c>
      <c r="AI470" s="24">
        <v>4623.74</v>
      </c>
      <c r="AJ470" s="24">
        <v>3646.95</v>
      </c>
      <c r="AK470" s="15">
        <v>0.0</v>
      </c>
      <c r="AL470" s="16">
        <v>0.0</v>
      </c>
      <c r="AM470" s="16">
        <v>0.0</v>
      </c>
      <c r="AN470" s="16">
        <v>0.0</v>
      </c>
      <c r="AO470" s="16">
        <v>0.0</v>
      </c>
      <c r="AP470" s="16">
        <v>0.0</v>
      </c>
      <c r="AQ470" s="16">
        <v>0.0</v>
      </c>
      <c r="AR470" s="16">
        <v>0.0</v>
      </c>
      <c r="AS470" s="7">
        <v>0.0</v>
      </c>
      <c r="AT470" s="7">
        <v>0.0</v>
      </c>
      <c r="AU470" s="7">
        <v>1000.0</v>
      </c>
      <c r="AV470" s="7">
        <v>0.0</v>
      </c>
      <c r="AW470" s="7">
        <v>0.0</v>
      </c>
      <c r="AX470" s="7">
        <v>0.0</v>
      </c>
      <c r="AY470" s="7">
        <f t="shared" si="961"/>
        <v>1000</v>
      </c>
      <c r="AZ470" s="9">
        <v>0.0</v>
      </c>
      <c r="BA470" s="9">
        <v>0.0</v>
      </c>
      <c r="BB470" s="84">
        <v>0.0</v>
      </c>
      <c r="BC470" s="84">
        <v>0.0</v>
      </c>
    </row>
    <row r="471">
      <c r="A471" s="11">
        <v>2025.0</v>
      </c>
      <c r="B471" s="11" t="s">
        <v>135</v>
      </c>
      <c r="C471" s="12">
        <v>45810.0</v>
      </c>
      <c r="D471" s="44">
        <v>7.0</v>
      </c>
      <c r="E471" s="26">
        <v>402389.76</v>
      </c>
      <c r="F471" s="26">
        <v>22372.44</v>
      </c>
      <c r="G471" s="26">
        <v>2296.06</v>
      </c>
      <c r="H471" s="26">
        <v>966.0</v>
      </c>
      <c r="I471" s="26">
        <v>1615.1</v>
      </c>
      <c r="J471" s="26">
        <v>7527.36</v>
      </c>
      <c r="K471" s="26">
        <v>25576.04</v>
      </c>
      <c r="L471" s="26">
        <v>7232.52</v>
      </c>
      <c r="M471" s="15">
        <v>5.0</v>
      </c>
      <c r="N471" s="16">
        <v>769190.85</v>
      </c>
      <c r="O471" s="16">
        <f t="shared" si="949"/>
        <v>30767.634</v>
      </c>
      <c r="P471" s="16">
        <f t="shared" si="950"/>
        <v>12922.40628</v>
      </c>
      <c r="Q471" s="16">
        <f t="shared" si="951"/>
        <v>4260</v>
      </c>
      <c r="R471" s="67">
        <f t="shared" si="952"/>
        <v>1195.95</v>
      </c>
      <c r="S471" s="17">
        <f t="shared" si="953"/>
        <v>1967.1</v>
      </c>
      <c r="T471" s="17">
        <f t="shared" si="954"/>
        <v>690</v>
      </c>
      <c r="U471" s="86">
        <v>1446.5</v>
      </c>
      <c r="V471" s="18">
        <f t="shared" si="955"/>
        <v>12922.40628</v>
      </c>
      <c r="W471" s="7">
        <f t="shared" si="956"/>
        <v>2811.05</v>
      </c>
      <c r="X471" s="69">
        <f t="shared" si="957"/>
        <v>7527.36</v>
      </c>
      <c r="Y471" s="7">
        <f t="shared" si="958"/>
        <v>30767.634</v>
      </c>
      <c r="Z471" s="7">
        <f t="shared" si="959"/>
        <v>4260</v>
      </c>
      <c r="AA471" s="18">
        <f t="shared" si="960"/>
        <v>59734.95028</v>
      </c>
      <c r="AB471" s="56">
        <v>3.0</v>
      </c>
      <c r="AC471" s="24">
        <v>105161.81</v>
      </c>
      <c r="AD471" s="24">
        <v>5991.24</v>
      </c>
      <c r="AE471" s="24">
        <v>817.75</v>
      </c>
      <c r="AF471" s="24">
        <v>414.0</v>
      </c>
      <c r="AG471" s="24">
        <v>721.47</v>
      </c>
      <c r="AH471" s="24">
        <v>0.0</v>
      </c>
      <c r="AI471" s="24">
        <v>2271.3</v>
      </c>
      <c r="AJ471" s="24">
        <v>1766.72</v>
      </c>
      <c r="AK471" s="15">
        <v>0.0</v>
      </c>
      <c r="AL471" s="16">
        <v>0.0</v>
      </c>
      <c r="AM471" s="16">
        <v>0.0</v>
      </c>
      <c r="AN471" s="16">
        <v>0.0</v>
      </c>
      <c r="AO471" s="16">
        <v>0.0</v>
      </c>
      <c r="AP471" s="16">
        <v>0.0</v>
      </c>
      <c r="AQ471" s="16">
        <v>0.0</v>
      </c>
      <c r="AR471" s="16">
        <v>0.0</v>
      </c>
      <c r="AS471" s="7">
        <v>2185.0</v>
      </c>
      <c r="AT471" s="7">
        <v>0.0</v>
      </c>
      <c r="AU471" s="7">
        <v>2903.0</v>
      </c>
      <c r="AV471" s="7">
        <v>0.0</v>
      </c>
      <c r="AW471" s="7">
        <v>0.0</v>
      </c>
      <c r="AX471" s="7">
        <v>0.0</v>
      </c>
      <c r="AY471" s="7">
        <f t="shared" si="961"/>
        <v>5088</v>
      </c>
      <c r="AZ471" s="9">
        <v>0.0</v>
      </c>
      <c r="BA471" s="9">
        <v>0.0</v>
      </c>
      <c r="BB471" s="84">
        <v>0.0</v>
      </c>
      <c r="BC471" s="84">
        <v>0.0</v>
      </c>
    </row>
    <row r="472">
      <c r="A472" s="11">
        <v>2025.0</v>
      </c>
      <c r="B472" s="11" t="s">
        <v>135</v>
      </c>
      <c r="C472" s="12">
        <v>45811.0</v>
      </c>
      <c r="D472" s="44">
        <v>6.0</v>
      </c>
      <c r="E472" s="26">
        <v>443348.19</v>
      </c>
      <c r="F472" s="26">
        <v>15836.89</v>
      </c>
      <c r="G472" s="26">
        <v>1193.54</v>
      </c>
      <c r="H472" s="26">
        <v>552.0</v>
      </c>
      <c r="I472" s="26">
        <v>727.64</v>
      </c>
      <c r="J472" s="26">
        <v>0.0</v>
      </c>
      <c r="K472" s="26">
        <v>17015.05</v>
      </c>
      <c r="L472" s="26">
        <v>7361.86</v>
      </c>
      <c r="M472" s="15">
        <v>6.0</v>
      </c>
      <c r="N472" s="16">
        <v>643652.8</v>
      </c>
      <c r="O472" s="16">
        <f t="shared" si="949"/>
        <v>25746.112</v>
      </c>
      <c r="P472" s="16">
        <f t="shared" si="950"/>
        <v>10813.36704</v>
      </c>
      <c r="Q472" s="16">
        <f t="shared" si="951"/>
        <v>5112</v>
      </c>
      <c r="R472" s="67">
        <f t="shared" si="952"/>
        <v>1435.14</v>
      </c>
      <c r="S472" s="17">
        <f t="shared" si="953"/>
        <v>2360.52</v>
      </c>
      <c r="T472" s="17">
        <f t="shared" si="954"/>
        <v>828</v>
      </c>
      <c r="U472" s="86">
        <v>1472.37</v>
      </c>
      <c r="V472" s="18">
        <f t="shared" si="955"/>
        <v>10813.36704</v>
      </c>
      <c r="W472" s="7">
        <f t="shared" si="956"/>
        <v>2162.78</v>
      </c>
      <c r="X472" s="69">
        <f t="shared" si="957"/>
        <v>0</v>
      </c>
      <c r="Y472" s="7">
        <f t="shared" si="958"/>
        <v>25746.112</v>
      </c>
      <c r="Z472" s="7">
        <f t="shared" si="959"/>
        <v>5112</v>
      </c>
      <c r="AA472" s="18">
        <f t="shared" si="960"/>
        <v>45306.62904</v>
      </c>
      <c r="AB472" s="56">
        <v>3.0</v>
      </c>
      <c r="AC472" s="24">
        <v>403997.42</v>
      </c>
      <c r="AD472" s="24">
        <v>9811.94</v>
      </c>
      <c r="AE472" s="24">
        <v>523.94</v>
      </c>
      <c r="AF472" s="24">
        <v>276.0</v>
      </c>
      <c r="AG472" s="24">
        <v>528.93</v>
      </c>
      <c r="AH472" s="24">
        <v>0.0</v>
      </c>
      <c r="AI472" s="24">
        <v>1695.91</v>
      </c>
      <c r="AJ472" s="24">
        <v>6787.16</v>
      </c>
      <c r="AK472" s="15">
        <v>0.0</v>
      </c>
      <c r="AL472" s="16">
        <v>0.0</v>
      </c>
      <c r="AM472" s="16">
        <v>0.0</v>
      </c>
      <c r="AN472" s="16">
        <v>0.0</v>
      </c>
      <c r="AO472" s="16">
        <v>0.0</v>
      </c>
      <c r="AP472" s="16">
        <v>0.0</v>
      </c>
      <c r="AQ472" s="16">
        <v>0.0</v>
      </c>
      <c r="AR472" s="16">
        <v>0.0</v>
      </c>
      <c r="AS472" s="7">
        <v>1500.0</v>
      </c>
      <c r="AT472" s="7">
        <v>0.0</v>
      </c>
      <c r="AU472" s="7">
        <v>1800.0</v>
      </c>
      <c r="AV472" s="7">
        <v>0.0</v>
      </c>
      <c r="AW472" s="7">
        <v>0.0</v>
      </c>
      <c r="AX472" s="7">
        <v>0.0</v>
      </c>
      <c r="AY472" s="7">
        <f t="shared" si="961"/>
        <v>3300</v>
      </c>
      <c r="AZ472" s="9">
        <v>0.0</v>
      </c>
      <c r="BA472" s="9">
        <v>0.0</v>
      </c>
      <c r="BB472" s="84">
        <v>4.0</v>
      </c>
      <c r="BC472" s="84">
        <v>0.0</v>
      </c>
    </row>
    <row r="473">
      <c r="A473" s="11">
        <v>2025.0</v>
      </c>
      <c r="B473" s="11" t="s">
        <v>135</v>
      </c>
      <c r="C473" s="12">
        <v>45812.0</v>
      </c>
      <c r="D473" s="44">
        <v>10.0</v>
      </c>
      <c r="E473" s="26">
        <v>455377.06</v>
      </c>
      <c r="F473" s="26">
        <v>24939.95</v>
      </c>
      <c r="G473" s="26">
        <v>3314.29</v>
      </c>
      <c r="H473" s="26">
        <v>1242.0</v>
      </c>
      <c r="I473" s="26">
        <v>1695.58</v>
      </c>
      <c r="J473" s="26">
        <v>238.27</v>
      </c>
      <c r="K473" s="26">
        <v>9800.56</v>
      </c>
      <c r="L473" s="26">
        <v>8887.52</v>
      </c>
      <c r="M473" s="15">
        <v>8.0</v>
      </c>
      <c r="N473" s="16">
        <v>956220.91</v>
      </c>
      <c r="O473" s="16">
        <f t="shared" si="949"/>
        <v>38248.8364</v>
      </c>
      <c r="P473" s="16">
        <f t="shared" si="950"/>
        <v>16064.51129</v>
      </c>
      <c r="Q473" s="16">
        <f t="shared" si="951"/>
        <v>6816</v>
      </c>
      <c r="R473" s="67">
        <f t="shared" si="952"/>
        <v>1913.52</v>
      </c>
      <c r="S473" s="17">
        <f t="shared" si="953"/>
        <v>3147.36</v>
      </c>
      <c r="T473" s="17">
        <f t="shared" si="954"/>
        <v>1104</v>
      </c>
      <c r="U473" s="86">
        <v>1777.5</v>
      </c>
      <c r="V473" s="18">
        <f t="shared" si="955"/>
        <v>16064.51129</v>
      </c>
      <c r="W473" s="7">
        <f t="shared" si="956"/>
        <v>3609.1</v>
      </c>
      <c r="X473" s="69">
        <f t="shared" si="957"/>
        <v>238.27</v>
      </c>
      <c r="Y473" s="7">
        <f t="shared" si="958"/>
        <v>38248.8364</v>
      </c>
      <c r="Z473" s="7">
        <f t="shared" si="959"/>
        <v>6816</v>
      </c>
      <c r="AA473" s="18">
        <f t="shared" si="960"/>
        <v>66754.21769</v>
      </c>
      <c r="AB473" s="56">
        <v>5.0</v>
      </c>
      <c r="AC473" s="24">
        <v>146743.09</v>
      </c>
      <c r="AD473" s="24">
        <v>8803.44</v>
      </c>
      <c r="AE473" s="24">
        <v>1308.81</v>
      </c>
      <c r="AF473" s="24">
        <v>552.0</v>
      </c>
      <c r="AG473" s="24">
        <v>829.78</v>
      </c>
      <c r="AH473" s="24">
        <v>0.0</v>
      </c>
      <c r="AI473" s="24">
        <v>3471.37</v>
      </c>
      <c r="AJ473" s="24">
        <v>2641.48</v>
      </c>
      <c r="AK473" s="15">
        <v>0.0</v>
      </c>
      <c r="AL473" s="16">
        <v>0.0</v>
      </c>
      <c r="AM473" s="16">
        <v>0.0</v>
      </c>
      <c r="AN473" s="16">
        <v>0.0</v>
      </c>
      <c r="AO473" s="16">
        <v>0.0</v>
      </c>
      <c r="AP473" s="16">
        <v>0.0</v>
      </c>
      <c r="AQ473" s="16">
        <v>0.0</v>
      </c>
      <c r="AR473" s="16">
        <v>0.0</v>
      </c>
      <c r="AS473" s="7">
        <v>1284.0</v>
      </c>
      <c r="AT473" s="7">
        <v>0.0</v>
      </c>
      <c r="AU473" s="7">
        <v>1766.0</v>
      </c>
      <c r="AV473" s="7">
        <v>0.0</v>
      </c>
      <c r="AW473" s="7">
        <v>0.0</v>
      </c>
      <c r="AX473" s="7">
        <v>0.0</v>
      </c>
      <c r="AY473" s="7">
        <f t="shared" si="961"/>
        <v>3050</v>
      </c>
      <c r="AZ473" s="9">
        <v>3.0</v>
      </c>
      <c r="BA473" s="9">
        <v>1.0</v>
      </c>
      <c r="BB473" s="84">
        <v>0.0</v>
      </c>
      <c r="BC473" s="84">
        <v>0.0</v>
      </c>
    </row>
    <row r="474">
      <c r="A474" s="11">
        <v>2025.0</v>
      </c>
      <c r="B474" s="11" t="s">
        <v>135</v>
      </c>
      <c r="C474" s="12">
        <v>45813.0</v>
      </c>
      <c r="D474" s="44">
        <v>10.0</v>
      </c>
      <c r="E474" s="26">
        <v>455081.69</v>
      </c>
      <c r="F474" s="26">
        <v>24689.33</v>
      </c>
      <c r="G474" s="26">
        <v>3399.59</v>
      </c>
      <c r="H474" s="26">
        <v>1242.0</v>
      </c>
      <c r="I474" s="26">
        <v>1461.18</v>
      </c>
      <c r="J474" s="26">
        <v>338.48</v>
      </c>
      <c r="K474" s="26">
        <v>10855.66</v>
      </c>
      <c r="L474" s="26">
        <v>7730.9</v>
      </c>
      <c r="M474" s="15">
        <v>8.0</v>
      </c>
      <c r="N474" s="16">
        <v>1004401.36</v>
      </c>
      <c r="O474" s="16">
        <f t="shared" si="949"/>
        <v>40176.0544</v>
      </c>
      <c r="P474" s="16">
        <f t="shared" si="950"/>
        <v>16873.94285</v>
      </c>
      <c r="Q474" s="16">
        <f t="shared" si="951"/>
        <v>6816</v>
      </c>
      <c r="R474" s="67">
        <f t="shared" si="952"/>
        <v>1913.52</v>
      </c>
      <c r="S474" s="17">
        <f t="shared" si="953"/>
        <v>3147.36</v>
      </c>
      <c r="T474" s="17">
        <f t="shared" si="954"/>
        <v>1104</v>
      </c>
      <c r="U474" s="86">
        <v>1546.18</v>
      </c>
      <c r="V474" s="18">
        <f t="shared" si="955"/>
        <v>16873.94285</v>
      </c>
      <c r="W474" s="7">
        <f t="shared" si="956"/>
        <v>3374.7</v>
      </c>
      <c r="X474" s="69">
        <f t="shared" si="957"/>
        <v>338.48</v>
      </c>
      <c r="Y474" s="7">
        <f t="shared" si="958"/>
        <v>40176.0544</v>
      </c>
      <c r="Z474" s="7">
        <f t="shared" si="959"/>
        <v>6816</v>
      </c>
      <c r="AA474" s="18">
        <f t="shared" si="960"/>
        <v>69125.35725</v>
      </c>
      <c r="AB474" s="56">
        <v>3.0</v>
      </c>
      <c r="AC474" s="24">
        <v>198841.23</v>
      </c>
      <c r="AD474" s="24">
        <v>10297.31</v>
      </c>
      <c r="AE474" s="24">
        <v>1322.54</v>
      </c>
      <c r="AF474" s="24">
        <v>414.0</v>
      </c>
      <c r="AG474" s="24">
        <v>298.86</v>
      </c>
      <c r="AH474" s="24">
        <v>0.0</v>
      </c>
      <c r="AI474" s="24">
        <v>4921.38</v>
      </c>
      <c r="AJ474" s="24">
        <v>3340.53</v>
      </c>
      <c r="AK474" s="15">
        <v>2.0</v>
      </c>
      <c r="AL474" s="16">
        <v>201839.33</v>
      </c>
      <c r="AM474" s="16">
        <v>7633.0</v>
      </c>
      <c r="AN474" s="16">
        <v>3398.0</v>
      </c>
      <c r="AO474" s="16">
        <v>1650.0</v>
      </c>
      <c r="AP474" s="16">
        <v>1001.0</v>
      </c>
      <c r="AQ474" s="16">
        <v>1357.33</v>
      </c>
      <c r="AR474" s="16">
        <v>0.0</v>
      </c>
      <c r="AS474" s="7">
        <v>2322.3</v>
      </c>
      <c r="AT474" s="7">
        <v>0.0</v>
      </c>
      <c r="AU474" s="7">
        <v>0.0</v>
      </c>
      <c r="AV474" s="7">
        <v>0.0</v>
      </c>
      <c r="AW474" s="7">
        <v>0.0</v>
      </c>
      <c r="AX474" s="7">
        <v>0.0</v>
      </c>
      <c r="AY474" s="7">
        <f t="shared" si="961"/>
        <v>2322.3</v>
      </c>
      <c r="AZ474" s="9">
        <v>0.0</v>
      </c>
      <c r="BA474" s="9">
        <v>0.0</v>
      </c>
      <c r="BB474" s="84">
        <v>0.0</v>
      </c>
      <c r="BC474" s="84">
        <v>0.0</v>
      </c>
    </row>
    <row r="475">
      <c r="A475" s="11">
        <v>2025.0</v>
      </c>
      <c r="B475" s="11" t="s">
        <v>135</v>
      </c>
      <c r="C475" s="12">
        <v>45814.0</v>
      </c>
      <c r="D475" s="44">
        <v>10.0</v>
      </c>
      <c r="E475" s="26">
        <v>266807.23</v>
      </c>
      <c r="F475" s="26">
        <v>16387.1</v>
      </c>
      <c r="G475" s="26">
        <v>2348.37</v>
      </c>
      <c r="H475" s="26">
        <v>1242.0</v>
      </c>
      <c r="I475" s="26">
        <v>1049.64</v>
      </c>
      <c r="J475" s="26">
        <v>1336.67</v>
      </c>
      <c r="K475" s="26">
        <v>9391.37</v>
      </c>
      <c r="L475" s="26">
        <v>4482.36</v>
      </c>
      <c r="M475" s="15">
        <v>6.0</v>
      </c>
      <c r="N475" s="16">
        <v>917793.78</v>
      </c>
      <c r="O475" s="16">
        <f t="shared" si="949"/>
        <v>36711.7512</v>
      </c>
      <c r="P475" s="16">
        <f t="shared" si="950"/>
        <v>15418.9355</v>
      </c>
      <c r="Q475" s="16">
        <f t="shared" si="951"/>
        <v>5112</v>
      </c>
      <c r="R475" s="67">
        <f t="shared" si="952"/>
        <v>1435.14</v>
      </c>
      <c r="S475" s="17">
        <f t="shared" si="953"/>
        <v>2360.52</v>
      </c>
      <c r="T475" s="17">
        <f t="shared" si="954"/>
        <v>828</v>
      </c>
      <c r="U475" s="86">
        <v>896.47</v>
      </c>
      <c r="V475" s="18">
        <f t="shared" si="955"/>
        <v>15418.9355</v>
      </c>
      <c r="W475" s="7">
        <f t="shared" si="956"/>
        <v>2484.78</v>
      </c>
      <c r="X475" s="69">
        <f t="shared" si="957"/>
        <v>1336.67</v>
      </c>
      <c r="Y475" s="7">
        <f t="shared" si="958"/>
        <v>36711.7512</v>
      </c>
      <c r="Z475" s="7">
        <f t="shared" si="959"/>
        <v>5112</v>
      </c>
      <c r="AA475" s="18">
        <f t="shared" si="960"/>
        <v>61960.6067</v>
      </c>
      <c r="AB475" s="56">
        <v>6.0</v>
      </c>
      <c r="AC475" s="24">
        <v>155919.54</v>
      </c>
      <c r="AD475" s="24">
        <v>9927.99</v>
      </c>
      <c r="AE475" s="24">
        <v>1565.58</v>
      </c>
      <c r="AF475" s="24">
        <v>828.0</v>
      </c>
      <c r="AG475" s="24">
        <v>955.08</v>
      </c>
      <c r="AH475" s="24">
        <v>0.0</v>
      </c>
      <c r="AI475" s="24">
        <v>3959.88</v>
      </c>
      <c r="AJ475" s="24">
        <v>2619.45</v>
      </c>
      <c r="AK475" s="15">
        <v>1.0</v>
      </c>
      <c r="AL475" s="16">
        <v>252199.0</v>
      </c>
      <c r="AM475" s="16">
        <v>9537.0</v>
      </c>
      <c r="AN475" s="16">
        <v>4244.0</v>
      </c>
      <c r="AO475" s="16">
        <v>850.0</v>
      </c>
      <c r="AP475" s="16">
        <v>737.34</v>
      </c>
      <c r="AQ475" s="16">
        <v>980.66</v>
      </c>
      <c r="AR475" s="16">
        <v>0.0</v>
      </c>
      <c r="AS475" s="7">
        <v>0.0</v>
      </c>
      <c r="AT475" s="7">
        <v>0.0</v>
      </c>
      <c r="AU475" s="7">
        <v>0.0</v>
      </c>
      <c r="AV475" s="7">
        <v>0.0</v>
      </c>
      <c r="AW475" s="7">
        <v>0.0</v>
      </c>
      <c r="AX475" s="7">
        <v>0.0</v>
      </c>
      <c r="AY475" s="7">
        <f t="shared" si="961"/>
        <v>0</v>
      </c>
      <c r="AZ475" s="9">
        <v>0.0</v>
      </c>
      <c r="BA475" s="9">
        <v>0.0</v>
      </c>
      <c r="BB475" s="84">
        <v>1.0</v>
      </c>
      <c r="BC475" s="84">
        <v>0.0</v>
      </c>
    </row>
    <row r="476">
      <c r="A476" s="11">
        <v>2025.0</v>
      </c>
      <c r="B476" s="11" t="s">
        <v>135</v>
      </c>
      <c r="C476" s="1"/>
      <c r="D476" s="2">
        <v>94.0</v>
      </c>
      <c r="E476" s="2"/>
      <c r="F476" s="59" t="s">
        <v>141</v>
      </c>
      <c r="G476" s="2"/>
      <c r="H476" s="33"/>
      <c r="I476" s="33"/>
      <c r="J476" s="33"/>
      <c r="K476" s="33"/>
      <c r="L476" s="33"/>
      <c r="M476" s="4">
        <v>20.0</v>
      </c>
      <c r="N476" s="51">
        <v>2477216.02</v>
      </c>
      <c r="O476" s="35"/>
      <c r="P476" s="35"/>
      <c r="Q476" s="35"/>
      <c r="R476" s="35"/>
      <c r="S476" s="35"/>
      <c r="T476" s="35"/>
      <c r="U476" s="37"/>
      <c r="V476" s="48"/>
      <c r="W476" s="48"/>
      <c r="X476" s="37"/>
      <c r="Y476" s="48"/>
      <c r="Z476" s="48"/>
      <c r="AA476" s="48"/>
      <c r="AB476" s="2"/>
      <c r="AC476" s="33"/>
      <c r="AD476" s="2"/>
      <c r="AE476" s="33"/>
      <c r="AF476" s="33"/>
      <c r="AG476" s="33"/>
      <c r="AH476" s="33"/>
      <c r="AI476" s="33"/>
      <c r="AJ476" s="33"/>
      <c r="AK476" s="4">
        <v>0.0</v>
      </c>
      <c r="AL476" s="4">
        <v>0.0</v>
      </c>
      <c r="AM476" s="35"/>
      <c r="AN476" s="35"/>
      <c r="AO476" s="35"/>
      <c r="AP476" s="35"/>
      <c r="AQ476" s="35"/>
      <c r="AR476" s="35"/>
      <c r="AS476" s="37"/>
      <c r="AT476" s="48"/>
      <c r="AU476" s="48"/>
      <c r="AV476" s="48"/>
      <c r="AW476" s="48"/>
      <c r="AX476" s="48"/>
      <c r="AY476" s="48"/>
      <c r="AZ476" s="38"/>
      <c r="BA476" s="39"/>
      <c r="BB476" s="85"/>
      <c r="BC476" s="85"/>
    </row>
    <row r="477">
      <c r="A477" s="1">
        <v>2025.0</v>
      </c>
      <c r="B477" s="11" t="s">
        <v>135</v>
      </c>
      <c r="C477" s="1" t="s">
        <v>49</v>
      </c>
      <c r="D477" s="33">
        <f t="shared" ref="D477:F477" si="962">SUM(D469:D475)</f>
        <v>58</v>
      </c>
      <c r="E477" s="34">
        <f t="shared" si="962"/>
        <v>2557478.39</v>
      </c>
      <c r="F477" s="34">
        <f t="shared" si="962"/>
        <v>138276.76</v>
      </c>
      <c r="G477" s="34">
        <f>SUM(G469:G476)</f>
        <v>17134.54</v>
      </c>
      <c r="H477" s="34">
        <f t="shared" ref="H477:L477" si="963">SUM(H469:H475)</f>
        <v>7314</v>
      </c>
      <c r="I477" s="34">
        <f t="shared" si="963"/>
        <v>9077.22</v>
      </c>
      <c r="J477" s="34">
        <f t="shared" si="963"/>
        <v>10079.14</v>
      </c>
      <c r="K477" s="34">
        <f t="shared" si="963"/>
        <v>88529.79</v>
      </c>
      <c r="L477" s="34">
        <f t="shared" si="963"/>
        <v>44674.33</v>
      </c>
      <c r="M477" s="35">
        <f t="shared" ref="M477:N477" si="964">SUM(M469:M476)</f>
        <v>53</v>
      </c>
      <c r="N477" s="36">
        <f t="shared" si="964"/>
        <v>6768475.72</v>
      </c>
      <c r="O477" s="36">
        <f t="shared" ref="O477:AA477" si="965">SUM(O469:O475)</f>
        <v>171650.388</v>
      </c>
      <c r="P477" s="36">
        <f t="shared" si="965"/>
        <v>72093.16296</v>
      </c>
      <c r="Q477" s="36">
        <f t="shared" si="965"/>
        <v>28116</v>
      </c>
      <c r="R477" s="70">
        <f t="shared" si="965"/>
        <v>7893.27</v>
      </c>
      <c r="S477" s="36">
        <f t="shared" si="965"/>
        <v>12982.86</v>
      </c>
      <c r="T477" s="36">
        <f t="shared" si="965"/>
        <v>4554</v>
      </c>
      <c r="U477" s="37">
        <f t="shared" si="965"/>
        <v>8934.85</v>
      </c>
      <c r="V477" s="37">
        <f t="shared" si="965"/>
        <v>72093.16296</v>
      </c>
      <c r="W477" s="37">
        <f t="shared" si="965"/>
        <v>16970.49</v>
      </c>
      <c r="X477" s="37">
        <f t="shared" si="965"/>
        <v>10079.14</v>
      </c>
      <c r="Y477" s="37">
        <f t="shared" si="965"/>
        <v>171650.388</v>
      </c>
      <c r="Z477" s="37">
        <f t="shared" si="965"/>
        <v>28116</v>
      </c>
      <c r="AA477" s="37">
        <f t="shared" si="965"/>
        <v>307844.031</v>
      </c>
      <c r="AB477" s="33">
        <f>SUM(AB469:AB476)</f>
        <v>26</v>
      </c>
      <c r="AC477" s="34">
        <f t="shared" ref="AC477:AJ477" si="966">SUM(AC469:AC475)</f>
        <v>1254260.4</v>
      </c>
      <c r="AD477" s="34">
        <f t="shared" si="966"/>
        <v>57888.3</v>
      </c>
      <c r="AE477" s="34">
        <f t="shared" si="966"/>
        <v>7482.27</v>
      </c>
      <c r="AF477" s="34">
        <f t="shared" si="966"/>
        <v>3312</v>
      </c>
      <c r="AG477" s="34">
        <f t="shared" si="966"/>
        <v>4360.53</v>
      </c>
      <c r="AH477" s="34">
        <f t="shared" si="966"/>
        <v>0</v>
      </c>
      <c r="AI477" s="34">
        <f t="shared" si="966"/>
        <v>21485.73</v>
      </c>
      <c r="AJ477" s="34">
        <f t="shared" si="966"/>
        <v>21247.77</v>
      </c>
      <c r="AK477" s="35">
        <f t="shared" ref="AK477:AL477" si="967">SUM(AK469:AK476)</f>
        <v>3</v>
      </c>
      <c r="AL477" s="36">
        <f t="shared" si="967"/>
        <v>454038.33</v>
      </c>
      <c r="AM477" s="36">
        <f t="shared" ref="AM477:BC477" si="968">SUM(AM469:AM475)</f>
        <v>17170</v>
      </c>
      <c r="AN477" s="36">
        <f t="shared" si="968"/>
        <v>7642</v>
      </c>
      <c r="AO477" s="36">
        <f t="shared" si="968"/>
        <v>2500</v>
      </c>
      <c r="AP477" s="36">
        <f t="shared" si="968"/>
        <v>1738.34</v>
      </c>
      <c r="AQ477" s="36">
        <f t="shared" si="968"/>
        <v>2337.99</v>
      </c>
      <c r="AR477" s="36">
        <f t="shared" si="968"/>
        <v>0</v>
      </c>
      <c r="AS477" s="37">
        <f t="shared" si="968"/>
        <v>138332.86</v>
      </c>
      <c r="AT477" s="37">
        <f t="shared" si="968"/>
        <v>0</v>
      </c>
      <c r="AU477" s="37">
        <f t="shared" si="968"/>
        <v>53779.73</v>
      </c>
      <c r="AV477" s="37">
        <f t="shared" si="968"/>
        <v>11525.03</v>
      </c>
      <c r="AW477" s="37">
        <f t="shared" si="968"/>
        <v>7518</v>
      </c>
      <c r="AX477" s="37">
        <f t="shared" si="968"/>
        <v>5973.28</v>
      </c>
      <c r="AY477" s="37">
        <f t="shared" si="968"/>
        <v>217128.9</v>
      </c>
      <c r="AZ477" s="38">
        <f t="shared" si="968"/>
        <v>3</v>
      </c>
      <c r="BA477" s="39">
        <f t="shared" si="968"/>
        <v>1</v>
      </c>
      <c r="BB477" s="85">
        <f t="shared" si="968"/>
        <v>5</v>
      </c>
      <c r="BC477" s="85">
        <f t="shared" si="968"/>
        <v>0</v>
      </c>
    </row>
    <row r="478">
      <c r="A478" s="11">
        <v>2025.0</v>
      </c>
      <c r="B478" s="11" t="s">
        <v>135</v>
      </c>
      <c r="C478" s="12">
        <v>45815.0</v>
      </c>
      <c r="D478" s="44">
        <v>17.0</v>
      </c>
      <c r="E478" s="26">
        <v>675550.34</v>
      </c>
      <c r="F478" s="26">
        <v>39147.32</v>
      </c>
      <c r="G478" s="26">
        <v>5417.92</v>
      </c>
      <c r="H478" s="26">
        <v>2346.0</v>
      </c>
      <c r="I478" s="26">
        <v>3180.3</v>
      </c>
      <c r="J478" s="26">
        <v>1587.03</v>
      </c>
      <c r="K478" s="26">
        <v>16555.0</v>
      </c>
      <c r="L478" s="26">
        <v>13769.24</v>
      </c>
      <c r="M478" s="15">
        <v>0.0</v>
      </c>
      <c r="N478" s="16">
        <v>0.0</v>
      </c>
      <c r="O478" s="16">
        <f t="shared" ref="O478:O484" si="969">N478*4%</f>
        <v>0</v>
      </c>
      <c r="P478" s="16">
        <f t="shared" ref="P478:P484" si="970">N478*1.68%</f>
        <v>0</v>
      </c>
      <c r="Q478" s="16">
        <f t="shared" ref="Q478:Q484" si="971">M478*(400+350+100+2)</f>
        <v>0</v>
      </c>
      <c r="R478" s="67">
        <f t="shared" ref="R478:R484" si="972">M478*239.19</f>
        <v>0</v>
      </c>
      <c r="S478" s="17">
        <f t="shared" ref="S478:S484" si="973">M478*393.42</f>
        <v>0</v>
      </c>
      <c r="T478" s="17">
        <f t="shared" ref="T478:T484" si="974">M478*138</f>
        <v>0</v>
      </c>
      <c r="U478" s="86">
        <v>2753.85</v>
      </c>
      <c r="V478" s="18">
        <f t="shared" ref="V478:V484" si="975">P478</f>
        <v>0</v>
      </c>
      <c r="W478" s="7">
        <f t="shared" ref="W478:W484" si="976">I478+R478</f>
        <v>3180.3</v>
      </c>
      <c r="X478" s="69">
        <f t="shared" ref="X478:X484" si="977">J478</f>
        <v>1587.03</v>
      </c>
      <c r="Y478" s="7">
        <f t="shared" ref="Y478:Y484" si="978">O478</f>
        <v>0</v>
      </c>
      <c r="Z478" s="7">
        <f t="shared" ref="Z478:Z484" si="979">Q478</f>
        <v>0</v>
      </c>
      <c r="AA478" s="18">
        <f t="shared" ref="AA478:AA484" si="980">SUM(U478:Z478)</f>
        <v>7521.18</v>
      </c>
      <c r="AB478" s="56">
        <v>5.0</v>
      </c>
      <c r="AC478" s="24">
        <v>226570.43</v>
      </c>
      <c r="AD478" s="24">
        <v>10966.85</v>
      </c>
      <c r="AE478" s="24">
        <v>1503.99</v>
      </c>
      <c r="AF478" s="24">
        <v>690.0</v>
      </c>
      <c r="AG478" s="24">
        <v>1048.5</v>
      </c>
      <c r="AH478" s="24">
        <v>0.0</v>
      </c>
      <c r="AI478" s="24">
        <v>3917.98</v>
      </c>
      <c r="AJ478" s="24">
        <v>3806.38</v>
      </c>
      <c r="AK478" s="15">
        <v>0.0</v>
      </c>
      <c r="AL478" s="16">
        <v>0.0</v>
      </c>
      <c r="AM478" s="16">
        <v>0.0</v>
      </c>
      <c r="AN478" s="16">
        <v>0.0</v>
      </c>
      <c r="AO478" s="16">
        <v>0.0</v>
      </c>
      <c r="AP478" s="16">
        <v>0.0</v>
      </c>
      <c r="AQ478" s="16">
        <v>0.0</v>
      </c>
      <c r="AR478" s="16">
        <v>0.0</v>
      </c>
      <c r="AS478" s="7">
        <v>0.0</v>
      </c>
      <c r="AT478" s="7">
        <v>0.0</v>
      </c>
      <c r="AU478" s="7">
        <v>0.0</v>
      </c>
      <c r="AV478" s="7">
        <v>0.0</v>
      </c>
      <c r="AW478" s="7">
        <v>0.0</v>
      </c>
      <c r="AX478" s="7">
        <v>0.0</v>
      </c>
      <c r="AY478" s="7">
        <f t="shared" ref="AY478:AY484" si="981">SUM(AS478:AX478)</f>
        <v>0</v>
      </c>
      <c r="AZ478" s="9">
        <v>0.0</v>
      </c>
      <c r="BA478" s="9">
        <v>0.0</v>
      </c>
      <c r="BB478" s="84">
        <v>0.0</v>
      </c>
      <c r="BC478" s="84">
        <v>0.0</v>
      </c>
    </row>
    <row r="479">
      <c r="A479" s="11">
        <v>2025.0</v>
      </c>
      <c r="B479" s="11" t="s">
        <v>135</v>
      </c>
      <c r="C479" s="12">
        <v>45816.0</v>
      </c>
      <c r="D479" s="44">
        <v>10.0</v>
      </c>
      <c r="E479" s="26">
        <v>335946.9</v>
      </c>
      <c r="F479" s="26">
        <v>19098.0</v>
      </c>
      <c r="G479" s="26">
        <v>2814.97</v>
      </c>
      <c r="H479" s="26">
        <v>1380.0</v>
      </c>
      <c r="I479" s="26">
        <v>1698.55</v>
      </c>
      <c r="J479" s="26">
        <v>0.0</v>
      </c>
      <c r="K479" s="26">
        <v>7097.71</v>
      </c>
      <c r="L479" s="26">
        <v>6106.77</v>
      </c>
      <c r="M479" s="15">
        <v>0.0</v>
      </c>
      <c r="N479" s="16">
        <v>0.0</v>
      </c>
      <c r="O479" s="16">
        <f t="shared" si="969"/>
        <v>0</v>
      </c>
      <c r="P479" s="16">
        <f t="shared" si="970"/>
        <v>0</v>
      </c>
      <c r="Q479" s="16">
        <f t="shared" si="971"/>
        <v>0</v>
      </c>
      <c r="R479" s="67">
        <f t="shared" si="972"/>
        <v>0</v>
      </c>
      <c r="S479" s="17">
        <f t="shared" si="973"/>
        <v>0</v>
      </c>
      <c r="T479" s="17">
        <f t="shared" si="974"/>
        <v>0</v>
      </c>
      <c r="U479" s="86">
        <v>1221.35</v>
      </c>
      <c r="V479" s="18">
        <f t="shared" si="975"/>
        <v>0</v>
      </c>
      <c r="W479" s="7">
        <f t="shared" si="976"/>
        <v>1698.55</v>
      </c>
      <c r="X479" s="69">
        <f t="shared" si="977"/>
        <v>0</v>
      </c>
      <c r="Y479" s="7">
        <f t="shared" si="978"/>
        <v>0</v>
      </c>
      <c r="Z479" s="7">
        <f t="shared" si="979"/>
        <v>0</v>
      </c>
      <c r="AA479" s="18">
        <f t="shared" si="980"/>
        <v>2919.9</v>
      </c>
      <c r="AB479" s="56">
        <v>5.0</v>
      </c>
      <c r="AC479" s="24">
        <v>165421.88</v>
      </c>
      <c r="AD479" s="24">
        <v>9524.01</v>
      </c>
      <c r="AE479" s="24">
        <v>1506.16</v>
      </c>
      <c r="AF479" s="24">
        <v>690.0</v>
      </c>
      <c r="AG479" s="24">
        <v>910.04</v>
      </c>
      <c r="AH479" s="24">
        <v>0.0</v>
      </c>
      <c r="AI479" s="24">
        <v>3180.6</v>
      </c>
      <c r="AJ479" s="24">
        <v>3237.21</v>
      </c>
      <c r="AK479" s="15">
        <v>0.0</v>
      </c>
      <c r="AL479" s="16">
        <v>0.0</v>
      </c>
      <c r="AM479" s="16">
        <v>0.0</v>
      </c>
      <c r="AN479" s="16">
        <v>0.0</v>
      </c>
      <c r="AO479" s="16">
        <v>0.0</v>
      </c>
      <c r="AP479" s="16">
        <v>0.0</v>
      </c>
      <c r="AQ479" s="16">
        <v>0.0</v>
      </c>
      <c r="AR479" s="16">
        <v>0.0</v>
      </c>
      <c r="AS479" s="7">
        <v>0.0</v>
      </c>
      <c r="AT479" s="7">
        <v>0.0</v>
      </c>
      <c r="AU479" s="7">
        <v>0.0</v>
      </c>
      <c r="AV479" s="7">
        <v>0.0</v>
      </c>
      <c r="AW479" s="7">
        <v>0.0</v>
      </c>
      <c r="AX479" s="7">
        <v>0.0</v>
      </c>
      <c r="AY479" s="7">
        <f t="shared" si="981"/>
        <v>0</v>
      </c>
      <c r="AZ479" s="9">
        <v>0.0</v>
      </c>
      <c r="BA479" s="9">
        <v>0.0</v>
      </c>
      <c r="BB479" s="84">
        <v>0.0</v>
      </c>
      <c r="BC479" s="84">
        <v>0.0</v>
      </c>
    </row>
    <row r="480">
      <c r="A480" s="11">
        <v>2025.0</v>
      </c>
      <c r="B480" s="11" t="s">
        <v>135</v>
      </c>
      <c r="C480" s="12">
        <v>45817.0</v>
      </c>
      <c r="D480" s="44">
        <v>8.0</v>
      </c>
      <c r="E480" s="26">
        <v>516169.26</v>
      </c>
      <c r="F480" s="26">
        <v>25523.5</v>
      </c>
      <c r="G480" s="26">
        <v>3231.89</v>
      </c>
      <c r="H480" s="26">
        <v>828.0</v>
      </c>
      <c r="I480" s="26">
        <v>1492.64</v>
      </c>
      <c r="J480" s="26">
        <v>5177.4</v>
      </c>
      <c r="K480" s="26">
        <v>15725.21</v>
      </c>
      <c r="L480" s="26">
        <v>11205.73</v>
      </c>
      <c r="M480" s="15">
        <v>0.0</v>
      </c>
      <c r="N480" s="16">
        <v>0.0</v>
      </c>
      <c r="O480" s="16">
        <f t="shared" si="969"/>
        <v>0</v>
      </c>
      <c r="P480" s="16">
        <f t="shared" si="970"/>
        <v>0</v>
      </c>
      <c r="Q480" s="16">
        <f t="shared" si="971"/>
        <v>0</v>
      </c>
      <c r="R480" s="67">
        <f t="shared" si="972"/>
        <v>0</v>
      </c>
      <c r="S480" s="17">
        <f t="shared" si="973"/>
        <v>0</v>
      </c>
      <c r="T480" s="17">
        <f t="shared" si="974"/>
        <v>0</v>
      </c>
      <c r="U480" s="86">
        <v>2241.15</v>
      </c>
      <c r="V480" s="18">
        <f t="shared" si="975"/>
        <v>0</v>
      </c>
      <c r="W480" s="7">
        <f t="shared" si="976"/>
        <v>1492.64</v>
      </c>
      <c r="X480" s="69">
        <f t="shared" si="977"/>
        <v>5177.4</v>
      </c>
      <c r="Y480" s="7">
        <f t="shared" si="978"/>
        <v>0</v>
      </c>
      <c r="Z480" s="7">
        <f t="shared" si="979"/>
        <v>0</v>
      </c>
      <c r="AA480" s="18">
        <f t="shared" si="980"/>
        <v>8911.19</v>
      </c>
      <c r="AB480" s="56">
        <v>3.0</v>
      </c>
      <c r="AC480" s="24">
        <v>259903.58</v>
      </c>
      <c r="AD480" s="24">
        <v>8987.55</v>
      </c>
      <c r="AE480" s="24">
        <v>880.89</v>
      </c>
      <c r="AF480" s="24">
        <v>138.0</v>
      </c>
      <c r="AG480" s="24">
        <v>234.7</v>
      </c>
      <c r="AH480" s="24">
        <v>0.0</v>
      </c>
      <c r="AI480" s="24">
        <v>3055.38</v>
      </c>
      <c r="AJ480" s="24">
        <v>4678.58</v>
      </c>
      <c r="AK480" s="15">
        <v>2.0</v>
      </c>
      <c r="AL480" s="16">
        <v>87712.52</v>
      </c>
      <c r="AM480" s="16">
        <v>3411.0</v>
      </c>
      <c r="AN480" s="16">
        <v>2197.8</v>
      </c>
      <c r="AO480" s="16">
        <v>1850.0</v>
      </c>
      <c r="AP480" s="16">
        <v>865.34</v>
      </c>
      <c r="AQ480" s="16">
        <v>596.27</v>
      </c>
      <c r="AR480" s="16">
        <v>0.0</v>
      </c>
      <c r="AS480" s="86">
        <f>34440.97-AT480</f>
        <v>32243.17</v>
      </c>
      <c r="AT480" s="86">
        <v>2197.8</v>
      </c>
      <c r="AU480" s="86">
        <v>4717.17</v>
      </c>
      <c r="AV480" s="86">
        <v>3089.83</v>
      </c>
      <c r="AW480" s="86">
        <v>3411.0</v>
      </c>
      <c r="AX480" s="86">
        <v>5026.71</v>
      </c>
      <c r="AY480" s="7">
        <f t="shared" si="981"/>
        <v>50685.68</v>
      </c>
      <c r="AZ480" s="9">
        <v>0.0</v>
      </c>
      <c r="BA480" s="9">
        <v>0.0</v>
      </c>
      <c r="BB480" s="84">
        <v>0.0</v>
      </c>
      <c r="BC480" s="84">
        <v>0.0</v>
      </c>
    </row>
    <row r="481">
      <c r="A481" s="11">
        <v>2025.0</v>
      </c>
      <c r="B481" s="11" t="s">
        <v>135</v>
      </c>
      <c r="C481" s="12">
        <v>45818.0</v>
      </c>
      <c r="D481" s="44">
        <v>6.0</v>
      </c>
      <c r="E481" s="26">
        <v>384138.14</v>
      </c>
      <c r="F481" s="26">
        <v>19011.86</v>
      </c>
      <c r="G481" s="26">
        <v>2368.04</v>
      </c>
      <c r="H481" s="26">
        <v>828.0</v>
      </c>
      <c r="I481" s="26">
        <v>1402.45</v>
      </c>
      <c r="J481" s="26">
        <v>2387.22</v>
      </c>
      <c r="K481" s="26">
        <v>7385.14</v>
      </c>
      <c r="L481" s="26">
        <v>7028.23</v>
      </c>
      <c r="M481" s="15">
        <v>3.0</v>
      </c>
      <c r="N481" s="16">
        <v>528670.85</v>
      </c>
      <c r="O481" s="16">
        <f t="shared" si="969"/>
        <v>21146.834</v>
      </c>
      <c r="P481" s="16">
        <f t="shared" si="970"/>
        <v>8881.67028</v>
      </c>
      <c r="Q481" s="16">
        <f t="shared" si="971"/>
        <v>2556</v>
      </c>
      <c r="R481" s="67">
        <f t="shared" si="972"/>
        <v>717.57</v>
      </c>
      <c r="S481" s="17">
        <f t="shared" si="973"/>
        <v>1180.26</v>
      </c>
      <c r="T481" s="17">
        <f t="shared" si="974"/>
        <v>414</v>
      </c>
      <c r="U481" s="86">
        <v>1405.65</v>
      </c>
      <c r="V481" s="18">
        <f t="shared" si="975"/>
        <v>8881.67028</v>
      </c>
      <c r="W481" s="7">
        <f t="shared" si="976"/>
        <v>2120.02</v>
      </c>
      <c r="X481" s="69">
        <f t="shared" si="977"/>
        <v>2387.22</v>
      </c>
      <c r="Y481" s="7">
        <f t="shared" si="978"/>
        <v>21146.834</v>
      </c>
      <c r="Z481" s="7">
        <f t="shared" si="979"/>
        <v>2556</v>
      </c>
      <c r="AA481" s="18">
        <f t="shared" si="980"/>
        <v>38497.39428</v>
      </c>
      <c r="AB481" s="56">
        <v>2.0</v>
      </c>
      <c r="AC481" s="24">
        <v>43275.71</v>
      </c>
      <c r="AD481" s="24">
        <v>4092.37</v>
      </c>
      <c r="AE481" s="24">
        <v>803.4</v>
      </c>
      <c r="AF481" s="24">
        <v>276.0</v>
      </c>
      <c r="AG481" s="24">
        <v>376.63</v>
      </c>
      <c r="AH481" s="24">
        <v>0.0</v>
      </c>
      <c r="AI481" s="24">
        <v>1340.48</v>
      </c>
      <c r="AJ481" s="24">
        <v>1295.86</v>
      </c>
      <c r="AK481" s="15">
        <v>0.0</v>
      </c>
      <c r="AL481" s="16">
        <v>0.0</v>
      </c>
      <c r="AM481" s="16">
        <v>0.0</v>
      </c>
      <c r="AN481" s="16">
        <v>0.0</v>
      </c>
      <c r="AO481" s="16">
        <v>0.0</v>
      </c>
      <c r="AP481" s="16">
        <v>0.0</v>
      </c>
      <c r="AQ481" s="16">
        <v>0.0</v>
      </c>
      <c r="AR481" s="16">
        <v>0.0</v>
      </c>
      <c r="AS481" s="86">
        <v>25009.91</v>
      </c>
      <c r="AT481" s="7">
        <v>0.0</v>
      </c>
      <c r="AU481" s="86">
        <v>11021.75</v>
      </c>
      <c r="AV481" s="86">
        <v>10722.8</v>
      </c>
      <c r="AW481" s="7">
        <v>0.0</v>
      </c>
      <c r="AX481" s="86">
        <v>106.57</v>
      </c>
      <c r="AY481" s="7">
        <f t="shared" si="981"/>
        <v>46861.03</v>
      </c>
      <c r="AZ481" s="9">
        <v>1.0</v>
      </c>
      <c r="BA481" s="9">
        <v>1.0</v>
      </c>
      <c r="BB481" s="84">
        <v>0.0</v>
      </c>
      <c r="BC481" s="84">
        <v>0.0</v>
      </c>
    </row>
    <row r="482">
      <c r="A482" s="11">
        <v>2025.0</v>
      </c>
      <c r="B482" s="11" t="s">
        <v>135</v>
      </c>
      <c r="C482" s="12">
        <v>45819.0</v>
      </c>
      <c r="D482" s="44">
        <v>1.0</v>
      </c>
      <c r="E482" s="26">
        <v>0.0</v>
      </c>
      <c r="F482" s="26">
        <v>2197.14</v>
      </c>
      <c r="G482" s="26">
        <v>302.56</v>
      </c>
      <c r="H482" s="26">
        <v>138.0</v>
      </c>
      <c r="I482" s="26">
        <v>139.19</v>
      </c>
      <c r="J482" s="26">
        <v>0.0</v>
      </c>
      <c r="K482" s="26">
        <v>1617.39</v>
      </c>
      <c r="L482" s="26">
        <v>0.0</v>
      </c>
      <c r="M482" s="15">
        <v>6.0</v>
      </c>
      <c r="N482" s="16">
        <v>551194.66</v>
      </c>
      <c r="O482" s="16">
        <f t="shared" si="969"/>
        <v>22047.7864</v>
      </c>
      <c r="P482" s="16">
        <f t="shared" si="970"/>
        <v>9260.070288</v>
      </c>
      <c r="Q482" s="16">
        <f t="shared" si="971"/>
        <v>5112</v>
      </c>
      <c r="R482" s="67">
        <f t="shared" si="972"/>
        <v>1435.14</v>
      </c>
      <c r="S482" s="17">
        <f t="shared" si="973"/>
        <v>2360.52</v>
      </c>
      <c r="T482" s="17">
        <f t="shared" si="974"/>
        <v>828</v>
      </c>
      <c r="U482" s="86">
        <v>0.0</v>
      </c>
      <c r="V482" s="18">
        <f t="shared" si="975"/>
        <v>9260.070288</v>
      </c>
      <c r="W482" s="7">
        <f t="shared" si="976"/>
        <v>1574.33</v>
      </c>
      <c r="X482" s="69">
        <f t="shared" si="977"/>
        <v>0</v>
      </c>
      <c r="Y482" s="7">
        <f t="shared" si="978"/>
        <v>22047.7864</v>
      </c>
      <c r="Z482" s="7">
        <f t="shared" si="979"/>
        <v>5112</v>
      </c>
      <c r="AA482" s="18">
        <f t="shared" si="980"/>
        <v>37994.18669</v>
      </c>
      <c r="AB482" s="56">
        <v>0.0</v>
      </c>
      <c r="AC482" s="24">
        <v>0.0</v>
      </c>
      <c r="AD482" s="24">
        <v>0.0</v>
      </c>
      <c r="AE482" s="24">
        <v>0.0</v>
      </c>
      <c r="AF482" s="24">
        <v>0.0</v>
      </c>
      <c r="AG482" s="24">
        <v>0.0</v>
      </c>
      <c r="AH482" s="24">
        <v>0.0</v>
      </c>
      <c r="AI482" s="24">
        <v>0.0</v>
      </c>
      <c r="AJ482" s="24">
        <v>0.0</v>
      </c>
      <c r="AK482" s="15">
        <v>0.0</v>
      </c>
      <c r="AL482" s="16">
        <v>0.0</v>
      </c>
      <c r="AM482" s="16">
        <v>0.0</v>
      </c>
      <c r="AN482" s="16">
        <v>0.0</v>
      </c>
      <c r="AO482" s="16">
        <v>0.0</v>
      </c>
      <c r="AP482" s="16">
        <v>0.0</v>
      </c>
      <c r="AQ482" s="16">
        <v>0.0</v>
      </c>
      <c r="AR482" s="16">
        <v>0.0</v>
      </c>
      <c r="AS482" s="86">
        <v>18305.99</v>
      </c>
      <c r="AT482" s="7">
        <v>0.0</v>
      </c>
      <c r="AU482" s="86">
        <v>6406.9</v>
      </c>
      <c r="AV482" s="86">
        <v>5436.09</v>
      </c>
      <c r="AW482" s="7">
        <v>0.0</v>
      </c>
      <c r="AX482" s="86">
        <v>39.23</v>
      </c>
      <c r="AY482" s="7">
        <f t="shared" si="981"/>
        <v>30188.21</v>
      </c>
      <c r="AZ482" s="9">
        <v>2.0</v>
      </c>
      <c r="BA482" s="9">
        <v>1.0</v>
      </c>
      <c r="BB482" s="84">
        <v>0.0</v>
      </c>
      <c r="BC482" s="84">
        <v>0.0</v>
      </c>
    </row>
    <row r="483">
      <c r="A483" s="11">
        <v>2025.0</v>
      </c>
      <c r="B483" s="11" t="s">
        <v>135</v>
      </c>
      <c r="C483" s="12">
        <v>45820.0</v>
      </c>
      <c r="D483" s="44">
        <v>2.0</v>
      </c>
      <c r="E483" s="26">
        <v>44679.2</v>
      </c>
      <c r="F483" s="26">
        <v>3244.56</v>
      </c>
      <c r="G483" s="26">
        <v>639.02</v>
      </c>
      <c r="H483" s="26">
        <v>276.0</v>
      </c>
      <c r="I483" s="26">
        <v>402.54</v>
      </c>
      <c r="J483" s="26">
        <v>0.0</v>
      </c>
      <c r="K483" s="26">
        <v>1176.39</v>
      </c>
      <c r="L483" s="26">
        <v>750.61</v>
      </c>
      <c r="M483" s="15">
        <v>6.0</v>
      </c>
      <c r="N483" s="16">
        <v>691784.68</v>
      </c>
      <c r="O483" s="16">
        <f t="shared" si="969"/>
        <v>27671.3872</v>
      </c>
      <c r="P483" s="16">
        <f t="shared" si="970"/>
        <v>11621.98262</v>
      </c>
      <c r="Q483" s="16">
        <f t="shared" si="971"/>
        <v>5112</v>
      </c>
      <c r="R483" s="67">
        <f t="shared" si="972"/>
        <v>1435.14</v>
      </c>
      <c r="S483" s="17">
        <f t="shared" si="973"/>
        <v>2360.52</v>
      </c>
      <c r="T483" s="17">
        <f t="shared" si="974"/>
        <v>828</v>
      </c>
      <c r="U483" s="86">
        <v>150.12</v>
      </c>
      <c r="V483" s="18">
        <f t="shared" si="975"/>
        <v>11621.98262</v>
      </c>
      <c r="W483" s="7">
        <f t="shared" si="976"/>
        <v>1837.68</v>
      </c>
      <c r="X483" s="69">
        <f t="shared" si="977"/>
        <v>0</v>
      </c>
      <c r="Y483" s="7">
        <f t="shared" si="978"/>
        <v>27671.3872</v>
      </c>
      <c r="Z483" s="7">
        <f t="shared" si="979"/>
        <v>5112</v>
      </c>
      <c r="AA483" s="18">
        <f t="shared" si="980"/>
        <v>46393.16982</v>
      </c>
      <c r="AB483" s="56">
        <v>2.0</v>
      </c>
      <c r="AC483" s="24">
        <v>44109.21</v>
      </c>
      <c r="AD483" s="24">
        <v>3244.56</v>
      </c>
      <c r="AE483" s="24">
        <v>639.02</v>
      </c>
      <c r="AF483" s="24">
        <v>276.0</v>
      </c>
      <c r="AG483" s="24">
        <v>402.54</v>
      </c>
      <c r="AH483" s="24">
        <v>0.0</v>
      </c>
      <c r="AI483" s="24">
        <v>1185.97</v>
      </c>
      <c r="AJ483" s="24">
        <v>741.03</v>
      </c>
      <c r="AK483" s="15">
        <v>0.0</v>
      </c>
      <c r="AL483" s="16">
        <v>0.0</v>
      </c>
      <c r="AM483" s="16">
        <v>0.0</v>
      </c>
      <c r="AN483" s="16">
        <v>0.0</v>
      </c>
      <c r="AO483" s="16">
        <v>0.0</v>
      </c>
      <c r="AP483" s="16">
        <v>0.0</v>
      </c>
      <c r="AQ483" s="16">
        <v>0.0</v>
      </c>
      <c r="AR483" s="16">
        <v>0.0</v>
      </c>
      <c r="AS483" s="86">
        <v>11998.54</v>
      </c>
      <c r="AT483" s="7">
        <v>0.0</v>
      </c>
      <c r="AU483" s="86">
        <v>5085.63</v>
      </c>
      <c r="AV483" s="86">
        <v>600.0</v>
      </c>
      <c r="AW483" s="7">
        <v>0.0</v>
      </c>
      <c r="AX483" s="86">
        <v>22.91</v>
      </c>
      <c r="AY483" s="7">
        <f t="shared" si="981"/>
        <v>17707.08</v>
      </c>
      <c r="AZ483" s="9">
        <v>0.0</v>
      </c>
      <c r="BA483" s="9">
        <v>1.0</v>
      </c>
      <c r="BB483" s="84">
        <v>0.0</v>
      </c>
      <c r="BC483" s="84">
        <v>0.0</v>
      </c>
    </row>
    <row r="484">
      <c r="A484" s="11">
        <v>2025.0</v>
      </c>
      <c r="B484" s="11" t="s">
        <v>135</v>
      </c>
      <c r="C484" s="12">
        <v>45821.0</v>
      </c>
      <c r="D484" s="44">
        <v>4.0</v>
      </c>
      <c r="E484" s="26">
        <v>147244.79</v>
      </c>
      <c r="F484" s="26">
        <v>14790.39</v>
      </c>
      <c r="G484" s="26">
        <v>1461.13</v>
      </c>
      <c r="H484" s="26">
        <v>414.0</v>
      </c>
      <c r="I484" s="26">
        <v>560.63</v>
      </c>
      <c r="J484" s="26">
        <v>723.6</v>
      </c>
      <c r="K484" s="26">
        <v>10470.25</v>
      </c>
      <c r="L484" s="26">
        <v>3127.29</v>
      </c>
      <c r="M484" s="15">
        <v>6.0</v>
      </c>
      <c r="N484" s="16">
        <v>761133.01</v>
      </c>
      <c r="O484" s="16">
        <f t="shared" si="969"/>
        <v>30445.3204</v>
      </c>
      <c r="P484" s="16">
        <f t="shared" si="970"/>
        <v>12787.03457</v>
      </c>
      <c r="Q484" s="16">
        <f t="shared" si="971"/>
        <v>5112</v>
      </c>
      <c r="R484" s="67">
        <f t="shared" si="972"/>
        <v>1435.14</v>
      </c>
      <c r="S484" s="17">
        <f t="shared" si="973"/>
        <v>2360.52</v>
      </c>
      <c r="T484" s="17">
        <f t="shared" si="974"/>
        <v>828</v>
      </c>
      <c r="U484" s="86">
        <v>625.46</v>
      </c>
      <c r="V484" s="18">
        <f t="shared" si="975"/>
        <v>12787.03457</v>
      </c>
      <c r="W484" s="7">
        <f t="shared" si="976"/>
        <v>1995.77</v>
      </c>
      <c r="X484" s="69">
        <f t="shared" si="977"/>
        <v>723.6</v>
      </c>
      <c r="Y484" s="7">
        <f t="shared" si="978"/>
        <v>30445.3204</v>
      </c>
      <c r="Z484" s="7">
        <f t="shared" si="979"/>
        <v>5112</v>
      </c>
      <c r="AA484" s="18">
        <f t="shared" si="980"/>
        <v>51689.18497</v>
      </c>
      <c r="AB484" s="56">
        <v>2.0</v>
      </c>
      <c r="AC484" s="24">
        <v>115150.86</v>
      </c>
      <c r="AD484" s="24">
        <v>11255.33</v>
      </c>
      <c r="AE484" s="24">
        <v>939.27</v>
      </c>
      <c r="AF484" s="24">
        <v>138.0</v>
      </c>
      <c r="AG484" s="24">
        <v>309.27</v>
      </c>
      <c r="AH484" s="24">
        <v>0.0</v>
      </c>
      <c r="AI484" s="24">
        <v>7552.03</v>
      </c>
      <c r="AJ484" s="24">
        <v>2316.76</v>
      </c>
      <c r="AK484" s="15">
        <v>2.0</v>
      </c>
      <c r="AL484" s="16">
        <v>349434.01</v>
      </c>
      <c r="AM484" s="16">
        <v>13215.0</v>
      </c>
      <c r="AN484" s="16">
        <v>5881.0</v>
      </c>
      <c r="AO484" s="16">
        <v>1150.0</v>
      </c>
      <c r="AP484" s="16">
        <v>1123.0</v>
      </c>
      <c r="AQ484" s="16">
        <v>1605.0</v>
      </c>
      <c r="AR484" s="16">
        <v>0.0</v>
      </c>
      <c r="AS484" s="86">
        <f>21761.13-AT484</f>
        <v>18814.13</v>
      </c>
      <c r="AT484" s="86">
        <v>2947.0</v>
      </c>
      <c r="AU484" s="86">
        <v>6605.04</v>
      </c>
      <c r="AV484" s="86">
        <v>4265.08</v>
      </c>
      <c r="AW484" s="86">
        <v>6622.0</v>
      </c>
      <c r="AX484" s="86">
        <v>4285.91</v>
      </c>
      <c r="AY484" s="7">
        <f t="shared" si="981"/>
        <v>43539.16</v>
      </c>
      <c r="AZ484" s="9">
        <v>0.0</v>
      </c>
      <c r="BA484" s="9">
        <v>1.0</v>
      </c>
      <c r="BB484" s="84">
        <v>11.0</v>
      </c>
      <c r="BC484" s="84">
        <v>0.0</v>
      </c>
    </row>
    <row r="485">
      <c r="A485" s="11">
        <v>2025.0</v>
      </c>
      <c r="B485" s="11" t="s">
        <v>135</v>
      </c>
      <c r="C485" s="1"/>
      <c r="D485" s="2">
        <v>117.0</v>
      </c>
      <c r="E485" s="2"/>
      <c r="F485" s="59" t="s">
        <v>142</v>
      </c>
      <c r="G485" s="2"/>
      <c r="H485" s="33"/>
      <c r="I485" s="33"/>
      <c r="J485" s="33"/>
      <c r="K485" s="33"/>
      <c r="L485" s="33"/>
      <c r="M485" s="4">
        <v>20.0</v>
      </c>
      <c r="N485" s="51">
        <v>2106443.56</v>
      </c>
      <c r="O485" s="35"/>
      <c r="P485" s="35"/>
      <c r="Q485" s="35"/>
      <c r="R485" s="35"/>
      <c r="S485" s="35"/>
      <c r="T485" s="35"/>
      <c r="U485" s="37"/>
      <c r="V485" s="48"/>
      <c r="W485" s="48"/>
      <c r="X485" s="37"/>
      <c r="Y485" s="48"/>
      <c r="Z485" s="48"/>
      <c r="AA485" s="48"/>
      <c r="AB485" s="2"/>
      <c r="AC485" s="33"/>
      <c r="AD485" s="2"/>
      <c r="AE485" s="33"/>
      <c r="AF485" s="33"/>
      <c r="AG485" s="33"/>
      <c r="AH485" s="33"/>
      <c r="AI485" s="33"/>
      <c r="AJ485" s="33"/>
      <c r="AK485" s="4">
        <v>0.0</v>
      </c>
      <c r="AL485" s="4">
        <v>0.0</v>
      </c>
      <c r="AM485" s="35"/>
      <c r="AN485" s="35"/>
      <c r="AO485" s="35"/>
      <c r="AP485" s="35"/>
      <c r="AQ485" s="35"/>
      <c r="AR485" s="35"/>
      <c r="AS485" s="37"/>
      <c r="AT485" s="48"/>
      <c r="AU485" s="48"/>
      <c r="AV485" s="48"/>
      <c r="AW485" s="48"/>
      <c r="AX485" s="48"/>
      <c r="AY485" s="48"/>
      <c r="AZ485" s="38"/>
      <c r="BA485" s="39"/>
      <c r="BB485" s="85"/>
      <c r="BC485" s="85"/>
    </row>
    <row r="486">
      <c r="A486" s="1">
        <v>2025.0</v>
      </c>
      <c r="B486" s="11" t="s">
        <v>135</v>
      </c>
      <c r="C486" s="1" t="s">
        <v>49</v>
      </c>
      <c r="D486" s="33">
        <f t="shared" ref="D486:F486" si="982">SUM(D478:D484)</f>
        <v>48</v>
      </c>
      <c r="E486" s="34">
        <f t="shared" si="982"/>
        <v>2103728.63</v>
      </c>
      <c r="F486" s="34">
        <f t="shared" si="982"/>
        <v>123012.77</v>
      </c>
      <c r="G486" s="34">
        <f>SUM(G478:G485)</f>
        <v>16235.53</v>
      </c>
      <c r="H486" s="34">
        <f t="shared" ref="H486:L486" si="983">SUM(H478:H484)</f>
        <v>6210</v>
      </c>
      <c r="I486" s="34">
        <f t="shared" si="983"/>
        <v>8876.3</v>
      </c>
      <c r="J486" s="34">
        <f t="shared" si="983"/>
        <v>9875.25</v>
      </c>
      <c r="K486" s="34">
        <f t="shared" si="983"/>
        <v>60027.09</v>
      </c>
      <c r="L486" s="34">
        <f t="shared" si="983"/>
        <v>41987.87</v>
      </c>
      <c r="M486" s="35">
        <f t="shared" ref="M486:N486" si="984">SUM(M478:M485)</f>
        <v>41</v>
      </c>
      <c r="N486" s="36">
        <f t="shared" si="984"/>
        <v>4639226.76</v>
      </c>
      <c r="O486" s="36">
        <f t="shared" ref="O486:AA486" si="985">SUM(O478:O484)</f>
        <v>101311.328</v>
      </c>
      <c r="P486" s="36">
        <f t="shared" si="985"/>
        <v>42550.75776</v>
      </c>
      <c r="Q486" s="36">
        <f t="shared" si="985"/>
        <v>17892</v>
      </c>
      <c r="R486" s="70">
        <f t="shared" si="985"/>
        <v>5022.99</v>
      </c>
      <c r="S486" s="36">
        <f t="shared" si="985"/>
        <v>8261.82</v>
      </c>
      <c r="T486" s="36">
        <f t="shared" si="985"/>
        <v>2898</v>
      </c>
      <c r="U486" s="37">
        <f t="shared" si="985"/>
        <v>8397.58</v>
      </c>
      <c r="V486" s="37">
        <f t="shared" si="985"/>
        <v>42550.75776</v>
      </c>
      <c r="W486" s="37">
        <f t="shared" si="985"/>
        <v>13899.29</v>
      </c>
      <c r="X486" s="37">
        <f t="shared" si="985"/>
        <v>9875.25</v>
      </c>
      <c r="Y486" s="37">
        <f t="shared" si="985"/>
        <v>101311.328</v>
      </c>
      <c r="Z486" s="37">
        <f t="shared" si="985"/>
        <v>17892</v>
      </c>
      <c r="AA486" s="37">
        <f t="shared" si="985"/>
        <v>193926.2058</v>
      </c>
      <c r="AB486" s="33">
        <f>SUM(AB478:AB485)</f>
        <v>19</v>
      </c>
      <c r="AC486" s="34">
        <f t="shared" ref="AC486:AJ486" si="986">SUM(AC478:AC484)</f>
        <v>854431.67</v>
      </c>
      <c r="AD486" s="34">
        <f t="shared" si="986"/>
        <v>48070.67</v>
      </c>
      <c r="AE486" s="34">
        <f t="shared" si="986"/>
        <v>6272.73</v>
      </c>
      <c r="AF486" s="34">
        <f t="shared" si="986"/>
        <v>2208</v>
      </c>
      <c r="AG486" s="34">
        <f t="shared" si="986"/>
        <v>3281.68</v>
      </c>
      <c r="AH486" s="34">
        <f t="shared" si="986"/>
        <v>0</v>
      </c>
      <c r="AI486" s="34">
        <f t="shared" si="986"/>
        <v>20232.44</v>
      </c>
      <c r="AJ486" s="34">
        <f t="shared" si="986"/>
        <v>16075.82</v>
      </c>
      <c r="AK486" s="35">
        <f t="shared" ref="AK486:AL486" si="987">SUM(AK478:AK485)</f>
        <v>4</v>
      </c>
      <c r="AL486" s="36">
        <f t="shared" si="987"/>
        <v>437146.53</v>
      </c>
      <c r="AM486" s="36">
        <f t="shared" ref="AM486:BC486" si="988">SUM(AM478:AM484)</f>
        <v>16626</v>
      </c>
      <c r="AN486" s="36">
        <f t="shared" si="988"/>
        <v>8078.8</v>
      </c>
      <c r="AO486" s="36">
        <f t="shared" si="988"/>
        <v>3000</v>
      </c>
      <c r="AP486" s="36">
        <f t="shared" si="988"/>
        <v>1988.34</v>
      </c>
      <c r="AQ486" s="36">
        <f t="shared" si="988"/>
        <v>2201.27</v>
      </c>
      <c r="AR486" s="36">
        <f t="shared" si="988"/>
        <v>0</v>
      </c>
      <c r="AS486" s="37">
        <f t="shared" si="988"/>
        <v>106371.74</v>
      </c>
      <c r="AT486" s="37">
        <f t="shared" si="988"/>
        <v>5144.8</v>
      </c>
      <c r="AU486" s="37">
        <f t="shared" si="988"/>
        <v>33836.49</v>
      </c>
      <c r="AV486" s="37">
        <f t="shared" si="988"/>
        <v>24113.8</v>
      </c>
      <c r="AW486" s="37">
        <f t="shared" si="988"/>
        <v>10033</v>
      </c>
      <c r="AX486" s="37">
        <f t="shared" si="988"/>
        <v>9481.33</v>
      </c>
      <c r="AY486" s="37">
        <f t="shared" si="988"/>
        <v>188981.16</v>
      </c>
      <c r="AZ486" s="38">
        <f t="shared" si="988"/>
        <v>3</v>
      </c>
      <c r="BA486" s="39">
        <f t="shared" si="988"/>
        <v>4</v>
      </c>
      <c r="BB486" s="85">
        <f t="shared" si="988"/>
        <v>11</v>
      </c>
      <c r="BC486" s="85">
        <f t="shared" si="988"/>
        <v>0</v>
      </c>
    </row>
    <row r="487">
      <c r="A487" s="11">
        <v>2025.0</v>
      </c>
      <c r="B487" s="11" t="s">
        <v>135</v>
      </c>
      <c r="C487" s="12">
        <v>45822.0</v>
      </c>
      <c r="D487" s="44">
        <v>14.0</v>
      </c>
      <c r="E487" s="26">
        <v>2334516.93</v>
      </c>
      <c r="F487" s="26">
        <v>81010.09</v>
      </c>
      <c r="G487" s="26">
        <v>4047.87</v>
      </c>
      <c r="H487" s="26">
        <v>1656.0</v>
      </c>
      <c r="I487" s="26">
        <v>1835.9</v>
      </c>
      <c r="J487" s="26">
        <v>72628.87</v>
      </c>
      <c r="K487" s="26">
        <v>161756.29</v>
      </c>
      <c r="L487" s="26">
        <v>44498.71</v>
      </c>
      <c r="M487" s="15">
        <v>0.0</v>
      </c>
      <c r="N487" s="16">
        <v>0.0</v>
      </c>
      <c r="O487" s="16">
        <f t="shared" ref="O487:O493" si="989">N487*4%</f>
        <v>0</v>
      </c>
      <c r="P487" s="16">
        <f t="shared" ref="P487:P493" si="990">N487*1.68%</f>
        <v>0</v>
      </c>
      <c r="Q487" s="16">
        <f t="shared" ref="Q487:Q493" si="991">M487*(400+350+100+2)</f>
        <v>0</v>
      </c>
      <c r="R487" s="67">
        <f t="shared" ref="R487:R493" si="992">M487*239.19</f>
        <v>0</v>
      </c>
      <c r="S487" s="17">
        <f t="shared" ref="S487:S493" si="993">M487*393.42</f>
        <v>0</v>
      </c>
      <c r="T487" s="17">
        <f t="shared" ref="T487:T493" si="994">M487*138</f>
        <v>0</v>
      </c>
      <c r="U487" s="86">
        <v>8899.74</v>
      </c>
      <c r="V487" s="18">
        <f t="shared" ref="V487:V493" si="995">P487</f>
        <v>0</v>
      </c>
      <c r="W487" s="7">
        <f t="shared" ref="W487:W493" si="996">I487+R487</f>
        <v>1835.9</v>
      </c>
      <c r="X487" s="69">
        <f t="shared" ref="X487:X493" si="997">J487</f>
        <v>72628.87</v>
      </c>
      <c r="Y487" s="7">
        <f t="shared" ref="Y487:Y493" si="998">O487</f>
        <v>0</v>
      </c>
      <c r="Z487" s="7">
        <f t="shared" ref="Z487:Z493" si="999">Q487</f>
        <v>0</v>
      </c>
      <c r="AA487" s="18">
        <f t="shared" ref="AA487:AA493" si="1000">SUM(U487:Z487)</f>
        <v>83364.51</v>
      </c>
      <c r="AB487" s="56">
        <v>6.0</v>
      </c>
      <c r="AC487" s="24">
        <v>265658.75</v>
      </c>
      <c r="AD487" s="24">
        <v>14057.69</v>
      </c>
      <c r="AE487" s="24">
        <v>1977.4</v>
      </c>
      <c r="AF487" s="24" t="s">
        <v>143</v>
      </c>
      <c r="AG487" s="24">
        <v>978.25</v>
      </c>
      <c r="AH487" s="24"/>
      <c r="AI487" s="24">
        <v>5714.55</v>
      </c>
      <c r="AJ487" s="24">
        <v>4559.5</v>
      </c>
      <c r="AK487" s="15">
        <v>0.0</v>
      </c>
      <c r="AL487" s="16">
        <v>0.0</v>
      </c>
      <c r="AM487" s="16">
        <v>0.0</v>
      </c>
      <c r="AN487" s="16">
        <v>0.0</v>
      </c>
      <c r="AO487" s="16">
        <v>0.0</v>
      </c>
      <c r="AP487" s="16">
        <v>0.0</v>
      </c>
      <c r="AQ487" s="16">
        <v>0.0</v>
      </c>
      <c r="AR487" s="16">
        <v>0.0</v>
      </c>
      <c r="AS487" s="7">
        <v>0.0</v>
      </c>
      <c r="AT487" s="7">
        <v>0.0</v>
      </c>
      <c r="AU487" s="7">
        <v>0.0</v>
      </c>
      <c r="AV487" s="7">
        <v>0.0</v>
      </c>
      <c r="AW487" s="7">
        <v>0.0</v>
      </c>
      <c r="AX487" s="7">
        <v>0.0</v>
      </c>
      <c r="AY487" s="7">
        <f t="shared" ref="AY487:AY493" si="1001">SUM(AS487:AX487)</f>
        <v>0</v>
      </c>
      <c r="AZ487" s="9">
        <v>0.0</v>
      </c>
      <c r="BA487" s="9">
        <v>0.0</v>
      </c>
      <c r="BB487" s="84">
        <v>0.0</v>
      </c>
      <c r="BC487" s="84">
        <v>0.0</v>
      </c>
    </row>
    <row r="488">
      <c r="A488" s="11">
        <v>2025.0</v>
      </c>
      <c r="B488" s="11" t="s">
        <v>135</v>
      </c>
      <c r="C488" s="12">
        <v>45823.0</v>
      </c>
      <c r="D488" s="44">
        <v>95.0</v>
      </c>
      <c r="E488" s="26">
        <v>6312042.63</v>
      </c>
      <c r="F488" s="26">
        <v>261482.91</v>
      </c>
      <c r="G488" s="26">
        <v>33709.36</v>
      </c>
      <c r="H488" s="26">
        <v>3174.0</v>
      </c>
      <c r="I488" s="26">
        <v>34916.53</v>
      </c>
      <c r="J488" s="26">
        <v>17839.37</v>
      </c>
      <c r="K488" s="26">
        <v>94452.71</v>
      </c>
      <c r="L488" s="26">
        <v>109801.69</v>
      </c>
      <c r="M488" s="15">
        <v>0.0</v>
      </c>
      <c r="N488" s="16">
        <v>0.0</v>
      </c>
      <c r="O488" s="16">
        <f t="shared" si="989"/>
        <v>0</v>
      </c>
      <c r="P488" s="16">
        <f t="shared" si="990"/>
        <v>0</v>
      </c>
      <c r="Q488" s="16">
        <f t="shared" si="991"/>
        <v>0</v>
      </c>
      <c r="R488" s="67">
        <f t="shared" si="992"/>
        <v>0</v>
      </c>
      <c r="S488" s="17">
        <f t="shared" si="993"/>
        <v>0</v>
      </c>
      <c r="T488" s="17">
        <f t="shared" si="994"/>
        <v>0</v>
      </c>
      <c r="U488" s="86">
        <v>21960.34</v>
      </c>
      <c r="V488" s="18">
        <f t="shared" si="995"/>
        <v>0</v>
      </c>
      <c r="W488" s="7">
        <f t="shared" si="996"/>
        <v>34916.53</v>
      </c>
      <c r="X488" s="69">
        <f t="shared" si="997"/>
        <v>17839.37</v>
      </c>
      <c r="Y488" s="7">
        <f t="shared" si="998"/>
        <v>0</v>
      </c>
      <c r="Z488" s="7">
        <f t="shared" si="999"/>
        <v>0</v>
      </c>
      <c r="AA488" s="18">
        <f t="shared" si="1000"/>
        <v>74716.24</v>
      </c>
      <c r="AB488" s="56">
        <v>128.0</v>
      </c>
      <c r="AC488" s="24">
        <v>1.017959377E7</v>
      </c>
      <c r="AD488" s="24">
        <v>386287.69</v>
      </c>
      <c r="AE488" s="24">
        <v>48067.86</v>
      </c>
      <c r="AF488" s="24" t="s">
        <v>144</v>
      </c>
      <c r="AG488" s="24">
        <v>49989.63</v>
      </c>
      <c r="AH488" s="24">
        <v>862.28</v>
      </c>
      <c r="AI488" s="24">
        <v>111390.25</v>
      </c>
      <c r="AJ488" s="24">
        <v>176425.96</v>
      </c>
      <c r="AK488" s="15">
        <v>0.0</v>
      </c>
      <c r="AL488" s="16">
        <v>0.0</v>
      </c>
      <c r="AM488" s="16">
        <v>0.0</v>
      </c>
      <c r="AN488" s="16">
        <v>0.0</v>
      </c>
      <c r="AO488" s="16">
        <v>0.0</v>
      </c>
      <c r="AP488" s="16">
        <v>0.0</v>
      </c>
      <c r="AQ488" s="16">
        <v>0.0</v>
      </c>
      <c r="AR488" s="16">
        <v>0.0</v>
      </c>
      <c r="AS488" s="7">
        <v>0.0</v>
      </c>
      <c r="AT488" s="7">
        <v>0.0</v>
      </c>
      <c r="AU488" s="7">
        <v>0.0</v>
      </c>
      <c r="AV488" s="7">
        <v>0.0</v>
      </c>
      <c r="AW488" s="7">
        <v>0.0</v>
      </c>
      <c r="AX488" s="7">
        <v>0.0</v>
      </c>
      <c r="AY488" s="7">
        <f t="shared" si="1001"/>
        <v>0</v>
      </c>
      <c r="AZ488" s="9">
        <v>0.0</v>
      </c>
      <c r="BA488" s="9">
        <v>0.0</v>
      </c>
      <c r="BB488" s="84">
        <v>0.0</v>
      </c>
      <c r="BC488" s="84">
        <v>0.0</v>
      </c>
    </row>
    <row r="489">
      <c r="A489" s="11">
        <v>2025.0</v>
      </c>
      <c r="B489" s="11" t="s">
        <v>135</v>
      </c>
      <c r="C489" s="12">
        <v>45824.0</v>
      </c>
      <c r="D489" s="44">
        <v>14.0</v>
      </c>
      <c r="E489" s="26">
        <v>1210361.33</v>
      </c>
      <c r="F489" s="26">
        <v>38513.19</v>
      </c>
      <c r="G489" s="26">
        <v>3737.05</v>
      </c>
      <c r="H489" s="26">
        <v>1518.0</v>
      </c>
      <c r="I489" s="26">
        <v>2234.2</v>
      </c>
      <c r="J489" s="26">
        <v>1400.15</v>
      </c>
      <c r="K489" s="26">
        <v>11997.99</v>
      </c>
      <c r="L489" s="26">
        <v>20661.96</v>
      </c>
      <c r="M489" s="15">
        <v>0.0</v>
      </c>
      <c r="N489" s="16">
        <v>0.0</v>
      </c>
      <c r="O489" s="16">
        <f t="shared" si="989"/>
        <v>0</v>
      </c>
      <c r="P489" s="16">
        <f t="shared" si="990"/>
        <v>0</v>
      </c>
      <c r="Q489" s="16">
        <f t="shared" si="991"/>
        <v>0</v>
      </c>
      <c r="R489" s="67">
        <f t="shared" si="992"/>
        <v>0</v>
      </c>
      <c r="S489" s="17">
        <f t="shared" si="993"/>
        <v>0</v>
      </c>
      <c r="T489" s="17">
        <f t="shared" si="994"/>
        <v>0</v>
      </c>
      <c r="U489" s="86">
        <v>4132.39</v>
      </c>
      <c r="V489" s="18">
        <f t="shared" si="995"/>
        <v>0</v>
      </c>
      <c r="W489" s="7">
        <f t="shared" si="996"/>
        <v>2234.2</v>
      </c>
      <c r="X489" s="69">
        <f t="shared" si="997"/>
        <v>1400.15</v>
      </c>
      <c r="Y489" s="7">
        <f t="shared" si="998"/>
        <v>0</v>
      </c>
      <c r="Z489" s="7">
        <f t="shared" si="999"/>
        <v>0</v>
      </c>
      <c r="AA489" s="18">
        <f t="shared" si="1000"/>
        <v>7766.74</v>
      </c>
      <c r="AB489" s="56">
        <v>7.0</v>
      </c>
      <c r="AC489" s="24">
        <v>818591.88</v>
      </c>
      <c r="AD489" s="24">
        <v>20579.24</v>
      </c>
      <c r="AE489" s="24">
        <v>967.78</v>
      </c>
      <c r="AF489" s="24" t="s">
        <v>144</v>
      </c>
      <c r="AG489" s="24">
        <v>754.74</v>
      </c>
      <c r="AH489" s="24"/>
      <c r="AI489" s="56">
        <v>4612.88</v>
      </c>
      <c r="AJ489" s="24">
        <v>13829.84</v>
      </c>
      <c r="AK489" s="15">
        <v>0.0</v>
      </c>
      <c r="AL489" s="16">
        <v>0.0</v>
      </c>
      <c r="AM489" s="16">
        <v>0.0</v>
      </c>
      <c r="AN489" s="16">
        <v>0.0</v>
      </c>
      <c r="AO489" s="16">
        <v>0.0</v>
      </c>
      <c r="AP489" s="16">
        <v>0.0</v>
      </c>
      <c r="AQ489" s="16">
        <v>0.0</v>
      </c>
      <c r="AR489" s="16">
        <v>0.0</v>
      </c>
      <c r="AS489" s="86">
        <f>85091.55-AT489</f>
        <v>82157.55</v>
      </c>
      <c r="AT489" s="86">
        <v>2934.0</v>
      </c>
      <c r="AU489" s="86">
        <v>35652.23</v>
      </c>
      <c r="AV489" s="86">
        <v>6511.75</v>
      </c>
      <c r="AW489" s="86">
        <v>6593.0</v>
      </c>
      <c r="AX489" s="86">
        <v>4601.09</v>
      </c>
      <c r="AY489" s="7">
        <f t="shared" si="1001"/>
        <v>138449.62</v>
      </c>
      <c r="AZ489" s="9">
        <v>0.0</v>
      </c>
      <c r="BA489" s="9">
        <v>1.0</v>
      </c>
      <c r="BB489" s="84">
        <v>0.0</v>
      </c>
      <c r="BC489" s="84">
        <v>2.0</v>
      </c>
    </row>
    <row r="490">
      <c r="A490" s="11">
        <v>2025.0</v>
      </c>
      <c r="B490" s="11" t="s">
        <v>135</v>
      </c>
      <c r="C490" s="12">
        <v>45825.0</v>
      </c>
      <c r="D490" s="44">
        <v>12.0</v>
      </c>
      <c r="E490" s="26">
        <v>992430.11</v>
      </c>
      <c r="F490" s="26">
        <v>40110.91</v>
      </c>
      <c r="G490" s="26">
        <v>3349.17</v>
      </c>
      <c r="H490" s="26">
        <v>1380.0</v>
      </c>
      <c r="I490" s="26">
        <v>2032.78</v>
      </c>
      <c r="J490" s="26">
        <v>0.0</v>
      </c>
      <c r="K490" s="26">
        <v>17584.93</v>
      </c>
      <c r="L490" s="26">
        <v>18151.69</v>
      </c>
      <c r="M490" s="15">
        <v>2.0</v>
      </c>
      <c r="N490" s="16">
        <v>227122.36</v>
      </c>
      <c r="O490" s="16">
        <f t="shared" si="989"/>
        <v>9084.8944</v>
      </c>
      <c r="P490" s="16">
        <f t="shared" si="990"/>
        <v>3815.655648</v>
      </c>
      <c r="Q490" s="16">
        <f t="shared" si="991"/>
        <v>1704</v>
      </c>
      <c r="R490" s="67">
        <f t="shared" si="992"/>
        <v>478.38</v>
      </c>
      <c r="S490" s="17">
        <f t="shared" si="993"/>
        <v>786.84</v>
      </c>
      <c r="T490" s="17">
        <f t="shared" si="994"/>
        <v>276</v>
      </c>
      <c r="U490" s="86">
        <v>3630.34</v>
      </c>
      <c r="V490" s="18">
        <f t="shared" si="995"/>
        <v>3815.655648</v>
      </c>
      <c r="W490" s="7">
        <f t="shared" si="996"/>
        <v>2511.16</v>
      </c>
      <c r="X490" s="69">
        <f t="shared" si="997"/>
        <v>0</v>
      </c>
      <c r="Y490" s="7">
        <f t="shared" si="998"/>
        <v>9084.8944</v>
      </c>
      <c r="Z490" s="7">
        <f t="shared" si="999"/>
        <v>1704</v>
      </c>
      <c r="AA490" s="18">
        <f t="shared" si="1000"/>
        <v>20746.05005</v>
      </c>
      <c r="AB490" s="56">
        <v>3.0</v>
      </c>
      <c r="AC490" s="24">
        <v>134841.78</v>
      </c>
      <c r="AD490" s="24">
        <v>6486.97</v>
      </c>
      <c r="AE490" s="24">
        <v>789.05</v>
      </c>
      <c r="AF490" s="24" t="s">
        <v>145</v>
      </c>
      <c r="AG490" s="24">
        <v>583.42</v>
      </c>
      <c r="AH490" s="24"/>
      <c r="AI490" s="24">
        <v>2530.64</v>
      </c>
      <c r="AJ490" s="24">
        <v>2307.86</v>
      </c>
      <c r="AK490" s="15">
        <v>4.0</v>
      </c>
      <c r="AL490" s="16">
        <v>394680.2</v>
      </c>
      <c r="AM490" s="16">
        <v>14926.0</v>
      </c>
      <c r="AN490" s="16">
        <v>6643.0</v>
      </c>
      <c r="AO490" s="16">
        <v>3500.0</v>
      </c>
      <c r="AP490" s="16">
        <v>1900.33</v>
      </c>
      <c r="AQ490" s="16">
        <v>1515.87</v>
      </c>
      <c r="AR490" s="16">
        <v>0.0</v>
      </c>
      <c r="AS490" s="86">
        <f>18864.04-AT490</f>
        <v>15041.04</v>
      </c>
      <c r="AT490" s="86">
        <v>3823.0</v>
      </c>
      <c r="AU490" s="86">
        <v>7777.42</v>
      </c>
      <c r="AV490" s="86">
        <v>600.0</v>
      </c>
      <c r="AW490" s="86">
        <v>8589.0</v>
      </c>
      <c r="AX490" s="86">
        <v>6928.35</v>
      </c>
      <c r="AY490" s="7">
        <f t="shared" si="1001"/>
        <v>42758.81</v>
      </c>
      <c r="AZ490" s="9">
        <v>0.0</v>
      </c>
      <c r="BA490" s="9">
        <v>1.0</v>
      </c>
      <c r="BB490" s="84">
        <v>0.0</v>
      </c>
      <c r="BC490" s="84">
        <v>1.0</v>
      </c>
    </row>
    <row r="491">
      <c r="A491" s="11">
        <v>2025.0</v>
      </c>
      <c r="B491" s="11" t="s">
        <v>135</v>
      </c>
      <c r="C491" s="12">
        <v>45826.0</v>
      </c>
      <c r="D491" s="44">
        <v>6.0</v>
      </c>
      <c r="E491" s="26">
        <v>152829.78</v>
      </c>
      <c r="F491" s="26">
        <v>14003.0</v>
      </c>
      <c r="G491" s="26">
        <v>1809.16</v>
      </c>
      <c r="H491" s="26">
        <v>690.0</v>
      </c>
      <c r="I491" s="26">
        <v>508.04</v>
      </c>
      <c r="J491" s="26">
        <v>0.0</v>
      </c>
      <c r="K491" s="26">
        <v>8357.65</v>
      </c>
      <c r="L491" s="26">
        <v>2638.15</v>
      </c>
      <c r="M491" s="15">
        <v>2.0</v>
      </c>
      <c r="N491" s="16">
        <v>167557.84</v>
      </c>
      <c r="O491" s="16">
        <f t="shared" si="989"/>
        <v>6702.3136</v>
      </c>
      <c r="P491" s="16">
        <f t="shared" si="990"/>
        <v>2814.971712</v>
      </c>
      <c r="Q491" s="16">
        <f t="shared" si="991"/>
        <v>1704</v>
      </c>
      <c r="R491" s="67">
        <f t="shared" si="992"/>
        <v>478.38</v>
      </c>
      <c r="S491" s="17">
        <f t="shared" si="993"/>
        <v>786.84</v>
      </c>
      <c r="T491" s="17">
        <f t="shared" si="994"/>
        <v>276</v>
      </c>
      <c r="U491" s="86">
        <v>527.63</v>
      </c>
      <c r="V491" s="18">
        <f t="shared" si="995"/>
        <v>2814.971712</v>
      </c>
      <c r="W491" s="7">
        <f t="shared" si="996"/>
        <v>986.42</v>
      </c>
      <c r="X491" s="69">
        <f t="shared" si="997"/>
        <v>0</v>
      </c>
      <c r="Y491" s="7">
        <f t="shared" si="998"/>
        <v>6702.3136</v>
      </c>
      <c r="Z491" s="7">
        <f t="shared" si="999"/>
        <v>1704</v>
      </c>
      <c r="AA491" s="18">
        <f t="shared" si="1000"/>
        <v>12735.33531</v>
      </c>
      <c r="AB491" s="56">
        <v>5.0</v>
      </c>
      <c r="AC491" s="24">
        <v>153991.4</v>
      </c>
      <c r="AD491" s="24">
        <v>8733.32</v>
      </c>
      <c r="AE491" s="24">
        <v>1099.28</v>
      </c>
      <c r="AF491" s="24" t="s">
        <v>144</v>
      </c>
      <c r="AG491" s="24">
        <v>455.95</v>
      </c>
      <c r="AH491" s="24"/>
      <c r="AI491" s="56">
        <v>4108.02</v>
      </c>
      <c r="AJ491" s="56">
        <v>2656.07</v>
      </c>
      <c r="AK491" s="15">
        <v>1.0</v>
      </c>
      <c r="AL491" s="16">
        <v>115864.19</v>
      </c>
      <c r="AM491" s="16">
        <v>4382.0</v>
      </c>
      <c r="AN491" s="16">
        <v>1950.0</v>
      </c>
      <c r="AO491" s="16">
        <v>1000.0</v>
      </c>
      <c r="AP491" s="16">
        <v>504.11</v>
      </c>
      <c r="AQ491" s="16">
        <v>378.08</v>
      </c>
      <c r="AR491" s="16">
        <v>0.0</v>
      </c>
      <c r="AS491" s="86">
        <f>22322.16-AT491</f>
        <v>20771.11</v>
      </c>
      <c r="AT491" s="86">
        <v>1551.05</v>
      </c>
      <c r="AU491" s="86">
        <v>9202.56</v>
      </c>
      <c r="AV491" s="86">
        <v>3829.49</v>
      </c>
      <c r="AW491" s="86">
        <v>10719.0</v>
      </c>
      <c r="AX491" s="86">
        <v>9145.57</v>
      </c>
      <c r="AY491" s="7">
        <f t="shared" si="1001"/>
        <v>55218.78</v>
      </c>
      <c r="AZ491" s="9">
        <v>2.0</v>
      </c>
      <c r="BA491" s="9">
        <v>0.0</v>
      </c>
      <c r="BB491" s="84">
        <v>3.0</v>
      </c>
      <c r="BC491" s="84">
        <v>1.0</v>
      </c>
    </row>
    <row r="492">
      <c r="A492" s="11">
        <v>2025.0</v>
      </c>
      <c r="B492" s="11" t="s">
        <v>135</v>
      </c>
      <c r="C492" s="12">
        <v>45827.0</v>
      </c>
      <c r="D492" s="44">
        <v>17.0</v>
      </c>
      <c r="E492" s="26">
        <v>1058313.89</v>
      </c>
      <c r="F492" s="26">
        <v>43594.67</v>
      </c>
      <c r="G492" s="26">
        <v>4260.64</v>
      </c>
      <c r="H492" s="26">
        <v>1656.0</v>
      </c>
      <c r="I492" s="26">
        <v>1964.45</v>
      </c>
      <c r="J492" s="26">
        <v>2953.6</v>
      </c>
      <c r="K492" s="26">
        <v>25901.5</v>
      </c>
      <c r="L492" s="26">
        <v>18801.28</v>
      </c>
      <c r="M492" s="15">
        <v>2.0</v>
      </c>
      <c r="N492" s="16">
        <v>264436.23</v>
      </c>
      <c r="O492" s="16">
        <f t="shared" si="989"/>
        <v>10577.4492</v>
      </c>
      <c r="P492" s="16">
        <f t="shared" si="990"/>
        <v>4442.528664</v>
      </c>
      <c r="Q492" s="16">
        <f t="shared" si="991"/>
        <v>1704</v>
      </c>
      <c r="R492" s="67">
        <f t="shared" si="992"/>
        <v>478.38</v>
      </c>
      <c r="S492" s="17">
        <f t="shared" si="993"/>
        <v>786.84</v>
      </c>
      <c r="T492" s="17">
        <f t="shared" si="994"/>
        <v>276</v>
      </c>
      <c r="U492" s="86">
        <v>3760.26</v>
      </c>
      <c r="V492" s="18">
        <f t="shared" si="995"/>
        <v>4442.528664</v>
      </c>
      <c r="W492" s="7">
        <f t="shared" si="996"/>
        <v>2442.83</v>
      </c>
      <c r="X492" s="69">
        <f t="shared" si="997"/>
        <v>2953.6</v>
      </c>
      <c r="Y492" s="7">
        <f t="shared" si="998"/>
        <v>10577.4492</v>
      </c>
      <c r="Z492" s="7">
        <f t="shared" si="999"/>
        <v>1704</v>
      </c>
      <c r="AA492" s="18">
        <f t="shared" si="1000"/>
        <v>25880.66786</v>
      </c>
      <c r="AB492" s="56">
        <v>7.0</v>
      </c>
      <c r="AC492" s="24">
        <v>672230.98</v>
      </c>
      <c r="AD492" s="24">
        <v>23026.12</v>
      </c>
      <c r="AE492" s="24">
        <v>2371.88</v>
      </c>
      <c r="AF492" s="24" t="s">
        <v>143</v>
      </c>
      <c r="AG492" s="24">
        <v>678.85</v>
      </c>
      <c r="AH492" s="24"/>
      <c r="AI492" s="24">
        <v>6787.54</v>
      </c>
      <c r="AJ492" s="24">
        <v>12359.86</v>
      </c>
      <c r="AK492" s="15">
        <v>1.0</v>
      </c>
      <c r="AL492" s="16">
        <v>104000.0</v>
      </c>
      <c r="AM492" s="16">
        <v>4160.0</v>
      </c>
      <c r="AN492" s="16">
        <v>3494.0</v>
      </c>
      <c r="AO492" s="16">
        <v>1000.0</v>
      </c>
      <c r="AP492" s="16">
        <v>661.06</v>
      </c>
      <c r="AQ492" s="16">
        <v>770.67</v>
      </c>
      <c r="AR492" s="16">
        <v>0.0</v>
      </c>
      <c r="AS492" s="86">
        <f>6491.91-AT492</f>
        <v>2997.51</v>
      </c>
      <c r="AT492" s="86">
        <v>3494.4</v>
      </c>
      <c r="AU492" s="86">
        <v>2115.24</v>
      </c>
      <c r="AV492" s="86">
        <v>814.16</v>
      </c>
      <c r="AW492" s="86">
        <v>4160.0</v>
      </c>
      <c r="AX492" s="86">
        <v>5163.48</v>
      </c>
      <c r="AY492" s="7">
        <f t="shared" si="1001"/>
        <v>18744.79</v>
      </c>
      <c r="AZ492" s="9">
        <v>0.0</v>
      </c>
      <c r="BA492" s="9">
        <v>0.0</v>
      </c>
      <c r="BB492" s="84">
        <v>0.0</v>
      </c>
      <c r="BC492" s="84">
        <v>0.0</v>
      </c>
    </row>
    <row r="493">
      <c r="A493" s="11">
        <v>2025.0</v>
      </c>
      <c r="B493" s="11" t="s">
        <v>135</v>
      </c>
      <c r="C493" s="12">
        <v>45828.0</v>
      </c>
      <c r="D493" s="44">
        <v>13.0</v>
      </c>
      <c r="E493" s="26">
        <v>705647.62</v>
      </c>
      <c r="F493" s="26">
        <v>38324.99</v>
      </c>
      <c r="G493" s="26">
        <v>3612.33</v>
      </c>
      <c r="H493" s="26">
        <v>1242.0</v>
      </c>
      <c r="I493" s="26">
        <v>1935.78</v>
      </c>
      <c r="J493" s="26">
        <v>3768.82</v>
      </c>
      <c r="K493" s="26">
        <v>19186.32</v>
      </c>
      <c r="L493" s="26">
        <v>12348.56</v>
      </c>
      <c r="M493" s="15">
        <v>4.0</v>
      </c>
      <c r="N493" s="16">
        <v>441454.21</v>
      </c>
      <c r="O493" s="16">
        <f t="shared" si="989"/>
        <v>17658.1684</v>
      </c>
      <c r="P493" s="16">
        <f t="shared" si="990"/>
        <v>7416.430728</v>
      </c>
      <c r="Q493" s="16">
        <f t="shared" si="991"/>
        <v>3408</v>
      </c>
      <c r="R493" s="67">
        <f t="shared" si="992"/>
        <v>956.76</v>
      </c>
      <c r="S493" s="17">
        <f t="shared" si="993"/>
        <v>1573.68</v>
      </c>
      <c r="T493" s="17">
        <f t="shared" si="994"/>
        <v>552</v>
      </c>
      <c r="U493" s="86">
        <v>2469.71</v>
      </c>
      <c r="V493" s="18">
        <f t="shared" si="995"/>
        <v>7416.430728</v>
      </c>
      <c r="W493" s="7">
        <f t="shared" si="996"/>
        <v>2892.54</v>
      </c>
      <c r="X493" s="69">
        <f t="shared" si="997"/>
        <v>3768.82</v>
      </c>
      <c r="Y493" s="7">
        <f t="shared" si="998"/>
        <v>17658.1684</v>
      </c>
      <c r="Z493" s="7">
        <f t="shared" si="999"/>
        <v>3408</v>
      </c>
      <c r="AA493" s="18">
        <f t="shared" si="1000"/>
        <v>37613.66913</v>
      </c>
      <c r="AB493" s="56">
        <v>0.0</v>
      </c>
      <c r="AC493" s="24">
        <v>0.0</v>
      </c>
      <c r="AD493" s="87">
        <v>0.0</v>
      </c>
      <c r="AE493" s="24">
        <v>0.0</v>
      </c>
      <c r="AF493" s="87">
        <v>0.0</v>
      </c>
      <c r="AG493" s="24">
        <v>0.0</v>
      </c>
      <c r="AH493" s="87">
        <v>0.0</v>
      </c>
      <c r="AI493" s="24">
        <v>0.0</v>
      </c>
      <c r="AJ493" s="87">
        <v>0.0</v>
      </c>
      <c r="AK493" s="15">
        <v>4.0</v>
      </c>
      <c r="AL493" s="16">
        <v>231020.48</v>
      </c>
      <c r="AM493" s="16">
        <v>4427.0</v>
      </c>
      <c r="AN493" s="16">
        <v>3889.08</v>
      </c>
      <c r="AO493" s="16">
        <v>2000.0</v>
      </c>
      <c r="AP493" s="16">
        <v>1415.2</v>
      </c>
      <c r="AQ493" s="16">
        <v>1065.53</v>
      </c>
      <c r="AR493" s="16">
        <v>0.0</v>
      </c>
      <c r="AS493" s="86">
        <v>7444.28</v>
      </c>
      <c r="AT493" s="7">
        <v>0.0</v>
      </c>
      <c r="AU493" s="86">
        <v>4873.89</v>
      </c>
      <c r="AV493" s="86">
        <v>500.0</v>
      </c>
      <c r="AW493" s="7">
        <v>0.0</v>
      </c>
      <c r="AX493" s="86">
        <v>4667.73</v>
      </c>
      <c r="AY493" s="7">
        <f t="shared" si="1001"/>
        <v>17485.9</v>
      </c>
      <c r="AZ493" s="9">
        <v>0.0</v>
      </c>
      <c r="BA493" s="9">
        <v>2.0</v>
      </c>
      <c r="BB493" s="84">
        <v>0.0</v>
      </c>
      <c r="BC493" s="84">
        <v>0.0</v>
      </c>
    </row>
    <row r="494">
      <c r="A494" s="11">
        <v>2025.0</v>
      </c>
      <c r="B494" s="11" t="s">
        <v>135</v>
      </c>
      <c r="C494" s="1"/>
      <c r="D494" s="2">
        <v>198.0</v>
      </c>
      <c r="E494" s="2"/>
      <c r="F494" s="50">
        <v>536971.43</v>
      </c>
      <c r="G494" s="2"/>
      <c r="H494" s="33"/>
      <c r="I494" s="33"/>
      <c r="J494" s="33"/>
      <c r="K494" s="33"/>
      <c r="L494" s="33"/>
      <c r="M494" s="4">
        <v>10.0</v>
      </c>
      <c r="N494" s="51">
        <v>822645.0</v>
      </c>
      <c r="O494" s="35"/>
      <c r="P494" s="35"/>
      <c r="Q494" s="35"/>
      <c r="R494" s="35"/>
      <c r="S494" s="35"/>
      <c r="T494" s="35"/>
      <c r="U494" s="37"/>
      <c r="V494" s="48"/>
      <c r="W494" s="48"/>
      <c r="X494" s="37"/>
      <c r="Y494" s="48"/>
      <c r="Z494" s="48"/>
      <c r="AA494" s="48"/>
      <c r="AB494" s="2">
        <v>12.0</v>
      </c>
      <c r="AC494" s="33"/>
      <c r="AD494" s="50">
        <v>81010.09</v>
      </c>
      <c r="AE494" s="33"/>
      <c r="AF494" s="33"/>
      <c r="AG494" s="33"/>
      <c r="AH494" s="33"/>
      <c r="AI494" s="33"/>
      <c r="AJ494" s="33"/>
      <c r="AK494" s="4">
        <v>0.0</v>
      </c>
      <c r="AL494" s="4">
        <v>0.0</v>
      </c>
      <c r="AM494" s="35"/>
      <c r="AN494" s="35"/>
      <c r="AO494" s="35"/>
      <c r="AP494" s="35"/>
      <c r="AQ494" s="35"/>
      <c r="AR494" s="35"/>
      <c r="AS494" s="37"/>
      <c r="AT494" s="48"/>
      <c r="AU494" s="48"/>
      <c r="AV494" s="48"/>
      <c r="AW494" s="48"/>
      <c r="AX494" s="48"/>
      <c r="AY494" s="48"/>
      <c r="AZ494" s="38"/>
      <c r="BA494" s="39"/>
      <c r="BB494" s="85"/>
      <c r="BC494" s="85"/>
    </row>
    <row r="495">
      <c r="A495" s="1">
        <v>2025.0</v>
      </c>
      <c r="B495" s="11" t="s">
        <v>135</v>
      </c>
      <c r="C495" s="1" t="s">
        <v>49</v>
      </c>
      <c r="D495" s="33">
        <f t="shared" ref="D495:F495" si="1002">SUM(D487:D493)</f>
        <v>171</v>
      </c>
      <c r="E495" s="34">
        <f t="shared" si="1002"/>
        <v>12766142.29</v>
      </c>
      <c r="F495" s="34">
        <f t="shared" si="1002"/>
        <v>517039.76</v>
      </c>
      <c r="G495" s="34">
        <f>SUM(G487:G494)</f>
        <v>54525.58</v>
      </c>
      <c r="H495" s="34">
        <f t="shared" ref="H495:L495" si="1003">SUM(H487:H493)</f>
        <v>11316</v>
      </c>
      <c r="I495" s="34">
        <f t="shared" si="1003"/>
        <v>45427.68</v>
      </c>
      <c r="J495" s="34">
        <f t="shared" si="1003"/>
        <v>98590.81</v>
      </c>
      <c r="K495" s="34">
        <f t="shared" si="1003"/>
        <v>339237.39</v>
      </c>
      <c r="L495" s="34">
        <f t="shared" si="1003"/>
        <v>226902.04</v>
      </c>
      <c r="M495" s="35">
        <f t="shared" ref="M495:N495" si="1004">SUM(M487:M494)</f>
        <v>20</v>
      </c>
      <c r="N495" s="36">
        <f t="shared" si="1004"/>
        <v>1923215.64</v>
      </c>
      <c r="O495" s="36">
        <f t="shared" ref="O495:AA495" si="1005">SUM(O487:O493)</f>
        <v>44022.8256</v>
      </c>
      <c r="P495" s="36">
        <f t="shared" si="1005"/>
        <v>18489.58675</v>
      </c>
      <c r="Q495" s="36">
        <f t="shared" si="1005"/>
        <v>8520</v>
      </c>
      <c r="R495" s="70">
        <f t="shared" si="1005"/>
        <v>2391.9</v>
      </c>
      <c r="S495" s="36">
        <f t="shared" si="1005"/>
        <v>3934.2</v>
      </c>
      <c r="T495" s="36">
        <f t="shared" si="1005"/>
        <v>1380</v>
      </c>
      <c r="U495" s="37">
        <f t="shared" si="1005"/>
        <v>45380.41</v>
      </c>
      <c r="V495" s="37">
        <f t="shared" si="1005"/>
        <v>18489.58675</v>
      </c>
      <c r="W495" s="37">
        <f t="shared" si="1005"/>
        <v>47819.58</v>
      </c>
      <c r="X495" s="37">
        <f t="shared" si="1005"/>
        <v>98590.81</v>
      </c>
      <c r="Y495" s="37">
        <f t="shared" si="1005"/>
        <v>44022.8256</v>
      </c>
      <c r="Z495" s="37">
        <f t="shared" si="1005"/>
        <v>8520</v>
      </c>
      <c r="AA495" s="37">
        <f t="shared" si="1005"/>
        <v>262823.2124</v>
      </c>
      <c r="AB495" s="33">
        <f>SUM(AB487:AB494)</f>
        <v>168</v>
      </c>
      <c r="AC495" s="34">
        <f>SUM(AC487:AC493)</f>
        <v>12224908.56</v>
      </c>
      <c r="AD495" s="34">
        <f>SUM(AD487:AD494)</f>
        <v>540181.12</v>
      </c>
      <c r="AE495" s="34">
        <f t="shared" ref="AE495:AJ495" si="1006">SUM(AE487:AE493)</f>
        <v>55273.25</v>
      </c>
      <c r="AF495" s="34">
        <f t="shared" si="1006"/>
        <v>0</v>
      </c>
      <c r="AG495" s="34">
        <f t="shared" si="1006"/>
        <v>53440.84</v>
      </c>
      <c r="AH495" s="34">
        <f t="shared" si="1006"/>
        <v>862.28</v>
      </c>
      <c r="AI495" s="34">
        <f t="shared" si="1006"/>
        <v>135143.88</v>
      </c>
      <c r="AJ495" s="34">
        <f t="shared" si="1006"/>
        <v>212139.09</v>
      </c>
      <c r="AK495" s="35">
        <f t="shared" ref="AK495:AL495" si="1007">SUM(AK487:AK494)</f>
        <v>10</v>
      </c>
      <c r="AL495" s="36">
        <f t="shared" si="1007"/>
        <v>845564.87</v>
      </c>
      <c r="AM495" s="36">
        <f t="shared" ref="AM495:BC495" si="1008">SUM(AM487:AM493)</f>
        <v>27895</v>
      </c>
      <c r="AN495" s="36">
        <f t="shared" si="1008"/>
        <v>15976.08</v>
      </c>
      <c r="AO495" s="36">
        <f t="shared" si="1008"/>
        <v>7500</v>
      </c>
      <c r="AP495" s="36">
        <f t="shared" si="1008"/>
        <v>4480.7</v>
      </c>
      <c r="AQ495" s="36">
        <f t="shared" si="1008"/>
        <v>3730.15</v>
      </c>
      <c r="AR495" s="36">
        <f t="shared" si="1008"/>
        <v>0</v>
      </c>
      <c r="AS495" s="37">
        <f t="shared" si="1008"/>
        <v>128411.49</v>
      </c>
      <c r="AT495" s="37">
        <f t="shared" si="1008"/>
        <v>11802.45</v>
      </c>
      <c r="AU495" s="37">
        <f t="shared" si="1008"/>
        <v>59621.34</v>
      </c>
      <c r="AV495" s="37">
        <f t="shared" si="1008"/>
        <v>12255.4</v>
      </c>
      <c r="AW495" s="37">
        <f t="shared" si="1008"/>
        <v>30061</v>
      </c>
      <c r="AX495" s="37">
        <f t="shared" si="1008"/>
        <v>30506.22</v>
      </c>
      <c r="AY495" s="37">
        <f t="shared" si="1008"/>
        <v>272657.9</v>
      </c>
      <c r="AZ495" s="38">
        <f t="shared" si="1008"/>
        <v>2</v>
      </c>
      <c r="BA495" s="39">
        <f t="shared" si="1008"/>
        <v>4</v>
      </c>
      <c r="BB495" s="85">
        <f t="shared" si="1008"/>
        <v>3</v>
      </c>
      <c r="BC495" s="85">
        <f t="shared" si="1008"/>
        <v>4</v>
      </c>
    </row>
    <row r="496">
      <c r="A496" s="11">
        <v>2025.0</v>
      </c>
      <c r="B496" s="11" t="s">
        <v>135</v>
      </c>
      <c r="C496" s="12">
        <v>45829.0</v>
      </c>
      <c r="D496" s="44">
        <v>7.0</v>
      </c>
      <c r="E496" s="26">
        <v>318444.24</v>
      </c>
      <c r="F496" s="26">
        <v>15927.64</v>
      </c>
      <c r="G496" s="26">
        <v>2044.38</v>
      </c>
      <c r="H496" s="26">
        <v>966.0</v>
      </c>
      <c r="I496" s="26">
        <v>1196.16</v>
      </c>
      <c r="J496" s="26">
        <v>625.44</v>
      </c>
      <c r="K496" s="26">
        <v>7811.08</v>
      </c>
      <c r="L496" s="26">
        <v>5349.86</v>
      </c>
      <c r="M496" s="15">
        <v>0.0</v>
      </c>
      <c r="N496" s="16">
        <v>0.0</v>
      </c>
      <c r="O496" s="16">
        <f t="shared" ref="O496:O502" si="1009">N496*4%</f>
        <v>0</v>
      </c>
      <c r="P496" s="16">
        <f t="shared" ref="P496:P502" si="1010">N496*1.68%</f>
        <v>0</v>
      </c>
      <c r="Q496" s="16">
        <f t="shared" ref="Q496:Q502" si="1011">M496*(400+350+100+2)</f>
        <v>0</v>
      </c>
      <c r="R496" s="67">
        <f t="shared" ref="R496:R502" si="1012">M496*239.19</f>
        <v>0</v>
      </c>
      <c r="S496" s="17">
        <f t="shared" ref="S496:S502" si="1013">M496*393.42</f>
        <v>0</v>
      </c>
      <c r="T496" s="17">
        <f t="shared" ref="T496:T502" si="1014">M496*138</f>
        <v>0</v>
      </c>
      <c r="U496" s="86">
        <v>1069.97</v>
      </c>
      <c r="V496" s="18">
        <f t="shared" ref="V496:V502" si="1015">P496</f>
        <v>0</v>
      </c>
      <c r="W496" s="7">
        <f t="shared" ref="W496:W502" si="1016">I496+R496</f>
        <v>1196.16</v>
      </c>
      <c r="X496" s="69">
        <f t="shared" ref="X496:X502" si="1017">J496</f>
        <v>625.44</v>
      </c>
      <c r="Y496" s="7">
        <f t="shared" ref="Y496:Y502" si="1018">O496</f>
        <v>0</v>
      </c>
      <c r="Z496" s="7">
        <f t="shared" ref="Z496:Z502" si="1019">Q496</f>
        <v>0</v>
      </c>
      <c r="AA496" s="18">
        <f t="shared" ref="AA496:AA502" si="1020">SUM(U496:Z496)</f>
        <v>2891.57</v>
      </c>
      <c r="AB496" s="56">
        <v>5.0</v>
      </c>
      <c r="AC496" s="24">
        <v>242652.33</v>
      </c>
      <c r="AD496" s="57">
        <v>12086.84</v>
      </c>
      <c r="AE496" s="24">
        <v>1522.5</v>
      </c>
      <c r="AF496" s="24">
        <v>690.0</v>
      </c>
      <c r="AG496" s="24">
        <v>977.3</v>
      </c>
      <c r="AH496" s="24"/>
      <c r="AI496" s="24">
        <v>4740.83</v>
      </c>
      <c r="AJ496" s="24">
        <v>4156.21</v>
      </c>
      <c r="AK496" s="15">
        <v>0.0</v>
      </c>
      <c r="AL496" s="16">
        <v>0.0</v>
      </c>
      <c r="AM496" s="16">
        <v>0.0</v>
      </c>
      <c r="AN496" s="16">
        <v>0.0</v>
      </c>
      <c r="AO496" s="16">
        <v>0.0</v>
      </c>
      <c r="AP496" s="16">
        <v>0.0</v>
      </c>
      <c r="AQ496" s="16">
        <v>0.0</v>
      </c>
      <c r="AR496" s="16">
        <v>0.0</v>
      </c>
      <c r="AS496" s="7">
        <v>0.0</v>
      </c>
      <c r="AT496" s="7">
        <v>0.0</v>
      </c>
      <c r="AU496" s="7">
        <v>0.0</v>
      </c>
      <c r="AV496" s="7">
        <v>0.0</v>
      </c>
      <c r="AW496" s="7">
        <v>0.0</v>
      </c>
      <c r="AX496" s="7">
        <v>0.0</v>
      </c>
      <c r="AY496" s="7">
        <f t="shared" ref="AY496:AY502" si="1021">SUM(AS496:AX496)</f>
        <v>0</v>
      </c>
      <c r="AZ496" s="9">
        <v>0.0</v>
      </c>
      <c r="BA496" s="9">
        <v>0.0</v>
      </c>
      <c r="BB496" s="84">
        <v>0.0</v>
      </c>
      <c r="BC496" s="84">
        <v>0.0</v>
      </c>
    </row>
    <row r="497">
      <c r="A497" s="11">
        <v>2025.0</v>
      </c>
      <c r="B497" s="11" t="s">
        <v>135</v>
      </c>
      <c r="C497" s="12">
        <v>45830.0</v>
      </c>
      <c r="D497" s="44">
        <v>9.0</v>
      </c>
      <c r="E497" s="26">
        <v>400449.59</v>
      </c>
      <c r="F497" s="26">
        <v>22248.21</v>
      </c>
      <c r="G497" s="26">
        <v>2710.62</v>
      </c>
      <c r="H497" s="26">
        <v>1242.0</v>
      </c>
      <c r="I497" s="26">
        <v>1664.41</v>
      </c>
      <c r="J497" s="26">
        <v>250.46</v>
      </c>
      <c r="K497" s="26">
        <v>9553.41</v>
      </c>
      <c r="L497" s="26">
        <v>7077.77</v>
      </c>
      <c r="M497" s="15">
        <v>0.0</v>
      </c>
      <c r="N497" s="16">
        <v>0.0</v>
      </c>
      <c r="O497" s="16">
        <f t="shared" si="1009"/>
        <v>0</v>
      </c>
      <c r="P497" s="16">
        <f t="shared" si="1010"/>
        <v>0</v>
      </c>
      <c r="Q497" s="16">
        <f t="shared" si="1011"/>
        <v>0</v>
      </c>
      <c r="R497" s="67">
        <f t="shared" si="1012"/>
        <v>0</v>
      </c>
      <c r="S497" s="17">
        <f t="shared" si="1013"/>
        <v>0</v>
      </c>
      <c r="T497" s="17">
        <f t="shared" si="1014"/>
        <v>0</v>
      </c>
      <c r="U497" s="86">
        <v>1415.55</v>
      </c>
      <c r="V497" s="18">
        <f t="shared" si="1015"/>
        <v>0</v>
      </c>
      <c r="W497" s="7">
        <f t="shared" si="1016"/>
        <v>1664.41</v>
      </c>
      <c r="X497" s="69">
        <f t="shared" si="1017"/>
        <v>250.46</v>
      </c>
      <c r="Y497" s="7">
        <f t="shared" si="1018"/>
        <v>0</v>
      </c>
      <c r="Z497" s="7">
        <f t="shared" si="1019"/>
        <v>0</v>
      </c>
      <c r="AA497" s="18">
        <f t="shared" si="1020"/>
        <v>3330.42</v>
      </c>
      <c r="AB497" s="56">
        <v>7.0</v>
      </c>
      <c r="AC497" s="24">
        <v>297730.25</v>
      </c>
      <c r="AD497" s="24">
        <v>17384.46</v>
      </c>
      <c r="AE497" s="24">
        <v>2130.72</v>
      </c>
      <c r="AF497" s="24">
        <v>966.0</v>
      </c>
      <c r="AG497" s="24">
        <v>1145.46</v>
      </c>
      <c r="AH497" s="24"/>
      <c r="AI497" s="24">
        <v>7664.59</v>
      </c>
      <c r="AJ497" s="24">
        <v>5477.7</v>
      </c>
      <c r="AK497" s="15">
        <v>0.0</v>
      </c>
      <c r="AL497" s="16">
        <v>0.0</v>
      </c>
      <c r="AM497" s="16">
        <v>0.0</v>
      </c>
      <c r="AN497" s="16">
        <v>0.0</v>
      </c>
      <c r="AO497" s="16">
        <v>0.0</v>
      </c>
      <c r="AP497" s="16">
        <v>0.0</v>
      </c>
      <c r="AQ497" s="16">
        <v>0.0</v>
      </c>
      <c r="AR497" s="16">
        <v>0.0</v>
      </c>
      <c r="AS497" s="7">
        <v>0.0</v>
      </c>
      <c r="AT497" s="7">
        <v>0.0</v>
      </c>
      <c r="AU497" s="7">
        <v>0.0</v>
      </c>
      <c r="AV497" s="7">
        <v>0.0</v>
      </c>
      <c r="AW497" s="7">
        <v>0.0</v>
      </c>
      <c r="AX497" s="7">
        <v>0.0</v>
      </c>
      <c r="AY497" s="7">
        <f t="shared" si="1021"/>
        <v>0</v>
      </c>
      <c r="AZ497" s="9">
        <v>0.0</v>
      </c>
      <c r="BA497" s="9">
        <v>0.0</v>
      </c>
      <c r="BB497" s="84">
        <v>0.0</v>
      </c>
      <c r="BC497" s="84">
        <v>0.0</v>
      </c>
    </row>
    <row r="498">
      <c r="A498" s="11">
        <v>2025.0</v>
      </c>
      <c r="B498" s="11" t="s">
        <v>135</v>
      </c>
      <c r="C498" s="12">
        <v>45831.0</v>
      </c>
      <c r="D498" s="44">
        <v>10.0</v>
      </c>
      <c r="E498" s="26">
        <v>604532.01</v>
      </c>
      <c r="F498" s="26">
        <v>34272.54</v>
      </c>
      <c r="G498" s="26">
        <v>3414.94</v>
      </c>
      <c r="H498" s="26">
        <v>1242.0</v>
      </c>
      <c r="I498" s="26">
        <v>2066.95</v>
      </c>
      <c r="J498" s="26">
        <v>2486.85</v>
      </c>
      <c r="K498" s="26">
        <v>25002.02</v>
      </c>
      <c r="L498" s="26">
        <v>10524.11</v>
      </c>
      <c r="M498" s="15">
        <v>0.0</v>
      </c>
      <c r="N498" s="16">
        <v>0.0</v>
      </c>
      <c r="O498" s="16">
        <f t="shared" si="1009"/>
        <v>0</v>
      </c>
      <c r="P498" s="16">
        <f t="shared" si="1010"/>
        <v>0</v>
      </c>
      <c r="Q498" s="16">
        <f t="shared" si="1011"/>
        <v>0</v>
      </c>
      <c r="R498" s="67">
        <f t="shared" si="1012"/>
        <v>0</v>
      </c>
      <c r="S498" s="17">
        <f t="shared" si="1013"/>
        <v>0</v>
      </c>
      <c r="T498" s="17">
        <f t="shared" si="1014"/>
        <v>0</v>
      </c>
      <c r="U498" s="86">
        <v>2105.82</v>
      </c>
      <c r="V498" s="18">
        <f t="shared" si="1015"/>
        <v>0</v>
      </c>
      <c r="W498" s="7">
        <f t="shared" si="1016"/>
        <v>2066.95</v>
      </c>
      <c r="X498" s="69">
        <f t="shared" si="1017"/>
        <v>2486.85</v>
      </c>
      <c r="Y498" s="7">
        <f t="shared" si="1018"/>
        <v>0</v>
      </c>
      <c r="Z498" s="7">
        <f t="shared" si="1019"/>
        <v>0</v>
      </c>
      <c r="AA498" s="18">
        <f t="shared" si="1020"/>
        <v>6659.62</v>
      </c>
      <c r="AB498" s="56">
        <v>7.0</v>
      </c>
      <c r="AC498" s="24">
        <v>471570.8</v>
      </c>
      <c r="AD498" s="57">
        <v>23964.59</v>
      </c>
      <c r="AE498" s="24">
        <v>2079.05</v>
      </c>
      <c r="AF498" s="24">
        <v>690.0</v>
      </c>
      <c r="AG498" s="24">
        <v>1243.14</v>
      </c>
      <c r="AH498" s="24"/>
      <c r="AI498" s="57">
        <v>11831.25</v>
      </c>
      <c r="AJ498" s="24">
        <v>8121.15</v>
      </c>
      <c r="AK498" s="15">
        <v>1.0</v>
      </c>
      <c r="AL498" s="16">
        <v>202333.29</v>
      </c>
      <c r="AM498" s="16">
        <v>7652.0</v>
      </c>
      <c r="AN498" s="16">
        <v>3405.0</v>
      </c>
      <c r="AO498" s="16">
        <v>1000.0</v>
      </c>
      <c r="AP498" s="16">
        <v>526.31</v>
      </c>
      <c r="AQ498" s="16">
        <v>699.99</v>
      </c>
      <c r="AR498" s="16">
        <v>0.0</v>
      </c>
      <c r="AS498" s="7">
        <v>5200.19</v>
      </c>
      <c r="AT498" s="7">
        <v>5376.0</v>
      </c>
      <c r="AU498" s="7">
        <v>4320.46</v>
      </c>
      <c r="AV498" s="7">
        <v>703.78</v>
      </c>
      <c r="AW498" s="7">
        <v>12079.0</v>
      </c>
      <c r="AX498" s="7">
        <f>9899.19-AT498</f>
        <v>4523.19</v>
      </c>
      <c r="AY498" s="7">
        <f t="shared" si="1021"/>
        <v>32202.62</v>
      </c>
      <c r="AZ498" s="9">
        <v>2.0</v>
      </c>
      <c r="BA498" s="9">
        <v>1.0</v>
      </c>
      <c r="BB498" s="84">
        <v>3.0</v>
      </c>
      <c r="BC498" s="84">
        <v>1.0</v>
      </c>
    </row>
    <row r="499">
      <c r="A499" s="11">
        <v>2025.0</v>
      </c>
      <c r="B499" s="11" t="s">
        <v>135</v>
      </c>
      <c r="C499" s="12">
        <v>45832.0</v>
      </c>
      <c r="D499" s="44">
        <v>6.0</v>
      </c>
      <c r="E499" s="26">
        <v>277833.64</v>
      </c>
      <c r="F499" s="26">
        <v>18639.24</v>
      </c>
      <c r="G499" s="26">
        <v>1969.38</v>
      </c>
      <c r="H499" s="26">
        <v>828.0</v>
      </c>
      <c r="I499" s="26">
        <v>1053.06</v>
      </c>
      <c r="J499" s="26">
        <v>887.65</v>
      </c>
      <c r="K499" s="26">
        <v>7518.41</v>
      </c>
      <c r="L499" s="26">
        <v>4007.34</v>
      </c>
      <c r="M499" s="15">
        <v>2.0</v>
      </c>
      <c r="N499" s="16">
        <v>357317.06</v>
      </c>
      <c r="O499" s="16">
        <f t="shared" si="1009"/>
        <v>14292.6824</v>
      </c>
      <c r="P499" s="16">
        <f t="shared" si="1010"/>
        <v>6002.926608</v>
      </c>
      <c r="Q499" s="16">
        <f t="shared" si="1011"/>
        <v>1704</v>
      </c>
      <c r="R499" s="67">
        <f t="shared" si="1012"/>
        <v>478.38</v>
      </c>
      <c r="S499" s="17">
        <f t="shared" si="1013"/>
        <v>786.84</v>
      </c>
      <c r="T499" s="17">
        <f t="shared" si="1014"/>
        <v>276</v>
      </c>
      <c r="U499" s="86">
        <v>801.47</v>
      </c>
      <c r="V499" s="18">
        <f t="shared" si="1015"/>
        <v>6002.926608</v>
      </c>
      <c r="W499" s="7">
        <f t="shared" si="1016"/>
        <v>1531.44</v>
      </c>
      <c r="X499" s="69">
        <f t="shared" si="1017"/>
        <v>887.65</v>
      </c>
      <c r="Y499" s="7">
        <f t="shared" si="1018"/>
        <v>14292.6824</v>
      </c>
      <c r="Z499" s="7">
        <f t="shared" si="1019"/>
        <v>1704</v>
      </c>
      <c r="AA499" s="18">
        <f t="shared" si="1020"/>
        <v>25220.16901</v>
      </c>
      <c r="AB499" s="56">
        <v>7.0</v>
      </c>
      <c r="AC499" s="24">
        <v>229735.23</v>
      </c>
      <c r="AD499" s="57">
        <v>16330.6</v>
      </c>
      <c r="AE499" s="24">
        <v>1739.22</v>
      </c>
      <c r="AF499" s="24">
        <v>690.0</v>
      </c>
      <c r="AG499" s="24">
        <v>913.64</v>
      </c>
      <c r="AH499" s="24"/>
      <c r="AI499" s="24">
        <v>8977.37</v>
      </c>
      <c r="AJ499" s="24">
        <v>4010.37</v>
      </c>
      <c r="AK499" s="15">
        <v>3.0</v>
      </c>
      <c r="AL499" s="16">
        <v>299804.71</v>
      </c>
      <c r="AM499" s="16">
        <v>11338.0</v>
      </c>
      <c r="AN499" s="16">
        <v>5047.0</v>
      </c>
      <c r="AO499" s="16">
        <v>2150.0</v>
      </c>
      <c r="AP499" s="16">
        <v>1413.75</v>
      </c>
      <c r="AQ499" s="16">
        <v>1560.97</v>
      </c>
      <c r="AR499" s="16">
        <v>0.0</v>
      </c>
      <c r="AS499" s="7">
        <v>8690.29</v>
      </c>
      <c r="AT499" s="7">
        <v>4239.0</v>
      </c>
      <c r="AU499" s="7">
        <v>2120.45</v>
      </c>
      <c r="AV499" s="7">
        <v>364.06</v>
      </c>
      <c r="AW499" s="7">
        <v>9523.0</v>
      </c>
      <c r="AX499" s="7">
        <f>7093.4-AT499</f>
        <v>2854.4</v>
      </c>
      <c r="AY499" s="7">
        <f t="shared" si="1021"/>
        <v>27791.2</v>
      </c>
      <c r="AZ499" s="9">
        <v>1.0</v>
      </c>
      <c r="BA499" s="9">
        <v>1.0</v>
      </c>
      <c r="BB499" s="84">
        <v>0.0</v>
      </c>
      <c r="BC499" s="84">
        <v>1.0</v>
      </c>
    </row>
    <row r="500">
      <c r="A500" s="11">
        <v>2025.0</v>
      </c>
      <c r="B500" s="11" t="s">
        <v>135</v>
      </c>
      <c r="C500" s="12">
        <v>45833.0</v>
      </c>
      <c r="D500" s="44">
        <v>7.0</v>
      </c>
      <c r="E500" s="26">
        <v>367842.49</v>
      </c>
      <c r="F500" s="26">
        <v>29912.83</v>
      </c>
      <c r="G500" s="26">
        <v>3750.34</v>
      </c>
      <c r="H500" s="26">
        <v>966.0</v>
      </c>
      <c r="I500" s="26">
        <v>1462.44</v>
      </c>
      <c r="J500" s="26">
        <v>779.74</v>
      </c>
      <c r="K500" s="26">
        <v>16969.49</v>
      </c>
      <c r="L500" s="26">
        <v>6764.56</v>
      </c>
      <c r="M500" s="15">
        <v>2.0</v>
      </c>
      <c r="N500" s="16">
        <v>164949.17</v>
      </c>
      <c r="O500" s="16">
        <f t="shared" si="1009"/>
        <v>6597.9668</v>
      </c>
      <c r="P500" s="16">
        <f t="shared" si="1010"/>
        <v>2771.146056</v>
      </c>
      <c r="Q500" s="16">
        <f t="shared" si="1011"/>
        <v>1704</v>
      </c>
      <c r="R500" s="67">
        <f t="shared" si="1012"/>
        <v>478.38</v>
      </c>
      <c r="S500" s="17">
        <f t="shared" si="1013"/>
        <v>786.84</v>
      </c>
      <c r="T500" s="17">
        <f t="shared" si="1014"/>
        <v>276</v>
      </c>
      <c r="U500" s="86">
        <v>1352.91</v>
      </c>
      <c r="V500" s="18">
        <f t="shared" si="1015"/>
        <v>2771.146056</v>
      </c>
      <c r="W500" s="7">
        <f t="shared" si="1016"/>
        <v>1940.82</v>
      </c>
      <c r="X500" s="69">
        <f t="shared" si="1017"/>
        <v>779.74</v>
      </c>
      <c r="Y500" s="7">
        <f t="shared" si="1018"/>
        <v>6597.9668</v>
      </c>
      <c r="Z500" s="7">
        <f t="shared" si="1019"/>
        <v>1704</v>
      </c>
      <c r="AA500" s="18">
        <f t="shared" si="1020"/>
        <v>15146.58286</v>
      </c>
      <c r="AB500" s="56">
        <v>4.0</v>
      </c>
      <c r="AC500" s="24">
        <v>207767.16</v>
      </c>
      <c r="AD500" s="24">
        <v>11696.76</v>
      </c>
      <c r="AE500" s="24">
        <v>1937.52</v>
      </c>
      <c r="AF500" s="24">
        <v>414.0</v>
      </c>
      <c r="AG500" s="24">
        <v>771.43</v>
      </c>
      <c r="AH500" s="24"/>
      <c r="AI500" s="24">
        <v>3986.12</v>
      </c>
      <c r="AJ500" s="24">
        <v>4587.69</v>
      </c>
      <c r="AK500" s="15">
        <v>0.0</v>
      </c>
      <c r="AL500" s="16">
        <v>0.0</v>
      </c>
      <c r="AM500" s="16">
        <v>0.0</v>
      </c>
      <c r="AN500" s="16">
        <v>0.0</v>
      </c>
      <c r="AO500" s="16">
        <v>0.0</v>
      </c>
      <c r="AP500" s="16">
        <v>0.0</v>
      </c>
      <c r="AQ500" s="16">
        <v>0.0</v>
      </c>
      <c r="AR500" s="16">
        <v>0.0</v>
      </c>
      <c r="AS500" s="7">
        <v>10029.29</v>
      </c>
      <c r="AT500" s="7">
        <v>808.0</v>
      </c>
      <c r="AU500" s="7">
        <v>4563.99</v>
      </c>
      <c r="AV500" s="7">
        <v>1809.31</v>
      </c>
      <c r="AW500" s="7">
        <v>1815.0</v>
      </c>
      <c r="AX500" s="7">
        <f>2073.01-AT500</f>
        <v>1265.01</v>
      </c>
      <c r="AY500" s="7">
        <f t="shared" si="1021"/>
        <v>20290.6</v>
      </c>
      <c r="AZ500" s="9">
        <v>0.0</v>
      </c>
      <c r="BA500" s="9">
        <v>1.0</v>
      </c>
      <c r="BB500" s="84">
        <v>1.0</v>
      </c>
      <c r="BC500" s="84">
        <v>1.0</v>
      </c>
    </row>
    <row r="501">
      <c r="A501" s="11">
        <v>2025.0</v>
      </c>
      <c r="B501" s="11" t="s">
        <v>135</v>
      </c>
      <c r="C501" s="12">
        <v>45834.0</v>
      </c>
      <c r="D501" s="44">
        <v>7.0</v>
      </c>
      <c r="E501" s="26">
        <v>270419.94</v>
      </c>
      <c r="F501" s="26">
        <v>18026.76</v>
      </c>
      <c r="G501" s="26">
        <v>2309.85</v>
      </c>
      <c r="H501" s="26">
        <v>966.0</v>
      </c>
      <c r="I501" s="26">
        <v>1217.48</v>
      </c>
      <c r="J501" s="26">
        <v>3919.48</v>
      </c>
      <c r="K501" s="26">
        <v>22913.49</v>
      </c>
      <c r="L501" s="26">
        <v>4769.65</v>
      </c>
      <c r="M501" s="15">
        <v>2.0</v>
      </c>
      <c r="N501" s="16">
        <v>140006.62</v>
      </c>
      <c r="O501" s="16">
        <f t="shared" si="1009"/>
        <v>5600.2648</v>
      </c>
      <c r="P501" s="16">
        <f t="shared" si="1010"/>
        <v>2352.111216</v>
      </c>
      <c r="Q501" s="16">
        <f t="shared" si="1011"/>
        <v>1704</v>
      </c>
      <c r="R501" s="67">
        <f t="shared" si="1012"/>
        <v>478.38</v>
      </c>
      <c r="S501" s="17">
        <f t="shared" si="1013"/>
        <v>786.84</v>
      </c>
      <c r="T501" s="17">
        <f t="shared" si="1014"/>
        <v>276</v>
      </c>
      <c r="U501" s="86">
        <v>953.93</v>
      </c>
      <c r="V501" s="18">
        <f t="shared" si="1015"/>
        <v>2352.111216</v>
      </c>
      <c r="W501" s="7">
        <f t="shared" si="1016"/>
        <v>1695.86</v>
      </c>
      <c r="X501" s="69">
        <f t="shared" si="1017"/>
        <v>3919.48</v>
      </c>
      <c r="Y501" s="7">
        <f t="shared" si="1018"/>
        <v>5600.2648</v>
      </c>
      <c r="Z501" s="7">
        <f t="shared" si="1019"/>
        <v>1704</v>
      </c>
      <c r="AA501" s="18">
        <f t="shared" si="1020"/>
        <v>16225.64602</v>
      </c>
      <c r="AB501" s="56">
        <v>7.0</v>
      </c>
      <c r="AC501" s="24">
        <v>182218.8</v>
      </c>
      <c r="AD501" s="24">
        <v>12098.85</v>
      </c>
      <c r="AE501" s="24">
        <v>1637.58</v>
      </c>
      <c r="AF501" s="24">
        <v>690.0</v>
      </c>
      <c r="AG501" s="24">
        <v>860.32</v>
      </c>
      <c r="AH501" s="24">
        <v>181.27</v>
      </c>
      <c r="AI501" s="24">
        <v>5612.82</v>
      </c>
      <c r="AJ501" s="57">
        <v>3298.13</v>
      </c>
      <c r="AK501" s="15">
        <v>0.0</v>
      </c>
      <c r="AL501" s="16">
        <v>0.0</v>
      </c>
      <c r="AM501" s="16">
        <v>0.0</v>
      </c>
      <c r="AN501" s="16">
        <v>0.0</v>
      </c>
      <c r="AO501" s="16">
        <v>0.0</v>
      </c>
      <c r="AP501" s="16">
        <v>0.0</v>
      </c>
      <c r="AQ501" s="16">
        <v>0.0</v>
      </c>
      <c r="AR501" s="16">
        <v>0.0</v>
      </c>
      <c r="AS501" s="7">
        <v>9261.24</v>
      </c>
      <c r="AT501" s="7">
        <v>0.0</v>
      </c>
      <c r="AU501" s="7">
        <v>5417.82</v>
      </c>
      <c r="AV501" s="7">
        <v>4469.31</v>
      </c>
      <c r="AW501" s="7">
        <v>0.0</v>
      </c>
      <c r="AX501" s="7">
        <v>0.05</v>
      </c>
      <c r="AY501" s="7">
        <f t="shared" si="1021"/>
        <v>19148.42</v>
      </c>
      <c r="AZ501" s="9">
        <v>0.0</v>
      </c>
      <c r="BA501" s="9">
        <v>0.0</v>
      </c>
      <c r="BB501" s="84">
        <v>0.0</v>
      </c>
      <c r="BC501" s="84">
        <v>1.0</v>
      </c>
    </row>
    <row r="502">
      <c r="A502" s="11">
        <v>2025.0</v>
      </c>
      <c r="B502" s="11" t="s">
        <v>135</v>
      </c>
      <c r="C502" s="12">
        <v>45835.0</v>
      </c>
      <c r="D502" s="44">
        <v>6.0</v>
      </c>
      <c r="E502" s="26">
        <v>322191.66</v>
      </c>
      <c r="F502" s="26">
        <v>17441.39</v>
      </c>
      <c r="G502" s="26">
        <v>2054.19</v>
      </c>
      <c r="H502" s="26">
        <v>828.0</v>
      </c>
      <c r="I502" s="26">
        <v>1161.49</v>
      </c>
      <c r="J502" s="26">
        <v>2505.2</v>
      </c>
      <c r="K502" s="26">
        <v>7984.89</v>
      </c>
      <c r="L502" s="26">
        <v>5412.82</v>
      </c>
      <c r="M502" s="15">
        <v>4.0</v>
      </c>
      <c r="N502" s="16">
        <v>621238.05</v>
      </c>
      <c r="O502" s="16">
        <f t="shared" si="1009"/>
        <v>24849.522</v>
      </c>
      <c r="P502" s="16">
        <f t="shared" si="1010"/>
        <v>10436.79924</v>
      </c>
      <c r="Q502" s="16">
        <f t="shared" si="1011"/>
        <v>3408</v>
      </c>
      <c r="R502" s="67">
        <f t="shared" si="1012"/>
        <v>956.76</v>
      </c>
      <c r="S502" s="17">
        <f t="shared" si="1013"/>
        <v>1573.68</v>
      </c>
      <c r="T502" s="17">
        <f t="shared" si="1014"/>
        <v>552</v>
      </c>
      <c r="U502" s="86">
        <v>1082.56</v>
      </c>
      <c r="V502" s="18">
        <f t="shared" si="1015"/>
        <v>10436.79924</v>
      </c>
      <c r="W502" s="7">
        <f t="shared" si="1016"/>
        <v>2118.25</v>
      </c>
      <c r="X502" s="69">
        <f t="shared" si="1017"/>
        <v>2505.2</v>
      </c>
      <c r="Y502" s="7">
        <f t="shared" si="1018"/>
        <v>24849.522</v>
      </c>
      <c r="Z502" s="7">
        <f t="shared" si="1019"/>
        <v>3408</v>
      </c>
      <c r="AA502" s="18">
        <f t="shared" si="1020"/>
        <v>44400.33124</v>
      </c>
      <c r="AB502" s="56">
        <v>4.0</v>
      </c>
      <c r="AC502" s="24">
        <v>185071.85</v>
      </c>
      <c r="AD502" s="24">
        <v>11356.93</v>
      </c>
      <c r="AE502" s="24">
        <v>1297.28</v>
      </c>
      <c r="AF502" s="24">
        <v>552.0</v>
      </c>
      <c r="AG502" s="24">
        <v>875.86</v>
      </c>
      <c r="AH502" s="24"/>
      <c r="AI502" s="24">
        <v>5431.34</v>
      </c>
      <c r="AJ502" s="24">
        <v>3200.45</v>
      </c>
      <c r="AK502" s="15">
        <v>2.0</v>
      </c>
      <c r="AL502" s="16">
        <v>253482.86</v>
      </c>
      <c r="AM502" s="16">
        <v>9586.0</v>
      </c>
      <c r="AN502" s="16">
        <v>4267.0</v>
      </c>
      <c r="AO502" s="16">
        <v>2000.0</v>
      </c>
      <c r="AP502" s="16">
        <v>1017.27</v>
      </c>
      <c r="AQ502" s="16">
        <v>817.6</v>
      </c>
      <c r="AR502" s="16">
        <v>0.0</v>
      </c>
      <c r="AS502" s="7">
        <v>38852.31</v>
      </c>
      <c r="AT502" s="7">
        <v>4267.0</v>
      </c>
      <c r="AU502" s="7">
        <v>18087.15</v>
      </c>
      <c r="AV502" s="7">
        <v>8978.92</v>
      </c>
      <c r="AW502" s="7">
        <v>9586.0</v>
      </c>
      <c r="AX502" s="7">
        <f>7525.07-AT502</f>
        <v>3258.07</v>
      </c>
      <c r="AY502" s="7">
        <f t="shared" si="1021"/>
        <v>83029.45</v>
      </c>
      <c r="AZ502" s="9">
        <v>0.0</v>
      </c>
      <c r="BA502" s="9">
        <v>1.0</v>
      </c>
      <c r="BB502" s="84">
        <v>0.0</v>
      </c>
      <c r="BC502" s="84">
        <v>0.0</v>
      </c>
    </row>
    <row r="503">
      <c r="A503" s="11">
        <v>2025.0</v>
      </c>
      <c r="B503" s="11" t="s">
        <v>135</v>
      </c>
      <c r="C503" s="1"/>
      <c r="D503" s="2">
        <v>263.0</v>
      </c>
      <c r="E503" s="2"/>
      <c r="F503" s="50">
        <v>720986.07</v>
      </c>
      <c r="G503" s="2"/>
      <c r="H503" s="33"/>
      <c r="I503" s="33"/>
      <c r="J503" s="33"/>
      <c r="K503" s="33"/>
      <c r="L503" s="33"/>
      <c r="M503" s="4">
        <v>11.0</v>
      </c>
      <c r="N503" s="51">
        <v>1099000.0</v>
      </c>
      <c r="O503" s="35"/>
      <c r="P503" s="35"/>
      <c r="Q503" s="35"/>
      <c r="R503" s="35"/>
      <c r="S503" s="35"/>
      <c r="T503" s="35"/>
      <c r="U503" s="37"/>
      <c r="V503" s="48"/>
      <c r="W503" s="48"/>
      <c r="X503" s="37"/>
      <c r="Y503" s="48"/>
      <c r="Z503" s="48"/>
      <c r="AA503" s="48"/>
      <c r="AB503" s="2">
        <v>0.0</v>
      </c>
      <c r="AC503" s="33"/>
      <c r="AD503" s="50">
        <v>0.0</v>
      </c>
      <c r="AE503" s="33"/>
      <c r="AF503" s="33"/>
      <c r="AG503" s="33"/>
      <c r="AH503" s="33"/>
      <c r="AI503" s="33"/>
      <c r="AJ503" s="33"/>
      <c r="AK503" s="4">
        <v>0.0</v>
      </c>
      <c r="AL503" s="4">
        <v>0.0</v>
      </c>
      <c r="AM503" s="35"/>
      <c r="AN503" s="35"/>
      <c r="AO503" s="35"/>
      <c r="AP503" s="35"/>
      <c r="AQ503" s="35"/>
      <c r="AR503" s="35"/>
      <c r="AS503" s="37"/>
      <c r="AT503" s="48"/>
      <c r="AU503" s="48"/>
      <c r="AV503" s="48"/>
      <c r="AW503" s="48"/>
      <c r="AX503" s="48"/>
      <c r="AY503" s="48"/>
      <c r="AZ503" s="38"/>
      <c r="BA503" s="39"/>
      <c r="BB503" s="85"/>
      <c r="BC503" s="85"/>
    </row>
    <row r="504">
      <c r="A504" s="1">
        <v>2025.0</v>
      </c>
      <c r="B504" s="11" t="s">
        <v>135</v>
      </c>
      <c r="C504" s="1" t="s">
        <v>49</v>
      </c>
      <c r="D504" s="33">
        <f t="shared" ref="D504:F504" si="1022">SUM(D496:D502)</f>
        <v>52</v>
      </c>
      <c r="E504" s="34">
        <f t="shared" si="1022"/>
        <v>2561713.57</v>
      </c>
      <c r="F504" s="34">
        <f t="shared" si="1022"/>
        <v>156468.61</v>
      </c>
      <c r="G504" s="34">
        <f>SUM(G496:G503)</f>
        <v>18253.7</v>
      </c>
      <c r="H504" s="34">
        <f t="shared" ref="H504:L504" si="1023">SUM(H496:H502)</f>
        <v>7038</v>
      </c>
      <c r="I504" s="34">
        <f t="shared" si="1023"/>
        <v>9821.99</v>
      </c>
      <c r="J504" s="34">
        <f t="shared" si="1023"/>
        <v>11454.82</v>
      </c>
      <c r="K504" s="34">
        <f t="shared" si="1023"/>
        <v>97752.79</v>
      </c>
      <c r="L504" s="34">
        <f t="shared" si="1023"/>
        <v>43906.11</v>
      </c>
      <c r="M504" s="35">
        <f t="shared" ref="M504:N504" si="1024">SUM(M496:M503)</f>
        <v>21</v>
      </c>
      <c r="N504" s="36">
        <f t="shared" si="1024"/>
        <v>2382510.9</v>
      </c>
      <c r="O504" s="36">
        <f t="shared" ref="O504:AA504" si="1025">SUM(O496:O502)</f>
        <v>51340.436</v>
      </c>
      <c r="P504" s="36">
        <f t="shared" si="1025"/>
        <v>21562.98312</v>
      </c>
      <c r="Q504" s="36">
        <f t="shared" si="1025"/>
        <v>8520</v>
      </c>
      <c r="R504" s="70">
        <f t="shared" si="1025"/>
        <v>2391.9</v>
      </c>
      <c r="S504" s="36">
        <f t="shared" si="1025"/>
        <v>3934.2</v>
      </c>
      <c r="T504" s="36">
        <f t="shared" si="1025"/>
        <v>1380</v>
      </c>
      <c r="U504" s="37">
        <f t="shared" si="1025"/>
        <v>8782.21</v>
      </c>
      <c r="V504" s="37">
        <f t="shared" si="1025"/>
        <v>21562.98312</v>
      </c>
      <c r="W504" s="37">
        <f t="shared" si="1025"/>
        <v>12213.89</v>
      </c>
      <c r="X504" s="37">
        <f t="shared" si="1025"/>
        <v>11454.82</v>
      </c>
      <c r="Y504" s="37">
        <f t="shared" si="1025"/>
        <v>51340.436</v>
      </c>
      <c r="Z504" s="37">
        <f t="shared" si="1025"/>
        <v>8520</v>
      </c>
      <c r="AA504" s="37">
        <f t="shared" si="1025"/>
        <v>113874.3391</v>
      </c>
      <c r="AB504" s="33">
        <f>SUM(AB496:AB503)</f>
        <v>41</v>
      </c>
      <c r="AC504" s="34">
        <f>SUM(AC496:AC502)</f>
        <v>1816746.42</v>
      </c>
      <c r="AD504" s="55">
        <f>SUM(AD496:AD503)</f>
        <v>104919.03</v>
      </c>
      <c r="AE504" s="34">
        <f t="shared" ref="AE504:AJ504" si="1026">SUM(AE496:AE502)</f>
        <v>12343.87</v>
      </c>
      <c r="AF504" s="34">
        <f t="shared" si="1026"/>
        <v>4692</v>
      </c>
      <c r="AG504" s="34">
        <f t="shared" si="1026"/>
        <v>6787.15</v>
      </c>
      <c r="AH504" s="34">
        <f t="shared" si="1026"/>
        <v>181.27</v>
      </c>
      <c r="AI504" s="34">
        <f t="shared" si="1026"/>
        <v>48244.32</v>
      </c>
      <c r="AJ504" s="34">
        <f t="shared" si="1026"/>
        <v>32851.7</v>
      </c>
      <c r="AK504" s="35">
        <f t="shared" ref="AK504:AL504" si="1027">SUM(AK496:AK503)</f>
        <v>6</v>
      </c>
      <c r="AL504" s="36">
        <f t="shared" si="1027"/>
        <v>755620.86</v>
      </c>
      <c r="AM504" s="36">
        <f t="shared" ref="AM504:BC504" si="1028">SUM(AM496:AM502)</f>
        <v>28576</v>
      </c>
      <c r="AN504" s="36">
        <f t="shared" si="1028"/>
        <v>12719</v>
      </c>
      <c r="AO504" s="36">
        <f t="shared" si="1028"/>
        <v>5150</v>
      </c>
      <c r="AP504" s="36">
        <f t="shared" si="1028"/>
        <v>2957.33</v>
      </c>
      <c r="AQ504" s="36">
        <f t="shared" si="1028"/>
        <v>3078.56</v>
      </c>
      <c r="AR504" s="36">
        <f t="shared" si="1028"/>
        <v>0</v>
      </c>
      <c r="AS504" s="37">
        <f t="shared" si="1028"/>
        <v>72033.32</v>
      </c>
      <c r="AT504" s="37">
        <f t="shared" si="1028"/>
        <v>14690</v>
      </c>
      <c r="AU504" s="37">
        <f t="shared" si="1028"/>
        <v>34509.87</v>
      </c>
      <c r="AV504" s="37">
        <f t="shared" si="1028"/>
        <v>16325.38</v>
      </c>
      <c r="AW504" s="37">
        <f t="shared" si="1028"/>
        <v>33003</v>
      </c>
      <c r="AX504" s="37">
        <f t="shared" si="1028"/>
        <v>11900.72</v>
      </c>
      <c r="AY504" s="37">
        <f t="shared" si="1028"/>
        <v>182462.29</v>
      </c>
      <c r="AZ504" s="38">
        <f t="shared" si="1028"/>
        <v>3</v>
      </c>
      <c r="BA504" s="39">
        <f t="shared" si="1028"/>
        <v>4</v>
      </c>
      <c r="BB504" s="85">
        <f t="shared" si="1028"/>
        <v>4</v>
      </c>
      <c r="BC504" s="85">
        <f t="shared" si="1028"/>
        <v>4</v>
      </c>
    </row>
    <row r="505">
      <c r="A505" s="11">
        <v>2025.0</v>
      </c>
      <c r="B505" s="11" t="s">
        <v>135</v>
      </c>
      <c r="C505" s="12">
        <v>45836.0</v>
      </c>
      <c r="D505" s="44">
        <v>37.0</v>
      </c>
      <c r="E505" s="26">
        <v>2648761.38</v>
      </c>
      <c r="F505" s="26">
        <v>125371.17</v>
      </c>
      <c r="G505" s="26">
        <v>11853.91</v>
      </c>
      <c r="H505" s="26">
        <v>4140.0</v>
      </c>
      <c r="I505" s="26">
        <v>5498.21</v>
      </c>
      <c r="J505" s="26"/>
      <c r="K505" s="26">
        <v>53918.8</v>
      </c>
      <c r="L505" s="26">
        <v>44953.86</v>
      </c>
      <c r="M505" s="15">
        <v>0.0</v>
      </c>
      <c r="N505" s="16">
        <v>0.0</v>
      </c>
      <c r="O505" s="16">
        <f t="shared" ref="O505:O511" si="1029">N505*4%</f>
        <v>0</v>
      </c>
      <c r="P505" s="16">
        <f t="shared" ref="P505:P511" si="1030">N505*1.68%</f>
        <v>0</v>
      </c>
      <c r="Q505" s="16">
        <f t="shared" ref="Q505:Q511" si="1031">M505*(400+350+100+2)</f>
        <v>0</v>
      </c>
      <c r="R505" s="67">
        <f t="shared" ref="R505:R511" si="1032">M505*239.19</f>
        <v>0</v>
      </c>
      <c r="S505" s="17">
        <f t="shared" ref="S505:S511" si="1033">M505*393.42</f>
        <v>0</v>
      </c>
      <c r="T505" s="17">
        <f t="shared" ref="T505:T511" si="1034">M505*138</f>
        <v>0</v>
      </c>
      <c r="U505" s="86">
        <v>2022.33</v>
      </c>
      <c r="V505" s="18">
        <f t="shared" ref="V505:V511" si="1035">P505</f>
        <v>0</v>
      </c>
      <c r="W505" s="7">
        <f t="shared" ref="W505:W511" si="1036">I505+R505</f>
        <v>5498.21</v>
      </c>
      <c r="X505" s="69" t="str">
        <f t="shared" ref="X505:X511" si="1037">J505</f>
        <v/>
      </c>
      <c r="Y505" s="7">
        <f t="shared" ref="Y505:Y511" si="1038">O505</f>
        <v>0</v>
      </c>
      <c r="Z505" s="7">
        <f t="shared" ref="Z505:Z511" si="1039">Q505</f>
        <v>0</v>
      </c>
      <c r="AA505" s="18">
        <f t="shared" ref="AA505:AA511" si="1040">SUM(U505:Z505)</f>
        <v>7520.54</v>
      </c>
      <c r="AB505" s="56">
        <v>10.0</v>
      </c>
      <c r="AC505" s="24" t="s">
        <v>146</v>
      </c>
      <c r="AD505" s="57" t="s">
        <v>147</v>
      </c>
      <c r="AE505" s="24" t="s">
        <v>148</v>
      </c>
      <c r="AF505" s="24" t="s">
        <v>149</v>
      </c>
      <c r="AG505" s="24" t="s">
        <v>150</v>
      </c>
      <c r="AH505" s="24" t="s">
        <v>151</v>
      </c>
      <c r="AI505" s="24" t="s">
        <v>152</v>
      </c>
      <c r="AJ505" s="24" t="s">
        <v>153</v>
      </c>
      <c r="AK505" s="15">
        <v>0.0</v>
      </c>
      <c r="AL505" s="16">
        <v>0.0</v>
      </c>
      <c r="AM505" s="16">
        <v>0.0</v>
      </c>
      <c r="AN505" s="16">
        <v>0.0</v>
      </c>
      <c r="AO505" s="16">
        <v>0.0</v>
      </c>
      <c r="AP505" s="16">
        <v>0.0</v>
      </c>
      <c r="AQ505" s="16">
        <v>0.0</v>
      </c>
      <c r="AR505" s="16">
        <v>0.0</v>
      </c>
      <c r="AS505" s="7">
        <v>0.0</v>
      </c>
      <c r="AT505" s="7">
        <v>0.0</v>
      </c>
      <c r="AU505" s="7">
        <v>0.0</v>
      </c>
      <c r="AV505" s="7">
        <v>0.0</v>
      </c>
      <c r="AW505" s="7">
        <v>0.0</v>
      </c>
      <c r="AX505" s="7">
        <v>0.0</v>
      </c>
      <c r="AY505" s="7">
        <f t="shared" ref="AY505:AY511" si="1041">SUM(AS505:AX505)</f>
        <v>0</v>
      </c>
      <c r="AZ505" s="9">
        <v>0.0</v>
      </c>
      <c r="BA505" s="9">
        <v>0.0</v>
      </c>
      <c r="BB505" s="84">
        <v>0.0</v>
      </c>
      <c r="BC505" s="84">
        <v>0.0</v>
      </c>
    </row>
    <row r="506">
      <c r="A506" s="11">
        <v>2025.0</v>
      </c>
      <c r="B506" s="11" t="s">
        <v>135</v>
      </c>
      <c r="C506" s="12">
        <v>45837.0</v>
      </c>
      <c r="D506" s="44">
        <v>11.0</v>
      </c>
      <c r="E506" s="26">
        <v>809960.49</v>
      </c>
      <c r="F506" s="26">
        <v>42750.12</v>
      </c>
      <c r="G506" s="26">
        <v>5198.42</v>
      </c>
      <c r="H506" s="26">
        <v>1380.0</v>
      </c>
      <c r="I506" s="26">
        <v>1985.39</v>
      </c>
      <c r="J506" s="26"/>
      <c r="K506" s="26">
        <v>14539.37</v>
      </c>
      <c r="L506" s="26">
        <v>17735.05</v>
      </c>
      <c r="M506" s="15">
        <v>0.0</v>
      </c>
      <c r="N506" s="16">
        <v>0.0</v>
      </c>
      <c r="O506" s="16">
        <f t="shared" si="1029"/>
        <v>0</v>
      </c>
      <c r="P506" s="16">
        <f t="shared" si="1030"/>
        <v>0</v>
      </c>
      <c r="Q506" s="16">
        <f t="shared" si="1031"/>
        <v>0</v>
      </c>
      <c r="R506" s="67">
        <f t="shared" si="1032"/>
        <v>0</v>
      </c>
      <c r="S506" s="17">
        <f t="shared" si="1033"/>
        <v>0</v>
      </c>
      <c r="T506" s="17">
        <f t="shared" si="1034"/>
        <v>0</v>
      </c>
      <c r="U506" s="86">
        <v>3726.66</v>
      </c>
      <c r="V506" s="18">
        <f t="shared" si="1035"/>
        <v>0</v>
      </c>
      <c r="W506" s="7">
        <f t="shared" si="1036"/>
        <v>1985.39</v>
      </c>
      <c r="X506" s="69" t="str">
        <f t="shared" si="1037"/>
        <v/>
      </c>
      <c r="Y506" s="7">
        <f t="shared" si="1038"/>
        <v>0</v>
      </c>
      <c r="Z506" s="7">
        <f t="shared" si="1039"/>
        <v>0</v>
      </c>
      <c r="AA506" s="18">
        <f t="shared" si="1040"/>
        <v>5712.05</v>
      </c>
      <c r="AB506" s="56">
        <v>9.0</v>
      </c>
      <c r="AC506" s="24" t="s">
        <v>154</v>
      </c>
      <c r="AD506" s="24" t="s">
        <v>155</v>
      </c>
      <c r="AE506" s="24" t="s">
        <v>156</v>
      </c>
      <c r="AF506" s="24" t="s">
        <v>157</v>
      </c>
      <c r="AG506" s="24" t="s">
        <v>158</v>
      </c>
      <c r="AH506" s="24" t="s">
        <v>151</v>
      </c>
      <c r="AI506" s="24" t="s">
        <v>159</v>
      </c>
      <c r="AJ506" s="24" t="s">
        <v>160</v>
      </c>
      <c r="AK506" s="15">
        <v>0.0</v>
      </c>
      <c r="AL506" s="16">
        <v>0.0</v>
      </c>
      <c r="AM506" s="16">
        <v>0.0</v>
      </c>
      <c r="AN506" s="16">
        <v>0.0</v>
      </c>
      <c r="AO506" s="16">
        <v>0.0</v>
      </c>
      <c r="AP506" s="16">
        <v>0.0</v>
      </c>
      <c r="AQ506" s="16">
        <v>0.0</v>
      </c>
      <c r="AR506" s="16">
        <v>0.0</v>
      </c>
      <c r="AS506" s="7">
        <v>0.0</v>
      </c>
      <c r="AT506" s="7">
        <v>0.0</v>
      </c>
      <c r="AU506" s="7">
        <v>0.0</v>
      </c>
      <c r="AV506" s="7">
        <v>0.0</v>
      </c>
      <c r="AW506" s="7">
        <v>0.0</v>
      </c>
      <c r="AX506" s="7">
        <v>0.0</v>
      </c>
      <c r="AY506" s="7">
        <f t="shared" si="1041"/>
        <v>0</v>
      </c>
      <c r="AZ506" s="9">
        <v>0.0</v>
      </c>
      <c r="BA506" s="9">
        <v>0.0</v>
      </c>
      <c r="BB506" s="84">
        <v>0.0</v>
      </c>
      <c r="BC506" s="84">
        <v>0.0</v>
      </c>
    </row>
    <row r="507">
      <c r="A507" s="11">
        <v>2025.0</v>
      </c>
      <c r="B507" s="11" t="s">
        <v>135</v>
      </c>
      <c r="C507" s="12">
        <v>45838.0</v>
      </c>
      <c r="D507" s="44">
        <v>474.0</v>
      </c>
      <c r="E507" s="26">
        <v>3.130312794E7</v>
      </c>
      <c r="F507" s="26">
        <v>1559886.8</v>
      </c>
      <c r="G507" s="26">
        <v>157039.49</v>
      </c>
      <c r="H507" s="26">
        <v>12231.4</v>
      </c>
      <c r="I507" s="26">
        <v>154251.79</v>
      </c>
      <c r="J507" s="26">
        <v>10441.86</v>
      </c>
      <c r="K507" s="26">
        <v>686151.76</v>
      </c>
      <c r="L507" s="26">
        <v>506900.99</v>
      </c>
      <c r="M507" s="15">
        <v>0.0</v>
      </c>
      <c r="N507" s="16">
        <v>0.0</v>
      </c>
      <c r="O507" s="16">
        <f t="shared" si="1029"/>
        <v>0</v>
      </c>
      <c r="P507" s="16">
        <f t="shared" si="1030"/>
        <v>0</v>
      </c>
      <c r="Q507" s="16">
        <f t="shared" si="1031"/>
        <v>0</v>
      </c>
      <c r="R507" s="67">
        <f t="shared" si="1032"/>
        <v>0</v>
      </c>
      <c r="S507" s="17">
        <f t="shared" si="1033"/>
        <v>0</v>
      </c>
      <c r="T507" s="17">
        <f t="shared" si="1034"/>
        <v>0</v>
      </c>
      <c r="U507" s="86">
        <f>73704.46+519.45</f>
        <v>74223.91</v>
      </c>
      <c r="V507" s="18">
        <f t="shared" si="1035"/>
        <v>0</v>
      </c>
      <c r="W507" s="7">
        <f t="shared" si="1036"/>
        <v>154251.79</v>
      </c>
      <c r="X507" s="69">
        <f t="shared" si="1037"/>
        <v>10441.86</v>
      </c>
      <c r="Y507" s="7">
        <f t="shared" si="1038"/>
        <v>0</v>
      </c>
      <c r="Z507" s="7">
        <f t="shared" si="1039"/>
        <v>0</v>
      </c>
      <c r="AA507" s="18">
        <f t="shared" si="1040"/>
        <v>238917.56</v>
      </c>
      <c r="AB507" s="56">
        <v>389.0</v>
      </c>
      <c r="AC507" s="24" t="s">
        <v>161</v>
      </c>
      <c r="AD507" s="57" t="s">
        <v>162</v>
      </c>
      <c r="AE507" s="24" t="s">
        <v>163</v>
      </c>
      <c r="AF507" s="24" t="s">
        <v>164</v>
      </c>
      <c r="AG507" s="24" t="s">
        <v>165</v>
      </c>
      <c r="AH507" s="24" t="s">
        <v>166</v>
      </c>
      <c r="AI507" s="57" t="s">
        <v>167</v>
      </c>
      <c r="AJ507" s="24" t="s">
        <v>168</v>
      </c>
      <c r="AK507" s="15">
        <v>0.0</v>
      </c>
      <c r="AL507" s="16">
        <v>0.0</v>
      </c>
      <c r="AM507" s="16">
        <v>0.0</v>
      </c>
      <c r="AN507" s="16">
        <v>0.0</v>
      </c>
      <c r="AO507" s="16">
        <v>0.0</v>
      </c>
      <c r="AP507" s="16">
        <v>0.0</v>
      </c>
      <c r="AQ507" s="16">
        <v>0.0</v>
      </c>
      <c r="AR507" s="16">
        <v>0.0</v>
      </c>
      <c r="AS507" s="86">
        <v>209126.33</v>
      </c>
      <c r="AT507" s="7">
        <v>0.0</v>
      </c>
      <c r="AU507" s="86">
        <v>82435.63</v>
      </c>
      <c r="AV507" s="86">
        <v>16950.29</v>
      </c>
      <c r="AW507" s="7">
        <v>0.0</v>
      </c>
      <c r="AX507" s="86">
        <v>836.89</v>
      </c>
      <c r="AY507" s="7">
        <f t="shared" si="1041"/>
        <v>309349.14</v>
      </c>
      <c r="AZ507" s="9">
        <v>0.0</v>
      </c>
      <c r="BA507" s="9">
        <v>0.0</v>
      </c>
      <c r="BB507" s="84">
        <v>0.0</v>
      </c>
      <c r="BC507" s="84">
        <v>0.0</v>
      </c>
    </row>
    <row r="508">
      <c r="A508" s="11">
        <v>2025.0</v>
      </c>
      <c r="B508" s="11" t="s">
        <v>135</v>
      </c>
      <c r="C508" s="12">
        <v>45839.0</v>
      </c>
      <c r="D508" s="44">
        <v>2.0</v>
      </c>
      <c r="E508" s="26">
        <v>99437.91</v>
      </c>
      <c r="F508" s="26">
        <v>6236.16</v>
      </c>
      <c r="G508" s="26">
        <v>818.89</v>
      </c>
      <c r="H508" s="26">
        <v>276.0</v>
      </c>
      <c r="I508" s="26">
        <v>165.01</v>
      </c>
      <c r="J508" s="26"/>
      <c r="K508" s="26">
        <v>3305.7</v>
      </c>
      <c r="L508" s="26">
        <v>1491.57</v>
      </c>
      <c r="M508" s="15">
        <v>2.0</v>
      </c>
      <c r="N508" s="16">
        <v>190652.44</v>
      </c>
      <c r="O508" s="16">
        <f t="shared" si="1029"/>
        <v>7626.0976</v>
      </c>
      <c r="P508" s="16">
        <f t="shared" si="1030"/>
        <v>3202.960992</v>
      </c>
      <c r="Q508" s="16">
        <f t="shared" si="1031"/>
        <v>1704</v>
      </c>
      <c r="R508" s="67">
        <f t="shared" si="1032"/>
        <v>478.38</v>
      </c>
      <c r="S508" s="17">
        <f t="shared" si="1033"/>
        <v>786.84</v>
      </c>
      <c r="T508" s="17">
        <f t="shared" si="1034"/>
        <v>276</v>
      </c>
      <c r="U508" s="86">
        <v>961.31</v>
      </c>
      <c r="V508" s="18">
        <f t="shared" si="1035"/>
        <v>3202.960992</v>
      </c>
      <c r="W508" s="7">
        <f t="shared" si="1036"/>
        <v>643.39</v>
      </c>
      <c r="X508" s="69" t="str">
        <f t="shared" si="1037"/>
        <v/>
      </c>
      <c r="Y508" s="7">
        <f t="shared" si="1038"/>
        <v>7626.0976</v>
      </c>
      <c r="Z508" s="7">
        <f t="shared" si="1039"/>
        <v>1704</v>
      </c>
      <c r="AA508" s="18">
        <f t="shared" si="1040"/>
        <v>14137.75859</v>
      </c>
      <c r="AB508" s="56">
        <v>0.0</v>
      </c>
      <c r="AC508" s="24" t="s">
        <v>151</v>
      </c>
      <c r="AD508" s="57" t="s">
        <v>151</v>
      </c>
      <c r="AE508" s="24" t="s">
        <v>151</v>
      </c>
      <c r="AF508" s="24" t="s">
        <v>151</v>
      </c>
      <c r="AG508" s="24" t="s">
        <v>151</v>
      </c>
      <c r="AH508" s="24" t="s">
        <v>151</v>
      </c>
      <c r="AI508" s="24" t="s">
        <v>151</v>
      </c>
      <c r="AJ508" s="24" t="s">
        <v>151</v>
      </c>
      <c r="AK508" s="15">
        <v>0.0</v>
      </c>
      <c r="AL508" s="16">
        <v>0.0</v>
      </c>
      <c r="AM508" s="16">
        <v>0.0</v>
      </c>
      <c r="AN508" s="16">
        <v>0.0</v>
      </c>
      <c r="AO508" s="16">
        <v>0.0</v>
      </c>
      <c r="AP508" s="16">
        <v>0.0</v>
      </c>
      <c r="AQ508" s="16">
        <v>0.0</v>
      </c>
      <c r="AR508" s="16">
        <v>0.0</v>
      </c>
      <c r="AS508" s="86">
        <v>3543.0</v>
      </c>
      <c r="AT508" s="7">
        <v>0.0</v>
      </c>
      <c r="AU508" s="86">
        <v>1665.0</v>
      </c>
      <c r="AV508" s="7">
        <v>0.0</v>
      </c>
      <c r="AW508" s="7">
        <v>0.0</v>
      </c>
      <c r="AX508" s="7">
        <v>0.0</v>
      </c>
      <c r="AY508" s="7">
        <f t="shared" si="1041"/>
        <v>5208</v>
      </c>
      <c r="AZ508" s="9">
        <v>0.0</v>
      </c>
      <c r="BA508" s="9">
        <v>0.0</v>
      </c>
      <c r="BB508" s="84">
        <v>0.0</v>
      </c>
      <c r="BC508" s="84">
        <v>0.0</v>
      </c>
    </row>
    <row r="509">
      <c r="A509" s="11">
        <v>2025.0</v>
      </c>
      <c r="B509" s="11" t="s">
        <v>135</v>
      </c>
      <c r="C509" s="12">
        <v>45840.0</v>
      </c>
      <c r="D509" s="44">
        <v>3.0</v>
      </c>
      <c r="E509" s="26">
        <v>122270.68</v>
      </c>
      <c r="F509" s="26">
        <v>6776.05</v>
      </c>
      <c r="G509" s="26">
        <v>817.74</v>
      </c>
      <c r="H509" s="26">
        <v>414.0</v>
      </c>
      <c r="I509" s="26">
        <v>856.66</v>
      </c>
      <c r="J509" s="26"/>
      <c r="K509" s="26">
        <v>2167.76</v>
      </c>
      <c r="L509" s="26">
        <v>2249.9</v>
      </c>
      <c r="M509" s="15">
        <v>2.0</v>
      </c>
      <c r="N509" s="16">
        <v>332381.87</v>
      </c>
      <c r="O509" s="16">
        <f t="shared" si="1029"/>
        <v>13295.2748</v>
      </c>
      <c r="P509" s="16">
        <f t="shared" si="1030"/>
        <v>5584.015416</v>
      </c>
      <c r="Q509" s="16">
        <f t="shared" si="1031"/>
        <v>1704</v>
      </c>
      <c r="R509" s="67">
        <f t="shared" si="1032"/>
        <v>478.38</v>
      </c>
      <c r="S509" s="17">
        <f t="shared" si="1033"/>
        <v>786.84</v>
      </c>
      <c r="T509" s="17">
        <f t="shared" si="1034"/>
        <v>276</v>
      </c>
      <c r="U509" s="86">
        <v>1436.65</v>
      </c>
      <c r="V509" s="18">
        <f t="shared" si="1035"/>
        <v>5584.015416</v>
      </c>
      <c r="W509" s="7">
        <f t="shared" si="1036"/>
        <v>1335.04</v>
      </c>
      <c r="X509" s="69" t="str">
        <f t="shared" si="1037"/>
        <v/>
      </c>
      <c r="Y509" s="7">
        <f t="shared" si="1038"/>
        <v>13295.2748</v>
      </c>
      <c r="Z509" s="7">
        <f t="shared" si="1039"/>
        <v>1704</v>
      </c>
      <c r="AA509" s="18">
        <f t="shared" si="1040"/>
        <v>23354.98022</v>
      </c>
      <c r="AB509" s="56">
        <v>2.0</v>
      </c>
      <c r="AC509" s="24" t="s">
        <v>169</v>
      </c>
      <c r="AD509" s="24" t="s">
        <v>170</v>
      </c>
      <c r="AE509" s="24" t="s">
        <v>171</v>
      </c>
      <c r="AF509" s="24" t="s">
        <v>172</v>
      </c>
      <c r="AG509" s="24" t="s">
        <v>173</v>
      </c>
      <c r="AH509" s="24" t="s">
        <v>151</v>
      </c>
      <c r="AI509" s="24" t="s">
        <v>174</v>
      </c>
      <c r="AJ509" s="24" t="s">
        <v>175</v>
      </c>
      <c r="AK509" s="15">
        <v>0.0</v>
      </c>
      <c r="AL509" s="16">
        <v>0.0</v>
      </c>
      <c r="AM509" s="16">
        <v>0.0</v>
      </c>
      <c r="AN509" s="16">
        <v>0.0</v>
      </c>
      <c r="AO509" s="16">
        <v>0.0</v>
      </c>
      <c r="AP509" s="16">
        <v>0.0</v>
      </c>
      <c r="AQ509" s="16">
        <v>0.0</v>
      </c>
      <c r="AR509" s="16">
        <v>0.0</v>
      </c>
      <c r="AS509" s="86">
        <v>2654.0</v>
      </c>
      <c r="AT509" s="7">
        <v>0.0</v>
      </c>
      <c r="AU509" s="86">
        <v>1450.0</v>
      </c>
      <c r="AV509" s="7">
        <v>0.0</v>
      </c>
      <c r="AW509" s="7">
        <v>0.0</v>
      </c>
      <c r="AX509" s="7">
        <v>0.0</v>
      </c>
      <c r="AY509" s="7">
        <f t="shared" si="1041"/>
        <v>4104</v>
      </c>
      <c r="AZ509" s="9">
        <v>0.0</v>
      </c>
      <c r="BA509" s="9">
        <v>1.0</v>
      </c>
      <c r="BB509" s="84">
        <v>2.0</v>
      </c>
      <c r="BC509" s="84">
        <v>0.0</v>
      </c>
    </row>
    <row r="510">
      <c r="A510" s="11">
        <v>2025.0</v>
      </c>
      <c r="B510" s="11" t="s">
        <v>135</v>
      </c>
      <c r="C510" s="12">
        <v>45841.0</v>
      </c>
      <c r="D510" s="44">
        <v>4.0</v>
      </c>
      <c r="E510" s="26">
        <v>104377.35</v>
      </c>
      <c r="F510" s="26">
        <v>4913.83</v>
      </c>
      <c r="G510" s="26">
        <v>523.94</v>
      </c>
      <c r="H510" s="26">
        <v>276.0</v>
      </c>
      <c r="I510" s="26">
        <v>464.31</v>
      </c>
      <c r="J510" s="26"/>
      <c r="K510" s="26">
        <v>1896.04</v>
      </c>
      <c r="L510" s="26">
        <v>1565.66</v>
      </c>
      <c r="M510" s="15">
        <v>2.0</v>
      </c>
      <c r="N510" s="16">
        <v>330825.87</v>
      </c>
      <c r="O510" s="16">
        <f t="shared" si="1029"/>
        <v>13233.0348</v>
      </c>
      <c r="P510" s="16">
        <f t="shared" si="1030"/>
        <v>5557.874616</v>
      </c>
      <c r="Q510" s="16">
        <f t="shared" si="1031"/>
        <v>1704</v>
      </c>
      <c r="R510" s="67">
        <f t="shared" si="1032"/>
        <v>478.38</v>
      </c>
      <c r="S510" s="17">
        <f t="shared" si="1033"/>
        <v>786.84</v>
      </c>
      <c r="T510" s="17">
        <f t="shared" si="1034"/>
        <v>276</v>
      </c>
      <c r="U510" s="86">
        <v>1468.51</v>
      </c>
      <c r="V510" s="18">
        <f t="shared" si="1035"/>
        <v>5557.874616</v>
      </c>
      <c r="W510" s="7">
        <f t="shared" si="1036"/>
        <v>942.69</v>
      </c>
      <c r="X510" s="69" t="str">
        <f t="shared" si="1037"/>
        <v/>
      </c>
      <c r="Y510" s="7">
        <f t="shared" si="1038"/>
        <v>13233.0348</v>
      </c>
      <c r="Z510" s="7">
        <f t="shared" si="1039"/>
        <v>1704</v>
      </c>
      <c r="AA510" s="18">
        <f t="shared" si="1040"/>
        <v>22906.10942</v>
      </c>
      <c r="AB510" s="56">
        <v>3.0</v>
      </c>
      <c r="AC510" s="24" t="s">
        <v>176</v>
      </c>
      <c r="AD510" s="24" t="s">
        <v>177</v>
      </c>
      <c r="AE510" s="24" t="s">
        <v>178</v>
      </c>
      <c r="AF510" s="24" t="s">
        <v>179</v>
      </c>
      <c r="AG510" s="24" t="s">
        <v>180</v>
      </c>
      <c r="AH510" s="24" t="s">
        <v>151</v>
      </c>
      <c r="AI510" s="24" t="s">
        <v>181</v>
      </c>
      <c r="AJ510" s="57" t="s">
        <v>182</v>
      </c>
      <c r="AK510" s="15">
        <v>0.0</v>
      </c>
      <c r="AL510" s="16">
        <v>0.0</v>
      </c>
      <c r="AM510" s="16">
        <v>0.0</v>
      </c>
      <c r="AN510" s="16">
        <v>0.0</v>
      </c>
      <c r="AO510" s="16">
        <v>0.0</v>
      </c>
      <c r="AP510" s="16">
        <v>0.0</v>
      </c>
      <c r="AQ510" s="16">
        <v>0.0</v>
      </c>
      <c r="AR510" s="16">
        <v>0.0</v>
      </c>
      <c r="AS510" s="86">
        <v>2200.0</v>
      </c>
      <c r="AT510" s="7">
        <v>0.0</v>
      </c>
      <c r="AU510" s="86">
        <v>1346.0</v>
      </c>
      <c r="AV510" s="7">
        <v>0.0</v>
      </c>
      <c r="AW510" s="7">
        <v>0.0</v>
      </c>
      <c r="AX510" s="7">
        <v>0.0</v>
      </c>
      <c r="AY510" s="7">
        <f t="shared" si="1041"/>
        <v>3546</v>
      </c>
      <c r="AZ510" s="9">
        <v>1.0</v>
      </c>
      <c r="BA510" s="9">
        <v>1.0</v>
      </c>
      <c r="BB510" s="84">
        <v>0.0</v>
      </c>
      <c r="BC510" s="84">
        <v>0.0</v>
      </c>
    </row>
    <row r="511">
      <c r="A511" s="11">
        <v>2025.0</v>
      </c>
      <c r="B511" s="11" t="s">
        <v>135</v>
      </c>
      <c r="C511" s="12">
        <v>45842.0</v>
      </c>
      <c r="D511" s="44">
        <v>7.0</v>
      </c>
      <c r="E511" s="26">
        <v>231638.81</v>
      </c>
      <c r="F511" s="26">
        <v>14670.25</v>
      </c>
      <c r="G511" s="26">
        <v>2048.53</v>
      </c>
      <c r="H511" s="26">
        <v>690.0</v>
      </c>
      <c r="I511" s="26">
        <v>1005.65</v>
      </c>
      <c r="J511" s="26"/>
      <c r="K511" s="26">
        <v>5815.97</v>
      </c>
      <c r="L511" s="26">
        <v>4562.59</v>
      </c>
      <c r="M511" s="15">
        <v>4.0</v>
      </c>
      <c r="N511" s="16">
        <v>726291.58</v>
      </c>
      <c r="O511" s="16">
        <f t="shared" si="1029"/>
        <v>29051.6632</v>
      </c>
      <c r="P511" s="16">
        <f t="shared" si="1030"/>
        <v>12201.69854</v>
      </c>
      <c r="Q511" s="16">
        <f t="shared" si="1031"/>
        <v>3408</v>
      </c>
      <c r="R511" s="67">
        <f t="shared" si="1032"/>
        <v>956.76</v>
      </c>
      <c r="S511" s="17">
        <f t="shared" si="1033"/>
        <v>1573.68</v>
      </c>
      <c r="T511" s="17">
        <f t="shared" si="1034"/>
        <v>552</v>
      </c>
      <c r="U511" s="86">
        <v>1750.41</v>
      </c>
      <c r="V511" s="18">
        <f t="shared" si="1035"/>
        <v>12201.69854</v>
      </c>
      <c r="W511" s="7">
        <f t="shared" si="1036"/>
        <v>1962.41</v>
      </c>
      <c r="X511" s="69" t="str">
        <f t="shared" si="1037"/>
        <v/>
      </c>
      <c r="Y511" s="7">
        <f t="shared" si="1038"/>
        <v>29051.6632</v>
      </c>
      <c r="Z511" s="7">
        <f t="shared" si="1039"/>
        <v>3408</v>
      </c>
      <c r="AA511" s="18">
        <f t="shared" si="1040"/>
        <v>48374.18174</v>
      </c>
      <c r="AB511" s="56">
        <v>2.0</v>
      </c>
      <c r="AC511" s="24" t="s">
        <v>183</v>
      </c>
      <c r="AD511" s="24" t="s">
        <v>184</v>
      </c>
      <c r="AE511" s="24" t="s">
        <v>185</v>
      </c>
      <c r="AF511" s="24" t="s">
        <v>179</v>
      </c>
      <c r="AG511" s="24" t="s">
        <v>186</v>
      </c>
      <c r="AH511" s="24" t="s">
        <v>151</v>
      </c>
      <c r="AI511" s="24" t="s">
        <v>187</v>
      </c>
      <c r="AJ511" s="24" t="s">
        <v>188</v>
      </c>
      <c r="AK511" s="15">
        <v>1.0</v>
      </c>
      <c r="AL511" s="16">
        <v>83495.47</v>
      </c>
      <c r="AM511" s="16">
        <v>3158.0</v>
      </c>
      <c r="AN511" s="16">
        <v>1405.0</v>
      </c>
      <c r="AO511" s="16">
        <v>1000.0</v>
      </c>
      <c r="AP511" s="16">
        <v>511.3</v>
      </c>
      <c r="AQ511" s="16">
        <v>276.16</v>
      </c>
      <c r="AR511" s="16">
        <v>0.0</v>
      </c>
      <c r="AS511" s="86">
        <v>21585.61</v>
      </c>
      <c r="AT511" s="7">
        <v>0.0</v>
      </c>
      <c r="AU511" s="86">
        <v>8203.87</v>
      </c>
      <c r="AV511" s="86">
        <v>3684.76</v>
      </c>
      <c r="AW511" s="7">
        <v>0.0</v>
      </c>
      <c r="AX511" s="86">
        <v>27.21</v>
      </c>
      <c r="AY511" s="7">
        <f t="shared" si="1041"/>
        <v>33501.45</v>
      </c>
      <c r="AZ511" s="9">
        <v>2.0</v>
      </c>
      <c r="BA511" s="9">
        <v>1.0</v>
      </c>
      <c r="BB511" s="84">
        <v>0.0</v>
      </c>
      <c r="BC511" s="84">
        <v>0.0</v>
      </c>
    </row>
    <row r="512">
      <c r="A512" s="11">
        <v>2025.0</v>
      </c>
      <c r="B512" s="11" t="s">
        <v>135</v>
      </c>
      <c r="C512" s="1"/>
      <c r="D512" s="2">
        <v>221.0</v>
      </c>
      <c r="E512" s="2"/>
      <c r="F512" s="50">
        <v>612289.19</v>
      </c>
      <c r="G512" s="2"/>
      <c r="H512" s="33"/>
      <c r="I512" s="33"/>
      <c r="J512" s="33"/>
      <c r="K512" s="33"/>
      <c r="L512" s="33"/>
      <c r="M512" s="4">
        <v>15.0</v>
      </c>
      <c r="N512" s="51">
        <v>3148481.53</v>
      </c>
      <c r="O512" s="35"/>
      <c r="P512" s="35"/>
      <c r="Q512" s="35"/>
      <c r="R512" s="35"/>
      <c r="S512" s="35"/>
      <c r="T512" s="35"/>
      <c r="U512" s="37"/>
      <c r="V512" s="48"/>
      <c r="W512" s="48"/>
      <c r="X512" s="37"/>
      <c r="Y512" s="48"/>
      <c r="Z512" s="48"/>
      <c r="AA512" s="48"/>
      <c r="AB512" s="2">
        <v>0.0</v>
      </c>
      <c r="AC512" s="33"/>
      <c r="AD512" s="50">
        <v>0.0</v>
      </c>
      <c r="AE512" s="33"/>
      <c r="AF512" s="33"/>
      <c r="AG512" s="33"/>
      <c r="AH512" s="33"/>
      <c r="AI512" s="33"/>
      <c r="AJ512" s="33"/>
      <c r="AK512" s="4">
        <v>0.0</v>
      </c>
      <c r="AL512" s="4">
        <v>0.0</v>
      </c>
      <c r="AM512" s="35"/>
      <c r="AN512" s="35"/>
      <c r="AO512" s="35"/>
      <c r="AP512" s="35"/>
      <c r="AQ512" s="35"/>
      <c r="AR512" s="35"/>
      <c r="AS512" s="37"/>
      <c r="AT512" s="48"/>
      <c r="AU512" s="48"/>
      <c r="AV512" s="48"/>
      <c r="AW512" s="48"/>
      <c r="AX512" s="48"/>
      <c r="AY512" s="48"/>
      <c r="AZ512" s="38"/>
      <c r="BA512" s="39"/>
      <c r="BB512" s="85"/>
      <c r="BC512" s="88">
        <v>0.0</v>
      </c>
    </row>
    <row r="513">
      <c r="A513" s="1">
        <v>2025.0</v>
      </c>
      <c r="B513" s="11" t="s">
        <v>135</v>
      </c>
      <c r="C513" s="1" t="s">
        <v>49</v>
      </c>
      <c r="D513" s="33">
        <f t="shared" ref="D513:F513" si="1042">SUM(D505:D511)</f>
        <v>538</v>
      </c>
      <c r="E513" s="34">
        <f t="shared" si="1042"/>
        <v>35319574.56</v>
      </c>
      <c r="F513" s="34">
        <f t="shared" si="1042"/>
        <v>1760604.38</v>
      </c>
      <c r="G513" s="34">
        <f>SUM(G505:G512)</f>
        <v>178300.92</v>
      </c>
      <c r="H513" s="34">
        <f t="shared" ref="H513:L513" si="1043">SUM(H505:H511)</f>
        <v>19407.4</v>
      </c>
      <c r="I513" s="34">
        <f t="shared" si="1043"/>
        <v>164227.02</v>
      </c>
      <c r="J513" s="34">
        <f t="shared" si="1043"/>
        <v>10441.86</v>
      </c>
      <c r="K513" s="34">
        <f t="shared" si="1043"/>
        <v>767795.4</v>
      </c>
      <c r="L513" s="34">
        <f t="shared" si="1043"/>
        <v>579459.62</v>
      </c>
      <c r="M513" s="35">
        <f t="shared" ref="M513:N513" si="1044">SUM(M505:M512)</f>
        <v>25</v>
      </c>
      <c r="N513" s="36">
        <f t="shared" si="1044"/>
        <v>4728633.29</v>
      </c>
      <c r="O513" s="36">
        <f t="shared" ref="O513:AA513" si="1045">SUM(O505:O511)</f>
        <v>63206.0704</v>
      </c>
      <c r="P513" s="36">
        <f t="shared" si="1045"/>
        <v>26546.54957</v>
      </c>
      <c r="Q513" s="36">
        <f t="shared" si="1045"/>
        <v>8520</v>
      </c>
      <c r="R513" s="70">
        <f t="shared" si="1045"/>
        <v>2391.9</v>
      </c>
      <c r="S513" s="36">
        <f t="shared" si="1045"/>
        <v>3934.2</v>
      </c>
      <c r="T513" s="36">
        <f t="shared" si="1045"/>
        <v>1380</v>
      </c>
      <c r="U513" s="37">
        <f t="shared" si="1045"/>
        <v>85589.78</v>
      </c>
      <c r="V513" s="37">
        <f t="shared" si="1045"/>
        <v>26546.54957</v>
      </c>
      <c r="W513" s="37">
        <f t="shared" si="1045"/>
        <v>166618.92</v>
      </c>
      <c r="X513" s="37">
        <f t="shared" si="1045"/>
        <v>10441.86</v>
      </c>
      <c r="Y513" s="37">
        <f t="shared" si="1045"/>
        <v>63206.0704</v>
      </c>
      <c r="Z513" s="37">
        <f t="shared" si="1045"/>
        <v>8520</v>
      </c>
      <c r="AA513" s="37">
        <f t="shared" si="1045"/>
        <v>360923.18</v>
      </c>
      <c r="AB513" s="33">
        <f>SUM(AB505:AB512)</f>
        <v>415</v>
      </c>
      <c r="AC513" s="34">
        <f>SUM(AC505:AC511)</f>
        <v>0</v>
      </c>
      <c r="AD513" s="55">
        <f>SUM(AD505:AD512)</f>
        <v>0</v>
      </c>
      <c r="AE513" s="34">
        <f t="shared" ref="AE513:AJ513" si="1046">SUM(AE505:AE511)</f>
        <v>0</v>
      </c>
      <c r="AF513" s="34">
        <f t="shared" si="1046"/>
        <v>0</v>
      </c>
      <c r="AG513" s="34">
        <f t="shared" si="1046"/>
        <v>0</v>
      </c>
      <c r="AH513" s="34">
        <f t="shared" si="1046"/>
        <v>0</v>
      </c>
      <c r="AI513" s="34">
        <f t="shared" si="1046"/>
        <v>0</v>
      </c>
      <c r="AJ513" s="34">
        <f t="shared" si="1046"/>
        <v>0</v>
      </c>
      <c r="AK513" s="35">
        <f t="shared" ref="AK513:AL513" si="1047">SUM(AK505:AK512)</f>
        <v>1</v>
      </c>
      <c r="AL513" s="36">
        <f t="shared" si="1047"/>
        <v>83495.47</v>
      </c>
      <c r="AM513" s="36">
        <f t="shared" ref="AM513:BB513" si="1048">SUM(AM505:AM511)</f>
        <v>3158</v>
      </c>
      <c r="AN513" s="36">
        <f t="shared" si="1048"/>
        <v>1405</v>
      </c>
      <c r="AO513" s="36">
        <f t="shared" si="1048"/>
        <v>1000</v>
      </c>
      <c r="AP513" s="36">
        <f t="shared" si="1048"/>
        <v>511.3</v>
      </c>
      <c r="AQ513" s="36">
        <f t="shared" si="1048"/>
        <v>276.16</v>
      </c>
      <c r="AR513" s="36">
        <f t="shared" si="1048"/>
        <v>0</v>
      </c>
      <c r="AS513" s="37">
        <f t="shared" si="1048"/>
        <v>239108.94</v>
      </c>
      <c r="AT513" s="37">
        <f t="shared" si="1048"/>
        <v>0</v>
      </c>
      <c r="AU513" s="37">
        <f t="shared" si="1048"/>
        <v>95100.5</v>
      </c>
      <c r="AV513" s="37">
        <f t="shared" si="1048"/>
        <v>20635.05</v>
      </c>
      <c r="AW513" s="37">
        <f t="shared" si="1048"/>
        <v>0</v>
      </c>
      <c r="AX513" s="37">
        <f t="shared" si="1048"/>
        <v>864.1</v>
      </c>
      <c r="AY513" s="37">
        <f t="shared" si="1048"/>
        <v>355708.59</v>
      </c>
      <c r="AZ513" s="38">
        <f t="shared" si="1048"/>
        <v>3</v>
      </c>
      <c r="BA513" s="39">
        <f t="shared" si="1048"/>
        <v>3</v>
      </c>
      <c r="BB513" s="85">
        <f t="shared" si="1048"/>
        <v>2</v>
      </c>
      <c r="BC513" s="85">
        <f>SUM(BC505:BC512)</f>
        <v>0</v>
      </c>
    </row>
    <row r="514">
      <c r="A514" s="11">
        <v>2025.0</v>
      </c>
      <c r="B514" s="11" t="s">
        <v>135</v>
      </c>
      <c r="C514" s="12">
        <v>45843.0</v>
      </c>
      <c r="D514" s="44">
        <v>10.0</v>
      </c>
      <c r="E514" s="26">
        <v>471533.96</v>
      </c>
      <c r="F514" s="26">
        <v>24689.33</v>
      </c>
      <c r="G514" s="26">
        <v>3399.59</v>
      </c>
      <c r="H514" s="26">
        <v>1242.0</v>
      </c>
      <c r="I514" s="26">
        <v>1461.18</v>
      </c>
      <c r="J514" s="26">
        <v>429.5</v>
      </c>
      <c r="K514" s="26">
        <v>10579.26</v>
      </c>
      <c r="L514" s="26">
        <v>8007.3</v>
      </c>
      <c r="M514" s="15">
        <v>0.0</v>
      </c>
      <c r="N514" s="16">
        <v>0.0</v>
      </c>
      <c r="O514" s="16">
        <f t="shared" ref="O514:O520" si="1049">N514*4%</f>
        <v>0</v>
      </c>
      <c r="P514" s="16">
        <f t="shared" ref="P514:P520" si="1050">N514*1.68%</f>
        <v>0</v>
      </c>
      <c r="Q514" s="16">
        <f t="shared" ref="Q514:Q520" si="1051">M514*(400+350+100+2)</f>
        <v>0</v>
      </c>
      <c r="R514" s="67">
        <f t="shared" ref="R514:R520" si="1052">M514*239.19</f>
        <v>0</v>
      </c>
      <c r="S514" s="17">
        <f t="shared" ref="S514:S520" si="1053">M514*393.42</f>
        <v>0</v>
      </c>
      <c r="T514" s="17">
        <f t="shared" ref="T514:T520" si="1054">M514*138</f>
        <v>0</v>
      </c>
      <c r="U514" s="86">
        <v>1601.46</v>
      </c>
      <c r="V514" s="18">
        <f t="shared" ref="V514:V520" si="1055">P514</f>
        <v>0</v>
      </c>
      <c r="W514" s="7">
        <f t="shared" ref="W514:W520" si="1056">I514+R514</f>
        <v>1461.18</v>
      </c>
      <c r="X514" s="69">
        <f t="shared" ref="X514:X520" si="1057">J514</f>
        <v>429.5</v>
      </c>
      <c r="Y514" s="7">
        <f t="shared" ref="Y514:Y520" si="1058">O514</f>
        <v>0</v>
      </c>
      <c r="Z514" s="7">
        <f t="shared" ref="Z514:Z520" si="1059">Q514</f>
        <v>0</v>
      </c>
      <c r="AA514" s="18">
        <f t="shared" ref="AA514:AA520" si="1060">SUM(U514:Z514)</f>
        <v>3492.14</v>
      </c>
      <c r="AB514" s="56">
        <v>7.0</v>
      </c>
      <c r="AC514" s="24">
        <v>291055.78</v>
      </c>
      <c r="AD514" s="57">
        <v>17201.48</v>
      </c>
      <c r="AE514" s="24">
        <v>2662.06</v>
      </c>
      <c r="AF514" s="24">
        <v>828.0</v>
      </c>
      <c r="AG514" s="24">
        <v>1134.32</v>
      </c>
      <c r="AH514" s="24"/>
      <c r="AI514" s="24">
        <v>5385.23</v>
      </c>
      <c r="AJ514" s="24">
        <v>7191.87</v>
      </c>
      <c r="AK514" s="15">
        <v>0.0</v>
      </c>
      <c r="AL514" s="16">
        <v>0.0</v>
      </c>
      <c r="AM514" s="16">
        <v>0.0</v>
      </c>
      <c r="AN514" s="16">
        <v>0.0</v>
      </c>
      <c r="AO514" s="16">
        <v>0.0</v>
      </c>
      <c r="AP514" s="16">
        <v>0.0</v>
      </c>
      <c r="AQ514" s="16">
        <v>0.0</v>
      </c>
      <c r="AR514" s="16">
        <v>0.0</v>
      </c>
      <c r="AS514" s="7">
        <v>0.0</v>
      </c>
      <c r="AT514" s="7">
        <v>0.0</v>
      </c>
      <c r="AU514" s="7">
        <v>0.0</v>
      </c>
      <c r="AV514" s="7">
        <v>0.0</v>
      </c>
      <c r="AW514" s="7">
        <v>0.0</v>
      </c>
      <c r="AX514" s="86">
        <v>6720.0</v>
      </c>
      <c r="AY514" s="7">
        <f t="shared" ref="AY514:AY520" si="1061">SUM(AS514:AX514)</f>
        <v>6720</v>
      </c>
      <c r="AZ514" s="9">
        <v>0.0</v>
      </c>
      <c r="BA514" s="9">
        <v>0.0</v>
      </c>
      <c r="BB514" s="84">
        <v>0.0</v>
      </c>
      <c r="BC514" s="84">
        <v>0.0</v>
      </c>
    </row>
    <row r="515">
      <c r="A515" s="11">
        <v>2025.0</v>
      </c>
      <c r="B515" s="11" t="s">
        <v>135</v>
      </c>
      <c r="C515" s="12">
        <v>45844.0</v>
      </c>
      <c r="D515" s="44">
        <v>9.0</v>
      </c>
      <c r="E515" s="26">
        <v>243626.91</v>
      </c>
      <c r="F515" s="26">
        <v>14947.26</v>
      </c>
      <c r="G515" s="26">
        <v>2087.44</v>
      </c>
      <c r="H515" s="26">
        <v>1104.0</v>
      </c>
      <c r="I515" s="26">
        <v>997.61</v>
      </c>
      <c r="J515" s="26">
        <v>626.43</v>
      </c>
      <c r="K515" s="26">
        <v>6665.28</v>
      </c>
      <c r="L515" s="26">
        <v>4092.93</v>
      </c>
      <c r="M515" s="15">
        <v>0.0</v>
      </c>
      <c r="N515" s="16">
        <v>0.0</v>
      </c>
      <c r="O515" s="16">
        <f t="shared" si="1049"/>
        <v>0</v>
      </c>
      <c r="P515" s="16">
        <f t="shared" si="1050"/>
        <v>0</v>
      </c>
      <c r="Q515" s="16">
        <f t="shared" si="1051"/>
        <v>0</v>
      </c>
      <c r="R515" s="67">
        <f t="shared" si="1052"/>
        <v>0</v>
      </c>
      <c r="S515" s="17">
        <f t="shared" si="1053"/>
        <v>0</v>
      </c>
      <c r="T515" s="17">
        <f t="shared" si="1054"/>
        <v>0</v>
      </c>
      <c r="U515" s="86">
        <v>818.59</v>
      </c>
      <c r="V515" s="18">
        <f t="shared" si="1055"/>
        <v>0</v>
      </c>
      <c r="W515" s="7">
        <f t="shared" si="1056"/>
        <v>997.61</v>
      </c>
      <c r="X515" s="69">
        <f t="shared" si="1057"/>
        <v>626.43</v>
      </c>
      <c r="Y515" s="7">
        <f t="shared" si="1058"/>
        <v>0</v>
      </c>
      <c r="Z515" s="7">
        <f t="shared" si="1059"/>
        <v>0</v>
      </c>
      <c r="AA515" s="18">
        <f t="shared" si="1060"/>
        <v>2442.63</v>
      </c>
      <c r="AB515" s="56">
        <v>5.0</v>
      </c>
      <c r="AC515" s="24">
        <v>132822.92</v>
      </c>
      <c r="AD515" s="57">
        <v>8669.19</v>
      </c>
      <c r="AE515" s="24">
        <v>1304.63</v>
      </c>
      <c r="AF515" s="24">
        <v>690.0</v>
      </c>
      <c r="AG515" s="24">
        <v>742.5</v>
      </c>
      <c r="AH515" s="24"/>
      <c r="AI515" s="24">
        <v>3639.89</v>
      </c>
      <c r="AJ515" s="24">
        <v>2292.18</v>
      </c>
      <c r="AK515" s="15">
        <v>0.0</v>
      </c>
      <c r="AL515" s="16">
        <v>0.0</v>
      </c>
      <c r="AM515" s="16">
        <v>0.0</v>
      </c>
      <c r="AN515" s="16">
        <v>0.0</v>
      </c>
      <c r="AO515" s="16">
        <v>0.0</v>
      </c>
      <c r="AP515" s="16">
        <v>0.0</v>
      </c>
      <c r="AQ515" s="16">
        <v>0.0</v>
      </c>
      <c r="AR515" s="16">
        <v>0.0</v>
      </c>
      <c r="AS515" s="7">
        <v>0.0</v>
      </c>
      <c r="AT515" s="7">
        <v>0.0</v>
      </c>
      <c r="AU515" s="7">
        <v>0.0</v>
      </c>
      <c r="AV515" s="7">
        <v>0.0</v>
      </c>
      <c r="AW515" s="7">
        <v>0.0</v>
      </c>
      <c r="AX515" s="7">
        <v>0.0</v>
      </c>
      <c r="AY515" s="7">
        <f t="shared" si="1061"/>
        <v>0</v>
      </c>
      <c r="AZ515" s="9">
        <v>0.0</v>
      </c>
      <c r="BA515" s="9">
        <v>0.0</v>
      </c>
      <c r="BB515" s="84">
        <v>0.0</v>
      </c>
      <c r="BC515" s="84">
        <v>0.0</v>
      </c>
    </row>
    <row r="516">
      <c r="A516" s="11">
        <v>2025.0</v>
      </c>
      <c r="B516" s="11" t="s">
        <v>135</v>
      </c>
      <c r="C516" s="12">
        <v>45845.0</v>
      </c>
      <c r="D516" s="44">
        <v>17.0</v>
      </c>
      <c r="E516" s="26">
        <v>661505.84</v>
      </c>
      <c r="F516" s="26">
        <v>39147.32</v>
      </c>
      <c r="G516" s="26">
        <v>5417.92</v>
      </c>
      <c r="H516" s="26">
        <v>2346.0</v>
      </c>
      <c r="I516" s="26">
        <v>3180.3</v>
      </c>
      <c r="J516" s="26">
        <v>3088.56</v>
      </c>
      <c r="K516" s="26">
        <v>18965.99</v>
      </c>
      <c r="L516" s="26">
        <v>13479.39</v>
      </c>
      <c r="M516" s="15">
        <v>3.0</v>
      </c>
      <c r="N516" s="16">
        <v>291913.24</v>
      </c>
      <c r="O516" s="16">
        <f t="shared" si="1049"/>
        <v>11676.5296</v>
      </c>
      <c r="P516" s="16">
        <f t="shared" si="1050"/>
        <v>4904.142432</v>
      </c>
      <c r="Q516" s="16">
        <f t="shared" si="1051"/>
        <v>2556</v>
      </c>
      <c r="R516" s="67">
        <f t="shared" si="1052"/>
        <v>717.57</v>
      </c>
      <c r="S516" s="17">
        <f t="shared" si="1053"/>
        <v>1180.26</v>
      </c>
      <c r="T516" s="17">
        <f t="shared" si="1054"/>
        <v>414</v>
      </c>
      <c r="U516" s="86">
        <v>2695.88</v>
      </c>
      <c r="V516" s="18">
        <f t="shared" si="1055"/>
        <v>4904.142432</v>
      </c>
      <c r="W516" s="7">
        <f t="shared" si="1056"/>
        <v>3897.87</v>
      </c>
      <c r="X516" s="69">
        <f t="shared" si="1057"/>
        <v>3088.56</v>
      </c>
      <c r="Y516" s="7">
        <f t="shared" si="1058"/>
        <v>11676.5296</v>
      </c>
      <c r="Z516" s="7">
        <f t="shared" si="1059"/>
        <v>2556</v>
      </c>
      <c r="AA516" s="18">
        <f t="shared" si="1060"/>
        <v>28818.98203</v>
      </c>
      <c r="AB516" s="56">
        <v>8.0</v>
      </c>
      <c r="AC516" s="24">
        <v>318720.71</v>
      </c>
      <c r="AD516" s="57">
        <v>16904.15</v>
      </c>
      <c r="AE516" s="24">
        <v>2403.91</v>
      </c>
      <c r="AF516" s="24">
        <v>1104.0</v>
      </c>
      <c r="AG516" s="24">
        <v>1552.34</v>
      </c>
      <c r="AH516" s="24">
        <v>342.75</v>
      </c>
      <c r="AI516" s="24">
        <v>5695.11</v>
      </c>
      <c r="AJ516" s="24">
        <v>6148.79</v>
      </c>
      <c r="AK516" s="15">
        <v>2.0</v>
      </c>
      <c r="AL516" s="16">
        <v>146494.6</v>
      </c>
      <c r="AM516" s="16">
        <v>5540.0</v>
      </c>
      <c r="AN516" s="16">
        <v>2466.0</v>
      </c>
      <c r="AO516" s="16">
        <v>2000.0</v>
      </c>
      <c r="AP516" s="16">
        <v>958.22</v>
      </c>
      <c r="AQ516" s="16">
        <v>540.38</v>
      </c>
      <c r="AR516" s="16">
        <v>0.0</v>
      </c>
      <c r="AS516" s="86">
        <v>29813.81</v>
      </c>
      <c r="AT516" s="7">
        <v>0.0</v>
      </c>
      <c r="AU516" s="86">
        <v>11747.84</v>
      </c>
      <c r="AV516" s="86">
        <v>1813.33</v>
      </c>
      <c r="AW516" s="86">
        <v>8698.0</v>
      </c>
      <c r="AX516" s="86">
        <v>8917.8</v>
      </c>
      <c r="AY516" s="7">
        <f t="shared" si="1061"/>
        <v>60990.78</v>
      </c>
      <c r="AZ516" s="9">
        <v>0.0</v>
      </c>
      <c r="BA516" s="9">
        <v>0.0</v>
      </c>
      <c r="BB516" s="84">
        <v>0.0</v>
      </c>
      <c r="BC516" s="84">
        <v>0.0</v>
      </c>
    </row>
    <row r="517">
      <c r="A517" s="11">
        <v>2025.0</v>
      </c>
      <c r="B517" s="11" t="s">
        <v>135</v>
      </c>
      <c r="C517" s="12">
        <v>45846.0</v>
      </c>
      <c r="D517" s="44">
        <v>10.0</v>
      </c>
      <c r="E517" s="26">
        <v>332109.71</v>
      </c>
      <c r="F517" s="26">
        <v>19098.0</v>
      </c>
      <c r="G517" s="26">
        <v>2814.97</v>
      </c>
      <c r="H517" s="26">
        <v>1380.0</v>
      </c>
      <c r="I517" s="26">
        <v>1698.55</v>
      </c>
      <c r="J517" s="26">
        <v>0.0</v>
      </c>
      <c r="K517" s="26">
        <v>7166.92</v>
      </c>
      <c r="L517" s="26">
        <v>6037.56</v>
      </c>
      <c r="M517" s="15">
        <v>3.0</v>
      </c>
      <c r="N517" s="16">
        <v>337714.46</v>
      </c>
      <c r="O517" s="16">
        <f t="shared" si="1049"/>
        <v>13508.5784</v>
      </c>
      <c r="P517" s="16">
        <f t="shared" si="1050"/>
        <v>5673.602928</v>
      </c>
      <c r="Q517" s="16">
        <f t="shared" si="1051"/>
        <v>2556</v>
      </c>
      <c r="R517" s="67">
        <f t="shared" si="1052"/>
        <v>717.57</v>
      </c>
      <c r="S517" s="17">
        <f t="shared" si="1053"/>
        <v>1180.26</v>
      </c>
      <c r="T517" s="17">
        <f t="shared" si="1054"/>
        <v>414</v>
      </c>
      <c r="U517" s="86">
        <v>1207.51</v>
      </c>
      <c r="V517" s="18">
        <f t="shared" si="1055"/>
        <v>5673.602928</v>
      </c>
      <c r="W517" s="7">
        <f t="shared" si="1056"/>
        <v>2416.12</v>
      </c>
      <c r="X517" s="69">
        <f t="shared" si="1057"/>
        <v>0</v>
      </c>
      <c r="Y517" s="7">
        <f t="shared" si="1058"/>
        <v>13508.5784</v>
      </c>
      <c r="Z517" s="7">
        <f t="shared" si="1059"/>
        <v>2556</v>
      </c>
      <c r="AA517" s="18">
        <f t="shared" si="1060"/>
        <v>25361.81133</v>
      </c>
      <c r="AB517" s="56">
        <v>6.0</v>
      </c>
      <c r="AC517" s="24">
        <v>219943.59</v>
      </c>
      <c r="AD517" s="57">
        <v>12402.42</v>
      </c>
      <c r="AE517" s="24">
        <v>1569.72</v>
      </c>
      <c r="AF517" s="24">
        <v>828.0</v>
      </c>
      <c r="AG517" s="24">
        <v>1147.0</v>
      </c>
      <c r="AH517" s="24"/>
      <c r="AI517" s="24">
        <v>5077.35</v>
      </c>
      <c r="AJ517" s="24">
        <v>3780.35</v>
      </c>
      <c r="AK517" s="15">
        <v>0.0</v>
      </c>
      <c r="AL517" s="16">
        <v>0.0</v>
      </c>
      <c r="AM517" s="16">
        <v>0.0</v>
      </c>
      <c r="AN517" s="16">
        <v>0.0</v>
      </c>
      <c r="AO517" s="16">
        <v>0.0</v>
      </c>
      <c r="AP517" s="16">
        <v>0.0</v>
      </c>
      <c r="AQ517" s="16">
        <v>0.0</v>
      </c>
      <c r="AR517" s="16">
        <v>0.0</v>
      </c>
      <c r="AS517" s="86">
        <v>36757.72</v>
      </c>
      <c r="AT517" s="7">
        <v>0.0</v>
      </c>
      <c r="AU517" s="86">
        <v>12491.8</v>
      </c>
      <c r="AV517" s="86">
        <v>3238.94</v>
      </c>
      <c r="AW517" s="7">
        <v>0.0</v>
      </c>
      <c r="AX517" s="86">
        <v>676.98</v>
      </c>
      <c r="AY517" s="7">
        <f t="shared" si="1061"/>
        <v>53165.44</v>
      </c>
      <c r="AZ517" s="9">
        <v>0.0</v>
      </c>
      <c r="BA517" s="9">
        <v>0.0</v>
      </c>
      <c r="BB517" s="84">
        <v>3.0</v>
      </c>
      <c r="BC517" s="84">
        <v>1.0</v>
      </c>
    </row>
    <row r="518">
      <c r="A518" s="11">
        <v>2025.0</v>
      </c>
      <c r="B518" s="11" t="s">
        <v>135</v>
      </c>
      <c r="C518" s="12">
        <v>45847.0</v>
      </c>
      <c r="D518" s="44">
        <v>8.0</v>
      </c>
      <c r="E518" s="26">
        <v>504360.81</v>
      </c>
      <c r="F518" s="26">
        <v>25523.5</v>
      </c>
      <c r="G518" s="26">
        <v>3231.89</v>
      </c>
      <c r="H518" s="26">
        <v>828.0</v>
      </c>
      <c r="I518" s="26">
        <v>1492.64</v>
      </c>
      <c r="J518" s="26">
        <v>5611.95</v>
      </c>
      <c r="K518" s="26">
        <v>15949.75</v>
      </c>
      <c r="L518" s="26">
        <v>10981.19</v>
      </c>
      <c r="M518" s="15">
        <v>2.0</v>
      </c>
      <c r="N518" s="16">
        <v>148026.85</v>
      </c>
      <c r="O518" s="16">
        <f t="shared" si="1049"/>
        <v>5921.074</v>
      </c>
      <c r="P518" s="16">
        <f t="shared" si="1050"/>
        <v>2486.85108</v>
      </c>
      <c r="Q518" s="16">
        <f t="shared" si="1051"/>
        <v>1704</v>
      </c>
      <c r="R518" s="67">
        <f t="shared" si="1052"/>
        <v>478.38</v>
      </c>
      <c r="S518" s="17">
        <f t="shared" si="1053"/>
        <v>786.84</v>
      </c>
      <c r="T518" s="17">
        <f t="shared" si="1054"/>
        <v>276</v>
      </c>
      <c r="U518" s="86">
        <v>2196.24</v>
      </c>
      <c r="V518" s="18">
        <f t="shared" si="1055"/>
        <v>2486.85108</v>
      </c>
      <c r="W518" s="7">
        <f t="shared" si="1056"/>
        <v>1971.02</v>
      </c>
      <c r="X518" s="69">
        <f t="shared" si="1057"/>
        <v>5611.95</v>
      </c>
      <c r="Y518" s="7">
        <f t="shared" si="1058"/>
        <v>5921.074</v>
      </c>
      <c r="Z518" s="7">
        <f t="shared" si="1059"/>
        <v>1704</v>
      </c>
      <c r="AA518" s="18">
        <f t="shared" si="1060"/>
        <v>19891.13508</v>
      </c>
      <c r="AB518" s="56">
        <v>3.0</v>
      </c>
      <c r="AC518" s="24">
        <v>193847.52</v>
      </c>
      <c r="AD518" s="57">
        <v>39125.23</v>
      </c>
      <c r="AE518" s="24">
        <v>772.39</v>
      </c>
      <c r="AF518" s="24">
        <v>138.0</v>
      </c>
      <c r="AG518" s="24">
        <v>148.02</v>
      </c>
      <c r="AH518" s="24"/>
      <c r="AI518" s="24">
        <v>33927.99</v>
      </c>
      <c r="AJ518" s="24">
        <v>4138.83</v>
      </c>
      <c r="AK518" s="15">
        <v>2.0</v>
      </c>
      <c r="AL518" s="16">
        <v>161028.31</v>
      </c>
      <c r="AM518" s="16">
        <v>0.0</v>
      </c>
      <c r="AN518" s="16">
        <v>2711.0</v>
      </c>
      <c r="AO518" s="16">
        <v>0.0</v>
      </c>
      <c r="AP518" s="16">
        <v>971.76</v>
      </c>
      <c r="AQ518" s="16">
        <v>573.26</v>
      </c>
      <c r="AR518" s="16">
        <v>0.0</v>
      </c>
      <c r="AS518" s="86">
        <v>51271.73</v>
      </c>
      <c r="AT518" s="7">
        <v>0.0</v>
      </c>
      <c r="AU518" s="86">
        <v>20391.93</v>
      </c>
      <c r="AV518" s="86">
        <v>8390.51</v>
      </c>
      <c r="AW518" s="7">
        <v>0.0</v>
      </c>
      <c r="AX518" s="86">
        <v>1069.55</v>
      </c>
      <c r="AY518" s="7">
        <f t="shared" si="1061"/>
        <v>81123.72</v>
      </c>
      <c r="AZ518" s="9">
        <v>1.0</v>
      </c>
      <c r="BA518" s="9">
        <v>1.0</v>
      </c>
      <c r="BB518" s="84">
        <v>0.0</v>
      </c>
      <c r="BC518" s="84">
        <v>0.0</v>
      </c>
    </row>
    <row r="519">
      <c r="A519" s="11">
        <v>2025.0</v>
      </c>
      <c r="B519" s="11" t="s">
        <v>135</v>
      </c>
      <c r="C519" s="12">
        <v>45848.0</v>
      </c>
      <c r="D519" s="44">
        <v>6.0</v>
      </c>
      <c r="E519" s="26">
        <v>379054.68</v>
      </c>
      <c r="F519" s="26">
        <v>19011.86</v>
      </c>
      <c r="G519" s="26">
        <v>2368.04</v>
      </c>
      <c r="H519" s="26">
        <v>828.0</v>
      </c>
      <c r="I519" s="26">
        <v>1402.45</v>
      </c>
      <c r="J519" s="26">
        <v>1415.74</v>
      </c>
      <c r="K519" s="26">
        <v>7476.42</v>
      </c>
      <c r="L519" s="26">
        <v>6936.95</v>
      </c>
      <c r="M519" s="15">
        <v>2.0</v>
      </c>
      <c r="N519" s="16">
        <v>269998.41</v>
      </c>
      <c r="O519" s="16">
        <f t="shared" si="1049"/>
        <v>10799.9364</v>
      </c>
      <c r="P519" s="16">
        <f t="shared" si="1050"/>
        <v>4535.973288</v>
      </c>
      <c r="Q519" s="16">
        <f t="shared" si="1051"/>
        <v>1704</v>
      </c>
      <c r="R519" s="67">
        <f t="shared" si="1052"/>
        <v>478.38</v>
      </c>
      <c r="S519" s="17">
        <f t="shared" si="1053"/>
        <v>786.84</v>
      </c>
      <c r="T519" s="17">
        <f t="shared" si="1054"/>
        <v>276</v>
      </c>
      <c r="U519" s="86">
        <v>1387.39</v>
      </c>
      <c r="V519" s="18">
        <f t="shared" si="1055"/>
        <v>4535.973288</v>
      </c>
      <c r="W519" s="7">
        <f t="shared" si="1056"/>
        <v>1880.83</v>
      </c>
      <c r="X519" s="69">
        <f t="shared" si="1057"/>
        <v>1415.74</v>
      </c>
      <c r="Y519" s="7">
        <f t="shared" si="1058"/>
        <v>10799.9364</v>
      </c>
      <c r="Z519" s="7">
        <f t="shared" si="1059"/>
        <v>1704</v>
      </c>
      <c r="AA519" s="18">
        <f t="shared" si="1060"/>
        <v>21723.86969</v>
      </c>
      <c r="AB519" s="56">
        <v>1.0</v>
      </c>
      <c r="AC519" s="24">
        <v>8434.24</v>
      </c>
      <c r="AD519" s="57">
        <v>1587.51</v>
      </c>
      <c r="AE519" s="24">
        <v>260.93</v>
      </c>
      <c r="AF519" s="24">
        <v>138.0</v>
      </c>
      <c r="AG519" s="24">
        <v>52.03</v>
      </c>
      <c r="AH519" s="24"/>
      <c r="AI519" s="24">
        <v>978.43</v>
      </c>
      <c r="AJ519" s="24">
        <v>158.13</v>
      </c>
      <c r="AK519" s="15">
        <v>2.0</v>
      </c>
      <c r="AL519" s="16">
        <v>232753.86</v>
      </c>
      <c r="AM519" s="16">
        <v>8802.0</v>
      </c>
      <c r="AN519" s="16">
        <v>3918.0</v>
      </c>
      <c r="AO519" s="16">
        <v>1850.0</v>
      </c>
      <c r="AP519" s="16">
        <v>930.47</v>
      </c>
      <c r="AQ519" s="16">
        <v>803.39</v>
      </c>
      <c r="AR519" s="16">
        <v>0.0</v>
      </c>
      <c r="AS519" s="86">
        <v>17952.53</v>
      </c>
      <c r="AT519" s="7">
        <v>0.0</v>
      </c>
      <c r="AU519" s="86">
        <v>6139.77</v>
      </c>
      <c r="AV519" s="86">
        <v>2544.44</v>
      </c>
      <c r="AW519" s="86">
        <v>8802.0</v>
      </c>
      <c r="AX519" s="86">
        <v>6474.86</v>
      </c>
      <c r="AY519" s="7">
        <f t="shared" si="1061"/>
        <v>41913.6</v>
      </c>
      <c r="AZ519" s="9">
        <v>1.0</v>
      </c>
      <c r="BA519" s="9">
        <v>1.0</v>
      </c>
      <c r="BB519" s="84">
        <v>0.0</v>
      </c>
      <c r="BC519" s="84">
        <v>0.0</v>
      </c>
    </row>
    <row r="520">
      <c r="A520" s="11">
        <v>2025.0</v>
      </c>
      <c r="B520" s="11" t="s">
        <v>135</v>
      </c>
      <c r="C520" s="12">
        <v>45849.0</v>
      </c>
      <c r="D520" s="44">
        <v>1.0</v>
      </c>
      <c r="E520" s="26">
        <v>0.0</v>
      </c>
      <c r="F520" s="26">
        <v>2197.14</v>
      </c>
      <c r="G520" s="26">
        <v>302.56</v>
      </c>
      <c r="H520" s="26">
        <v>138.0</v>
      </c>
      <c r="I520" s="26">
        <v>139.19</v>
      </c>
      <c r="J520" s="26">
        <v>0.0</v>
      </c>
      <c r="K520" s="26">
        <v>1617.39</v>
      </c>
      <c r="L520" s="26">
        <v>0.0</v>
      </c>
      <c r="M520" s="15">
        <v>0.0</v>
      </c>
      <c r="N520" s="16">
        <v>0.0</v>
      </c>
      <c r="O520" s="16">
        <f t="shared" si="1049"/>
        <v>0</v>
      </c>
      <c r="P520" s="16">
        <f t="shared" si="1050"/>
        <v>0</v>
      </c>
      <c r="Q520" s="16">
        <f t="shared" si="1051"/>
        <v>0</v>
      </c>
      <c r="R520" s="67">
        <f t="shared" si="1052"/>
        <v>0</v>
      </c>
      <c r="S520" s="17">
        <f t="shared" si="1053"/>
        <v>0</v>
      </c>
      <c r="T520" s="17">
        <f t="shared" si="1054"/>
        <v>0</v>
      </c>
      <c r="U520" s="86">
        <v>0.0</v>
      </c>
      <c r="V520" s="18">
        <f t="shared" si="1055"/>
        <v>0</v>
      </c>
      <c r="W520" s="7">
        <f t="shared" si="1056"/>
        <v>139.19</v>
      </c>
      <c r="X520" s="69">
        <f t="shared" si="1057"/>
        <v>0</v>
      </c>
      <c r="Y520" s="7">
        <f t="shared" si="1058"/>
        <v>0</v>
      </c>
      <c r="Z520" s="7">
        <f t="shared" si="1059"/>
        <v>0</v>
      </c>
      <c r="AA520" s="18">
        <f t="shared" si="1060"/>
        <v>139.19</v>
      </c>
      <c r="AB520" s="56">
        <v>0.0</v>
      </c>
      <c r="AC520" s="24">
        <v>0.0</v>
      </c>
      <c r="AD520" s="57">
        <v>0.0</v>
      </c>
      <c r="AE520" s="24">
        <v>0.0</v>
      </c>
      <c r="AF520" s="24">
        <v>0.0</v>
      </c>
      <c r="AG520" s="24">
        <v>0.0</v>
      </c>
      <c r="AH520" s="24">
        <v>0.0</v>
      </c>
      <c r="AI520" s="24">
        <v>0.0</v>
      </c>
      <c r="AJ520" s="24">
        <v>0.0</v>
      </c>
      <c r="AK520" s="15">
        <v>0.0</v>
      </c>
      <c r="AL520" s="16">
        <v>0.0</v>
      </c>
      <c r="AM520" s="16">
        <v>0.0</v>
      </c>
      <c r="AN520" s="16">
        <v>0.0</v>
      </c>
      <c r="AO520" s="16">
        <v>0.0</v>
      </c>
      <c r="AP520" s="16">
        <v>0.0</v>
      </c>
      <c r="AQ520" s="16">
        <v>0.0</v>
      </c>
      <c r="AR520" s="16">
        <v>0.0</v>
      </c>
      <c r="AS520" s="86">
        <v>12948.12</v>
      </c>
      <c r="AT520" s="7">
        <v>0.0</v>
      </c>
      <c r="AU520" s="86">
        <v>6905.08</v>
      </c>
      <c r="AV520" s="86">
        <v>2116.85</v>
      </c>
      <c r="AW520" s="7">
        <v>0.0</v>
      </c>
      <c r="AX520" s="86">
        <v>460.47</v>
      </c>
      <c r="AY520" s="7">
        <f t="shared" si="1061"/>
        <v>22430.52</v>
      </c>
      <c r="AZ520" s="9">
        <v>0.0</v>
      </c>
      <c r="BA520" s="9">
        <v>1.0</v>
      </c>
      <c r="BB520" s="84">
        <v>2.0</v>
      </c>
      <c r="BC520" s="84">
        <v>1.0</v>
      </c>
    </row>
    <row r="521">
      <c r="A521" s="11">
        <v>2025.0</v>
      </c>
      <c r="B521" s="11" t="s">
        <v>135</v>
      </c>
      <c r="C521" s="1"/>
      <c r="D521" s="2">
        <v>383.0</v>
      </c>
      <c r="E521" s="2"/>
      <c r="F521" s="50">
        <v>1127177.52</v>
      </c>
      <c r="G521" s="2"/>
      <c r="H521" s="33"/>
      <c r="I521" s="33"/>
      <c r="J521" s="33"/>
      <c r="K521" s="33"/>
      <c r="L521" s="33"/>
      <c r="M521" s="4">
        <v>8.0</v>
      </c>
      <c r="N521" s="51">
        <v>1019000.0</v>
      </c>
      <c r="O521" s="35"/>
      <c r="P521" s="35"/>
      <c r="Q521" s="35"/>
      <c r="R521" s="35"/>
      <c r="S521" s="35"/>
      <c r="T521" s="35"/>
      <c r="U521" s="37"/>
      <c r="V521" s="48"/>
      <c r="W521" s="48"/>
      <c r="X521" s="37"/>
      <c r="Y521" s="48"/>
      <c r="Z521" s="48"/>
      <c r="AA521" s="48"/>
      <c r="AB521" s="2">
        <v>0.0</v>
      </c>
      <c r="AC521" s="33"/>
      <c r="AD521" s="50">
        <v>0.0</v>
      </c>
      <c r="AE521" s="33"/>
      <c r="AF521" s="33"/>
      <c r="AG521" s="33"/>
      <c r="AH521" s="33"/>
      <c r="AI521" s="33"/>
      <c r="AJ521" s="33"/>
      <c r="AK521" s="4">
        <v>0.0</v>
      </c>
      <c r="AL521" s="4">
        <v>0.0</v>
      </c>
      <c r="AM521" s="35"/>
      <c r="AN521" s="35"/>
      <c r="AO521" s="35"/>
      <c r="AP521" s="35"/>
      <c r="AQ521" s="35"/>
      <c r="AR521" s="35"/>
      <c r="AS521" s="37"/>
      <c r="AT521" s="48"/>
      <c r="AU521" s="48"/>
      <c r="AV521" s="48"/>
      <c r="AW521" s="48"/>
      <c r="AX521" s="48"/>
      <c r="AY521" s="48"/>
      <c r="AZ521" s="38"/>
      <c r="BA521" s="39"/>
      <c r="BB521" s="85"/>
      <c r="BC521" s="88"/>
    </row>
    <row r="522">
      <c r="A522" s="1">
        <v>2025.0</v>
      </c>
      <c r="B522" s="11" t="s">
        <v>135</v>
      </c>
      <c r="C522" s="1" t="s">
        <v>49</v>
      </c>
      <c r="D522" s="33">
        <f t="shared" ref="D522:F522" si="1062">SUM(D514:D520)</f>
        <v>61</v>
      </c>
      <c r="E522" s="34">
        <f t="shared" si="1062"/>
        <v>2592191.91</v>
      </c>
      <c r="F522" s="34">
        <f t="shared" si="1062"/>
        <v>144614.41</v>
      </c>
      <c r="G522" s="34">
        <f>SUM(G514:G521)</f>
        <v>19622.41</v>
      </c>
      <c r="H522" s="34">
        <f t="shared" ref="H522:L522" si="1063">SUM(H514:H520)</f>
        <v>7866</v>
      </c>
      <c r="I522" s="34">
        <f t="shared" si="1063"/>
        <v>10371.92</v>
      </c>
      <c r="J522" s="34">
        <f t="shared" si="1063"/>
        <v>11172.18</v>
      </c>
      <c r="K522" s="34">
        <f t="shared" si="1063"/>
        <v>68421.01</v>
      </c>
      <c r="L522" s="34">
        <f t="shared" si="1063"/>
        <v>49535.32</v>
      </c>
      <c r="M522" s="35">
        <f t="shared" ref="M522:N522" si="1064">SUM(M514:M521)</f>
        <v>18</v>
      </c>
      <c r="N522" s="36">
        <f t="shared" si="1064"/>
        <v>2066652.96</v>
      </c>
      <c r="O522" s="36">
        <f t="shared" ref="O522:AA522" si="1065">SUM(O514:O520)</f>
        <v>41906.1184</v>
      </c>
      <c r="P522" s="36">
        <f t="shared" si="1065"/>
        <v>17600.56973</v>
      </c>
      <c r="Q522" s="36">
        <f t="shared" si="1065"/>
        <v>8520</v>
      </c>
      <c r="R522" s="70">
        <f t="shared" si="1065"/>
        <v>2391.9</v>
      </c>
      <c r="S522" s="36">
        <f t="shared" si="1065"/>
        <v>3934.2</v>
      </c>
      <c r="T522" s="36">
        <f t="shared" si="1065"/>
        <v>1380</v>
      </c>
      <c r="U522" s="37">
        <f t="shared" si="1065"/>
        <v>9907.07</v>
      </c>
      <c r="V522" s="37">
        <f t="shared" si="1065"/>
        <v>17600.56973</v>
      </c>
      <c r="W522" s="37">
        <f t="shared" si="1065"/>
        <v>12763.82</v>
      </c>
      <c r="X522" s="37">
        <f t="shared" si="1065"/>
        <v>11172.18</v>
      </c>
      <c r="Y522" s="37">
        <f t="shared" si="1065"/>
        <v>41906.1184</v>
      </c>
      <c r="Z522" s="37">
        <f t="shared" si="1065"/>
        <v>8520</v>
      </c>
      <c r="AA522" s="37">
        <f t="shared" si="1065"/>
        <v>101869.7581</v>
      </c>
      <c r="AB522" s="33">
        <f>SUM(AB514:AB521)</f>
        <v>30</v>
      </c>
      <c r="AC522" s="34">
        <f>SUM(AC514:AC520)</f>
        <v>1164824.76</v>
      </c>
      <c r="AD522" s="55">
        <f>SUM(AD514:AD521)</f>
        <v>95889.98</v>
      </c>
      <c r="AE522" s="34">
        <f t="shared" ref="AE522:AJ522" si="1066">SUM(AE514:AE520)</f>
        <v>8973.64</v>
      </c>
      <c r="AF522" s="34">
        <f t="shared" si="1066"/>
        <v>3726</v>
      </c>
      <c r="AG522" s="34">
        <f t="shared" si="1066"/>
        <v>4776.21</v>
      </c>
      <c r="AH522" s="34">
        <f t="shared" si="1066"/>
        <v>342.75</v>
      </c>
      <c r="AI522" s="34">
        <f t="shared" si="1066"/>
        <v>54704</v>
      </c>
      <c r="AJ522" s="34">
        <f t="shared" si="1066"/>
        <v>23710.15</v>
      </c>
      <c r="AK522" s="35">
        <f t="shared" ref="AK522:AL522" si="1067">SUM(AK514:AK521)</f>
        <v>6</v>
      </c>
      <c r="AL522" s="36">
        <f t="shared" si="1067"/>
        <v>540276.77</v>
      </c>
      <c r="AM522" s="36">
        <f t="shared" ref="AM522:BB522" si="1068">SUM(AM514:AM520)</f>
        <v>14342</v>
      </c>
      <c r="AN522" s="36">
        <f t="shared" si="1068"/>
        <v>9095</v>
      </c>
      <c r="AO522" s="36">
        <f t="shared" si="1068"/>
        <v>3850</v>
      </c>
      <c r="AP522" s="36">
        <f t="shared" si="1068"/>
        <v>2860.45</v>
      </c>
      <c r="AQ522" s="36">
        <f t="shared" si="1068"/>
        <v>1917.03</v>
      </c>
      <c r="AR522" s="36">
        <f t="shared" si="1068"/>
        <v>0</v>
      </c>
      <c r="AS522" s="37">
        <f t="shared" si="1068"/>
        <v>148743.91</v>
      </c>
      <c r="AT522" s="37">
        <f t="shared" si="1068"/>
        <v>0</v>
      </c>
      <c r="AU522" s="37">
        <f t="shared" si="1068"/>
        <v>57676.42</v>
      </c>
      <c r="AV522" s="37">
        <f t="shared" si="1068"/>
        <v>18104.07</v>
      </c>
      <c r="AW522" s="37">
        <f t="shared" si="1068"/>
        <v>17500</v>
      </c>
      <c r="AX522" s="37">
        <f t="shared" si="1068"/>
        <v>24319.66</v>
      </c>
      <c r="AY522" s="37">
        <f t="shared" si="1068"/>
        <v>266344.06</v>
      </c>
      <c r="AZ522" s="38">
        <f t="shared" si="1068"/>
        <v>2</v>
      </c>
      <c r="BA522" s="39">
        <f t="shared" si="1068"/>
        <v>3</v>
      </c>
      <c r="BB522" s="85">
        <f t="shared" si="1068"/>
        <v>5</v>
      </c>
      <c r="BC522" s="85">
        <f>SUM(BC514:BC521)</f>
        <v>2</v>
      </c>
    </row>
    <row r="523">
      <c r="A523" s="11">
        <v>2025.0</v>
      </c>
      <c r="B523" s="11" t="s">
        <v>135</v>
      </c>
      <c r="C523" s="12">
        <v>45850.0</v>
      </c>
      <c r="D523" s="44">
        <v>8.0</v>
      </c>
      <c r="E523" s="26">
        <v>255761.85</v>
      </c>
      <c r="F523" s="26">
        <v>17658.44</v>
      </c>
      <c r="G523" s="26">
        <v>1945.72</v>
      </c>
      <c r="H523" s="26">
        <v>966.0</v>
      </c>
      <c r="I523" s="26">
        <v>1175.84</v>
      </c>
      <c r="J523" s="26"/>
      <c r="K523" s="26">
        <v>8725.71</v>
      </c>
      <c r="L523" s="26">
        <v>4403.24</v>
      </c>
      <c r="M523" s="15">
        <v>0.0</v>
      </c>
      <c r="N523" s="16">
        <v>0.0</v>
      </c>
      <c r="O523" s="16">
        <f t="shared" ref="O523:O529" si="1069">N523*4%</f>
        <v>0</v>
      </c>
      <c r="P523" s="16">
        <f t="shared" ref="P523:P529" si="1070">N523*1.68%</f>
        <v>0</v>
      </c>
      <c r="Q523" s="16">
        <f t="shared" ref="Q523:Q529" si="1071">M523*(400+350+100+2)</f>
        <v>0</v>
      </c>
      <c r="R523" s="67">
        <f t="shared" ref="R523:R529" si="1072">M523*239.19</f>
        <v>0</v>
      </c>
      <c r="S523" s="17">
        <f t="shared" ref="S523:S529" si="1073">M523*393.42</f>
        <v>0</v>
      </c>
      <c r="T523" s="17">
        <f t="shared" ref="T523:T529" si="1074">M523*138</f>
        <v>0</v>
      </c>
      <c r="U523" s="86">
        <v>148.21</v>
      </c>
      <c r="V523" s="18">
        <f t="shared" ref="V523:V529" si="1075">P523</f>
        <v>0</v>
      </c>
      <c r="W523" s="7">
        <f t="shared" ref="W523:W529" si="1076">I523+R523</f>
        <v>1175.84</v>
      </c>
      <c r="X523" s="69" t="str">
        <f t="shared" ref="X523:X529" si="1077">J523</f>
        <v/>
      </c>
      <c r="Y523" s="7">
        <f t="shared" ref="Y523:Y529" si="1078">O523</f>
        <v>0</v>
      </c>
      <c r="Z523" s="7">
        <f t="shared" ref="Z523:Z529" si="1079">Q523</f>
        <v>0</v>
      </c>
      <c r="AA523" s="18">
        <f t="shared" ref="AA523:AA529" si="1080">SUM(U523:Z523)</f>
        <v>1324.05</v>
      </c>
      <c r="AB523" s="56">
        <v>5.0</v>
      </c>
      <c r="AC523" s="24">
        <v>120816.43</v>
      </c>
      <c r="AD523" s="57">
        <v>11001.88</v>
      </c>
      <c r="AE523" s="24">
        <v>1160.86</v>
      </c>
      <c r="AF523" s="24">
        <v>552.0</v>
      </c>
      <c r="AG523" s="24">
        <v>607.85</v>
      </c>
      <c r="AH523" s="24"/>
      <c r="AI523" s="24">
        <v>6022.18</v>
      </c>
      <c r="AJ523" s="24">
        <v>2658.99</v>
      </c>
      <c r="AK523" s="15">
        <v>0.0</v>
      </c>
      <c r="AL523" s="16">
        <v>0.0</v>
      </c>
      <c r="AM523" s="16">
        <v>0.0</v>
      </c>
      <c r="AN523" s="16">
        <v>0.0</v>
      </c>
      <c r="AO523" s="16">
        <v>0.0</v>
      </c>
      <c r="AP523" s="16">
        <v>0.0</v>
      </c>
      <c r="AQ523" s="16">
        <v>0.0</v>
      </c>
      <c r="AR523" s="16">
        <v>0.0</v>
      </c>
      <c r="AS523" s="7">
        <v>0.0</v>
      </c>
      <c r="AT523" s="7">
        <v>0.0</v>
      </c>
      <c r="AU523" s="7">
        <v>0.0</v>
      </c>
      <c r="AV523" s="7">
        <v>0.0</v>
      </c>
      <c r="AW523" s="7">
        <v>0.0</v>
      </c>
      <c r="AX523" s="7">
        <v>0.0</v>
      </c>
      <c r="AY523" s="7">
        <f t="shared" ref="AY523:AY529" si="1081">SUM(AS523:AX523)</f>
        <v>0</v>
      </c>
      <c r="AZ523" s="9">
        <v>0.0</v>
      </c>
      <c r="BA523" s="9">
        <v>0.0</v>
      </c>
      <c r="BB523" s="84">
        <v>0.0</v>
      </c>
      <c r="BC523" s="84">
        <v>0.0</v>
      </c>
    </row>
    <row r="524">
      <c r="A524" s="11">
        <v>2025.0</v>
      </c>
      <c r="B524" s="11" t="s">
        <v>135</v>
      </c>
      <c r="C524" s="12">
        <v>45851.0</v>
      </c>
      <c r="D524" s="44">
        <v>9.0</v>
      </c>
      <c r="E524" s="26">
        <v>381032.14</v>
      </c>
      <c r="F524" s="26">
        <v>24888.67</v>
      </c>
      <c r="G524" s="26">
        <v>2954.92</v>
      </c>
      <c r="H524" s="26">
        <v>828.0</v>
      </c>
      <c r="I524" s="26">
        <v>1242.43</v>
      </c>
      <c r="J524" s="26"/>
      <c r="K524" s="26">
        <v>13461.98</v>
      </c>
      <c r="L524" s="26">
        <v>5715.48</v>
      </c>
      <c r="M524" s="15">
        <v>0.0</v>
      </c>
      <c r="N524" s="16">
        <v>0.0</v>
      </c>
      <c r="O524" s="16">
        <f t="shared" si="1069"/>
        <v>0</v>
      </c>
      <c r="P524" s="16">
        <f t="shared" si="1070"/>
        <v>0</v>
      </c>
      <c r="Q524" s="16">
        <f t="shared" si="1071"/>
        <v>0</v>
      </c>
      <c r="R524" s="67">
        <f t="shared" si="1072"/>
        <v>0</v>
      </c>
      <c r="S524" s="17">
        <f t="shared" si="1073"/>
        <v>0</v>
      </c>
      <c r="T524" s="17">
        <f t="shared" si="1074"/>
        <v>0</v>
      </c>
      <c r="U524" s="86">
        <v>620.49</v>
      </c>
      <c r="V524" s="18">
        <f t="shared" si="1075"/>
        <v>0</v>
      </c>
      <c r="W524" s="7">
        <f t="shared" si="1076"/>
        <v>1242.43</v>
      </c>
      <c r="X524" s="69" t="str">
        <f t="shared" si="1077"/>
        <v/>
      </c>
      <c r="Y524" s="7">
        <f t="shared" si="1078"/>
        <v>0</v>
      </c>
      <c r="Z524" s="7">
        <f t="shared" si="1079"/>
        <v>0</v>
      </c>
      <c r="AA524" s="18">
        <f t="shared" si="1080"/>
        <v>1862.92</v>
      </c>
      <c r="AB524" s="56">
        <v>6.0</v>
      </c>
      <c r="AC524" s="24">
        <v>245925.54</v>
      </c>
      <c r="AD524" s="57">
        <v>13204.41</v>
      </c>
      <c r="AE524" s="24">
        <v>1493.8</v>
      </c>
      <c r="AF524" s="24">
        <v>414.0</v>
      </c>
      <c r="AG524" s="24">
        <v>769.98</v>
      </c>
      <c r="AH524" s="24"/>
      <c r="AI524" s="24">
        <v>6289.42</v>
      </c>
      <c r="AJ524" s="24">
        <v>4237.21</v>
      </c>
      <c r="AK524" s="15">
        <v>0.0</v>
      </c>
      <c r="AL524" s="16">
        <v>0.0</v>
      </c>
      <c r="AM524" s="16">
        <v>0.0</v>
      </c>
      <c r="AN524" s="16">
        <v>0.0</v>
      </c>
      <c r="AO524" s="16">
        <v>0.0</v>
      </c>
      <c r="AP524" s="16">
        <v>0.0</v>
      </c>
      <c r="AQ524" s="16">
        <v>0.0</v>
      </c>
      <c r="AR524" s="16">
        <v>0.0</v>
      </c>
      <c r="AS524" s="7">
        <v>0.0</v>
      </c>
      <c r="AT524" s="7">
        <v>0.0</v>
      </c>
      <c r="AU524" s="7">
        <v>0.0</v>
      </c>
      <c r="AV524" s="7">
        <v>0.0</v>
      </c>
      <c r="AW524" s="7">
        <v>0.0</v>
      </c>
      <c r="AX524" s="7">
        <v>0.0</v>
      </c>
      <c r="AY524" s="7">
        <f t="shared" si="1081"/>
        <v>0</v>
      </c>
      <c r="AZ524" s="9">
        <v>0.0</v>
      </c>
      <c r="BA524" s="9">
        <v>0.0</v>
      </c>
      <c r="BB524" s="84">
        <v>0.0</v>
      </c>
      <c r="BC524" s="84">
        <v>0.0</v>
      </c>
    </row>
    <row r="525">
      <c r="A525" s="11">
        <v>2025.0</v>
      </c>
      <c r="B525" s="11" t="s">
        <v>135</v>
      </c>
      <c r="C525" s="12">
        <v>45852.0</v>
      </c>
      <c r="D525" s="44">
        <v>18.0</v>
      </c>
      <c r="E525" s="26">
        <v>568695.5</v>
      </c>
      <c r="F525" s="26">
        <v>74879.19</v>
      </c>
      <c r="G525" s="26">
        <v>4656.44</v>
      </c>
      <c r="H525" s="26">
        <v>2194.2</v>
      </c>
      <c r="I525" s="26">
        <v>2527.46</v>
      </c>
      <c r="J525" s="26"/>
      <c r="K525" s="26">
        <v>54979.65</v>
      </c>
      <c r="L525" s="26">
        <v>9469.06</v>
      </c>
      <c r="M525" s="15">
        <v>0.0</v>
      </c>
      <c r="N525" s="16">
        <v>0.0</v>
      </c>
      <c r="O525" s="16">
        <f t="shared" si="1069"/>
        <v>0</v>
      </c>
      <c r="P525" s="16">
        <f t="shared" si="1070"/>
        <v>0</v>
      </c>
      <c r="Q525" s="16">
        <f t="shared" si="1071"/>
        <v>0</v>
      </c>
      <c r="R525" s="67">
        <f t="shared" si="1072"/>
        <v>0</v>
      </c>
      <c r="S525" s="17">
        <f t="shared" si="1073"/>
        <v>0</v>
      </c>
      <c r="T525" s="17">
        <f t="shared" si="1074"/>
        <v>0</v>
      </c>
      <c r="U525" s="86">
        <v>8751.5</v>
      </c>
      <c r="V525" s="18">
        <f t="shared" si="1075"/>
        <v>0</v>
      </c>
      <c r="W525" s="7">
        <f t="shared" si="1076"/>
        <v>2527.46</v>
      </c>
      <c r="X525" s="69" t="str">
        <f t="shared" si="1077"/>
        <v/>
      </c>
      <c r="Y525" s="7">
        <f t="shared" si="1078"/>
        <v>0</v>
      </c>
      <c r="Z525" s="7">
        <f t="shared" si="1079"/>
        <v>0</v>
      </c>
      <c r="AA525" s="18">
        <f t="shared" si="1080"/>
        <v>11278.96</v>
      </c>
      <c r="AB525" s="56">
        <v>7.0</v>
      </c>
      <c r="AC525" s="24">
        <v>248610.85</v>
      </c>
      <c r="AD525" s="57">
        <v>56768.49</v>
      </c>
      <c r="AE525" s="24">
        <v>2073.07</v>
      </c>
      <c r="AF525" s="24">
        <v>952.2</v>
      </c>
      <c r="AG525" s="24">
        <v>1187.64</v>
      </c>
      <c r="AH525" s="24">
        <v>351.46</v>
      </c>
      <c r="AI525" s="24">
        <v>47579.59</v>
      </c>
      <c r="AJ525" s="24">
        <v>4976.0</v>
      </c>
      <c r="AK525" s="15">
        <v>2.0</v>
      </c>
      <c r="AL525" s="16">
        <v>176671.39</v>
      </c>
      <c r="AM525" s="16">
        <v>2675.0</v>
      </c>
      <c r="AN525" s="16">
        <v>2974.0</v>
      </c>
      <c r="AO525" s="16">
        <v>1000.0</v>
      </c>
      <c r="AP525" s="16">
        <v>997.08</v>
      </c>
      <c r="AQ525" s="16">
        <v>628.31</v>
      </c>
      <c r="AR525" s="16">
        <v>0.0</v>
      </c>
      <c r="AS525" s="7">
        <v>27753.16</v>
      </c>
      <c r="AT525" s="7">
        <v>3902.0</v>
      </c>
      <c r="AU525" s="7">
        <v>12197.32</v>
      </c>
      <c r="AV525" s="7">
        <v>5844.37</v>
      </c>
      <c r="AW525" s="7">
        <v>6263.0</v>
      </c>
      <c r="AX525" s="7">
        <f>8333.26-AT525</f>
        <v>4431.26</v>
      </c>
      <c r="AY525" s="7">
        <f t="shared" si="1081"/>
        <v>60391.11</v>
      </c>
      <c r="AZ525" s="9">
        <v>0.0</v>
      </c>
      <c r="BA525" s="9">
        <v>1.0</v>
      </c>
      <c r="BB525" s="84">
        <v>1.0</v>
      </c>
      <c r="BC525" s="84">
        <v>0.0</v>
      </c>
    </row>
    <row r="526">
      <c r="A526" s="11">
        <v>2025.0</v>
      </c>
      <c r="B526" s="11" t="s">
        <v>135</v>
      </c>
      <c r="C526" s="12">
        <v>45853.0</v>
      </c>
      <c r="D526" s="44">
        <v>171.0</v>
      </c>
      <c r="E526" s="26">
        <v>1.381590488E7</v>
      </c>
      <c r="F526" s="26">
        <v>567300.7</v>
      </c>
      <c r="G526" s="26">
        <v>64424.23</v>
      </c>
      <c r="H526" s="26">
        <v>1656.0</v>
      </c>
      <c r="I526" s="26">
        <v>61787.11</v>
      </c>
      <c r="J526" s="26"/>
      <c r="K526" s="26">
        <v>202000.99</v>
      </c>
      <c r="L526" s="26">
        <v>215474.23</v>
      </c>
      <c r="M526" s="15">
        <v>3.0</v>
      </c>
      <c r="N526" s="16">
        <v>343402.38</v>
      </c>
      <c r="O526" s="16">
        <f t="shared" si="1069"/>
        <v>13736.0952</v>
      </c>
      <c r="P526" s="16">
        <f t="shared" si="1070"/>
        <v>5769.159984</v>
      </c>
      <c r="Q526" s="16">
        <f t="shared" si="1071"/>
        <v>2556</v>
      </c>
      <c r="R526" s="67">
        <f t="shared" si="1072"/>
        <v>717.57</v>
      </c>
      <c r="S526" s="17">
        <f t="shared" si="1073"/>
        <v>1180.26</v>
      </c>
      <c r="T526" s="17">
        <f t="shared" si="1074"/>
        <v>414</v>
      </c>
      <c r="U526" s="86">
        <v>32686.85</v>
      </c>
      <c r="V526" s="18">
        <f t="shared" si="1075"/>
        <v>5769.159984</v>
      </c>
      <c r="W526" s="7">
        <f t="shared" si="1076"/>
        <v>62504.68</v>
      </c>
      <c r="X526" s="69" t="str">
        <f t="shared" si="1077"/>
        <v/>
      </c>
      <c r="Y526" s="7">
        <f t="shared" si="1078"/>
        <v>13736.0952</v>
      </c>
      <c r="Z526" s="7">
        <f t="shared" si="1079"/>
        <v>2556</v>
      </c>
      <c r="AA526" s="18">
        <f t="shared" si="1080"/>
        <v>117252.7852</v>
      </c>
      <c r="AB526" s="56">
        <v>140.0</v>
      </c>
      <c r="AC526" s="24">
        <v>1.155139848E7</v>
      </c>
      <c r="AD526" s="57">
        <v>549246.71</v>
      </c>
      <c r="AE526" s="24">
        <v>55380.8</v>
      </c>
      <c r="AF526" s="24">
        <v>552.0</v>
      </c>
      <c r="AG526" s="24">
        <v>56340.5</v>
      </c>
      <c r="AH526" s="24">
        <v>708.55</v>
      </c>
      <c r="AI526" s="24">
        <v>235000.72</v>
      </c>
      <c r="AJ526" s="24">
        <v>201761.95</v>
      </c>
      <c r="AK526" s="15">
        <v>1.0</v>
      </c>
      <c r="AL526" s="16">
        <v>199003.86</v>
      </c>
      <c r="AM526" s="16">
        <v>7526.0</v>
      </c>
      <c r="AN526" s="16">
        <v>3349.0</v>
      </c>
      <c r="AO526" s="16">
        <v>500.0</v>
      </c>
      <c r="AP526" s="16">
        <v>521.22</v>
      </c>
      <c r="AQ526" s="16">
        <v>607.64</v>
      </c>
      <c r="AR526" s="16">
        <v>0.0</v>
      </c>
      <c r="AS526" s="7">
        <v>61185.19</v>
      </c>
      <c r="AT526" s="7">
        <v>0.0</v>
      </c>
      <c r="AU526" s="7">
        <v>20692.23</v>
      </c>
      <c r="AV526" s="7">
        <v>1382.87</v>
      </c>
      <c r="AW526" s="7">
        <v>0.0</v>
      </c>
      <c r="AX526" s="7">
        <v>34.32</v>
      </c>
      <c r="AY526" s="7">
        <f t="shared" si="1081"/>
        <v>83294.61</v>
      </c>
      <c r="AZ526" s="9">
        <v>0.0</v>
      </c>
      <c r="BA526" s="9">
        <v>0.0</v>
      </c>
      <c r="BB526" s="84">
        <v>0.0</v>
      </c>
      <c r="BC526" s="84">
        <v>0.0</v>
      </c>
    </row>
    <row r="527">
      <c r="A527" s="11">
        <v>2025.0</v>
      </c>
      <c r="B527" s="11" t="s">
        <v>135</v>
      </c>
      <c r="C527" s="12">
        <v>45854.0</v>
      </c>
      <c r="D527" s="44">
        <v>10.0</v>
      </c>
      <c r="E527" s="26">
        <v>885236.37</v>
      </c>
      <c r="F527" s="26">
        <v>25956.06</v>
      </c>
      <c r="G527" s="26">
        <v>1946.77</v>
      </c>
      <c r="H527" s="26">
        <v>828.0</v>
      </c>
      <c r="I527" s="26">
        <v>1182.33</v>
      </c>
      <c r="J527" s="26"/>
      <c r="K527" s="26">
        <v>7072.79</v>
      </c>
      <c r="L527" s="26">
        <v>13497.23</v>
      </c>
      <c r="M527" s="15">
        <v>2.0</v>
      </c>
      <c r="N527" s="16">
        <v>258746.31</v>
      </c>
      <c r="O527" s="16">
        <f t="shared" si="1069"/>
        <v>10349.8524</v>
      </c>
      <c r="P527" s="16">
        <f t="shared" si="1070"/>
        <v>4346.938008</v>
      </c>
      <c r="Q527" s="16">
        <f t="shared" si="1071"/>
        <v>1704</v>
      </c>
      <c r="R527" s="67">
        <f t="shared" si="1072"/>
        <v>478.38</v>
      </c>
      <c r="S527" s="17">
        <f t="shared" si="1073"/>
        <v>786.84</v>
      </c>
      <c r="T527" s="17">
        <f t="shared" si="1074"/>
        <v>276</v>
      </c>
      <c r="U527" s="86">
        <v>4072.38</v>
      </c>
      <c r="V527" s="18">
        <f t="shared" si="1075"/>
        <v>4346.938008</v>
      </c>
      <c r="W527" s="7">
        <f t="shared" si="1076"/>
        <v>1660.71</v>
      </c>
      <c r="X527" s="69" t="str">
        <f t="shared" si="1077"/>
        <v/>
      </c>
      <c r="Y527" s="7">
        <f t="shared" si="1078"/>
        <v>10349.8524</v>
      </c>
      <c r="Z527" s="7">
        <f t="shared" si="1079"/>
        <v>1704</v>
      </c>
      <c r="AA527" s="18">
        <f t="shared" si="1080"/>
        <v>22133.88041</v>
      </c>
      <c r="AB527" s="56">
        <v>5.0</v>
      </c>
      <c r="AC527" s="24">
        <v>166296.51</v>
      </c>
      <c r="AD527" s="57">
        <v>9585.02</v>
      </c>
      <c r="AE527" s="24">
        <v>967.78</v>
      </c>
      <c r="AF527" s="24">
        <v>414.0</v>
      </c>
      <c r="AG527" s="24">
        <v>754.74</v>
      </c>
      <c r="AH527" s="24"/>
      <c r="AI527" s="24">
        <v>4577.81</v>
      </c>
      <c r="AJ527" s="24">
        <v>2870.69</v>
      </c>
      <c r="AK527" s="15">
        <v>1.0</v>
      </c>
      <c r="AL527" s="16">
        <v>80718.86</v>
      </c>
      <c r="AM527" s="16">
        <v>3053.0</v>
      </c>
      <c r="AN527" s="16">
        <v>1359.0</v>
      </c>
      <c r="AO527" s="16">
        <v>1000.0</v>
      </c>
      <c r="AP527" s="16">
        <v>520.56</v>
      </c>
      <c r="AQ527" s="16">
        <v>266.3</v>
      </c>
      <c r="AR527" s="16">
        <v>0.0</v>
      </c>
      <c r="AS527" s="7">
        <v>51158.34</v>
      </c>
      <c r="AT527" s="7">
        <v>3349.0</v>
      </c>
      <c r="AU527" s="7">
        <v>22045.09</v>
      </c>
      <c r="AV527" s="7">
        <v>5925.38</v>
      </c>
      <c r="AW527" s="7">
        <v>7526.0</v>
      </c>
      <c r="AX527" s="7">
        <f>5030.55-AT527</f>
        <v>1681.55</v>
      </c>
      <c r="AY527" s="7">
        <f t="shared" si="1081"/>
        <v>91685.36</v>
      </c>
      <c r="AZ527" s="9">
        <v>2.0</v>
      </c>
      <c r="BA527" s="9">
        <v>0.0</v>
      </c>
      <c r="BB527" s="84">
        <v>1.0</v>
      </c>
      <c r="BC527" s="84">
        <v>0.0</v>
      </c>
    </row>
    <row r="528">
      <c r="A528" s="11">
        <v>2025.0</v>
      </c>
      <c r="B528" s="11" t="s">
        <v>135</v>
      </c>
      <c r="C528" s="12">
        <v>45855.0</v>
      </c>
      <c r="D528" s="44">
        <v>7.0</v>
      </c>
      <c r="E528" s="26">
        <v>328795.21</v>
      </c>
      <c r="F528" s="26">
        <v>16885.28</v>
      </c>
      <c r="G528" s="26">
        <v>2296.75</v>
      </c>
      <c r="H528" s="26">
        <v>828.0</v>
      </c>
      <c r="I528" s="26">
        <v>1106.46</v>
      </c>
      <c r="J528" s="26"/>
      <c r="K528" s="26">
        <v>7130.31</v>
      </c>
      <c r="L528" s="26">
        <v>4931.93</v>
      </c>
      <c r="M528" s="15">
        <v>2.0</v>
      </c>
      <c r="N528" s="16">
        <v>268760.04</v>
      </c>
      <c r="O528" s="16">
        <f t="shared" si="1069"/>
        <v>10750.4016</v>
      </c>
      <c r="P528" s="16">
        <f t="shared" si="1070"/>
        <v>4515.168672</v>
      </c>
      <c r="Q528" s="16">
        <f t="shared" si="1071"/>
        <v>1704</v>
      </c>
      <c r="R528" s="67">
        <f t="shared" si="1072"/>
        <v>478.38</v>
      </c>
      <c r="S528" s="17">
        <f t="shared" si="1073"/>
        <v>786.84</v>
      </c>
      <c r="T528" s="17">
        <f t="shared" si="1074"/>
        <v>276</v>
      </c>
      <c r="U528" s="86">
        <v>3559.69</v>
      </c>
      <c r="V528" s="18">
        <f t="shared" si="1075"/>
        <v>4515.168672</v>
      </c>
      <c r="W528" s="7">
        <f t="shared" si="1076"/>
        <v>1584.84</v>
      </c>
      <c r="X528" s="69" t="str">
        <f t="shared" si="1077"/>
        <v/>
      </c>
      <c r="Y528" s="7">
        <f t="shared" si="1078"/>
        <v>10750.4016</v>
      </c>
      <c r="Z528" s="7">
        <f t="shared" si="1079"/>
        <v>1704</v>
      </c>
      <c r="AA528" s="18">
        <f t="shared" si="1080"/>
        <v>22114.10027</v>
      </c>
      <c r="AB528" s="56">
        <v>4.0</v>
      </c>
      <c r="AC528" s="24">
        <v>152364.36</v>
      </c>
      <c r="AD528" s="57">
        <v>8005.68</v>
      </c>
      <c r="AE528" s="24">
        <v>1049.97</v>
      </c>
      <c r="AF528" s="24">
        <v>414.0</v>
      </c>
      <c r="AG528" s="24">
        <v>635.45</v>
      </c>
      <c r="AH528" s="24"/>
      <c r="AI528" s="24">
        <v>3291.25</v>
      </c>
      <c r="AJ528" s="24">
        <v>2615.01</v>
      </c>
      <c r="AK528" s="15">
        <v>3.0</v>
      </c>
      <c r="AL528" s="16">
        <v>248160.88</v>
      </c>
      <c r="AM528" s="16">
        <v>9385.0</v>
      </c>
      <c r="AN528" s="16">
        <v>4178.0</v>
      </c>
      <c r="AO528" s="16">
        <v>2500.0</v>
      </c>
      <c r="AP528" s="16">
        <v>1192.49</v>
      </c>
      <c r="AQ528" s="16">
        <v>1210.39</v>
      </c>
      <c r="AR528" s="16">
        <v>0.0</v>
      </c>
      <c r="AS528" s="7">
        <v>15439.03</v>
      </c>
      <c r="AT528" s="7">
        <v>2684.0</v>
      </c>
      <c r="AU528" s="7">
        <v>6244.81</v>
      </c>
      <c r="AV528" s="7">
        <v>2965.8</v>
      </c>
      <c r="AW528" s="7">
        <v>6030.0</v>
      </c>
      <c r="AX528" s="7">
        <f>5977.37-AT528</f>
        <v>3293.37</v>
      </c>
      <c r="AY528" s="7">
        <f t="shared" si="1081"/>
        <v>36657.01</v>
      </c>
      <c r="AZ528" s="9">
        <v>0.0</v>
      </c>
      <c r="BA528" s="9">
        <v>1.0</v>
      </c>
      <c r="BB528" s="84">
        <v>1.0</v>
      </c>
      <c r="BC528" s="84">
        <v>0.0</v>
      </c>
    </row>
    <row r="529">
      <c r="A529" s="11">
        <v>2025.0</v>
      </c>
      <c r="B529" s="11" t="s">
        <v>135</v>
      </c>
      <c r="C529" s="12">
        <v>45856.0</v>
      </c>
      <c r="D529" s="44">
        <v>9.0</v>
      </c>
      <c r="E529" s="26">
        <v>448123.9</v>
      </c>
      <c r="F529" s="26">
        <v>20430.47</v>
      </c>
      <c r="G529" s="26">
        <v>2473.84</v>
      </c>
      <c r="H529" s="26">
        <v>966.0</v>
      </c>
      <c r="I529" s="26">
        <v>1246.93</v>
      </c>
      <c r="J529" s="26"/>
      <c r="K529" s="26">
        <v>8215.22</v>
      </c>
      <c r="L529" s="26">
        <v>6721.86</v>
      </c>
      <c r="M529" s="15">
        <v>3.0</v>
      </c>
      <c r="N529" s="16">
        <v>416400.56</v>
      </c>
      <c r="O529" s="16">
        <f t="shared" si="1069"/>
        <v>16656.0224</v>
      </c>
      <c r="P529" s="16">
        <f t="shared" si="1070"/>
        <v>6995.529408</v>
      </c>
      <c r="Q529" s="16">
        <f t="shared" si="1071"/>
        <v>2556</v>
      </c>
      <c r="R529" s="67">
        <f t="shared" si="1072"/>
        <v>717.57</v>
      </c>
      <c r="S529" s="17">
        <f t="shared" si="1073"/>
        <v>1180.26</v>
      </c>
      <c r="T529" s="17">
        <f t="shared" si="1074"/>
        <v>414</v>
      </c>
      <c r="U529" s="86">
        <v>517.93</v>
      </c>
      <c r="V529" s="18">
        <f t="shared" si="1075"/>
        <v>6995.529408</v>
      </c>
      <c r="W529" s="7">
        <f t="shared" si="1076"/>
        <v>1964.5</v>
      </c>
      <c r="X529" s="69" t="str">
        <f t="shared" si="1077"/>
        <v/>
      </c>
      <c r="Y529" s="7">
        <f t="shared" si="1078"/>
        <v>16656.0224</v>
      </c>
      <c r="Z529" s="7">
        <f t="shared" si="1079"/>
        <v>2556</v>
      </c>
      <c r="AA529" s="18">
        <f t="shared" si="1080"/>
        <v>28689.98181</v>
      </c>
      <c r="AB529" s="56">
        <v>6.0</v>
      </c>
      <c r="AC529" s="24">
        <v>181775.43</v>
      </c>
      <c r="AD529" s="57">
        <v>10445.02</v>
      </c>
      <c r="AE529" s="24">
        <v>1360.21</v>
      </c>
      <c r="AF529" s="24">
        <v>552.0</v>
      </c>
      <c r="AG529" s="24">
        <v>601.75</v>
      </c>
      <c r="AH529" s="24"/>
      <c r="AI529" s="24">
        <v>4796.65</v>
      </c>
      <c r="AJ529" s="24">
        <v>3134.41</v>
      </c>
      <c r="AK529" s="15">
        <v>1.0</v>
      </c>
      <c r="AL529" s="16">
        <v>173958.28</v>
      </c>
      <c r="AM529" s="16">
        <v>6579.0</v>
      </c>
      <c r="AN529" s="16">
        <v>2928.0</v>
      </c>
      <c r="AO529" s="16">
        <v>500.0</v>
      </c>
      <c r="AP529" s="16">
        <v>493.32</v>
      </c>
      <c r="AQ529" s="16">
        <v>557.96</v>
      </c>
      <c r="AR529" s="16">
        <v>0.0</v>
      </c>
      <c r="AS529" s="7">
        <v>9829.68</v>
      </c>
      <c r="AT529" s="7">
        <v>5781.0</v>
      </c>
      <c r="AU529" s="7">
        <v>4932.13</v>
      </c>
      <c r="AV529" s="7">
        <v>1673.02</v>
      </c>
      <c r="AW529" s="7">
        <v>12987.0</v>
      </c>
      <c r="AX529" s="7">
        <f>9335.28-AT529</f>
        <v>3554.28</v>
      </c>
      <c r="AY529" s="7">
        <f t="shared" si="1081"/>
        <v>38757.11</v>
      </c>
      <c r="AZ529" s="9">
        <v>0.0</v>
      </c>
      <c r="BA529" s="9">
        <v>1.0</v>
      </c>
      <c r="BB529" s="84">
        <v>0.0</v>
      </c>
      <c r="BC529" s="84">
        <v>3.0</v>
      </c>
    </row>
    <row r="530">
      <c r="A530" s="11">
        <v>2025.0</v>
      </c>
      <c r="B530" s="11" t="s">
        <v>135</v>
      </c>
      <c r="C530" s="1"/>
      <c r="D530" s="2">
        <v>337.0</v>
      </c>
      <c r="E530" s="2"/>
      <c r="F530" s="50">
        <v>988327.82</v>
      </c>
      <c r="G530" s="2"/>
      <c r="H530" s="33"/>
      <c r="I530" s="33"/>
      <c r="J530" s="33"/>
      <c r="K530" s="33"/>
      <c r="L530" s="33"/>
      <c r="M530" s="4">
        <v>16.0</v>
      </c>
      <c r="N530" s="51">
        <v>2092281.66</v>
      </c>
      <c r="O530" s="35"/>
      <c r="P530" s="35"/>
      <c r="Q530" s="35"/>
      <c r="R530" s="35"/>
      <c r="S530" s="35"/>
      <c r="T530" s="35"/>
      <c r="U530" s="37"/>
      <c r="V530" s="48"/>
      <c r="W530" s="48"/>
      <c r="X530" s="37"/>
      <c r="Y530" s="48"/>
      <c r="Z530" s="48"/>
      <c r="AA530" s="48"/>
      <c r="AB530" s="2">
        <v>0.0</v>
      </c>
      <c r="AC530" s="33"/>
      <c r="AD530" s="50">
        <v>0.0</v>
      </c>
      <c r="AE530" s="33"/>
      <c r="AF530" s="33"/>
      <c r="AG530" s="33"/>
      <c r="AH530" s="33"/>
      <c r="AI530" s="33"/>
      <c r="AJ530" s="33"/>
      <c r="AK530" s="4">
        <v>0.0</v>
      </c>
      <c r="AL530" s="4">
        <v>0.0</v>
      </c>
      <c r="AM530" s="35"/>
      <c r="AN530" s="35"/>
      <c r="AO530" s="35"/>
      <c r="AP530" s="35"/>
      <c r="AQ530" s="35"/>
      <c r="AR530" s="35"/>
      <c r="AS530" s="37"/>
      <c r="AT530" s="48"/>
      <c r="AU530" s="48"/>
      <c r="AV530" s="48"/>
      <c r="AW530" s="48"/>
      <c r="AX530" s="48"/>
      <c r="AY530" s="48"/>
      <c r="AZ530" s="38"/>
      <c r="BA530" s="39"/>
      <c r="BB530" s="85"/>
      <c r="BC530" s="88"/>
    </row>
    <row r="531">
      <c r="A531" s="1">
        <v>2025.0</v>
      </c>
      <c r="B531" s="11" t="s">
        <v>135</v>
      </c>
      <c r="C531" s="1" t="s">
        <v>49</v>
      </c>
      <c r="D531" s="33">
        <f t="shared" ref="D531:F531" si="1082">SUM(D523:D529)</f>
        <v>232</v>
      </c>
      <c r="E531" s="34">
        <f t="shared" si="1082"/>
        <v>16683549.85</v>
      </c>
      <c r="F531" s="34">
        <f t="shared" si="1082"/>
        <v>747998.81</v>
      </c>
      <c r="G531" s="34">
        <f>SUM(G523:G530)</f>
        <v>80698.67</v>
      </c>
      <c r="H531" s="34">
        <f t="shared" ref="H531:L531" si="1083">SUM(H523:H529)</f>
        <v>8266.2</v>
      </c>
      <c r="I531" s="34">
        <f t="shared" si="1083"/>
        <v>70268.56</v>
      </c>
      <c r="J531" s="34">
        <f t="shared" si="1083"/>
        <v>0</v>
      </c>
      <c r="K531" s="34">
        <f t="shared" si="1083"/>
        <v>301586.65</v>
      </c>
      <c r="L531" s="34">
        <f t="shared" si="1083"/>
        <v>260213.03</v>
      </c>
      <c r="M531" s="35">
        <f t="shared" ref="M531:N531" si="1084">SUM(M523:M530)</f>
        <v>26</v>
      </c>
      <c r="N531" s="36">
        <f t="shared" si="1084"/>
        <v>3379590.95</v>
      </c>
      <c r="O531" s="36">
        <f t="shared" ref="O531:AA531" si="1085">SUM(O523:O529)</f>
        <v>51492.3716</v>
      </c>
      <c r="P531" s="36">
        <f t="shared" si="1085"/>
        <v>21626.79607</v>
      </c>
      <c r="Q531" s="36">
        <f t="shared" si="1085"/>
        <v>8520</v>
      </c>
      <c r="R531" s="70">
        <f t="shared" si="1085"/>
        <v>2391.9</v>
      </c>
      <c r="S531" s="36">
        <f t="shared" si="1085"/>
        <v>3934.2</v>
      </c>
      <c r="T531" s="36">
        <f t="shared" si="1085"/>
        <v>1380</v>
      </c>
      <c r="U531" s="37">
        <f t="shared" si="1085"/>
        <v>50357.05</v>
      </c>
      <c r="V531" s="37">
        <f t="shared" si="1085"/>
        <v>21626.79607</v>
      </c>
      <c r="W531" s="37">
        <f t="shared" si="1085"/>
        <v>72660.46</v>
      </c>
      <c r="X531" s="37">
        <f t="shared" si="1085"/>
        <v>0</v>
      </c>
      <c r="Y531" s="37">
        <f t="shared" si="1085"/>
        <v>51492.3716</v>
      </c>
      <c r="Z531" s="37">
        <f t="shared" si="1085"/>
        <v>8520</v>
      </c>
      <c r="AA531" s="37">
        <f t="shared" si="1085"/>
        <v>204656.6777</v>
      </c>
      <c r="AB531" s="33">
        <f>SUM(AB523:AB530)</f>
        <v>173</v>
      </c>
      <c r="AC531" s="34">
        <f>SUM(AC523:AC529)</f>
        <v>12667187.6</v>
      </c>
      <c r="AD531" s="55">
        <f>SUM(AD523:AD530)</f>
        <v>658257.21</v>
      </c>
      <c r="AE531" s="34">
        <f t="shared" ref="AE531:AJ531" si="1086">SUM(AE523:AE529)</f>
        <v>63486.49</v>
      </c>
      <c r="AF531" s="34">
        <f t="shared" si="1086"/>
        <v>3850.2</v>
      </c>
      <c r="AG531" s="34">
        <f t="shared" si="1086"/>
        <v>60897.91</v>
      </c>
      <c r="AH531" s="34">
        <f t="shared" si="1086"/>
        <v>1060.01</v>
      </c>
      <c r="AI531" s="34">
        <f t="shared" si="1086"/>
        <v>307557.62</v>
      </c>
      <c r="AJ531" s="34">
        <f t="shared" si="1086"/>
        <v>222254.26</v>
      </c>
      <c r="AK531" s="35">
        <f t="shared" ref="AK531:AL531" si="1087">SUM(AK523:AK530)</f>
        <v>8</v>
      </c>
      <c r="AL531" s="36">
        <f t="shared" si="1087"/>
        <v>878513.27</v>
      </c>
      <c r="AM531" s="36">
        <f t="shared" ref="AM531:BB531" si="1088">SUM(AM523:AM529)</f>
        <v>29218</v>
      </c>
      <c r="AN531" s="36">
        <f t="shared" si="1088"/>
        <v>14788</v>
      </c>
      <c r="AO531" s="36">
        <f t="shared" si="1088"/>
        <v>5500</v>
      </c>
      <c r="AP531" s="36">
        <f t="shared" si="1088"/>
        <v>3724.67</v>
      </c>
      <c r="AQ531" s="36">
        <f t="shared" si="1088"/>
        <v>3270.6</v>
      </c>
      <c r="AR531" s="36">
        <f t="shared" si="1088"/>
        <v>0</v>
      </c>
      <c r="AS531" s="37">
        <f t="shared" si="1088"/>
        <v>165365.4</v>
      </c>
      <c r="AT531" s="37">
        <f t="shared" si="1088"/>
        <v>15716</v>
      </c>
      <c r="AU531" s="37">
        <f t="shared" si="1088"/>
        <v>66111.58</v>
      </c>
      <c r="AV531" s="37">
        <f t="shared" si="1088"/>
        <v>17791.44</v>
      </c>
      <c r="AW531" s="37">
        <f t="shared" si="1088"/>
        <v>32806</v>
      </c>
      <c r="AX531" s="37">
        <f t="shared" si="1088"/>
        <v>12994.78</v>
      </c>
      <c r="AY531" s="37">
        <f t="shared" si="1088"/>
        <v>310785.2</v>
      </c>
      <c r="AZ531" s="38">
        <f t="shared" si="1088"/>
        <v>2</v>
      </c>
      <c r="BA531" s="39">
        <f t="shared" si="1088"/>
        <v>3</v>
      </c>
      <c r="BB531" s="85">
        <f t="shared" si="1088"/>
        <v>3</v>
      </c>
      <c r="BC531" s="85">
        <f>SUM(BC523:BC530)</f>
        <v>3</v>
      </c>
    </row>
    <row r="532">
      <c r="A532" s="11">
        <v>2025.0</v>
      </c>
      <c r="B532" s="11" t="s">
        <v>135</v>
      </c>
      <c r="C532" s="12">
        <v>45857.0</v>
      </c>
      <c r="D532" s="44">
        <v>16.0</v>
      </c>
      <c r="E532" s="26">
        <v>1205675.76</v>
      </c>
      <c r="F532" s="26">
        <v>47629.97</v>
      </c>
      <c r="G532" s="26">
        <v>5239.29</v>
      </c>
      <c r="H532" s="26">
        <v>1932.0</v>
      </c>
      <c r="I532" s="26">
        <v>2390.0</v>
      </c>
      <c r="J532" s="26">
        <v>650.76</v>
      </c>
      <c r="K532" s="26">
        <v>16568.78</v>
      </c>
      <c r="L532" s="26">
        <v>20938.67</v>
      </c>
      <c r="M532" s="15">
        <v>0.0</v>
      </c>
      <c r="N532" s="16">
        <v>0.0</v>
      </c>
      <c r="O532" s="16">
        <f t="shared" ref="O532:O538" si="1089">N532*4%</f>
        <v>0</v>
      </c>
      <c r="P532" s="16">
        <f t="shared" ref="P532:P538" si="1090">N532*1.68%</f>
        <v>0</v>
      </c>
      <c r="Q532" s="16">
        <f t="shared" ref="Q532:Q538" si="1091">M532*(400+350+100+2)</f>
        <v>0</v>
      </c>
      <c r="R532" s="67">
        <f t="shared" ref="R532:R538" si="1092">M532*239.19</f>
        <v>0</v>
      </c>
      <c r="S532" s="17">
        <f t="shared" ref="S532:S538" si="1093">M532*393.42</f>
        <v>0</v>
      </c>
      <c r="T532" s="17">
        <f t="shared" ref="T532:T538" si="1094">M532*138</f>
        <v>0</v>
      </c>
      <c r="U532" s="86">
        <v>3713.24</v>
      </c>
      <c r="V532" s="18">
        <f t="shared" ref="V532:V538" si="1095">P532</f>
        <v>0</v>
      </c>
      <c r="W532" s="7">
        <f t="shared" ref="W532:W538" si="1096">I532+R532</f>
        <v>2390</v>
      </c>
      <c r="X532" s="69">
        <f t="shared" ref="X532:X538" si="1097">J532</f>
        <v>650.76</v>
      </c>
      <c r="Y532" s="7">
        <f t="shared" ref="Y532:Y538" si="1098">O532</f>
        <v>0</v>
      </c>
      <c r="Z532" s="7">
        <f t="shared" ref="Z532:Z538" si="1099">Q532</f>
        <v>0</v>
      </c>
      <c r="AA532" s="18">
        <f t="shared" ref="AA532:AA538" si="1100">SUM(U532:Z532)</f>
        <v>6754</v>
      </c>
      <c r="AB532" s="56">
        <v>10.0</v>
      </c>
      <c r="AC532" s="24">
        <v>900497.35</v>
      </c>
      <c r="AD532" s="57">
        <v>33612.22</v>
      </c>
      <c r="AE532" s="24">
        <v>3602.67</v>
      </c>
      <c r="AF532" s="24">
        <v>1242.0</v>
      </c>
      <c r="AG532" s="24">
        <v>1514.48</v>
      </c>
      <c r="AH532" s="24">
        <v>650.76</v>
      </c>
      <c r="AI532" s="24">
        <v>10991.3</v>
      </c>
      <c r="AJ532" s="24">
        <v>16261.78</v>
      </c>
      <c r="AK532" s="15">
        <v>0.0</v>
      </c>
      <c r="AL532" s="16">
        <v>0.0</v>
      </c>
      <c r="AM532" s="16">
        <v>0.0</v>
      </c>
      <c r="AN532" s="16">
        <v>0.0</v>
      </c>
      <c r="AO532" s="16">
        <v>0.0</v>
      </c>
      <c r="AP532" s="16">
        <v>0.0</v>
      </c>
      <c r="AQ532" s="16">
        <v>0.0</v>
      </c>
      <c r="AR532" s="16">
        <v>0.0</v>
      </c>
      <c r="AS532" s="7">
        <v>0.0</v>
      </c>
      <c r="AT532" s="7">
        <v>0.0</v>
      </c>
      <c r="AU532" s="7">
        <v>0.0</v>
      </c>
      <c r="AV532" s="7">
        <v>0.0</v>
      </c>
      <c r="AW532" s="7">
        <v>0.0</v>
      </c>
      <c r="AX532" s="7">
        <v>0.0</v>
      </c>
      <c r="AY532" s="7">
        <f t="shared" ref="AY532:AY538" si="1101">SUM(AS532:AX532)</f>
        <v>0</v>
      </c>
      <c r="AZ532" s="9">
        <v>0.0</v>
      </c>
      <c r="BA532" s="9">
        <v>0.0</v>
      </c>
      <c r="BB532" s="84">
        <v>0.0</v>
      </c>
      <c r="BC532" s="84">
        <v>0.0</v>
      </c>
    </row>
    <row r="533">
      <c r="A533" s="11">
        <v>2025.0</v>
      </c>
      <c r="B533" s="11" t="s">
        <v>135</v>
      </c>
      <c r="C533" s="12">
        <v>45858.0</v>
      </c>
      <c r="D533" s="44">
        <v>10.0</v>
      </c>
      <c r="E533" s="26">
        <v>339364.15</v>
      </c>
      <c r="F533" s="26">
        <v>20138.9</v>
      </c>
      <c r="G533" s="26">
        <v>2713.42</v>
      </c>
      <c r="H533" s="26">
        <v>1242.0</v>
      </c>
      <c r="I533" s="26">
        <v>1572.38</v>
      </c>
      <c r="J533" s="26"/>
      <c r="K533" s="26">
        <v>8361.75</v>
      </c>
      <c r="L533" s="26">
        <v>5730.8</v>
      </c>
      <c r="M533" s="15">
        <v>0.0</v>
      </c>
      <c r="N533" s="16">
        <v>0.0</v>
      </c>
      <c r="O533" s="16">
        <f t="shared" si="1089"/>
        <v>0</v>
      </c>
      <c r="P533" s="16">
        <f t="shared" si="1090"/>
        <v>0</v>
      </c>
      <c r="Q533" s="16">
        <f t="shared" si="1091"/>
        <v>0</v>
      </c>
      <c r="R533" s="67">
        <f t="shared" si="1092"/>
        <v>0</v>
      </c>
      <c r="S533" s="17">
        <f t="shared" si="1093"/>
        <v>0</v>
      </c>
      <c r="T533" s="17">
        <f t="shared" si="1094"/>
        <v>0</v>
      </c>
      <c r="U533" s="86">
        <v>2365.61</v>
      </c>
      <c r="V533" s="18">
        <f t="shared" si="1095"/>
        <v>0</v>
      </c>
      <c r="W533" s="7">
        <f t="shared" si="1096"/>
        <v>1572.38</v>
      </c>
      <c r="X533" s="69" t="str">
        <f t="shared" si="1097"/>
        <v/>
      </c>
      <c r="Y533" s="7">
        <f t="shared" si="1098"/>
        <v>0</v>
      </c>
      <c r="Z533" s="7">
        <f t="shared" si="1099"/>
        <v>0</v>
      </c>
      <c r="AA533" s="18">
        <f t="shared" si="1100"/>
        <v>3937.99</v>
      </c>
      <c r="AB533" s="56">
        <v>2.0</v>
      </c>
      <c r="AC533" s="24">
        <v>82110.29</v>
      </c>
      <c r="AD533" s="57">
        <v>4356.28</v>
      </c>
      <c r="AE533" s="24">
        <v>521.85</v>
      </c>
      <c r="AF533" s="24">
        <v>276.0</v>
      </c>
      <c r="AG533" s="24">
        <v>361.65</v>
      </c>
      <c r="AH533" s="24"/>
      <c r="AI533" s="24">
        <v>1787.3</v>
      </c>
      <c r="AJ533" s="24">
        <v>1409.48</v>
      </c>
      <c r="AK533" s="15">
        <v>0.0</v>
      </c>
      <c r="AL533" s="16">
        <v>0.0</v>
      </c>
      <c r="AM533" s="16">
        <v>0.0</v>
      </c>
      <c r="AN533" s="16">
        <v>0.0</v>
      </c>
      <c r="AO533" s="16">
        <v>0.0</v>
      </c>
      <c r="AP533" s="16">
        <v>0.0</v>
      </c>
      <c r="AQ533" s="16">
        <v>0.0</v>
      </c>
      <c r="AR533" s="16">
        <v>0.0</v>
      </c>
      <c r="AS533" s="7">
        <v>0.0</v>
      </c>
      <c r="AT533" s="7">
        <v>0.0</v>
      </c>
      <c r="AU533" s="7">
        <v>0.0</v>
      </c>
      <c r="AV533" s="7">
        <v>0.0</v>
      </c>
      <c r="AW533" s="7">
        <v>0.0</v>
      </c>
      <c r="AX533" s="7">
        <v>0.0</v>
      </c>
      <c r="AY533" s="7">
        <f t="shared" si="1101"/>
        <v>0</v>
      </c>
      <c r="AZ533" s="9">
        <v>0.0</v>
      </c>
      <c r="BA533" s="9">
        <v>0.0</v>
      </c>
      <c r="BB533" s="84">
        <v>0.0</v>
      </c>
      <c r="BC533" s="84">
        <v>0.0</v>
      </c>
    </row>
    <row r="534">
      <c r="A534" s="11">
        <v>2025.0</v>
      </c>
      <c r="B534" s="11" t="s">
        <v>135</v>
      </c>
      <c r="C534" s="12">
        <v>45859.0</v>
      </c>
      <c r="D534" s="44">
        <v>14.0</v>
      </c>
      <c r="E534" s="26">
        <v>500455.84</v>
      </c>
      <c r="F534" s="26">
        <v>28119.74</v>
      </c>
      <c r="G534" s="26">
        <v>3599.52</v>
      </c>
      <c r="H534" s="26">
        <v>1656.0</v>
      </c>
      <c r="I534" s="26">
        <v>1940.75</v>
      </c>
      <c r="J534" s="26"/>
      <c r="K534" s="26">
        <v>12288.49</v>
      </c>
      <c r="L534" s="26">
        <v>7862.09</v>
      </c>
      <c r="M534" s="15">
        <v>0.0</v>
      </c>
      <c r="N534" s="16">
        <v>0.0</v>
      </c>
      <c r="O534" s="16">
        <f t="shared" si="1089"/>
        <v>0</v>
      </c>
      <c r="P534" s="16">
        <f t="shared" si="1090"/>
        <v>0</v>
      </c>
      <c r="Q534" s="16">
        <f t="shared" si="1091"/>
        <v>0</v>
      </c>
      <c r="R534" s="67">
        <f t="shared" si="1092"/>
        <v>0</v>
      </c>
      <c r="S534" s="17">
        <f t="shared" si="1093"/>
        <v>0</v>
      </c>
      <c r="T534" s="17">
        <f t="shared" si="1094"/>
        <v>0</v>
      </c>
      <c r="U534" s="86">
        <v>1055.77</v>
      </c>
      <c r="V534" s="18">
        <f t="shared" si="1095"/>
        <v>0</v>
      </c>
      <c r="W534" s="7">
        <f t="shared" si="1096"/>
        <v>1940.75</v>
      </c>
      <c r="X534" s="69" t="str">
        <f t="shared" si="1097"/>
        <v/>
      </c>
      <c r="Y534" s="7">
        <f t="shared" si="1098"/>
        <v>0</v>
      </c>
      <c r="Z534" s="7">
        <f t="shared" si="1099"/>
        <v>0</v>
      </c>
      <c r="AA534" s="18">
        <f t="shared" si="1100"/>
        <v>2996.52</v>
      </c>
      <c r="AB534" s="56">
        <v>2.0</v>
      </c>
      <c r="AC534" s="24">
        <v>83172.91</v>
      </c>
      <c r="AD534" s="57">
        <v>4080.77</v>
      </c>
      <c r="AE534" s="24">
        <v>540.38</v>
      </c>
      <c r="AF534" s="24">
        <v>276.0</v>
      </c>
      <c r="AG534" s="24">
        <v>414.21</v>
      </c>
      <c r="AH534" s="24"/>
      <c r="AI534" s="24">
        <v>1428.87</v>
      </c>
      <c r="AJ534" s="24">
        <v>1421.31</v>
      </c>
      <c r="AK534" s="15">
        <v>0.0</v>
      </c>
      <c r="AL534" s="16">
        <v>0.0</v>
      </c>
      <c r="AM534" s="16">
        <v>0.0</v>
      </c>
      <c r="AN534" s="16">
        <v>0.0</v>
      </c>
      <c r="AO534" s="16">
        <v>0.0</v>
      </c>
      <c r="AP534" s="16">
        <v>0.0</v>
      </c>
      <c r="AQ534" s="16">
        <v>0.0</v>
      </c>
      <c r="AR534" s="16">
        <v>0.0</v>
      </c>
      <c r="AS534" s="7">
        <v>12685.0</v>
      </c>
      <c r="AT534" s="7">
        <v>0.0</v>
      </c>
      <c r="AU534" s="7">
        <v>5726.07</v>
      </c>
      <c r="AV534" s="7">
        <v>2682.36</v>
      </c>
      <c r="AW534" s="7">
        <v>0.0</v>
      </c>
      <c r="AX534" s="7">
        <f>651.48-AT534</f>
        <v>651.48</v>
      </c>
      <c r="AY534" s="7">
        <f t="shared" si="1101"/>
        <v>21744.91</v>
      </c>
      <c r="AZ534" s="9">
        <v>0.0</v>
      </c>
      <c r="BA534" s="9">
        <v>0.0</v>
      </c>
      <c r="BB534" s="84">
        <v>0.0</v>
      </c>
      <c r="BC534" s="84">
        <v>0.0</v>
      </c>
    </row>
    <row r="535">
      <c r="A535" s="11">
        <v>2025.0</v>
      </c>
      <c r="B535" s="11" t="s">
        <v>135</v>
      </c>
      <c r="C535" s="12">
        <v>45860.0</v>
      </c>
      <c r="D535" s="44">
        <v>16.0</v>
      </c>
      <c r="E535" s="26">
        <v>589756.97</v>
      </c>
      <c r="F535" s="26">
        <v>60890.86</v>
      </c>
      <c r="G535" s="26">
        <v>3486.76</v>
      </c>
      <c r="H535" s="26">
        <v>1656.0</v>
      </c>
      <c r="I535" s="26">
        <v>2110.01</v>
      </c>
      <c r="J535" s="26"/>
      <c r="K535" s="26">
        <v>42361.74</v>
      </c>
      <c r="L535" s="26">
        <v>10402.84</v>
      </c>
      <c r="M535" s="15">
        <v>2.0</v>
      </c>
      <c r="N535" s="16">
        <v>296028.36</v>
      </c>
      <c r="O535" s="16">
        <f t="shared" si="1089"/>
        <v>11841.1344</v>
      </c>
      <c r="P535" s="16">
        <f t="shared" si="1090"/>
        <v>4973.276448</v>
      </c>
      <c r="Q535" s="16">
        <f t="shared" si="1091"/>
        <v>1704</v>
      </c>
      <c r="R535" s="67">
        <f t="shared" si="1092"/>
        <v>478.38</v>
      </c>
      <c r="S535" s="17">
        <f t="shared" si="1093"/>
        <v>786.84</v>
      </c>
      <c r="T535" s="17">
        <f t="shared" si="1094"/>
        <v>276</v>
      </c>
      <c r="U535" s="86">
        <v>1364.65</v>
      </c>
      <c r="V535" s="18">
        <f t="shared" si="1095"/>
        <v>4973.276448</v>
      </c>
      <c r="W535" s="7">
        <f t="shared" si="1096"/>
        <v>2588.39</v>
      </c>
      <c r="X535" s="69" t="str">
        <f t="shared" si="1097"/>
        <v/>
      </c>
      <c r="Y535" s="7">
        <f t="shared" si="1098"/>
        <v>11841.1344</v>
      </c>
      <c r="Z535" s="7">
        <f t="shared" si="1099"/>
        <v>1704</v>
      </c>
      <c r="AA535" s="18">
        <f t="shared" si="1100"/>
        <v>22471.45085</v>
      </c>
      <c r="AB535" s="56">
        <v>4.0</v>
      </c>
      <c r="AC535" s="24">
        <v>130928.78</v>
      </c>
      <c r="AD535" s="57">
        <v>40136.9</v>
      </c>
      <c r="AE535" s="24">
        <v>1179.39</v>
      </c>
      <c r="AF535" s="24">
        <v>552.0</v>
      </c>
      <c r="AG535" s="24">
        <v>746.58</v>
      </c>
      <c r="AH535" s="24"/>
      <c r="AI535" s="24">
        <v>34535.33</v>
      </c>
      <c r="AJ535" s="24">
        <v>3123.6</v>
      </c>
      <c r="AK535" s="15">
        <v>0.0</v>
      </c>
      <c r="AL535" s="16">
        <v>0.0</v>
      </c>
      <c r="AM535" s="16">
        <v>0.0</v>
      </c>
      <c r="AN535" s="16">
        <v>0.0</v>
      </c>
      <c r="AO535" s="16">
        <v>0.0</v>
      </c>
      <c r="AP535" s="16">
        <v>0.0</v>
      </c>
      <c r="AQ535" s="16">
        <v>0.0</v>
      </c>
      <c r="AR535" s="16">
        <v>0.0</v>
      </c>
      <c r="AS535" s="7">
        <v>7434.72</v>
      </c>
      <c r="AT535" s="7">
        <v>0.0</v>
      </c>
      <c r="AU535" s="7">
        <v>3684.57</v>
      </c>
      <c r="AV535" s="7">
        <v>2384.01</v>
      </c>
      <c r="AW535" s="7">
        <v>0.0</v>
      </c>
      <c r="AX535" s="7">
        <f>3.55</f>
        <v>3.55</v>
      </c>
      <c r="AY535" s="7">
        <f t="shared" si="1101"/>
        <v>13506.85</v>
      </c>
      <c r="AZ535" s="9">
        <v>0.0</v>
      </c>
      <c r="BA535" s="9">
        <v>0.0</v>
      </c>
      <c r="BB535" s="84">
        <v>0.0</v>
      </c>
      <c r="BC535" s="84">
        <v>0.0</v>
      </c>
    </row>
    <row r="536">
      <c r="A536" s="11">
        <v>2025.0</v>
      </c>
      <c r="B536" s="11" t="s">
        <v>135</v>
      </c>
      <c r="C536" s="12">
        <v>45861.0</v>
      </c>
      <c r="D536" s="44">
        <v>13.0</v>
      </c>
      <c r="E536" s="26">
        <v>580145.45</v>
      </c>
      <c r="F536" s="26">
        <v>97534.37</v>
      </c>
      <c r="G536" s="26">
        <v>4702.38</v>
      </c>
      <c r="H536" s="26">
        <v>1242.0</v>
      </c>
      <c r="I536" s="26">
        <v>1864.4</v>
      </c>
      <c r="J536" s="26"/>
      <c r="K536" s="26">
        <v>72743.64</v>
      </c>
      <c r="L536" s="26">
        <v>16305.75</v>
      </c>
      <c r="M536" s="15">
        <v>3.0</v>
      </c>
      <c r="N536" s="16">
        <v>521145.36</v>
      </c>
      <c r="O536" s="16">
        <f t="shared" si="1089"/>
        <v>20845.8144</v>
      </c>
      <c r="P536" s="16">
        <f t="shared" si="1090"/>
        <v>8755.242048</v>
      </c>
      <c r="Q536" s="16">
        <f t="shared" si="1091"/>
        <v>2556</v>
      </c>
      <c r="R536" s="67">
        <f t="shared" si="1092"/>
        <v>717.57</v>
      </c>
      <c r="S536" s="17">
        <f t="shared" si="1093"/>
        <v>1180.26</v>
      </c>
      <c r="T536" s="17">
        <f t="shared" si="1094"/>
        <v>414</v>
      </c>
      <c r="U536" s="86">
        <v>2087.96</v>
      </c>
      <c r="V536" s="18">
        <f t="shared" si="1095"/>
        <v>8755.242048</v>
      </c>
      <c r="W536" s="7">
        <f t="shared" si="1096"/>
        <v>2581.97</v>
      </c>
      <c r="X536" s="69" t="str">
        <f t="shared" si="1097"/>
        <v/>
      </c>
      <c r="Y536" s="7">
        <f t="shared" si="1098"/>
        <v>20845.8144</v>
      </c>
      <c r="Z536" s="7">
        <f t="shared" si="1099"/>
        <v>2556</v>
      </c>
      <c r="AA536" s="18">
        <f t="shared" si="1100"/>
        <v>36826.98645</v>
      </c>
      <c r="AB536" s="56">
        <v>6.0</v>
      </c>
      <c r="AC536" s="24">
        <v>228615.58</v>
      </c>
      <c r="AD536" s="57">
        <v>79506.09</v>
      </c>
      <c r="AE536" s="24">
        <v>2628.44</v>
      </c>
      <c r="AF536" s="24">
        <v>414.0</v>
      </c>
      <c r="AG536" s="24">
        <v>527.13</v>
      </c>
      <c r="AH536" s="24"/>
      <c r="AI536" s="24">
        <v>65265.83</v>
      </c>
      <c r="AJ536" s="24">
        <v>10670.69</v>
      </c>
      <c r="AK536" s="15">
        <v>4.0</v>
      </c>
      <c r="AL536" s="16">
        <v>305118.97</v>
      </c>
      <c r="AM536" s="16">
        <v>9014.0</v>
      </c>
      <c r="AN536" s="16">
        <v>5137.0</v>
      </c>
      <c r="AO536" s="16">
        <v>4000.0</v>
      </c>
      <c r="AP536" s="16">
        <v>1901.88</v>
      </c>
      <c r="AQ536" s="16">
        <v>1196.09</v>
      </c>
      <c r="AR536" s="16">
        <v>0.0</v>
      </c>
      <c r="AS536" s="7">
        <v>5970.71</v>
      </c>
      <c r="AT536" s="7">
        <v>1167.0</v>
      </c>
      <c r="AU536" s="7">
        <v>4496.35</v>
      </c>
      <c r="AV536" s="7">
        <v>1538.69</v>
      </c>
      <c r="AW536" s="7">
        <v>2621.0</v>
      </c>
      <c r="AX536" s="7">
        <f>2798.58-AT536</f>
        <v>1631.58</v>
      </c>
      <c r="AY536" s="7">
        <f t="shared" si="1101"/>
        <v>17425.33</v>
      </c>
      <c r="AZ536" s="9">
        <v>0.0</v>
      </c>
      <c r="BA536" s="9">
        <v>0.0</v>
      </c>
      <c r="BB536" s="84">
        <v>0.0</v>
      </c>
      <c r="BC536" s="84">
        <v>0.0</v>
      </c>
    </row>
    <row r="537">
      <c r="A537" s="11">
        <v>2025.0</v>
      </c>
      <c r="B537" s="11" t="s">
        <v>135</v>
      </c>
      <c r="C537" s="12">
        <v>45862.0</v>
      </c>
      <c r="D537" s="44">
        <v>13.0</v>
      </c>
      <c r="E537" s="26">
        <v>578391.77</v>
      </c>
      <c r="F537" s="26">
        <v>32615.23</v>
      </c>
      <c r="G537" s="26">
        <v>4013.85</v>
      </c>
      <c r="H537" s="26">
        <v>1380.0</v>
      </c>
      <c r="I537" s="26">
        <v>1591.6</v>
      </c>
      <c r="J537" s="26"/>
      <c r="K537" s="26">
        <v>15685.2</v>
      </c>
      <c r="L537" s="26">
        <v>9082.4</v>
      </c>
      <c r="M537" s="15">
        <v>3.0</v>
      </c>
      <c r="N537" s="16">
        <v>590242.23</v>
      </c>
      <c r="O537" s="16">
        <f t="shared" si="1089"/>
        <v>23609.6892</v>
      </c>
      <c r="P537" s="16">
        <f t="shared" si="1090"/>
        <v>9916.069464</v>
      </c>
      <c r="Q537" s="16">
        <f t="shared" si="1091"/>
        <v>2556</v>
      </c>
      <c r="R537" s="67">
        <f t="shared" si="1092"/>
        <v>717.57</v>
      </c>
      <c r="S537" s="17">
        <f t="shared" si="1093"/>
        <v>1180.26</v>
      </c>
      <c r="T537" s="17">
        <f t="shared" si="1094"/>
        <v>414</v>
      </c>
      <c r="U537" s="86">
        <v>785.84</v>
      </c>
      <c r="V537" s="18">
        <f t="shared" si="1095"/>
        <v>9916.069464</v>
      </c>
      <c r="W537" s="7">
        <f t="shared" si="1096"/>
        <v>2309.17</v>
      </c>
      <c r="X537" s="69" t="str">
        <f t="shared" si="1097"/>
        <v/>
      </c>
      <c r="Y537" s="7">
        <f t="shared" si="1098"/>
        <v>23609.6892</v>
      </c>
      <c r="Z537" s="7">
        <f t="shared" si="1099"/>
        <v>2556</v>
      </c>
      <c r="AA537" s="18">
        <f t="shared" si="1100"/>
        <v>39176.76866</v>
      </c>
      <c r="AB537" s="56">
        <v>2.0</v>
      </c>
      <c r="AC537" s="24">
        <v>109349.4</v>
      </c>
      <c r="AD537" s="57">
        <v>6846.12</v>
      </c>
      <c r="AE537" s="24">
        <v>787.89</v>
      </c>
      <c r="AF537" s="24">
        <v>276.0</v>
      </c>
      <c r="AG537" s="24">
        <v>287.31</v>
      </c>
      <c r="AH537" s="24"/>
      <c r="AI537" s="24">
        <v>3597.41</v>
      </c>
      <c r="AJ537" s="24">
        <v>1897.51</v>
      </c>
      <c r="AK537" s="15">
        <v>7.0</v>
      </c>
      <c r="AL537" s="16">
        <v>1038790.6</v>
      </c>
      <c r="AM537" s="16">
        <v>39285.0</v>
      </c>
      <c r="AN537" s="16">
        <v>17485.0</v>
      </c>
      <c r="AO537" s="16">
        <v>4500.0</v>
      </c>
      <c r="AP537" s="16">
        <v>3809.77</v>
      </c>
      <c r="AQ537" s="16">
        <v>4594.17</v>
      </c>
      <c r="AR537" s="16">
        <v>0.0</v>
      </c>
      <c r="AS537" s="7">
        <v>3618.88</v>
      </c>
      <c r="AT537" s="7">
        <v>18623.0</v>
      </c>
      <c r="AU537" s="7">
        <v>1592.88</v>
      </c>
      <c r="AV537" s="7">
        <v>1783.44</v>
      </c>
      <c r="AW537" s="7">
        <v>41841.0</v>
      </c>
      <c r="AX537" s="7">
        <f>30952.13-AT537</f>
        <v>12329.13</v>
      </c>
      <c r="AY537" s="7">
        <f t="shared" si="1101"/>
        <v>79788.33</v>
      </c>
      <c r="AZ537" s="9">
        <v>0.0</v>
      </c>
      <c r="BA537" s="9">
        <v>0.0</v>
      </c>
      <c r="BB537" s="84">
        <v>0.0</v>
      </c>
      <c r="BC537" s="84">
        <v>0.0</v>
      </c>
    </row>
    <row r="538">
      <c r="A538" s="11">
        <v>2025.0</v>
      </c>
      <c r="B538" s="11" t="s">
        <v>135</v>
      </c>
      <c r="C538" s="12">
        <v>45863.0</v>
      </c>
      <c r="D538" s="44">
        <v>12.0</v>
      </c>
      <c r="E538" s="26">
        <v>672966.8</v>
      </c>
      <c r="F538" s="26">
        <v>32962.47</v>
      </c>
      <c r="G538" s="26">
        <v>4441.15</v>
      </c>
      <c r="H538" s="26">
        <v>1242.0</v>
      </c>
      <c r="I538" s="26">
        <v>1903.42</v>
      </c>
      <c r="J538" s="26"/>
      <c r="K538" s="26">
        <v>12431.51</v>
      </c>
      <c r="L538" s="26">
        <v>11691.21</v>
      </c>
      <c r="M538" s="15">
        <v>2.0</v>
      </c>
      <c r="N538" s="16">
        <v>124379.94</v>
      </c>
      <c r="O538" s="16">
        <f t="shared" si="1089"/>
        <v>4975.1976</v>
      </c>
      <c r="P538" s="16">
        <f t="shared" si="1090"/>
        <v>2089.582992</v>
      </c>
      <c r="Q538" s="16">
        <f t="shared" si="1091"/>
        <v>1704</v>
      </c>
      <c r="R538" s="67">
        <f t="shared" si="1092"/>
        <v>478.38</v>
      </c>
      <c r="S538" s="17">
        <f t="shared" si="1093"/>
        <v>786.84</v>
      </c>
      <c r="T538" s="17">
        <f t="shared" si="1094"/>
        <v>276</v>
      </c>
      <c r="U538" s="86">
        <v>1315.86</v>
      </c>
      <c r="V538" s="18">
        <f t="shared" si="1095"/>
        <v>2089.582992</v>
      </c>
      <c r="W538" s="7">
        <f t="shared" si="1096"/>
        <v>2381.8</v>
      </c>
      <c r="X538" s="69" t="str">
        <f t="shared" si="1097"/>
        <v/>
      </c>
      <c r="Y538" s="7">
        <f t="shared" si="1098"/>
        <v>4975.1976</v>
      </c>
      <c r="Z538" s="7">
        <f t="shared" si="1099"/>
        <v>1704</v>
      </c>
      <c r="AA538" s="18">
        <f t="shared" si="1100"/>
        <v>12466.44059</v>
      </c>
      <c r="AB538" s="56">
        <v>1.0</v>
      </c>
      <c r="AC538" s="24">
        <v>71466.65</v>
      </c>
      <c r="AD538" s="57">
        <v>4844.28</v>
      </c>
      <c r="AE538" s="24">
        <v>511.47</v>
      </c>
      <c r="AF538" s="24">
        <v>138.0</v>
      </c>
      <c r="AG538" s="24">
        <v>127.88</v>
      </c>
      <c r="AH538" s="24"/>
      <c r="AI538" s="24">
        <v>2818.93</v>
      </c>
      <c r="AJ538" s="24">
        <v>1248.0</v>
      </c>
      <c r="AK538" s="15">
        <v>2.0</v>
      </c>
      <c r="AL538" s="16">
        <v>249167.65</v>
      </c>
      <c r="AM538" s="16">
        <v>6495.0</v>
      </c>
      <c r="AN538" s="16">
        <v>4193.0</v>
      </c>
      <c r="AO538" s="16">
        <v>500.0</v>
      </c>
      <c r="AP538" s="16">
        <v>1006.07</v>
      </c>
      <c r="AQ538" s="16">
        <v>885.58</v>
      </c>
      <c r="AR538" s="16">
        <v>0.0</v>
      </c>
      <c r="AS538" s="7">
        <v>15347.36</v>
      </c>
      <c r="AT538" s="7">
        <v>2890.0</v>
      </c>
      <c r="AU538" s="7">
        <v>6654.35</v>
      </c>
      <c r="AV538" s="7">
        <v>2442.22</v>
      </c>
      <c r="AW538" s="7">
        <v>6495.0</v>
      </c>
      <c r="AX538" s="7">
        <f>3386.86-AT538</f>
        <v>496.86</v>
      </c>
      <c r="AY538" s="7">
        <f t="shared" si="1101"/>
        <v>34325.79</v>
      </c>
      <c r="AZ538" s="9">
        <v>0.0</v>
      </c>
      <c r="BA538" s="9">
        <v>0.0</v>
      </c>
      <c r="BB538" s="84">
        <v>0.0</v>
      </c>
      <c r="BC538" s="84">
        <v>0.0</v>
      </c>
    </row>
    <row r="539">
      <c r="A539" s="11">
        <v>2025.0</v>
      </c>
      <c r="B539" s="11" t="s">
        <v>135</v>
      </c>
      <c r="C539" s="1"/>
      <c r="D539" s="2">
        <v>351.0</v>
      </c>
      <c r="E539" s="2"/>
      <c r="F539" s="50">
        <v>1029404.9</v>
      </c>
      <c r="G539" s="2"/>
      <c r="H539" s="33"/>
      <c r="I539" s="33"/>
      <c r="J539" s="33"/>
      <c r="K539" s="33"/>
      <c r="L539" s="33"/>
      <c r="M539" s="4">
        <v>11.0</v>
      </c>
      <c r="N539" s="51">
        <v>1413700.0</v>
      </c>
      <c r="O539" s="35"/>
      <c r="P539" s="35"/>
      <c r="Q539" s="35"/>
      <c r="R539" s="35"/>
      <c r="S539" s="35"/>
      <c r="T539" s="35"/>
      <c r="U539" s="37"/>
      <c r="V539" s="48"/>
      <c r="W539" s="48"/>
      <c r="X539" s="37"/>
      <c r="Y539" s="48"/>
      <c r="Z539" s="48"/>
      <c r="AA539" s="48"/>
      <c r="AB539" s="2">
        <v>0.0</v>
      </c>
      <c r="AC539" s="33"/>
      <c r="AD539" s="50">
        <v>0.0</v>
      </c>
      <c r="AE539" s="33"/>
      <c r="AF539" s="33"/>
      <c r="AG539" s="33"/>
      <c r="AH539" s="33"/>
      <c r="AI539" s="33"/>
      <c r="AJ539" s="33"/>
      <c r="AK539" s="4">
        <v>0.0</v>
      </c>
      <c r="AL539" s="4">
        <v>0.0</v>
      </c>
      <c r="AM539" s="35"/>
      <c r="AN539" s="35"/>
      <c r="AO539" s="35"/>
      <c r="AP539" s="35"/>
      <c r="AQ539" s="35"/>
      <c r="AR539" s="35"/>
      <c r="AS539" s="37"/>
      <c r="AT539" s="48"/>
      <c r="AU539" s="48"/>
      <c r="AV539" s="48"/>
      <c r="AW539" s="48"/>
      <c r="AX539" s="48"/>
      <c r="AY539" s="48"/>
      <c r="AZ539" s="38"/>
      <c r="BA539" s="39"/>
      <c r="BB539" s="85"/>
      <c r="BC539" s="88"/>
    </row>
    <row r="540">
      <c r="A540" s="1">
        <v>2025.0</v>
      </c>
      <c r="B540" s="11" t="s">
        <v>135</v>
      </c>
      <c r="C540" s="1" t="s">
        <v>49</v>
      </c>
      <c r="D540" s="33">
        <f t="shared" ref="D540:F540" si="1102">SUM(D532:D538)</f>
        <v>94</v>
      </c>
      <c r="E540" s="34">
        <f t="shared" si="1102"/>
        <v>4466756.74</v>
      </c>
      <c r="F540" s="34">
        <f t="shared" si="1102"/>
        <v>319891.54</v>
      </c>
      <c r="G540" s="34">
        <f>SUM(G532:G539)</f>
        <v>28196.37</v>
      </c>
      <c r="H540" s="34">
        <f t="shared" ref="H540:L540" si="1103">SUM(H532:H538)</f>
        <v>10350</v>
      </c>
      <c r="I540" s="34">
        <f t="shared" si="1103"/>
        <v>13372.56</v>
      </c>
      <c r="J540" s="34">
        <f t="shared" si="1103"/>
        <v>650.76</v>
      </c>
      <c r="K540" s="34">
        <f t="shared" si="1103"/>
        <v>180441.11</v>
      </c>
      <c r="L540" s="34">
        <f t="shared" si="1103"/>
        <v>82013.76</v>
      </c>
      <c r="M540" s="35">
        <f t="shared" ref="M540:N540" si="1104">SUM(M532:M539)</f>
        <v>21</v>
      </c>
      <c r="N540" s="36">
        <f t="shared" si="1104"/>
        <v>2945495.89</v>
      </c>
      <c r="O540" s="36">
        <f t="shared" ref="O540:AA540" si="1105">SUM(O532:O538)</f>
        <v>61271.8356</v>
      </c>
      <c r="P540" s="36">
        <f t="shared" si="1105"/>
        <v>25734.17095</v>
      </c>
      <c r="Q540" s="36">
        <f t="shared" si="1105"/>
        <v>8520</v>
      </c>
      <c r="R540" s="70">
        <f t="shared" si="1105"/>
        <v>2391.9</v>
      </c>
      <c r="S540" s="36">
        <f t="shared" si="1105"/>
        <v>3934.2</v>
      </c>
      <c r="T540" s="36">
        <f t="shared" si="1105"/>
        <v>1380</v>
      </c>
      <c r="U540" s="37">
        <f t="shared" si="1105"/>
        <v>12688.93</v>
      </c>
      <c r="V540" s="37">
        <f t="shared" si="1105"/>
        <v>25734.17095</v>
      </c>
      <c r="W540" s="37">
        <f t="shared" si="1105"/>
        <v>15764.46</v>
      </c>
      <c r="X540" s="37">
        <f t="shared" si="1105"/>
        <v>650.76</v>
      </c>
      <c r="Y540" s="37">
        <f t="shared" si="1105"/>
        <v>61271.8356</v>
      </c>
      <c r="Z540" s="37">
        <f t="shared" si="1105"/>
        <v>8520</v>
      </c>
      <c r="AA540" s="37">
        <f t="shared" si="1105"/>
        <v>124630.1566</v>
      </c>
      <c r="AB540" s="33">
        <f>SUM(AB532:AB539)</f>
        <v>27</v>
      </c>
      <c r="AC540" s="34">
        <f>SUM(AC532:AC538)</f>
        <v>1606140.96</v>
      </c>
      <c r="AD540" s="55">
        <f>SUM(AD532:AD539)</f>
        <v>173382.66</v>
      </c>
      <c r="AE540" s="34">
        <f t="shared" ref="AE540:AJ540" si="1106">SUM(AE532:AE538)</f>
        <v>9772.09</v>
      </c>
      <c r="AF540" s="34">
        <f t="shared" si="1106"/>
        <v>3174</v>
      </c>
      <c r="AG540" s="34">
        <f t="shared" si="1106"/>
        <v>3979.24</v>
      </c>
      <c r="AH540" s="34">
        <f t="shared" si="1106"/>
        <v>650.76</v>
      </c>
      <c r="AI540" s="34">
        <f t="shared" si="1106"/>
        <v>120424.97</v>
      </c>
      <c r="AJ540" s="34">
        <f t="shared" si="1106"/>
        <v>36032.37</v>
      </c>
      <c r="AK540" s="35">
        <f t="shared" ref="AK540:AL540" si="1107">SUM(AK532:AK539)</f>
        <v>13</v>
      </c>
      <c r="AL540" s="36">
        <f t="shared" si="1107"/>
        <v>1593077.22</v>
      </c>
      <c r="AM540" s="36">
        <f t="shared" ref="AM540:BB540" si="1108">SUM(AM532:AM538)</f>
        <v>54794</v>
      </c>
      <c r="AN540" s="36">
        <f t="shared" si="1108"/>
        <v>26815</v>
      </c>
      <c r="AO540" s="36">
        <f t="shared" si="1108"/>
        <v>9000</v>
      </c>
      <c r="AP540" s="36">
        <f t="shared" si="1108"/>
        <v>6717.72</v>
      </c>
      <c r="AQ540" s="36">
        <f t="shared" si="1108"/>
        <v>6675.84</v>
      </c>
      <c r="AR540" s="36">
        <f t="shared" si="1108"/>
        <v>0</v>
      </c>
      <c r="AS540" s="37">
        <f t="shared" si="1108"/>
        <v>45056.67</v>
      </c>
      <c r="AT540" s="37">
        <f t="shared" si="1108"/>
        <v>22680</v>
      </c>
      <c r="AU540" s="37">
        <f t="shared" si="1108"/>
        <v>22154.22</v>
      </c>
      <c r="AV540" s="37">
        <f t="shared" si="1108"/>
        <v>10830.72</v>
      </c>
      <c r="AW540" s="37">
        <f t="shared" si="1108"/>
        <v>50957</v>
      </c>
      <c r="AX540" s="37">
        <f t="shared" si="1108"/>
        <v>15112.6</v>
      </c>
      <c r="AY540" s="37">
        <f t="shared" si="1108"/>
        <v>166791.21</v>
      </c>
      <c r="AZ540" s="38">
        <f t="shared" si="1108"/>
        <v>0</v>
      </c>
      <c r="BA540" s="39">
        <f t="shared" si="1108"/>
        <v>0</v>
      </c>
      <c r="BB540" s="85">
        <f t="shared" si="1108"/>
        <v>0</v>
      </c>
      <c r="BC540" s="85">
        <f>SUM(BC532:BC539)</f>
        <v>0</v>
      </c>
    </row>
    <row r="541">
      <c r="A541" s="11">
        <v>2025.0</v>
      </c>
      <c r="B541" s="11" t="s">
        <v>135</v>
      </c>
      <c r="C541" s="12">
        <v>45864.0</v>
      </c>
      <c r="D541" s="44">
        <v>11.0</v>
      </c>
      <c r="E541" s="26">
        <v>331015.08</v>
      </c>
      <c r="F541" s="26">
        <v>20553.18</v>
      </c>
      <c r="G541" s="26">
        <v>2864.19</v>
      </c>
      <c r="H541" s="26">
        <v>1242.0</v>
      </c>
      <c r="I541" s="26">
        <v>1744.14</v>
      </c>
      <c r="J541" s="26"/>
      <c r="K541" s="26">
        <v>8968.07</v>
      </c>
      <c r="L541" s="26">
        <v>5360.91</v>
      </c>
      <c r="M541" s="15">
        <v>0.0</v>
      </c>
      <c r="N541" s="16">
        <v>0.0</v>
      </c>
      <c r="O541" s="16">
        <f t="shared" ref="O541:O547" si="1109">N541*4%</f>
        <v>0</v>
      </c>
      <c r="P541" s="16">
        <f t="shared" ref="P541:P547" si="1110">N541*1.68%</f>
        <v>0</v>
      </c>
      <c r="Q541" s="16">
        <f t="shared" ref="Q541:Q547" si="1111">M541*(400+350+100+2)</f>
        <v>0</v>
      </c>
      <c r="R541" s="67">
        <f t="shared" ref="R541:R547" si="1112">M541*239.19</f>
        <v>0</v>
      </c>
      <c r="S541" s="17">
        <f t="shared" ref="S541:S547" si="1113">M541*393.42</f>
        <v>0</v>
      </c>
      <c r="T541" s="17">
        <f t="shared" ref="T541:T547" si="1114">M541*138</f>
        <v>0</v>
      </c>
      <c r="U541" s="86">
        <v>953.93</v>
      </c>
      <c r="V541" s="18">
        <f t="shared" ref="V541:V547" si="1115">P541</f>
        <v>0</v>
      </c>
      <c r="W541" s="7">
        <f t="shared" ref="W541:W547" si="1116">I541+R541</f>
        <v>1744.14</v>
      </c>
      <c r="X541" s="69" t="str">
        <f t="shared" ref="X541:X547" si="1117">J541</f>
        <v/>
      </c>
      <c r="Y541" s="7">
        <f t="shared" ref="Y541:Y547" si="1118">O541</f>
        <v>0</v>
      </c>
      <c r="Z541" s="7">
        <f t="shared" ref="Z541:Z547" si="1119">Q541</f>
        <v>0</v>
      </c>
      <c r="AA541" s="18">
        <f t="shared" ref="AA541:AA547" si="1120">SUM(U541:Z541)</f>
        <v>2698.07</v>
      </c>
      <c r="AB541" s="56">
        <v>6.0</v>
      </c>
      <c r="AC541" s="24">
        <v>203024.55</v>
      </c>
      <c r="AD541" s="57">
        <v>12122.45</v>
      </c>
      <c r="AE541" s="24">
        <v>1637.58</v>
      </c>
      <c r="AF541" s="24">
        <v>690.0</v>
      </c>
      <c r="AG541" s="24">
        <v>909.23</v>
      </c>
      <c r="AH541" s="24">
        <v>418.36</v>
      </c>
      <c r="AI541" s="24">
        <v>5384.37</v>
      </c>
      <c r="AJ541" s="24">
        <v>3501.27</v>
      </c>
      <c r="AK541" s="15">
        <v>0.0</v>
      </c>
      <c r="AL541" s="16">
        <v>0.0</v>
      </c>
      <c r="AM541" s="16">
        <v>0.0</v>
      </c>
      <c r="AN541" s="16">
        <v>0.0</v>
      </c>
      <c r="AO541" s="16">
        <v>0.0</v>
      </c>
      <c r="AP541" s="16">
        <v>0.0</v>
      </c>
      <c r="AQ541" s="16">
        <v>0.0</v>
      </c>
      <c r="AR541" s="16">
        <v>0.0</v>
      </c>
      <c r="AS541" s="7">
        <v>0.0</v>
      </c>
      <c r="AT541" s="7">
        <v>0.0</v>
      </c>
      <c r="AU541" s="7">
        <v>0.0</v>
      </c>
      <c r="AV541" s="7">
        <v>0.0</v>
      </c>
      <c r="AW541" s="7">
        <v>0.0</v>
      </c>
      <c r="AX541" s="7">
        <v>0.0</v>
      </c>
      <c r="AY541" s="7">
        <f t="shared" ref="AY541:AY547" si="1121">SUM(AS541:AX541)</f>
        <v>0</v>
      </c>
      <c r="AZ541" s="9">
        <v>0.0</v>
      </c>
      <c r="BA541" s="9">
        <v>0.0</v>
      </c>
      <c r="BB541" s="84">
        <v>0.0</v>
      </c>
      <c r="BC541" s="84">
        <v>0.0</v>
      </c>
    </row>
    <row r="542">
      <c r="A542" s="11">
        <v>2025.0</v>
      </c>
      <c r="B542" s="11" t="s">
        <v>135</v>
      </c>
      <c r="C542" s="12">
        <v>45865.0</v>
      </c>
      <c r="D542" s="44">
        <v>8.0</v>
      </c>
      <c r="E542" s="26">
        <v>416529.85</v>
      </c>
      <c r="F542" s="26">
        <v>23775.62</v>
      </c>
      <c r="G542" s="26">
        <v>2901.19</v>
      </c>
      <c r="H542" s="26">
        <v>966.0</v>
      </c>
      <c r="I542" s="26">
        <v>1360.44</v>
      </c>
      <c r="J542" s="26"/>
      <c r="K542" s="26">
        <v>11550.29</v>
      </c>
      <c r="L542" s="26">
        <v>6247.95</v>
      </c>
      <c r="M542" s="15">
        <v>0.0</v>
      </c>
      <c r="N542" s="16">
        <v>0.0</v>
      </c>
      <c r="O542" s="16">
        <f t="shared" si="1109"/>
        <v>0</v>
      </c>
      <c r="P542" s="16">
        <f t="shared" si="1110"/>
        <v>0</v>
      </c>
      <c r="Q542" s="16">
        <f t="shared" si="1111"/>
        <v>0</v>
      </c>
      <c r="R542" s="67">
        <f t="shared" si="1112"/>
        <v>0</v>
      </c>
      <c r="S542" s="17">
        <f t="shared" si="1113"/>
        <v>0</v>
      </c>
      <c r="T542" s="17">
        <f t="shared" si="1114"/>
        <v>0</v>
      </c>
      <c r="U542" s="86">
        <v>1079.83</v>
      </c>
      <c r="V542" s="18">
        <f t="shared" si="1115"/>
        <v>0</v>
      </c>
      <c r="W542" s="7">
        <f t="shared" si="1116"/>
        <v>1360.44</v>
      </c>
      <c r="X542" s="69" t="str">
        <f t="shared" si="1117"/>
        <v/>
      </c>
      <c r="Y542" s="7">
        <f t="shared" si="1118"/>
        <v>0</v>
      </c>
      <c r="Z542" s="7">
        <f t="shared" si="1119"/>
        <v>0</v>
      </c>
      <c r="AA542" s="18">
        <f t="shared" si="1120"/>
        <v>2440.27</v>
      </c>
      <c r="AB542" s="56">
        <v>5.0</v>
      </c>
      <c r="AC542" s="24">
        <v>199187.57</v>
      </c>
      <c r="AD542" s="57">
        <v>12847.29</v>
      </c>
      <c r="AE542" s="24">
        <v>1576.73</v>
      </c>
      <c r="AF542" s="24">
        <v>690.0</v>
      </c>
      <c r="AG542" s="24">
        <v>1130.87</v>
      </c>
      <c r="AH542" s="24">
        <v>0.0</v>
      </c>
      <c r="AI542" s="24">
        <v>6002.5</v>
      </c>
      <c r="AJ542" s="24">
        <v>3447.19</v>
      </c>
      <c r="AK542" s="15">
        <v>0.0</v>
      </c>
      <c r="AL542" s="16">
        <v>0.0</v>
      </c>
      <c r="AM542" s="16">
        <v>0.0</v>
      </c>
      <c r="AN542" s="16">
        <v>0.0</v>
      </c>
      <c r="AO542" s="16">
        <v>0.0</v>
      </c>
      <c r="AP542" s="16">
        <v>0.0</v>
      </c>
      <c r="AQ542" s="16">
        <v>0.0</v>
      </c>
      <c r="AR542" s="16">
        <v>0.0</v>
      </c>
      <c r="AS542" s="7">
        <v>0.0</v>
      </c>
      <c r="AT542" s="7">
        <v>0.0</v>
      </c>
      <c r="AU542" s="7">
        <v>0.0</v>
      </c>
      <c r="AV542" s="7">
        <v>0.0</v>
      </c>
      <c r="AW542" s="7">
        <v>0.0</v>
      </c>
      <c r="AX542" s="7">
        <v>0.0</v>
      </c>
      <c r="AY542" s="7">
        <f t="shared" si="1121"/>
        <v>0</v>
      </c>
      <c r="AZ542" s="9">
        <v>0.0</v>
      </c>
      <c r="BA542" s="9">
        <v>0.0</v>
      </c>
      <c r="BB542" s="84">
        <v>0.0</v>
      </c>
      <c r="BC542" s="84">
        <v>0.0</v>
      </c>
    </row>
    <row r="543">
      <c r="A543" s="11">
        <v>2025.0</v>
      </c>
      <c r="B543" s="11" t="s">
        <v>135</v>
      </c>
      <c r="C543" s="12">
        <v>45866.0</v>
      </c>
      <c r="D543" s="44">
        <v>31.0</v>
      </c>
      <c r="E543" s="26">
        <v>2369005.36</v>
      </c>
      <c r="F543" s="26">
        <v>213365.97</v>
      </c>
      <c r="G543" s="26">
        <v>18333.97</v>
      </c>
      <c r="H543" s="26">
        <v>4416.0</v>
      </c>
      <c r="I543" s="26">
        <v>4172.22</v>
      </c>
      <c r="J543" s="26"/>
      <c r="K543" s="26">
        <v>117924.69</v>
      </c>
      <c r="L543" s="26">
        <v>63977.26</v>
      </c>
      <c r="M543" s="15">
        <v>3.0</v>
      </c>
      <c r="N543" s="16">
        <v>398286.8</v>
      </c>
      <c r="O543" s="16">
        <f t="shared" si="1109"/>
        <v>15931.472</v>
      </c>
      <c r="P543" s="16">
        <f t="shared" si="1110"/>
        <v>6691.21824</v>
      </c>
      <c r="Q543" s="16">
        <f t="shared" si="1111"/>
        <v>2556</v>
      </c>
      <c r="R543" s="67">
        <f t="shared" si="1112"/>
        <v>717.57</v>
      </c>
      <c r="S543" s="17">
        <f t="shared" si="1113"/>
        <v>1180.26</v>
      </c>
      <c r="T543" s="17">
        <f t="shared" si="1114"/>
        <v>414</v>
      </c>
      <c r="U543" s="86">
        <v>1780.62</v>
      </c>
      <c r="V543" s="18">
        <f t="shared" si="1115"/>
        <v>6691.21824</v>
      </c>
      <c r="W543" s="7">
        <f t="shared" si="1116"/>
        <v>4889.79</v>
      </c>
      <c r="X543" s="69" t="str">
        <f t="shared" si="1117"/>
        <v/>
      </c>
      <c r="Y543" s="7">
        <f t="shared" si="1118"/>
        <v>15931.472</v>
      </c>
      <c r="Z543" s="7">
        <f t="shared" si="1119"/>
        <v>2556</v>
      </c>
      <c r="AA543" s="18">
        <f t="shared" si="1120"/>
        <v>31849.10024</v>
      </c>
      <c r="AB543" s="56">
        <v>10.0</v>
      </c>
      <c r="AC543" s="24">
        <v>215568.44</v>
      </c>
      <c r="AD543" s="57">
        <v>137710.65</v>
      </c>
      <c r="AE543" s="24">
        <v>11164.64</v>
      </c>
      <c r="AF543" s="24">
        <v>1932.0</v>
      </c>
      <c r="AG543" s="24">
        <v>831.97</v>
      </c>
      <c r="AH543" s="24">
        <v>0.0</v>
      </c>
      <c r="AI543" s="24">
        <v>94651.25</v>
      </c>
      <c r="AJ543" s="24">
        <v>29130.79</v>
      </c>
      <c r="AK543" s="15">
        <v>0.0</v>
      </c>
      <c r="AL543" s="16">
        <v>0.0</v>
      </c>
      <c r="AM543" s="16">
        <v>0.0</v>
      </c>
      <c r="AN543" s="16">
        <v>0.0</v>
      </c>
      <c r="AO543" s="16">
        <v>0.0</v>
      </c>
      <c r="AP543" s="16">
        <v>0.0</v>
      </c>
      <c r="AQ543" s="16">
        <v>0.0</v>
      </c>
      <c r="AR543" s="16">
        <v>0.0</v>
      </c>
      <c r="AS543" s="7">
        <v>17626.25</v>
      </c>
      <c r="AT543" s="7">
        <v>0.0</v>
      </c>
      <c r="AU543" s="7">
        <v>8819.4</v>
      </c>
      <c r="AV543" s="7">
        <v>3224.05</v>
      </c>
      <c r="AW543" s="7">
        <v>2928.0</v>
      </c>
      <c r="AX543" s="7">
        <f>3629.04-AT543</f>
        <v>3629.04</v>
      </c>
      <c r="AY543" s="7">
        <f t="shared" si="1121"/>
        <v>36226.74</v>
      </c>
      <c r="AZ543" s="9">
        <v>0.0</v>
      </c>
      <c r="BA543" s="9">
        <v>0.0</v>
      </c>
      <c r="BB543" s="84">
        <v>0.0</v>
      </c>
      <c r="BC543" s="84">
        <v>0.0</v>
      </c>
    </row>
    <row r="544">
      <c r="A544" s="11">
        <v>2025.0</v>
      </c>
      <c r="B544" s="11" t="s">
        <v>135</v>
      </c>
      <c r="C544" s="12">
        <v>45867.0</v>
      </c>
      <c r="D544" s="44">
        <v>11.0</v>
      </c>
      <c r="E544" s="26">
        <v>803534.83</v>
      </c>
      <c r="F544" s="26">
        <v>42750.12</v>
      </c>
      <c r="G544" s="26">
        <v>5198.42</v>
      </c>
      <c r="H544" s="26">
        <v>1380.0</v>
      </c>
      <c r="I544" s="26">
        <v>1985.39</v>
      </c>
      <c r="J544" s="26"/>
      <c r="K544" s="26">
        <v>14670.97</v>
      </c>
      <c r="L544" s="26">
        <v>17477.36</v>
      </c>
      <c r="M544" s="15">
        <v>3.0</v>
      </c>
      <c r="N544" s="16">
        <v>513410.65</v>
      </c>
      <c r="O544" s="16">
        <f t="shared" si="1109"/>
        <v>20536.426</v>
      </c>
      <c r="P544" s="16">
        <f t="shared" si="1110"/>
        <v>8625.29892</v>
      </c>
      <c r="Q544" s="16">
        <f t="shared" si="1111"/>
        <v>2556</v>
      </c>
      <c r="R544" s="67">
        <f t="shared" si="1112"/>
        <v>717.57</v>
      </c>
      <c r="S544" s="17">
        <f t="shared" si="1113"/>
        <v>1180.26</v>
      </c>
      <c r="T544" s="17">
        <f t="shared" si="1114"/>
        <v>414</v>
      </c>
      <c r="U544" s="86">
        <v>3704.88</v>
      </c>
      <c r="V544" s="18">
        <f t="shared" si="1115"/>
        <v>8625.29892</v>
      </c>
      <c r="W544" s="7">
        <f t="shared" si="1116"/>
        <v>2702.96</v>
      </c>
      <c r="X544" s="69" t="str">
        <f t="shared" si="1117"/>
        <v/>
      </c>
      <c r="Y544" s="7">
        <f t="shared" si="1118"/>
        <v>20536.426</v>
      </c>
      <c r="Z544" s="7">
        <f t="shared" si="1119"/>
        <v>2556</v>
      </c>
      <c r="AA544" s="18">
        <f t="shared" si="1120"/>
        <v>38125.56492</v>
      </c>
      <c r="AB544" s="56">
        <v>6.0</v>
      </c>
      <c r="AC544" s="24">
        <v>208838.28</v>
      </c>
      <c r="AD544" s="57">
        <v>11764.61</v>
      </c>
      <c r="AE544" s="24">
        <v>1471.1</v>
      </c>
      <c r="AF544" s="24">
        <v>690.0</v>
      </c>
      <c r="AG544" s="24">
        <v>677.97</v>
      </c>
      <c r="AH544" s="24">
        <v>0.0</v>
      </c>
      <c r="AI544" s="24">
        <v>5258.11</v>
      </c>
      <c r="AJ544" s="24">
        <v>3667.43</v>
      </c>
      <c r="AK544" s="15">
        <v>0.0</v>
      </c>
      <c r="AL544" s="16">
        <v>0.0</v>
      </c>
      <c r="AM544" s="16">
        <v>0.0</v>
      </c>
      <c r="AN544" s="16">
        <v>0.0</v>
      </c>
      <c r="AO544" s="16">
        <v>0.0</v>
      </c>
      <c r="AP544" s="16">
        <v>0.0</v>
      </c>
      <c r="AQ544" s="16">
        <v>0.0</v>
      </c>
      <c r="AR544" s="16">
        <v>0.0</v>
      </c>
      <c r="AS544" s="7">
        <v>24629.64</v>
      </c>
      <c r="AT544" s="7">
        <v>0.0</v>
      </c>
      <c r="AU544" s="7">
        <v>13257.4</v>
      </c>
      <c r="AV544" s="7">
        <v>6513.51</v>
      </c>
      <c r="AW544" s="7">
        <v>0.0</v>
      </c>
      <c r="AX544" s="7">
        <f>1653.59-AT544</f>
        <v>1653.59</v>
      </c>
      <c r="AY544" s="7">
        <f t="shared" si="1121"/>
        <v>46054.14</v>
      </c>
      <c r="AZ544" s="9">
        <v>0.0</v>
      </c>
      <c r="BA544" s="9">
        <v>0.0</v>
      </c>
      <c r="BB544" s="84">
        <v>0.0</v>
      </c>
      <c r="BC544" s="84">
        <v>0.0</v>
      </c>
    </row>
    <row r="545">
      <c r="A545" s="11">
        <v>2025.0</v>
      </c>
      <c r="B545" s="11" t="s">
        <v>135</v>
      </c>
      <c r="C545" s="12">
        <v>45868.0</v>
      </c>
      <c r="D545" s="44">
        <v>472.0</v>
      </c>
      <c r="E545" s="26">
        <v>3.115180717E7</v>
      </c>
      <c r="F545" s="26">
        <v>1259425.89</v>
      </c>
      <c r="G545" s="26">
        <v>148048.75</v>
      </c>
      <c r="H545" s="26">
        <v>11592.0</v>
      </c>
      <c r="I545" s="26">
        <v>147959.5</v>
      </c>
      <c r="J545" s="26"/>
      <c r="K545" s="26">
        <v>424283.24</v>
      </c>
      <c r="L545" s="26">
        <v>476849.14</v>
      </c>
      <c r="M545" s="15">
        <v>3.0</v>
      </c>
      <c r="N545" s="16">
        <v>397038.32</v>
      </c>
      <c r="O545" s="16">
        <f t="shared" si="1109"/>
        <v>15881.5328</v>
      </c>
      <c r="P545" s="16">
        <f t="shared" si="1110"/>
        <v>6670.243776</v>
      </c>
      <c r="Q545" s="16">
        <f t="shared" si="1111"/>
        <v>2556</v>
      </c>
      <c r="R545" s="67">
        <f t="shared" si="1112"/>
        <v>717.57</v>
      </c>
      <c r="S545" s="17">
        <f t="shared" si="1113"/>
        <v>1180.26</v>
      </c>
      <c r="T545" s="17">
        <f t="shared" si="1114"/>
        <v>414</v>
      </c>
      <c r="U545" s="86">
        <v>72964.21</v>
      </c>
      <c r="V545" s="18">
        <f t="shared" si="1115"/>
        <v>6670.243776</v>
      </c>
      <c r="W545" s="7">
        <f t="shared" si="1116"/>
        <v>148677.07</v>
      </c>
      <c r="X545" s="69" t="str">
        <f t="shared" si="1117"/>
        <v/>
      </c>
      <c r="Y545" s="7">
        <f t="shared" si="1118"/>
        <v>15881.5328</v>
      </c>
      <c r="Z545" s="7">
        <f t="shared" si="1119"/>
        <v>2556</v>
      </c>
      <c r="AA545" s="18">
        <f t="shared" si="1120"/>
        <v>246749.0566</v>
      </c>
      <c r="AB545" s="56">
        <v>373.0</v>
      </c>
      <c r="AC545" s="24">
        <v>2.393312031E7</v>
      </c>
      <c r="AD545" s="57">
        <v>1087026.11</v>
      </c>
      <c r="AE545" s="24">
        <v>112710.55</v>
      </c>
      <c r="AF545" s="24">
        <v>7452.0</v>
      </c>
      <c r="AG545" s="24">
        <v>115432.19</v>
      </c>
      <c r="AH545" s="24">
        <v>9421.08</v>
      </c>
      <c r="AI545" s="24">
        <v>441379.06</v>
      </c>
      <c r="AJ545" s="24">
        <v>410263.65</v>
      </c>
      <c r="AK545" s="15">
        <v>0.0</v>
      </c>
      <c r="AL545" s="16">
        <v>0.0</v>
      </c>
      <c r="AM545" s="16">
        <v>0.0</v>
      </c>
      <c r="AN545" s="16">
        <v>0.0</v>
      </c>
      <c r="AO545" s="16">
        <v>0.0</v>
      </c>
      <c r="AP545" s="16">
        <v>0.0</v>
      </c>
      <c r="AQ545" s="16">
        <v>0.0</v>
      </c>
      <c r="AR545" s="16">
        <v>0.0</v>
      </c>
      <c r="AS545" s="7">
        <v>70096.87</v>
      </c>
      <c r="AT545" s="7">
        <v>0.0</v>
      </c>
      <c r="AU545" s="7">
        <v>23429.24</v>
      </c>
      <c r="AV545" s="7">
        <v>4172.29</v>
      </c>
      <c r="AW545" s="7">
        <v>0.0</v>
      </c>
      <c r="AX545" s="7">
        <f>546.58-AT545</f>
        <v>546.58</v>
      </c>
      <c r="AY545" s="7">
        <f t="shared" si="1121"/>
        <v>98244.98</v>
      </c>
      <c r="AZ545" s="9">
        <v>0.0</v>
      </c>
      <c r="BA545" s="9">
        <v>0.0</v>
      </c>
      <c r="BB545" s="84">
        <v>0.0</v>
      </c>
      <c r="BC545" s="84">
        <v>0.0</v>
      </c>
    </row>
    <row r="546">
      <c r="A546" s="11">
        <v>2025.0</v>
      </c>
      <c r="B546" s="11" t="s">
        <v>135</v>
      </c>
      <c r="C546" s="12">
        <v>45869.0</v>
      </c>
      <c r="D546" s="44">
        <v>0.0</v>
      </c>
      <c r="E546" s="26">
        <v>0.0</v>
      </c>
      <c r="F546" s="26">
        <v>0.0</v>
      </c>
      <c r="G546" s="26">
        <v>0.0</v>
      </c>
      <c r="H546" s="26">
        <v>0.0</v>
      </c>
      <c r="I546" s="26">
        <v>0.0</v>
      </c>
      <c r="J546" s="26"/>
      <c r="K546" s="26">
        <v>0.0</v>
      </c>
      <c r="L546" s="26">
        <v>0.0</v>
      </c>
      <c r="M546" s="15">
        <v>3.0</v>
      </c>
      <c r="N546" s="16">
        <v>569919.11</v>
      </c>
      <c r="O546" s="16">
        <f t="shared" si="1109"/>
        <v>22796.7644</v>
      </c>
      <c r="P546" s="16">
        <f t="shared" si="1110"/>
        <v>9574.641048</v>
      </c>
      <c r="Q546" s="16">
        <f t="shared" si="1111"/>
        <v>2556</v>
      </c>
      <c r="R546" s="67">
        <f t="shared" si="1112"/>
        <v>717.57</v>
      </c>
      <c r="S546" s="17">
        <f t="shared" si="1113"/>
        <v>1180.26</v>
      </c>
      <c r="T546" s="17">
        <f t="shared" si="1114"/>
        <v>414</v>
      </c>
      <c r="U546" s="86">
        <v>519.45</v>
      </c>
      <c r="V546" s="18">
        <f t="shared" si="1115"/>
        <v>9574.641048</v>
      </c>
      <c r="W546" s="7">
        <f t="shared" si="1116"/>
        <v>717.57</v>
      </c>
      <c r="X546" s="69" t="str">
        <f t="shared" si="1117"/>
        <v/>
      </c>
      <c r="Y546" s="7">
        <f t="shared" si="1118"/>
        <v>22796.7644</v>
      </c>
      <c r="Z546" s="7">
        <f t="shared" si="1119"/>
        <v>2556</v>
      </c>
      <c r="AA546" s="18">
        <f t="shared" si="1120"/>
        <v>36164.42545</v>
      </c>
      <c r="AB546" s="56">
        <v>0.0</v>
      </c>
      <c r="AC546" s="24">
        <v>0.0</v>
      </c>
      <c r="AD546" s="57">
        <v>0.0</v>
      </c>
      <c r="AE546" s="24">
        <v>0.0</v>
      </c>
      <c r="AF546" s="24">
        <v>0.0</v>
      </c>
      <c r="AG546" s="24">
        <v>0.0</v>
      </c>
      <c r="AH546" s="24">
        <v>0.0</v>
      </c>
      <c r="AI546" s="24">
        <v>0.0</v>
      </c>
      <c r="AJ546" s="24">
        <v>0.0</v>
      </c>
      <c r="AK546" s="15">
        <v>0.0</v>
      </c>
      <c r="AL546" s="16">
        <v>0.0</v>
      </c>
      <c r="AM546" s="16">
        <v>0.0</v>
      </c>
      <c r="AN546" s="16">
        <v>0.0</v>
      </c>
      <c r="AO546" s="16">
        <v>0.0</v>
      </c>
      <c r="AP546" s="16">
        <v>0.0</v>
      </c>
      <c r="AQ546" s="16">
        <v>0.0</v>
      </c>
      <c r="AR546" s="16">
        <v>0.0</v>
      </c>
      <c r="AS546" s="7">
        <v>140524.66</v>
      </c>
      <c r="AT546" s="7">
        <v>0.0</v>
      </c>
      <c r="AU546" s="7">
        <v>49104.29</v>
      </c>
      <c r="AV546" s="7">
        <v>17005.78</v>
      </c>
      <c r="AW546" s="7">
        <v>35662.0</v>
      </c>
      <c r="AX546" s="7">
        <f>26734.62-AT546</f>
        <v>26734.62</v>
      </c>
      <c r="AY546" s="7">
        <f t="shared" si="1121"/>
        <v>269031.35</v>
      </c>
      <c r="AZ546" s="9">
        <v>0.0</v>
      </c>
      <c r="BA546" s="9">
        <v>0.0</v>
      </c>
      <c r="BB546" s="84">
        <v>0.0</v>
      </c>
      <c r="BC546" s="84">
        <v>0.0</v>
      </c>
    </row>
    <row r="547">
      <c r="A547" s="11">
        <v>2025.0</v>
      </c>
      <c r="B547" s="11" t="s">
        <v>135</v>
      </c>
      <c r="C547" s="12">
        <v>45870.0</v>
      </c>
      <c r="D547" s="44">
        <v>0.0</v>
      </c>
      <c r="E547" s="26">
        <v>0.0</v>
      </c>
      <c r="F547" s="26">
        <v>0.0</v>
      </c>
      <c r="G547" s="26">
        <v>0.0</v>
      </c>
      <c r="H547" s="26">
        <v>0.0</v>
      </c>
      <c r="I547" s="26">
        <v>0.0</v>
      </c>
      <c r="J547" s="26"/>
      <c r="K547" s="26">
        <v>0.0</v>
      </c>
      <c r="L547" s="26">
        <v>0.0</v>
      </c>
      <c r="M547" s="15">
        <v>3.0</v>
      </c>
      <c r="N547" s="16">
        <v>329608.62</v>
      </c>
      <c r="O547" s="16">
        <f t="shared" si="1109"/>
        <v>13184.3448</v>
      </c>
      <c r="P547" s="16">
        <f t="shared" si="1110"/>
        <v>5537.424816</v>
      </c>
      <c r="Q547" s="16">
        <f t="shared" si="1111"/>
        <v>2556</v>
      </c>
      <c r="R547" s="67">
        <f t="shared" si="1112"/>
        <v>717.57</v>
      </c>
      <c r="S547" s="17">
        <f t="shared" si="1113"/>
        <v>1180.26</v>
      </c>
      <c r="T547" s="17">
        <f t="shared" si="1114"/>
        <v>414</v>
      </c>
      <c r="U547" s="86">
        <v>961.31</v>
      </c>
      <c r="V547" s="18">
        <f t="shared" si="1115"/>
        <v>5537.424816</v>
      </c>
      <c r="W547" s="7">
        <f t="shared" si="1116"/>
        <v>717.57</v>
      </c>
      <c r="X547" s="69" t="str">
        <f t="shared" si="1117"/>
        <v/>
      </c>
      <c r="Y547" s="7">
        <f t="shared" si="1118"/>
        <v>13184.3448</v>
      </c>
      <c r="Z547" s="7">
        <f t="shared" si="1119"/>
        <v>2556</v>
      </c>
      <c r="AA547" s="18">
        <f t="shared" si="1120"/>
        <v>22956.64962</v>
      </c>
      <c r="AB547" s="56">
        <v>1.0</v>
      </c>
      <c r="AC547" s="24">
        <v>24706.63</v>
      </c>
      <c r="AD547" s="57">
        <v>1386.83</v>
      </c>
      <c r="AE547" s="24">
        <v>260.93</v>
      </c>
      <c r="AF547" s="24">
        <v>138.0</v>
      </c>
      <c r="AG547" s="24">
        <v>85.84</v>
      </c>
      <c r="AH547" s="24">
        <v>0.0</v>
      </c>
      <c r="AI547" s="24">
        <v>478.95</v>
      </c>
      <c r="AJ547" s="24">
        <v>423.12</v>
      </c>
      <c r="AK547" s="15">
        <v>3.0</v>
      </c>
      <c r="AL547" s="16">
        <v>425576.27</v>
      </c>
      <c r="AM547" s="16">
        <v>16421.0</v>
      </c>
      <c r="AN547" s="16">
        <v>9679.0</v>
      </c>
      <c r="AO547" s="16">
        <v>3350.0</v>
      </c>
      <c r="AP547" s="16">
        <v>1740.46</v>
      </c>
      <c r="AQ547" s="16">
        <v>2026.12</v>
      </c>
      <c r="AR547" s="16">
        <v>0.0</v>
      </c>
      <c r="AS547" s="7">
        <v>0.0</v>
      </c>
      <c r="AT547" s="7">
        <v>0.0</v>
      </c>
      <c r="AU547" s="7">
        <v>0.0</v>
      </c>
      <c r="AV547" s="7">
        <v>0.0</v>
      </c>
      <c r="AW547" s="7">
        <v>0.0</v>
      </c>
      <c r="AX547" s="7">
        <v>0.0</v>
      </c>
      <c r="AY547" s="7">
        <f t="shared" si="1121"/>
        <v>0</v>
      </c>
      <c r="AZ547" s="9">
        <v>0.0</v>
      </c>
      <c r="BA547" s="9">
        <v>0.0</v>
      </c>
      <c r="BB547" s="84">
        <v>0.0</v>
      </c>
      <c r="BC547" s="84">
        <v>0.0</v>
      </c>
    </row>
    <row r="548">
      <c r="A548" s="11">
        <v>2025.0</v>
      </c>
      <c r="B548" s="11" t="s">
        <v>135</v>
      </c>
      <c r="C548" s="1"/>
      <c r="D548" s="2">
        <v>351.0</v>
      </c>
      <c r="E548" s="2"/>
      <c r="F548" s="50">
        <v>1029404.9</v>
      </c>
      <c r="G548" s="2"/>
      <c r="H548" s="33"/>
      <c r="I548" s="33"/>
      <c r="J548" s="33"/>
      <c r="K548" s="33"/>
      <c r="L548" s="33"/>
      <c r="M548" s="4">
        <v>14.0</v>
      </c>
      <c r="N548" s="51">
        <v>2200000.0</v>
      </c>
      <c r="O548" s="35"/>
      <c r="P548" s="35"/>
      <c r="Q548" s="35"/>
      <c r="R548" s="35"/>
      <c r="S548" s="35"/>
      <c r="T548" s="35"/>
      <c r="U548" s="37"/>
      <c r="V548" s="48"/>
      <c r="W548" s="48"/>
      <c r="X548" s="37"/>
      <c r="Y548" s="48"/>
      <c r="Z548" s="48"/>
      <c r="AA548" s="48"/>
      <c r="AB548" s="2">
        <v>0.0</v>
      </c>
      <c r="AC548" s="33"/>
      <c r="AD548" s="50">
        <v>0.0</v>
      </c>
      <c r="AE548" s="33"/>
      <c r="AF548" s="33"/>
      <c r="AG548" s="33"/>
      <c r="AH548" s="33"/>
      <c r="AI548" s="33"/>
      <c r="AJ548" s="33"/>
      <c r="AK548" s="4">
        <v>0.0</v>
      </c>
      <c r="AL548" s="4">
        <v>0.0</v>
      </c>
      <c r="AM548" s="35"/>
      <c r="AN548" s="35"/>
      <c r="AO548" s="35"/>
      <c r="AP548" s="35"/>
      <c r="AQ548" s="35"/>
      <c r="AR548" s="35"/>
      <c r="AS548" s="37"/>
      <c r="AT548" s="48"/>
      <c r="AU548" s="48"/>
      <c r="AV548" s="48"/>
      <c r="AW548" s="48"/>
      <c r="AX548" s="48"/>
      <c r="AY548" s="48"/>
      <c r="AZ548" s="38"/>
      <c r="BA548" s="39"/>
      <c r="BB548" s="85"/>
      <c r="BC548" s="88"/>
    </row>
    <row r="549">
      <c r="A549" s="1">
        <v>2025.0</v>
      </c>
      <c r="B549" s="11" t="s">
        <v>135</v>
      </c>
      <c r="C549" s="1" t="s">
        <v>49</v>
      </c>
      <c r="D549" s="33">
        <f t="shared" ref="D549:F549" si="1122">SUM(D541:D547)</f>
        <v>533</v>
      </c>
      <c r="E549" s="34">
        <f t="shared" si="1122"/>
        <v>35071892.29</v>
      </c>
      <c r="F549" s="34">
        <f t="shared" si="1122"/>
        <v>1559870.78</v>
      </c>
      <c r="G549" s="34">
        <f>SUM(G541:G548)</f>
        <v>177346.52</v>
      </c>
      <c r="H549" s="34">
        <f t="shared" ref="H549:L549" si="1123">SUM(H541:H547)</f>
        <v>19596</v>
      </c>
      <c r="I549" s="34">
        <f t="shared" si="1123"/>
        <v>157221.69</v>
      </c>
      <c r="J549" s="34">
        <f t="shared" si="1123"/>
        <v>0</v>
      </c>
      <c r="K549" s="34">
        <f t="shared" si="1123"/>
        <v>577397.26</v>
      </c>
      <c r="L549" s="34">
        <f t="shared" si="1123"/>
        <v>569912.62</v>
      </c>
      <c r="M549" s="35">
        <f t="shared" ref="M549:N549" si="1124">SUM(M541:M548)</f>
        <v>29</v>
      </c>
      <c r="N549" s="36">
        <f t="shared" si="1124"/>
        <v>4408263.5</v>
      </c>
      <c r="O549" s="36">
        <f t="shared" ref="O549:AA549" si="1125">SUM(O541:O547)</f>
        <v>88330.54</v>
      </c>
      <c r="P549" s="36">
        <f t="shared" si="1125"/>
        <v>37098.8268</v>
      </c>
      <c r="Q549" s="36">
        <f t="shared" si="1125"/>
        <v>12780</v>
      </c>
      <c r="R549" s="70">
        <f t="shared" si="1125"/>
        <v>3587.85</v>
      </c>
      <c r="S549" s="36">
        <f t="shared" si="1125"/>
        <v>5901.3</v>
      </c>
      <c r="T549" s="36">
        <f t="shared" si="1125"/>
        <v>2070</v>
      </c>
      <c r="U549" s="37">
        <f t="shared" si="1125"/>
        <v>81964.23</v>
      </c>
      <c r="V549" s="37">
        <f t="shared" si="1125"/>
        <v>37098.8268</v>
      </c>
      <c r="W549" s="37">
        <f t="shared" si="1125"/>
        <v>160809.54</v>
      </c>
      <c r="X549" s="37">
        <f t="shared" si="1125"/>
        <v>0</v>
      </c>
      <c r="Y549" s="37">
        <f t="shared" si="1125"/>
        <v>88330.54</v>
      </c>
      <c r="Z549" s="37">
        <f t="shared" si="1125"/>
        <v>12780</v>
      </c>
      <c r="AA549" s="37">
        <f t="shared" si="1125"/>
        <v>380983.1368</v>
      </c>
      <c r="AB549" s="33">
        <f>SUM(AB541:AB548)</f>
        <v>401</v>
      </c>
      <c r="AC549" s="34">
        <f>SUM(AC541:AC547)</f>
        <v>24784445.78</v>
      </c>
      <c r="AD549" s="55">
        <f>SUM(AD541:AD548)</f>
        <v>1262857.94</v>
      </c>
      <c r="AE549" s="34">
        <f t="shared" ref="AE549:AJ549" si="1126">SUM(AE541:AE547)</f>
        <v>128821.53</v>
      </c>
      <c r="AF549" s="34">
        <f t="shared" si="1126"/>
        <v>11592</v>
      </c>
      <c r="AG549" s="34">
        <f t="shared" si="1126"/>
        <v>119068.07</v>
      </c>
      <c r="AH549" s="34">
        <f t="shared" si="1126"/>
        <v>9839.44</v>
      </c>
      <c r="AI549" s="34">
        <f t="shared" si="1126"/>
        <v>553154.24</v>
      </c>
      <c r="AJ549" s="34">
        <f t="shared" si="1126"/>
        <v>450433.45</v>
      </c>
      <c r="AK549" s="35">
        <f t="shared" ref="AK549:AL549" si="1127">SUM(AK541:AK548)</f>
        <v>3</v>
      </c>
      <c r="AL549" s="36">
        <f t="shared" si="1127"/>
        <v>425576.27</v>
      </c>
      <c r="AM549" s="36">
        <f t="shared" ref="AM549:BB549" si="1128">SUM(AM541:AM547)</f>
        <v>16421</v>
      </c>
      <c r="AN549" s="36">
        <f t="shared" si="1128"/>
        <v>9679</v>
      </c>
      <c r="AO549" s="36">
        <f t="shared" si="1128"/>
        <v>3350</v>
      </c>
      <c r="AP549" s="36">
        <f t="shared" si="1128"/>
        <v>1740.46</v>
      </c>
      <c r="AQ549" s="36">
        <f t="shared" si="1128"/>
        <v>2026.12</v>
      </c>
      <c r="AR549" s="36">
        <f t="shared" si="1128"/>
        <v>0</v>
      </c>
      <c r="AS549" s="37">
        <f t="shared" si="1128"/>
        <v>252877.42</v>
      </c>
      <c r="AT549" s="37">
        <f t="shared" si="1128"/>
        <v>0</v>
      </c>
      <c r="AU549" s="37">
        <f t="shared" si="1128"/>
        <v>94610.33</v>
      </c>
      <c r="AV549" s="37">
        <f t="shared" si="1128"/>
        <v>30915.63</v>
      </c>
      <c r="AW549" s="37">
        <f t="shared" si="1128"/>
        <v>38590</v>
      </c>
      <c r="AX549" s="37">
        <f t="shared" si="1128"/>
        <v>32563.83</v>
      </c>
      <c r="AY549" s="37">
        <f t="shared" si="1128"/>
        <v>449557.21</v>
      </c>
      <c r="AZ549" s="38">
        <f t="shared" si="1128"/>
        <v>0</v>
      </c>
      <c r="BA549" s="39">
        <f t="shared" si="1128"/>
        <v>0</v>
      </c>
      <c r="BB549" s="85">
        <f t="shared" si="1128"/>
        <v>0</v>
      </c>
      <c r="BC549" s="85">
        <f>SUM(BC541:BC548)</f>
        <v>0</v>
      </c>
    </row>
    <row r="550">
      <c r="A550" s="11">
        <v>2025.0</v>
      </c>
      <c r="B550" s="11" t="s">
        <v>189</v>
      </c>
      <c r="C550" s="12">
        <v>45871.0</v>
      </c>
      <c r="D550" s="44">
        <v>4.0</v>
      </c>
      <c r="E550" s="26">
        <v>156347.09</v>
      </c>
      <c r="F550" s="26">
        <v>8527.06</v>
      </c>
      <c r="G550" s="26">
        <v>1078.66</v>
      </c>
      <c r="H550" s="26">
        <v>552.0</v>
      </c>
      <c r="I550" s="26">
        <v>960.33</v>
      </c>
      <c r="J550" s="26">
        <v>0.0</v>
      </c>
      <c r="K550" s="26">
        <v>2832.91</v>
      </c>
      <c r="L550" s="26">
        <v>2888.4</v>
      </c>
      <c r="M550" s="15">
        <v>0.0</v>
      </c>
      <c r="N550" s="16">
        <v>0.0</v>
      </c>
      <c r="O550" s="16">
        <f t="shared" ref="O550:O556" si="1129">N550*4%</f>
        <v>0</v>
      </c>
      <c r="P550" s="16">
        <f t="shared" ref="P550:P556" si="1130">N550*1.68%</f>
        <v>0</v>
      </c>
      <c r="Q550" s="16">
        <f t="shared" ref="Q550:Q556" si="1131">M550*(400+350+100+2)</f>
        <v>0</v>
      </c>
      <c r="R550" s="67">
        <f t="shared" ref="R550:R556" si="1132">M550*239.19</f>
        <v>0</v>
      </c>
      <c r="S550" s="17">
        <f t="shared" ref="S550:S556" si="1133">M550*393.42</f>
        <v>0</v>
      </c>
      <c r="T550" s="17">
        <f t="shared" ref="T550:T556" si="1134">M550*138</f>
        <v>0</v>
      </c>
      <c r="U550" s="86">
        <f>961.31+1424.88</f>
        <v>2386.19</v>
      </c>
      <c r="V550" s="18">
        <f t="shared" ref="V550:V556" si="1135">P550</f>
        <v>0</v>
      </c>
      <c r="W550" s="7">
        <f t="shared" ref="W550:W556" si="1136">I550+R550</f>
        <v>960.33</v>
      </c>
      <c r="X550" s="69">
        <f t="shared" ref="X550:X556" si="1137">J550</f>
        <v>0</v>
      </c>
      <c r="Y550" s="7">
        <f t="shared" ref="Y550:Y556" si="1138">O550</f>
        <v>0</v>
      </c>
      <c r="Z550" s="7">
        <f t="shared" ref="Z550:Z556" si="1139">Q550</f>
        <v>0</v>
      </c>
      <c r="AA550" s="18">
        <f t="shared" ref="AA550:AA556" si="1140">SUM(U550:Z550)</f>
        <v>3346.52</v>
      </c>
      <c r="AB550" s="56">
        <v>1.0</v>
      </c>
      <c r="AC550" s="24">
        <v>64352.06</v>
      </c>
      <c r="AD550" s="57">
        <v>2949.24</v>
      </c>
      <c r="AE550" s="24">
        <v>295.89</v>
      </c>
      <c r="AF550" s="24">
        <v>138.0</v>
      </c>
      <c r="AG550" s="24">
        <v>367.23</v>
      </c>
      <c r="AH550" s="24">
        <v>0.0</v>
      </c>
      <c r="AI550" s="24">
        <v>1049.38</v>
      </c>
      <c r="AJ550" s="24">
        <v>1098.74</v>
      </c>
      <c r="AK550" s="15">
        <v>0.0</v>
      </c>
      <c r="AL550" s="16">
        <v>0.0</v>
      </c>
      <c r="AM550" s="16">
        <v>0.0</v>
      </c>
      <c r="AN550" s="16">
        <v>0.0</v>
      </c>
      <c r="AO550" s="16">
        <v>0.0</v>
      </c>
      <c r="AP550" s="16">
        <v>0.0</v>
      </c>
      <c r="AQ550" s="16">
        <v>0.0</v>
      </c>
      <c r="AR550" s="16">
        <v>0.0</v>
      </c>
      <c r="AS550" s="7">
        <v>0.0</v>
      </c>
      <c r="AT550" s="7">
        <v>0.0</v>
      </c>
      <c r="AU550" s="7">
        <v>0.0</v>
      </c>
      <c r="AV550" s="7">
        <v>0.0</v>
      </c>
      <c r="AW550" s="7">
        <v>0.0</v>
      </c>
      <c r="AX550" s="7">
        <v>0.0</v>
      </c>
      <c r="AY550" s="7">
        <f t="shared" ref="AY550:AY556" si="1141">SUM(AS550:AX550)</f>
        <v>0</v>
      </c>
      <c r="AZ550" s="9">
        <v>0.0</v>
      </c>
      <c r="BA550" s="9">
        <v>0.0</v>
      </c>
      <c r="BB550" s="84">
        <v>0.0</v>
      </c>
      <c r="BC550" s="84">
        <v>0.0</v>
      </c>
    </row>
    <row r="551">
      <c r="A551" s="11">
        <v>2025.0</v>
      </c>
      <c r="B551" s="11" t="s">
        <v>189</v>
      </c>
      <c r="C551" s="12">
        <v>45872.0</v>
      </c>
      <c r="D551" s="44">
        <v>5.0</v>
      </c>
      <c r="E551" s="26">
        <v>139383.65</v>
      </c>
      <c r="F551" s="26">
        <v>6746.52</v>
      </c>
      <c r="G551" s="26">
        <v>784.86</v>
      </c>
      <c r="H551" s="26">
        <v>414.0</v>
      </c>
      <c r="I551" s="26">
        <v>623.64</v>
      </c>
      <c r="J551" s="26">
        <v>0.0</v>
      </c>
      <c r="K551" s="26">
        <v>2582.37</v>
      </c>
      <c r="L551" s="26">
        <v>2090.75</v>
      </c>
      <c r="M551" s="15">
        <v>0.0</v>
      </c>
      <c r="N551" s="16">
        <v>0.0</v>
      </c>
      <c r="O551" s="16">
        <f t="shared" si="1129"/>
        <v>0</v>
      </c>
      <c r="P551" s="16">
        <f t="shared" si="1130"/>
        <v>0</v>
      </c>
      <c r="Q551" s="16">
        <f t="shared" si="1131"/>
        <v>0</v>
      </c>
      <c r="R551" s="67">
        <f t="shared" si="1132"/>
        <v>0</v>
      </c>
      <c r="S551" s="17">
        <f t="shared" si="1133"/>
        <v>0</v>
      </c>
      <c r="T551" s="17">
        <f t="shared" si="1134"/>
        <v>0</v>
      </c>
      <c r="U551" s="86">
        <v>1466.52</v>
      </c>
      <c r="V551" s="18">
        <f t="shared" si="1135"/>
        <v>0</v>
      </c>
      <c r="W551" s="7">
        <f t="shared" si="1136"/>
        <v>623.64</v>
      </c>
      <c r="X551" s="69">
        <f t="shared" si="1137"/>
        <v>0</v>
      </c>
      <c r="Y551" s="7">
        <f t="shared" si="1138"/>
        <v>0</v>
      </c>
      <c r="Z551" s="7">
        <f t="shared" si="1139"/>
        <v>0</v>
      </c>
      <c r="AA551" s="18">
        <f t="shared" si="1140"/>
        <v>2090.16</v>
      </c>
      <c r="AB551" s="56">
        <v>0.0</v>
      </c>
      <c r="AC551" s="24">
        <v>0.0</v>
      </c>
      <c r="AD551" s="57">
        <v>0.0</v>
      </c>
      <c r="AE551" s="24">
        <v>0.0</v>
      </c>
      <c r="AF551" s="24">
        <v>0.0</v>
      </c>
      <c r="AG551" s="24">
        <v>0.0</v>
      </c>
      <c r="AH551" s="24">
        <v>0.0</v>
      </c>
      <c r="AI551" s="24">
        <v>0.0</v>
      </c>
      <c r="AJ551" s="24">
        <v>0.0</v>
      </c>
      <c r="AK551" s="15">
        <v>0.0</v>
      </c>
      <c r="AL551" s="16">
        <v>0.0</v>
      </c>
      <c r="AM551" s="16">
        <v>0.0</v>
      </c>
      <c r="AN551" s="16">
        <v>0.0</v>
      </c>
      <c r="AO551" s="16">
        <v>0.0</v>
      </c>
      <c r="AP551" s="16">
        <v>0.0</v>
      </c>
      <c r="AQ551" s="16">
        <v>0.0</v>
      </c>
      <c r="AR551" s="16">
        <v>0.0</v>
      </c>
      <c r="AS551" s="7">
        <v>0.0</v>
      </c>
      <c r="AT551" s="7">
        <v>0.0</v>
      </c>
      <c r="AU551" s="7">
        <v>0.0</v>
      </c>
      <c r="AV551" s="7">
        <v>0.0</v>
      </c>
      <c r="AW551" s="7">
        <v>0.0</v>
      </c>
      <c r="AX551" s="7">
        <v>0.0</v>
      </c>
      <c r="AY551" s="7">
        <f t="shared" si="1141"/>
        <v>0</v>
      </c>
      <c r="AZ551" s="9">
        <v>0.0</v>
      </c>
      <c r="BA551" s="9">
        <v>0.0</v>
      </c>
      <c r="BB551" s="84">
        <v>0.0</v>
      </c>
      <c r="BC551" s="84">
        <v>0.0</v>
      </c>
    </row>
    <row r="552">
      <c r="A552" s="11">
        <v>2025.0</v>
      </c>
      <c r="B552" s="11" t="s">
        <v>189</v>
      </c>
      <c r="C552" s="12">
        <v>45873.0</v>
      </c>
      <c r="D552" s="44">
        <v>14.0</v>
      </c>
      <c r="E552" s="26">
        <v>558520.48</v>
      </c>
      <c r="F552" s="26">
        <v>32049.63</v>
      </c>
      <c r="G552" s="26">
        <v>4097.69</v>
      </c>
      <c r="H552" s="26">
        <v>1380.0</v>
      </c>
      <c r="I552" s="26">
        <v>1585.07</v>
      </c>
      <c r="J552" s="26">
        <v>0.0</v>
      </c>
      <c r="K552" s="26">
        <v>14401.83</v>
      </c>
      <c r="L552" s="26">
        <v>9450.94</v>
      </c>
      <c r="M552" s="15">
        <v>4.0</v>
      </c>
      <c r="N552" s="16">
        <v>730579.24</v>
      </c>
      <c r="O552" s="16">
        <f t="shared" si="1129"/>
        <v>29223.1696</v>
      </c>
      <c r="P552" s="16">
        <f t="shared" si="1130"/>
        <v>12273.73123</v>
      </c>
      <c r="Q552" s="16">
        <f t="shared" si="1131"/>
        <v>3408</v>
      </c>
      <c r="R552" s="67">
        <f t="shared" si="1132"/>
        <v>956.76</v>
      </c>
      <c r="S552" s="17">
        <f t="shared" si="1133"/>
        <v>1573.68</v>
      </c>
      <c r="T552" s="17">
        <f t="shared" si="1134"/>
        <v>552</v>
      </c>
      <c r="U552" s="86">
        <v>1728.91</v>
      </c>
      <c r="V552" s="18">
        <f t="shared" si="1135"/>
        <v>12273.73123</v>
      </c>
      <c r="W552" s="7">
        <f t="shared" si="1136"/>
        <v>2541.83</v>
      </c>
      <c r="X552" s="69">
        <f t="shared" si="1137"/>
        <v>0</v>
      </c>
      <c r="Y552" s="7">
        <f t="shared" si="1138"/>
        <v>29223.1696</v>
      </c>
      <c r="Z552" s="7">
        <f t="shared" si="1139"/>
        <v>3408</v>
      </c>
      <c r="AA552" s="18">
        <f t="shared" si="1140"/>
        <v>49175.64083</v>
      </c>
      <c r="AB552" s="56">
        <v>0.0</v>
      </c>
      <c r="AC552" s="24">
        <v>0.0</v>
      </c>
      <c r="AD552" s="57">
        <v>0.0</v>
      </c>
      <c r="AE552" s="24">
        <v>0.0</v>
      </c>
      <c r="AF552" s="24">
        <v>0.0</v>
      </c>
      <c r="AG552" s="24">
        <v>0.0</v>
      </c>
      <c r="AH552" s="24">
        <v>0.0</v>
      </c>
      <c r="AI552" s="24">
        <v>0.0</v>
      </c>
      <c r="AJ552" s="24">
        <v>0.0</v>
      </c>
      <c r="AK552" s="15">
        <v>3.0</v>
      </c>
      <c r="AL552" s="16">
        <v>554852.37</v>
      </c>
      <c r="AM552" s="16">
        <v>20982.0</v>
      </c>
      <c r="AN552" s="16">
        <v>9338.0</v>
      </c>
      <c r="AO552" s="16">
        <v>1800.0</v>
      </c>
      <c r="AP552" s="16">
        <v>1580.98</v>
      </c>
      <c r="AQ552" s="16">
        <v>1991.38</v>
      </c>
      <c r="AR552" s="16">
        <v>0.0</v>
      </c>
      <c r="AS552" s="7">
        <v>0.0</v>
      </c>
      <c r="AT552" s="7">
        <v>0.0</v>
      </c>
      <c r="AU552" s="7">
        <v>0.0</v>
      </c>
      <c r="AV552" s="7">
        <v>0.0</v>
      </c>
      <c r="AW552" s="7">
        <v>0.0</v>
      </c>
      <c r="AX552" s="7">
        <v>0.0</v>
      </c>
      <c r="AY552" s="7">
        <f t="shared" si="1141"/>
        <v>0</v>
      </c>
      <c r="AZ552" s="9">
        <v>0.0</v>
      </c>
      <c r="BA552" s="9">
        <v>0.0</v>
      </c>
      <c r="BB552" s="84">
        <v>0.0</v>
      </c>
      <c r="BC552" s="84">
        <v>0.0</v>
      </c>
    </row>
    <row r="553">
      <c r="A553" s="11">
        <v>2025.0</v>
      </c>
      <c r="B553" s="11" t="s">
        <v>189</v>
      </c>
      <c r="C553" s="12">
        <v>45874.0</v>
      </c>
      <c r="D553" s="44">
        <v>8.0</v>
      </c>
      <c r="E553" s="26">
        <v>316020.01</v>
      </c>
      <c r="F553" s="26">
        <v>18455.29</v>
      </c>
      <c r="G553" s="26">
        <v>2922.99</v>
      </c>
      <c r="H553" s="26">
        <v>966.0</v>
      </c>
      <c r="I553" s="26">
        <v>1220.16</v>
      </c>
      <c r="J553" s="26">
        <v>0.0</v>
      </c>
      <c r="K553" s="26">
        <v>5848.68</v>
      </c>
      <c r="L553" s="26">
        <v>6694.16</v>
      </c>
      <c r="M553" s="15">
        <v>2.0</v>
      </c>
      <c r="N553" s="16">
        <v>613051.47</v>
      </c>
      <c r="O553" s="16">
        <f t="shared" si="1129"/>
        <v>24522.0588</v>
      </c>
      <c r="P553" s="16">
        <f t="shared" si="1130"/>
        <v>10299.2647</v>
      </c>
      <c r="Q553" s="16">
        <f t="shared" si="1131"/>
        <v>1704</v>
      </c>
      <c r="R553" s="67">
        <f t="shared" si="1132"/>
        <v>478.38</v>
      </c>
      <c r="S553" s="17">
        <f t="shared" si="1133"/>
        <v>786.84</v>
      </c>
      <c r="T553" s="17">
        <f t="shared" si="1134"/>
        <v>276</v>
      </c>
      <c r="U553" s="86">
        <v>1593.7</v>
      </c>
      <c r="V553" s="18">
        <f t="shared" si="1135"/>
        <v>10299.2647</v>
      </c>
      <c r="W553" s="7">
        <f t="shared" si="1136"/>
        <v>1698.54</v>
      </c>
      <c r="X553" s="69">
        <f t="shared" si="1137"/>
        <v>0</v>
      </c>
      <c r="Y553" s="7">
        <f t="shared" si="1138"/>
        <v>24522.0588</v>
      </c>
      <c r="Z553" s="7">
        <f t="shared" si="1139"/>
        <v>1704</v>
      </c>
      <c r="AA553" s="18">
        <f t="shared" si="1140"/>
        <v>39817.5635</v>
      </c>
      <c r="AB553" s="56">
        <v>0.0</v>
      </c>
      <c r="AC553" s="24">
        <v>0.0</v>
      </c>
      <c r="AD553" s="57">
        <v>0.0</v>
      </c>
      <c r="AE553" s="24">
        <v>0.0</v>
      </c>
      <c r="AF553" s="24">
        <v>0.0</v>
      </c>
      <c r="AG553" s="24">
        <v>0.0</v>
      </c>
      <c r="AH553" s="24">
        <v>0.0</v>
      </c>
      <c r="AI553" s="24">
        <v>0.0</v>
      </c>
      <c r="AJ553" s="24">
        <v>0.0</v>
      </c>
      <c r="AK553" s="15">
        <v>1.0</v>
      </c>
      <c r="AL553" s="16">
        <v>175726.87</v>
      </c>
      <c r="AM553" s="16">
        <v>6645.0</v>
      </c>
      <c r="AN553" s="16">
        <v>2958.0</v>
      </c>
      <c r="AO553" s="16">
        <v>650.0</v>
      </c>
      <c r="AP553" s="16">
        <v>490.41</v>
      </c>
      <c r="AQ553" s="16">
        <v>1133.46</v>
      </c>
      <c r="AR553" s="16">
        <v>0.0</v>
      </c>
      <c r="AS553" s="7">
        <v>0.0</v>
      </c>
      <c r="AT553" s="7">
        <v>0.0</v>
      </c>
      <c r="AU553" s="7">
        <v>0.0</v>
      </c>
      <c r="AV553" s="7">
        <v>0.0</v>
      </c>
      <c r="AW553" s="7">
        <v>0.0</v>
      </c>
      <c r="AX553" s="7">
        <v>0.0</v>
      </c>
      <c r="AY553" s="7">
        <f t="shared" si="1141"/>
        <v>0</v>
      </c>
      <c r="AZ553" s="9">
        <v>0.0</v>
      </c>
      <c r="BA553" s="9">
        <v>0.0</v>
      </c>
      <c r="BB553" s="84">
        <v>0.0</v>
      </c>
      <c r="BC553" s="84">
        <v>0.0</v>
      </c>
    </row>
    <row r="554">
      <c r="A554" s="11">
        <v>2025.0</v>
      </c>
      <c r="B554" s="11" t="s">
        <v>189</v>
      </c>
      <c r="C554" s="12">
        <v>45875.0</v>
      </c>
      <c r="D554" s="44">
        <v>12.0</v>
      </c>
      <c r="E554" s="26">
        <v>371920.47</v>
      </c>
      <c r="F554" s="26">
        <v>23702.46</v>
      </c>
      <c r="G554" s="26">
        <v>3585.68</v>
      </c>
      <c r="H554" s="26">
        <v>1656.0</v>
      </c>
      <c r="I554" s="26">
        <v>1553.4</v>
      </c>
      <c r="J554" s="26">
        <v>0.0</v>
      </c>
      <c r="K554" s="26">
        <v>10088.94</v>
      </c>
      <c r="L554" s="26">
        <v>6087.9</v>
      </c>
      <c r="M554" s="15">
        <v>2.0</v>
      </c>
      <c r="N554" s="16">
        <v>430725.46</v>
      </c>
      <c r="O554" s="16">
        <f t="shared" si="1129"/>
        <v>17229.0184</v>
      </c>
      <c r="P554" s="16">
        <f t="shared" si="1130"/>
        <v>7236.187728</v>
      </c>
      <c r="Q554" s="16">
        <f t="shared" si="1131"/>
        <v>1704</v>
      </c>
      <c r="R554" s="67">
        <f t="shared" si="1132"/>
        <v>478.38</v>
      </c>
      <c r="S554" s="17">
        <f t="shared" si="1133"/>
        <v>786.84</v>
      </c>
      <c r="T554" s="17">
        <f t="shared" si="1134"/>
        <v>276</v>
      </c>
      <c r="U554" s="86">
        <v>810.07</v>
      </c>
      <c r="V554" s="18">
        <f t="shared" si="1135"/>
        <v>7236.187728</v>
      </c>
      <c r="W554" s="7">
        <f t="shared" si="1136"/>
        <v>2031.78</v>
      </c>
      <c r="X554" s="69">
        <f t="shared" si="1137"/>
        <v>0</v>
      </c>
      <c r="Y554" s="7">
        <f t="shared" si="1138"/>
        <v>17229.0184</v>
      </c>
      <c r="Z554" s="7">
        <f t="shared" si="1139"/>
        <v>1704</v>
      </c>
      <c r="AA554" s="18">
        <f t="shared" si="1140"/>
        <v>29011.05613</v>
      </c>
      <c r="AB554" s="56">
        <v>0.0</v>
      </c>
      <c r="AC554" s="24">
        <v>0.0</v>
      </c>
      <c r="AD554" s="57">
        <v>0.0</v>
      </c>
      <c r="AE554" s="24">
        <v>0.0</v>
      </c>
      <c r="AF554" s="24">
        <v>0.0</v>
      </c>
      <c r="AG554" s="24">
        <v>0.0</v>
      </c>
      <c r="AH554" s="24">
        <v>0.0</v>
      </c>
      <c r="AI554" s="24">
        <v>0.0</v>
      </c>
      <c r="AJ554" s="24">
        <v>0.0</v>
      </c>
      <c r="AK554" s="15">
        <v>0.0</v>
      </c>
      <c r="AL554" s="16">
        <v>0.0</v>
      </c>
      <c r="AM554" s="16">
        <v>0.0</v>
      </c>
      <c r="AN554" s="16">
        <v>0.0</v>
      </c>
      <c r="AO554" s="16">
        <v>0.0</v>
      </c>
      <c r="AP554" s="16">
        <v>0.0</v>
      </c>
      <c r="AQ554" s="16">
        <v>0.0</v>
      </c>
      <c r="AR554" s="16">
        <v>0.0</v>
      </c>
      <c r="AS554" s="7">
        <v>0.0</v>
      </c>
      <c r="AT554" s="7">
        <v>0.0</v>
      </c>
      <c r="AU554" s="7">
        <v>0.0</v>
      </c>
      <c r="AV554" s="7">
        <v>0.0</v>
      </c>
      <c r="AW554" s="7">
        <v>0.0</v>
      </c>
      <c r="AX554" s="7">
        <v>0.0</v>
      </c>
      <c r="AY554" s="7">
        <f t="shared" si="1141"/>
        <v>0</v>
      </c>
      <c r="AZ554" s="9">
        <v>0.0</v>
      </c>
      <c r="BA554" s="9">
        <v>0.0</v>
      </c>
      <c r="BB554" s="84">
        <v>0.0</v>
      </c>
      <c r="BC554" s="84">
        <v>0.0</v>
      </c>
    </row>
    <row r="555">
      <c r="A555" s="11">
        <v>2025.0</v>
      </c>
      <c r="B555" s="11" t="s">
        <v>189</v>
      </c>
      <c r="C555" s="12">
        <v>45876.0</v>
      </c>
      <c r="D555" s="44">
        <v>19.0</v>
      </c>
      <c r="E555" s="26">
        <v>758744.74</v>
      </c>
      <c r="F555" s="26">
        <v>42585.71</v>
      </c>
      <c r="G555" s="26">
        <v>5791.24</v>
      </c>
      <c r="H555" s="26">
        <v>2208.0</v>
      </c>
      <c r="I555" s="26">
        <v>3289.29</v>
      </c>
      <c r="J555" s="26">
        <v>0.0</v>
      </c>
      <c r="K555" s="26">
        <v>16327.99</v>
      </c>
      <c r="L555" s="26">
        <v>13365.35</v>
      </c>
      <c r="M555" s="15">
        <v>2.0</v>
      </c>
      <c r="N555" s="16">
        <v>235864.93</v>
      </c>
      <c r="O555" s="16">
        <f t="shared" si="1129"/>
        <v>9434.5972</v>
      </c>
      <c r="P555" s="16">
        <f t="shared" si="1130"/>
        <v>3962.530824</v>
      </c>
      <c r="Q555" s="16">
        <f t="shared" si="1131"/>
        <v>1704</v>
      </c>
      <c r="R555" s="67">
        <f t="shared" si="1132"/>
        <v>478.38</v>
      </c>
      <c r="S555" s="17">
        <f t="shared" si="1133"/>
        <v>786.84</v>
      </c>
      <c r="T555" s="17">
        <f t="shared" si="1134"/>
        <v>276</v>
      </c>
      <c r="U555" s="86">
        <v>2650.1</v>
      </c>
      <c r="V555" s="18">
        <f t="shared" si="1135"/>
        <v>3962.530824</v>
      </c>
      <c r="W555" s="7">
        <f t="shared" si="1136"/>
        <v>3767.67</v>
      </c>
      <c r="X555" s="69">
        <f t="shared" si="1137"/>
        <v>0</v>
      </c>
      <c r="Y555" s="7">
        <f t="shared" si="1138"/>
        <v>9434.5972</v>
      </c>
      <c r="Z555" s="7">
        <f t="shared" si="1139"/>
        <v>1704</v>
      </c>
      <c r="AA555" s="18">
        <f t="shared" si="1140"/>
        <v>21518.89802</v>
      </c>
      <c r="AB555" s="56">
        <v>0.0</v>
      </c>
      <c r="AC555" s="24">
        <v>0.0</v>
      </c>
      <c r="AD555" s="57">
        <v>0.0</v>
      </c>
      <c r="AE555" s="24">
        <v>0.0</v>
      </c>
      <c r="AF555" s="24">
        <v>0.0</v>
      </c>
      <c r="AG555" s="24">
        <v>0.0</v>
      </c>
      <c r="AH555" s="24">
        <v>0.0</v>
      </c>
      <c r="AI555" s="24">
        <v>0.0</v>
      </c>
      <c r="AJ555" s="24">
        <v>0.0</v>
      </c>
      <c r="AK555" s="15">
        <v>5.0</v>
      </c>
      <c r="AL555" s="16">
        <v>756576.62</v>
      </c>
      <c r="AM555" s="16">
        <v>28673.0</v>
      </c>
      <c r="AN555" s="16">
        <v>13210.6</v>
      </c>
      <c r="AO555" s="16">
        <v>3000.0</v>
      </c>
      <c r="AP555" s="16">
        <v>2543.04</v>
      </c>
      <c r="AQ555" s="16">
        <v>3838.15</v>
      </c>
      <c r="AR555" s="16">
        <v>0.0</v>
      </c>
      <c r="AS555" s="7">
        <v>0.0</v>
      </c>
      <c r="AT555" s="7">
        <v>0.0</v>
      </c>
      <c r="AU555" s="7">
        <v>0.0</v>
      </c>
      <c r="AV555" s="7">
        <v>0.0</v>
      </c>
      <c r="AW555" s="7">
        <v>0.0</v>
      </c>
      <c r="AX555" s="7">
        <v>0.0</v>
      </c>
      <c r="AY555" s="7">
        <f t="shared" si="1141"/>
        <v>0</v>
      </c>
      <c r="AZ555" s="9">
        <v>0.0</v>
      </c>
      <c r="BA555" s="9">
        <v>0.0</v>
      </c>
      <c r="BB555" s="84">
        <v>0.0</v>
      </c>
      <c r="BC555" s="84">
        <v>0.0</v>
      </c>
    </row>
    <row r="556">
      <c r="A556" s="11">
        <v>2025.0</v>
      </c>
      <c r="B556" s="11" t="s">
        <v>189</v>
      </c>
      <c r="C556" s="12">
        <v>45877.0</v>
      </c>
      <c r="D556" s="44">
        <v>14.0</v>
      </c>
      <c r="E556" s="26">
        <v>463006.48</v>
      </c>
      <c r="F556" s="26">
        <v>26157.85</v>
      </c>
      <c r="G556" s="26">
        <v>3484.66</v>
      </c>
      <c r="H556" s="26">
        <v>1794.0</v>
      </c>
      <c r="I556" s="26">
        <v>2472.89</v>
      </c>
      <c r="J556" s="26">
        <v>0.0</v>
      </c>
      <c r="K556" s="26">
        <v>10174.57</v>
      </c>
      <c r="L556" s="26">
        <v>7349.76</v>
      </c>
      <c r="M556" s="15">
        <v>2.0</v>
      </c>
      <c r="N556" s="16">
        <v>249744.21</v>
      </c>
      <c r="O556" s="16">
        <f t="shared" si="1129"/>
        <v>9989.7684</v>
      </c>
      <c r="P556" s="16">
        <f t="shared" si="1130"/>
        <v>4195.702728</v>
      </c>
      <c r="Q556" s="16">
        <f t="shared" si="1131"/>
        <v>1704</v>
      </c>
      <c r="R556" s="67">
        <f t="shared" si="1132"/>
        <v>478.38</v>
      </c>
      <c r="S556" s="17">
        <f t="shared" si="1133"/>
        <v>786.84</v>
      </c>
      <c r="T556" s="17">
        <f t="shared" si="1134"/>
        <v>276</v>
      </c>
      <c r="U556" s="86">
        <v>1189.19</v>
      </c>
      <c r="V556" s="18">
        <f t="shared" si="1135"/>
        <v>4195.702728</v>
      </c>
      <c r="W556" s="7">
        <f t="shared" si="1136"/>
        <v>2951.27</v>
      </c>
      <c r="X556" s="69">
        <f t="shared" si="1137"/>
        <v>0</v>
      </c>
      <c r="Y556" s="7">
        <f t="shared" si="1138"/>
        <v>9989.7684</v>
      </c>
      <c r="Z556" s="7">
        <f t="shared" si="1139"/>
        <v>1704</v>
      </c>
      <c r="AA556" s="18">
        <f t="shared" si="1140"/>
        <v>20029.93113</v>
      </c>
      <c r="AB556" s="56">
        <v>0.0</v>
      </c>
      <c r="AC556" s="24">
        <v>0.0</v>
      </c>
      <c r="AD556" s="57">
        <v>0.0</v>
      </c>
      <c r="AE556" s="24">
        <v>0.0</v>
      </c>
      <c r="AF556" s="24">
        <v>0.0</v>
      </c>
      <c r="AG556" s="24">
        <v>0.0</v>
      </c>
      <c r="AH556" s="24">
        <v>0.0</v>
      </c>
      <c r="AI556" s="24">
        <v>0.0</v>
      </c>
      <c r="AJ556" s="24">
        <v>0.0</v>
      </c>
      <c r="AK556" s="15">
        <v>1.0</v>
      </c>
      <c r="AL556" s="16">
        <v>118745.47</v>
      </c>
      <c r="AM556" s="16">
        <v>4491.0</v>
      </c>
      <c r="AN556" s="16">
        <v>1999.0</v>
      </c>
      <c r="AO556" s="16">
        <v>650.0</v>
      </c>
      <c r="AP556" s="16">
        <v>497.74</v>
      </c>
      <c r="AQ556" s="16">
        <v>757.73</v>
      </c>
      <c r="AR556" s="16">
        <v>0.0</v>
      </c>
      <c r="AS556" s="7">
        <v>0.0</v>
      </c>
      <c r="AT556" s="7">
        <v>0.0</v>
      </c>
      <c r="AU556" s="7">
        <v>0.0</v>
      </c>
      <c r="AV556" s="7">
        <v>0.0</v>
      </c>
      <c r="AW556" s="7">
        <v>0.0</v>
      </c>
      <c r="AX556" s="7">
        <v>0.0</v>
      </c>
      <c r="AY556" s="7">
        <f t="shared" si="1141"/>
        <v>0</v>
      </c>
      <c r="AZ556" s="9">
        <v>0.0</v>
      </c>
      <c r="BA556" s="9">
        <v>0.0</v>
      </c>
      <c r="BB556" s="84">
        <v>0.0</v>
      </c>
      <c r="BC556" s="84">
        <v>0.0</v>
      </c>
    </row>
    <row r="557">
      <c r="A557" s="11">
        <v>2025.0</v>
      </c>
      <c r="B557" s="11" t="s">
        <v>53</v>
      </c>
      <c r="C557" s="1"/>
      <c r="D557" s="2">
        <v>401.0</v>
      </c>
      <c r="E557" s="2"/>
      <c r="F557" s="50">
        <v>1156992.55</v>
      </c>
      <c r="G557" s="2"/>
      <c r="H557" s="33"/>
      <c r="I557" s="33"/>
      <c r="J557" s="33"/>
      <c r="K557" s="33"/>
      <c r="L557" s="33"/>
      <c r="M557" s="4">
        <v>5.0</v>
      </c>
      <c r="N557" s="51">
        <v>678581.66</v>
      </c>
      <c r="O557" s="35"/>
      <c r="P557" s="35"/>
      <c r="Q557" s="35"/>
      <c r="R557" s="35"/>
      <c r="S557" s="35"/>
      <c r="T557" s="35"/>
      <c r="U557" s="37"/>
      <c r="V557" s="48"/>
      <c r="W557" s="48"/>
      <c r="X557" s="37"/>
      <c r="Y557" s="48"/>
      <c r="Z557" s="48"/>
      <c r="AA557" s="48"/>
      <c r="AB557" s="2">
        <v>0.0</v>
      </c>
      <c r="AC557" s="33"/>
      <c r="AD557" s="50">
        <v>0.0</v>
      </c>
      <c r="AE557" s="33"/>
      <c r="AF557" s="33"/>
      <c r="AG557" s="33"/>
      <c r="AH557" s="33"/>
      <c r="AI557" s="33"/>
      <c r="AJ557" s="33"/>
      <c r="AK557" s="4">
        <v>0.0</v>
      </c>
      <c r="AL557" s="4">
        <v>0.0</v>
      </c>
      <c r="AM557" s="35"/>
      <c r="AN557" s="35"/>
      <c r="AO557" s="35"/>
      <c r="AP557" s="35"/>
      <c r="AQ557" s="35"/>
      <c r="AR557" s="35"/>
      <c r="AS557" s="37"/>
      <c r="AT557" s="48"/>
      <c r="AU557" s="48"/>
      <c r="AV557" s="48"/>
      <c r="AW557" s="48"/>
      <c r="AX557" s="48"/>
      <c r="AY557" s="48"/>
      <c r="AZ557" s="38"/>
      <c r="BA557" s="39"/>
      <c r="BB557" s="85"/>
      <c r="BC557" s="88"/>
    </row>
    <row r="558">
      <c r="A558" s="1">
        <v>2025.0</v>
      </c>
      <c r="B558" s="11" t="s">
        <v>53</v>
      </c>
      <c r="C558" s="1" t="s">
        <v>49</v>
      </c>
      <c r="D558" s="33">
        <f t="shared" ref="D558:F558" si="1142">SUM(D550:D556)</f>
        <v>76</v>
      </c>
      <c r="E558" s="34">
        <f t="shared" si="1142"/>
        <v>2763942.92</v>
      </c>
      <c r="F558" s="34">
        <f t="shared" si="1142"/>
        <v>158224.52</v>
      </c>
      <c r="G558" s="34">
        <f>SUM(G550:G557)</f>
        <v>21745.78</v>
      </c>
      <c r="H558" s="34">
        <f t="shared" ref="H558:L558" si="1143">SUM(H550:H556)</f>
        <v>8970</v>
      </c>
      <c r="I558" s="34">
        <f t="shared" si="1143"/>
        <v>11704.78</v>
      </c>
      <c r="J558" s="34">
        <f t="shared" si="1143"/>
        <v>0</v>
      </c>
      <c r="K558" s="34">
        <f t="shared" si="1143"/>
        <v>62257.29</v>
      </c>
      <c r="L558" s="34">
        <f t="shared" si="1143"/>
        <v>47927.26</v>
      </c>
      <c r="M558" s="35">
        <f t="shared" ref="M558:N558" si="1144">SUM(M550:M557)</f>
        <v>17</v>
      </c>
      <c r="N558" s="36">
        <f t="shared" si="1144"/>
        <v>2938546.97</v>
      </c>
      <c r="O558" s="36">
        <f t="shared" ref="O558:AA558" si="1145">SUM(O550:O556)</f>
        <v>90398.6124</v>
      </c>
      <c r="P558" s="36">
        <f t="shared" si="1145"/>
        <v>37967.41721</v>
      </c>
      <c r="Q558" s="36">
        <f t="shared" si="1145"/>
        <v>10224</v>
      </c>
      <c r="R558" s="70">
        <f t="shared" si="1145"/>
        <v>2870.28</v>
      </c>
      <c r="S558" s="36">
        <f t="shared" si="1145"/>
        <v>4721.04</v>
      </c>
      <c r="T558" s="36">
        <f t="shared" si="1145"/>
        <v>1656</v>
      </c>
      <c r="U558" s="37">
        <f t="shared" si="1145"/>
        <v>11824.68</v>
      </c>
      <c r="V558" s="37">
        <f t="shared" si="1145"/>
        <v>37967.41721</v>
      </c>
      <c r="W558" s="37">
        <f t="shared" si="1145"/>
        <v>14575.06</v>
      </c>
      <c r="X558" s="37">
        <f t="shared" si="1145"/>
        <v>0</v>
      </c>
      <c r="Y558" s="37">
        <f t="shared" si="1145"/>
        <v>90398.6124</v>
      </c>
      <c r="Z558" s="37">
        <f t="shared" si="1145"/>
        <v>10224</v>
      </c>
      <c r="AA558" s="37">
        <f t="shared" si="1145"/>
        <v>164989.7696</v>
      </c>
      <c r="AB558" s="33">
        <f>SUM(AB550:AB557)</f>
        <v>1</v>
      </c>
      <c r="AC558" s="34">
        <f>SUM(AC550:AC556)</f>
        <v>64352.06</v>
      </c>
      <c r="AD558" s="55">
        <f>SUM(AD550:AD557)</f>
        <v>2949.24</v>
      </c>
      <c r="AE558" s="34">
        <f t="shared" ref="AE558:AJ558" si="1146">SUM(AE550:AE556)</f>
        <v>295.89</v>
      </c>
      <c r="AF558" s="34">
        <f t="shared" si="1146"/>
        <v>138</v>
      </c>
      <c r="AG558" s="34">
        <f t="shared" si="1146"/>
        <v>367.23</v>
      </c>
      <c r="AH558" s="34">
        <f t="shared" si="1146"/>
        <v>0</v>
      </c>
      <c r="AI558" s="34">
        <f t="shared" si="1146"/>
        <v>1049.38</v>
      </c>
      <c r="AJ558" s="34">
        <f t="shared" si="1146"/>
        <v>1098.74</v>
      </c>
      <c r="AK558" s="35">
        <f t="shared" ref="AK558:AL558" si="1147">SUM(AK550:AK557)</f>
        <v>10</v>
      </c>
      <c r="AL558" s="36">
        <f t="shared" si="1147"/>
        <v>1605901.33</v>
      </c>
      <c r="AM558" s="36">
        <f t="shared" ref="AM558:BB558" si="1148">SUM(AM550:AM556)</f>
        <v>60791</v>
      </c>
      <c r="AN558" s="36">
        <f t="shared" si="1148"/>
        <v>27505.6</v>
      </c>
      <c r="AO558" s="36">
        <f t="shared" si="1148"/>
        <v>6100</v>
      </c>
      <c r="AP558" s="36">
        <f t="shared" si="1148"/>
        <v>5112.17</v>
      </c>
      <c r="AQ558" s="36">
        <f t="shared" si="1148"/>
        <v>7720.72</v>
      </c>
      <c r="AR558" s="36">
        <f t="shared" si="1148"/>
        <v>0</v>
      </c>
      <c r="AS558" s="37">
        <f t="shared" si="1148"/>
        <v>0</v>
      </c>
      <c r="AT558" s="37">
        <f t="shared" si="1148"/>
        <v>0</v>
      </c>
      <c r="AU558" s="37">
        <f t="shared" si="1148"/>
        <v>0</v>
      </c>
      <c r="AV558" s="37">
        <f t="shared" si="1148"/>
        <v>0</v>
      </c>
      <c r="AW558" s="37">
        <f t="shared" si="1148"/>
        <v>0</v>
      </c>
      <c r="AX558" s="37">
        <f t="shared" si="1148"/>
        <v>0</v>
      </c>
      <c r="AY558" s="37">
        <f t="shared" si="1148"/>
        <v>0</v>
      </c>
      <c r="AZ558" s="38">
        <f t="shared" si="1148"/>
        <v>0</v>
      </c>
      <c r="BA558" s="39">
        <f t="shared" si="1148"/>
        <v>0</v>
      </c>
      <c r="BB558" s="85">
        <f t="shared" si="1148"/>
        <v>0</v>
      </c>
      <c r="BC558" s="85">
        <f>SUM(BC550:BC557)</f>
        <v>0</v>
      </c>
    </row>
    <row r="559">
      <c r="A559" s="11">
        <v>2025.0</v>
      </c>
      <c r="B559" s="11" t="s">
        <v>53</v>
      </c>
      <c r="C559" s="12">
        <v>45878.0</v>
      </c>
      <c r="D559" s="44">
        <v>0.0</v>
      </c>
      <c r="E559" s="26">
        <v>0.0</v>
      </c>
      <c r="F559" s="26">
        <v>0.0</v>
      </c>
      <c r="G559" s="26">
        <v>0.0</v>
      </c>
      <c r="H559" s="26">
        <v>0.0</v>
      </c>
      <c r="I559" s="26">
        <v>0.0</v>
      </c>
      <c r="J559" s="26">
        <v>0.0</v>
      </c>
      <c r="K559" s="26">
        <v>0.0</v>
      </c>
      <c r="L559" s="26">
        <v>0.0</v>
      </c>
      <c r="M559" s="15">
        <v>0.0</v>
      </c>
      <c r="N559" s="16">
        <v>0.0</v>
      </c>
      <c r="O559" s="16">
        <f t="shared" ref="O559:O565" si="1149">N559*4%</f>
        <v>0</v>
      </c>
      <c r="P559" s="16">
        <f t="shared" ref="P559:P565" si="1150">N559*1.68%</f>
        <v>0</v>
      </c>
      <c r="Q559" s="16">
        <f t="shared" ref="Q559:Q565" si="1151">M559*(400+350+100+2)</f>
        <v>0</v>
      </c>
      <c r="R559" s="67">
        <f t="shared" ref="R559:R565" si="1152">M559*239.19</f>
        <v>0</v>
      </c>
      <c r="S559" s="17">
        <f t="shared" ref="S559:S565" si="1153">M559*393.42</f>
        <v>0</v>
      </c>
      <c r="T559" s="17">
        <f t="shared" ref="T559:T565" si="1154">M559*138</f>
        <v>0</v>
      </c>
      <c r="U559" s="86">
        <v>0.0</v>
      </c>
      <c r="V559" s="18">
        <f t="shared" ref="V559:V565" si="1155">P559</f>
        <v>0</v>
      </c>
      <c r="W559" s="7">
        <f t="shared" ref="W559:W565" si="1156">I559+R559</f>
        <v>0</v>
      </c>
      <c r="X559" s="69">
        <f t="shared" ref="X559:X565" si="1157">J559</f>
        <v>0</v>
      </c>
      <c r="Y559" s="7">
        <f t="shared" ref="Y559:Y565" si="1158">O559</f>
        <v>0</v>
      </c>
      <c r="Z559" s="7">
        <f t="shared" ref="Z559:Z565" si="1159">Q559</f>
        <v>0</v>
      </c>
      <c r="AA559" s="18">
        <f t="shared" ref="AA559:AA565" si="1160">SUM(U559:Z559)</f>
        <v>0</v>
      </c>
      <c r="AB559" s="56">
        <v>0.0</v>
      </c>
      <c r="AC559" s="24">
        <v>0.0</v>
      </c>
      <c r="AD559" s="57">
        <v>0.0</v>
      </c>
      <c r="AE559" s="24">
        <v>0.0</v>
      </c>
      <c r="AF559" s="24">
        <v>0.0</v>
      </c>
      <c r="AG559" s="24">
        <v>0.0</v>
      </c>
      <c r="AH559" s="24">
        <v>0.0</v>
      </c>
      <c r="AI559" s="24">
        <v>0.0</v>
      </c>
      <c r="AJ559" s="24">
        <v>0.0</v>
      </c>
      <c r="AK559" s="15">
        <v>0.0</v>
      </c>
      <c r="AL559" s="16">
        <v>0.0</v>
      </c>
      <c r="AM559" s="16">
        <v>0.0</v>
      </c>
      <c r="AN559" s="16">
        <v>0.0</v>
      </c>
      <c r="AO559" s="16">
        <v>0.0</v>
      </c>
      <c r="AP559" s="16">
        <v>0.0</v>
      </c>
      <c r="AQ559" s="16">
        <v>0.0</v>
      </c>
      <c r="AR559" s="16">
        <v>0.0</v>
      </c>
      <c r="AS559" s="7">
        <v>0.0</v>
      </c>
      <c r="AT559" s="7">
        <v>0.0</v>
      </c>
      <c r="AU559" s="7">
        <v>0.0</v>
      </c>
      <c r="AV559" s="7">
        <v>0.0</v>
      </c>
      <c r="AW559" s="7">
        <v>0.0</v>
      </c>
      <c r="AX559" s="7">
        <v>0.0</v>
      </c>
      <c r="AY559" s="7">
        <f t="shared" ref="AY559:AY565" si="1161">SUM(AS559:AX559)</f>
        <v>0</v>
      </c>
      <c r="AZ559" s="9">
        <v>0.0</v>
      </c>
      <c r="BA559" s="9">
        <v>0.0</v>
      </c>
      <c r="BB559" s="84">
        <v>0.0</v>
      </c>
      <c r="BC559" s="84">
        <v>0.0</v>
      </c>
    </row>
    <row r="560">
      <c r="A560" s="11">
        <v>2025.0</v>
      </c>
      <c r="B560" s="11" t="s">
        <v>53</v>
      </c>
      <c r="C560" s="12">
        <v>45879.0</v>
      </c>
      <c r="D560" s="44">
        <v>0.0</v>
      </c>
      <c r="E560" s="26">
        <v>0.0</v>
      </c>
      <c r="F560" s="26">
        <v>0.0</v>
      </c>
      <c r="G560" s="26">
        <v>0.0</v>
      </c>
      <c r="H560" s="26">
        <v>0.0</v>
      </c>
      <c r="I560" s="26">
        <v>0.0</v>
      </c>
      <c r="J560" s="26">
        <v>0.0</v>
      </c>
      <c r="K560" s="26">
        <v>0.0</v>
      </c>
      <c r="L560" s="26">
        <v>0.0</v>
      </c>
      <c r="M560" s="15">
        <v>0.0</v>
      </c>
      <c r="N560" s="16">
        <v>0.0</v>
      </c>
      <c r="O560" s="16">
        <f t="shared" si="1149"/>
        <v>0</v>
      </c>
      <c r="P560" s="16">
        <f t="shared" si="1150"/>
        <v>0</v>
      </c>
      <c r="Q560" s="16">
        <f t="shared" si="1151"/>
        <v>0</v>
      </c>
      <c r="R560" s="67">
        <f t="shared" si="1152"/>
        <v>0</v>
      </c>
      <c r="S560" s="17">
        <f t="shared" si="1153"/>
        <v>0</v>
      </c>
      <c r="T560" s="17">
        <f t="shared" si="1154"/>
        <v>0</v>
      </c>
      <c r="U560" s="86">
        <v>0.0</v>
      </c>
      <c r="V560" s="18">
        <f t="shared" si="1155"/>
        <v>0</v>
      </c>
      <c r="W560" s="7">
        <f t="shared" si="1156"/>
        <v>0</v>
      </c>
      <c r="X560" s="69">
        <f t="shared" si="1157"/>
        <v>0</v>
      </c>
      <c r="Y560" s="7">
        <f t="shared" si="1158"/>
        <v>0</v>
      </c>
      <c r="Z560" s="7">
        <f t="shared" si="1159"/>
        <v>0</v>
      </c>
      <c r="AA560" s="18">
        <f t="shared" si="1160"/>
        <v>0</v>
      </c>
      <c r="AB560" s="56">
        <v>0.0</v>
      </c>
      <c r="AC560" s="24">
        <v>0.0</v>
      </c>
      <c r="AD560" s="57">
        <v>0.0</v>
      </c>
      <c r="AE560" s="24">
        <v>0.0</v>
      </c>
      <c r="AF560" s="24">
        <v>0.0</v>
      </c>
      <c r="AG560" s="24">
        <v>0.0</v>
      </c>
      <c r="AH560" s="24">
        <v>0.0</v>
      </c>
      <c r="AI560" s="24">
        <v>0.0</v>
      </c>
      <c r="AJ560" s="24">
        <v>0.0</v>
      </c>
      <c r="AK560" s="15">
        <v>0.0</v>
      </c>
      <c r="AL560" s="16">
        <v>0.0</v>
      </c>
      <c r="AM560" s="16">
        <v>0.0</v>
      </c>
      <c r="AN560" s="16">
        <v>0.0</v>
      </c>
      <c r="AO560" s="16">
        <v>0.0</v>
      </c>
      <c r="AP560" s="16">
        <v>0.0</v>
      </c>
      <c r="AQ560" s="16">
        <v>0.0</v>
      </c>
      <c r="AR560" s="16">
        <v>0.0</v>
      </c>
      <c r="AS560" s="7">
        <v>0.0</v>
      </c>
      <c r="AT560" s="7">
        <v>0.0</v>
      </c>
      <c r="AU560" s="7">
        <v>0.0</v>
      </c>
      <c r="AV560" s="7">
        <v>0.0</v>
      </c>
      <c r="AW560" s="7">
        <v>0.0</v>
      </c>
      <c r="AX560" s="7">
        <v>0.0</v>
      </c>
      <c r="AY560" s="7">
        <f t="shared" si="1161"/>
        <v>0</v>
      </c>
      <c r="AZ560" s="9">
        <v>0.0</v>
      </c>
      <c r="BA560" s="9">
        <v>0.0</v>
      </c>
      <c r="BB560" s="84">
        <v>0.0</v>
      </c>
      <c r="BC560" s="84">
        <v>0.0</v>
      </c>
    </row>
    <row r="561">
      <c r="A561" s="11">
        <v>2025.0</v>
      </c>
      <c r="B561" s="11" t="s">
        <v>53</v>
      </c>
      <c r="C561" s="12">
        <v>45880.0</v>
      </c>
      <c r="D561" s="44">
        <v>0.0</v>
      </c>
      <c r="E561" s="26">
        <v>0.0</v>
      </c>
      <c r="F561" s="26">
        <v>0.0</v>
      </c>
      <c r="G561" s="26">
        <v>0.0</v>
      </c>
      <c r="H561" s="26">
        <v>0.0</v>
      </c>
      <c r="I561" s="26">
        <v>0.0</v>
      </c>
      <c r="J561" s="26">
        <v>0.0</v>
      </c>
      <c r="K561" s="26">
        <v>0.0</v>
      </c>
      <c r="L561" s="26">
        <v>0.0</v>
      </c>
      <c r="M561" s="15">
        <v>1.0</v>
      </c>
      <c r="N561" s="16">
        <v>33500.0</v>
      </c>
      <c r="O561" s="16">
        <f t="shared" si="1149"/>
        <v>1340</v>
      </c>
      <c r="P561" s="16">
        <f t="shared" si="1150"/>
        <v>562.8</v>
      </c>
      <c r="Q561" s="16">
        <f t="shared" si="1151"/>
        <v>852</v>
      </c>
      <c r="R561" s="67">
        <f t="shared" si="1152"/>
        <v>239.19</v>
      </c>
      <c r="S561" s="17">
        <f t="shared" si="1153"/>
        <v>393.42</v>
      </c>
      <c r="T561" s="17">
        <f t="shared" si="1154"/>
        <v>138</v>
      </c>
      <c r="U561" s="86">
        <v>0.0</v>
      </c>
      <c r="V561" s="18">
        <f t="shared" si="1155"/>
        <v>562.8</v>
      </c>
      <c r="W561" s="7">
        <f t="shared" si="1156"/>
        <v>239.19</v>
      </c>
      <c r="X561" s="69">
        <f t="shared" si="1157"/>
        <v>0</v>
      </c>
      <c r="Y561" s="7">
        <f t="shared" si="1158"/>
        <v>1340</v>
      </c>
      <c r="Z561" s="7">
        <f t="shared" si="1159"/>
        <v>852</v>
      </c>
      <c r="AA561" s="18">
        <f t="shared" si="1160"/>
        <v>2993.99</v>
      </c>
      <c r="AB561" s="56">
        <v>0.0</v>
      </c>
      <c r="AC561" s="24">
        <v>0.0</v>
      </c>
      <c r="AD561" s="57">
        <v>0.0</v>
      </c>
      <c r="AE561" s="24">
        <v>0.0</v>
      </c>
      <c r="AF561" s="24">
        <v>0.0</v>
      </c>
      <c r="AG561" s="24">
        <v>0.0</v>
      </c>
      <c r="AH561" s="24">
        <v>0.0</v>
      </c>
      <c r="AI561" s="24">
        <v>0.0</v>
      </c>
      <c r="AJ561" s="24">
        <v>0.0</v>
      </c>
      <c r="AK561" s="15">
        <v>0.0</v>
      </c>
      <c r="AL561" s="16">
        <v>0.0</v>
      </c>
      <c r="AM561" s="16">
        <v>0.0</v>
      </c>
      <c r="AN561" s="16">
        <v>0.0</v>
      </c>
      <c r="AO561" s="16">
        <v>0.0</v>
      </c>
      <c r="AP561" s="16">
        <v>0.0</v>
      </c>
      <c r="AQ561" s="16">
        <v>0.0</v>
      </c>
      <c r="AR561" s="16">
        <v>0.0</v>
      </c>
      <c r="AS561" s="7">
        <v>0.0</v>
      </c>
      <c r="AT561" s="7">
        <v>0.0</v>
      </c>
      <c r="AU561" s="7">
        <v>0.0</v>
      </c>
      <c r="AV561" s="7">
        <v>0.0</v>
      </c>
      <c r="AW561" s="7">
        <v>0.0</v>
      </c>
      <c r="AX561" s="7">
        <v>0.0</v>
      </c>
      <c r="AY561" s="7">
        <f t="shared" si="1161"/>
        <v>0</v>
      </c>
      <c r="AZ561" s="9">
        <v>0.0</v>
      </c>
      <c r="BA561" s="9">
        <v>0.0</v>
      </c>
      <c r="BB561" s="84">
        <v>0.0</v>
      </c>
      <c r="BC561" s="84">
        <v>0.0</v>
      </c>
    </row>
    <row r="562">
      <c r="A562" s="11">
        <v>2025.0</v>
      </c>
      <c r="B562" s="11" t="s">
        <v>53</v>
      </c>
      <c r="C562" s="12">
        <v>45881.0</v>
      </c>
      <c r="D562" s="44">
        <v>0.0</v>
      </c>
      <c r="E562" s="26">
        <v>0.0</v>
      </c>
      <c r="F562" s="26">
        <v>0.0</v>
      </c>
      <c r="G562" s="26">
        <v>0.0</v>
      </c>
      <c r="H562" s="26">
        <v>0.0</v>
      </c>
      <c r="I562" s="26">
        <v>0.0</v>
      </c>
      <c r="J562" s="26">
        <v>0.0</v>
      </c>
      <c r="K562" s="26">
        <v>0.0</v>
      </c>
      <c r="L562" s="26">
        <v>0.0</v>
      </c>
      <c r="M562" s="15">
        <v>3.0</v>
      </c>
      <c r="N562" s="16">
        <v>785474.46</v>
      </c>
      <c r="O562" s="16">
        <f t="shared" si="1149"/>
        <v>31418.9784</v>
      </c>
      <c r="P562" s="16">
        <f t="shared" si="1150"/>
        <v>13195.97093</v>
      </c>
      <c r="Q562" s="16">
        <f t="shared" si="1151"/>
        <v>2556</v>
      </c>
      <c r="R562" s="67">
        <f t="shared" si="1152"/>
        <v>717.57</v>
      </c>
      <c r="S562" s="17">
        <f t="shared" si="1153"/>
        <v>1180.26</v>
      </c>
      <c r="T562" s="17">
        <f t="shared" si="1154"/>
        <v>414</v>
      </c>
      <c r="U562" s="86">
        <v>0.0</v>
      </c>
      <c r="V562" s="18">
        <f t="shared" si="1155"/>
        <v>13195.97093</v>
      </c>
      <c r="W562" s="7">
        <f t="shared" si="1156"/>
        <v>717.57</v>
      </c>
      <c r="X562" s="69">
        <f t="shared" si="1157"/>
        <v>0</v>
      </c>
      <c r="Y562" s="7">
        <f t="shared" si="1158"/>
        <v>31418.9784</v>
      </c>
      <c r="Z562" s="7">
        <f t="shared" si="1159"/>
        <v>2556</v>
      </c>
      <c r="AA562" s="18">
        <f t="shared" si="1160"/>
        <v>47888.51933</v>
      </c>
      <c r="AB562" s="56">
        <v>0.0</v>
      </c>
      <c r="AC562" s="24">
        <v>0.0</v>
      </c>
      <c r="AD562" s="57">
        <v>0.0</v>
      </c>
      <c r="AE562" s="24">
        <v>0.0</v>
      </c>
      <c r="AF562" s="24">
        <v>0.0</v>
      </c>
      <c r="AG562" s="24">
        <v>0.0</v>
      </c>
      <c r="AH562" s="24">
        <v>0.0</v>
      </c>
      <c r="AI562" s="24">
        <v>0.0</v>
      </c>
      <c r="AJ562" s="24">
        <v>0.0</v>
      </c>
      <c r="AK562" s="15">
        <v>0.0</v>
      </c>
      <c r="AL562" s="16">
        <v>0.0</v>
      </c>
      <c r="AM562" s="16">
        <v>0.0</v>
      </c>
      <c r="AN562" s="16">
        <v>0.0</v>
      </c>
      <c r="AO562" s="16">
        <v>0.0</v>
      </c>
      <c r="AP562" s="16">
        <v>0.0</v>
      </c>
      <c r="AQ562" s="16">
        <v>0.0</v>
      </c>
      <c r="AR562" s="16">
        <v>0.0</v>
      </c>
      <c r="AS562" s="7">
        <v>0.0</v>
      </c>
      <c r="AT562" s="7">
        <v>0.0</v>
      </c>
      <c r="AU562" s="7">
        <v>0.0</v>
      </c>
      <c r="AV562" s="7">
        <v>0.0</v>
      </c>
      <c r="AW562" s="7">
        <v>0.0</v>
      </c>
      <c r="AX562" s="7">
        <v>0.0</v>
      </c>
      <c r="AY562" s="7">
        <f t="shared" si="1161"/>
        <v>0</v>
      </c>
      <c r="AZ562" s="9">
        <v>0.0</v>
      </c>
      <c r="BA562" s="9">
        <v>0.0</v>
      </c>
      <c r="BB562" s="84">
        <v>0.0</v>
      </c>
      <c r="BC562" s="84">
        <v>0.0</v>
      </c>
    </row>
    <row r="563">
      <c r="A563" s="11">
        <v>2025.0</v>
      </c>
      <c r="B563" s="11" t="s">
        <v>53</v>
      </c>
      <c r="C563" s="12">
        <v>45882.0</v>
      </c>
      <c r="D563" s="44">
        <v>0.0</v>
      </c>
      <c r="E563" s="26">
        <v>0.0</v>
      </c>
      <c r="F563" s="26">
        <v>0.0</v>
      </c>
      <c r="G563" s="26">
        <v>0.0</v>
      </c>
      <c r="H563" s="26">
        <v>0.0</v>
      </c>
      <c r="I563" s="26">
        <v>0.0</v>
      </c>
      <c r="J563" s="26">
        <v>0.0</v>
      </c>
      <c r="K563" s="26">
        <v>0.0</v>
      </c>
      <c r="L563" s="26">
        <v>0.0</v>
      </c>
      <c r="M563" s="15">
        <v>3.0</v>
      </c>
      <c r="N563" s="16">
        <v>430419.49</v>
      </c>
      <c r="O563" s="16">
        <f t="shared" si="1149"/>
        <v>17216.7796</v>
      </c>
      <c r="P563" s="16">
        <f t="shared" si="1150"/>
        <v>7231.047432</v>
      </c>
      <c r="Q563" s="16">
        <f t="shared" si="1151"/>
        <v>2556</v>
      </c>
      <c r="R563" s="67">
        <f t="shared" si="1152"/>
        <v>717.57</v>
      </c>
      <c r="S563" s="17">
        <f t="shared" si="1153"/>
        <v>1180.26</v>
      </c>
      <c r="T563" s="17">
        <f t="shared" si="1154"/>
        <v>414</v>
      </c>
      <c r="U563" s="86">
        <v>0.0</v>
      </c>
      <c r="V563" s="18">
        <f t="shared" si="1155"/>
        <v>7231.047432</v>
      </c>
      <c r="W563" s="7">
        <f t="shared" si="1156"/>
        <v>717.57</v>
      </c>
      <c r="X563" s="69">
        <f t="shared" si="1157"/>
        <v>0</v>
      </c>
      <c r="Y563" s="7">
        <f t="shared" si="1158"/>
        <v>17216.7796</v>
      </c>
      <c r="Z563" s="7">
        <f t="shared" si="1159"/>
        <v>2556</v>
      </c>
      <c r="AA563" s="18">
        <f t="shared" si="1160"/>
        <v>27721.39703</v>
      </c>
      <c r="AB563" s="56">
        <v>0.0</v>
      </c>
      <c r="AC563" s="24">
        <v>0.0</v>
      </c>
      <c r="AD563" s="57">
        <v>0.0</v>
      </c>
      <c r="AE563" s="24">
        <v>0.0</v>
      </c>
      <c r="AF563" s="24">
        <v>0.0</v>
      </c>
      <c r="AG563" s="24">
        <v>0.0</v>
      </c>
      <c r="AH563" s="24">
        <v>0.0</v>
      </c>
      <c r="AI563" s="24">
        <v>0.0</v>
      </c>
      <c r="AJ563" s="24">
        <v>0.0</v>
      </c>
      <c r="AK563" s="15">
        <v>0.0</v>
      </c>
      <c r="AL563" s="16">
        <v>0.0</v>
      </c>
      <c r="AM563" s="16">
        <v>0.0</v>
      </c>
      <c r="AN563" s="16">
        <v>0.0</v>
      </c>
      <c r="AO563" s="16">
        <v>0.0</v>
      </c>
      <c r="AP563" s="16">
        <v>0.0</v>
      </c>
      <c r="AQ563" s="16">
        <v>0.0</v>
      </c>
      <c r="AR563" s="16">
        <v>0.0</v>
      </c>
      <c r="AS563" s="7">
        <v>0.0</v>
      </c>
      <c r="AT563" s="7">
        <v>0.0</v>
      </c>
      <c r="AU563" s="7">
        <v>0.0</v>
      </c>
      <c r="AV563" s="7">
        <v>0.0</v>
      </c>
      <c r="AW563" s="7">
        <v>0.0</v>
      </c>
      <c r="AX563" s="7">
        <v>0.0</v>
      </c>
      <c r="AY563" s="7">
        <f t="shared" si="1161"/>
        <v>0</v>
      </c>
      <c r="AZ563" s="9">
        <v>0.0</v>
      </c>
      <c r="BA563" s="9">
        <v>0.0</v>
      </c>
      <c r="BB563" s="84">
        <v>0.0</v>
      </c>
      <c r="BC563" s="84">
        <v>0.0</v>
      </c>
    </row>
    <row r="564">
      <c r="A564" s="11">
        <v>2025.0</v>
      </c>
      <c r="B564" s="11" t="s">
        <v>53</v>
      </c>
      <c r="C564" s="12">
        <v>45883.0</v>
      </c>
      <c r="D564" s="44">
        <v>0.0</v>
      </c>
      <c r="E564" s="26">
        <v>0.0</v>
      </c>
      <c r="F564" s="26">
        <v>0.0</v>
      </c>
      <c r="G564" s="26">
        <v>0.0</v>
      </c>
      <c r="H564" s="26">
        <v>0.0</v>
      </c>
      <c r="I564" s="26">
        <v>0.0</v>
      </c>
      <c r="J564" s="26">
        <v>0.0</v>
      </c>
      <c r="K564" s="26">
        <v>0.0</v>
      </c>
      <c r="L564" s="26">
        <v>0.0</v>
      </c>
      <c r="M564" s="15">
        <v>4.0</v>
      </c>
      <c r="N564" s="16">
        <v>453227.45</v>
      </c>
      <c r="O564" s="16">
        <f t="shared" si="1149"/>
        <v>18129.098</v>
      </c>
      <c r="P564" s="16">
        <f t="shared" si="1150"/>
        <v>7614.22116</v>
      </c>
      <c r="Q564" s="16">
        <f t="shared" si="1151"/>
        <v>3408</v>
      </c>
      <c r="R564" s="67">
        <f t="shared" si="1152"/>
        <v>956.76</v>
      </c>
      <c r="S564" s="17">
        <f t="shared" si="1153"/>
        <v>1573.68</v>
      </c>
      <c r="T564" s="17">
        <f t="shared" si="1154"/>
        <v>552</v>
      </c>
      <c r="U564" s="86">
        <v>0.0</v>
      </c>
      <c r="V564" s="18">
        <f t="shared" si="1155"/>
        <v>7614.22116</v>
      </c>
      <c r="W564" s="7">
        <f t="shared" si="1156"/>
        <v>956.76</v>
      </c>
      <c r="X564" s="69">
        <f t="shared" si="1157"/>
        <v>0</v>
      </c>
      <c r="Y564" s="7">
        <f t="shared" si="1158"/>
        <v>18129.098</v>
      </c>
      <c r="Z564" s="7">
        <f t="shared" si="1159"/>
        <v>3408</v>
      </c>
      <c r="AA564" s="18">
        <f t="shared" si="1160"/>
        <v>30108.07916</v>
      </c>
      <c r="AB564" s="56">
        <v>0.0</v>
      </c>
      <c r="AC564" s="24">
        <v>0.0</v>
      </c>
      <c r="AD564" s="57">
        <v>0.0</v>
      </c>
      <c r="AE564" s="24">
        <v>0.0</v>
      </c>
      <c r="AF564" s="24">
        <v>0.0</v>
      </c>
      <c r="AG564" s="24">
        <v>0.0</v>
      </c>
      <c r="AH564" s="24">
        <v>0.0</v>
      </c>
      <c r="AI564" s="24">
        <v>0.0</v>
      </c>
      <c r="AJ564" s="24">
        <v>0.0</v>
      </c>
      <c r="AK564" s="15">
        <v>0.0</v>
      </c>
      <c r="AL564" s="16">
        <v>0.0</v>
      </c>
      <c r="AM564" s="16">
        <v>0.0</v>
      </c>
      <c r="AN564" s="16">
        <v>0.0</v>
      </c>
      <c r="AO564" s="16">
        <v>0.0</v>
      </c>
      <c r="AP564" s="16">
        <v>0.0</v>
      </c>
      <c r="AQ564" s="16">
        <v>0.0</v>
      </c>
      <c r="AR564" s="16">
        <v>0.0</v>
      </c>
      <c r="AS564" s="7">
        <v>0.0</v>
      </c>
      <c r="AT564" s="7">
        <v>0.0</v>
      </c>
      <c r="AU564" s="7">
        <v>0.0</v>
      </c>
      <c r="AV564" s="7">
        <v>0.0</v>
      </c>
      <c r="AW564" s="7">
        <v>0.0</v>
      </c>
      <c r="AX564" s="7">
        <v>0.0</v>
      </c>
      <c r="AY564" s="7">
        <f t="shared" si="1161"/>
        <v>0</v>
      </c>
      <c r="AZ564" s="9">
        <v>0.0</v>
      </c>
      <c r="BA564" s="9">
        <v>0.0</v>
      </c>
      <c r="BB564" s="84">
        <v>0.0</v>
      </c>
      <c r="BC564" s="84">
        <v>0.0</v>
      </c>
    </row>
    <row r="565">
      <c r="A565" s="11">
        <v>2025.0</v>
      </c>
      <c r="B565" s="11" t="s">
        <v>53</v>
      </c>
      <c r="C565" s="12">
        <v>45884.0</v>
      </c>
      <c r="D565" s="44">
        <v>0.0</v>
      </c>
      <c r="E565" s="26">
        <v>0.0</v>
      </c>
      <c r="F565" s="26">
        <v>0.0</v>
      </c>
      <c r="G565" s="26">
        <v>0.0</v>
      </c>
      <c r="H565" s="26">
        <v>0.0</v>
      </c>
      <c r="I565" s="26">
        <v>0.0</v>
      </c>
      <c r="J565" s="26">
        <v>0.0</v>
      </c>
      <c r="K565" s="26">
        <v>0.0</v>
      </c>
      <c r="L565" s="26">
        <v>0.0</v>
      </c>
      <c r="M565" s="15">
        <v>0.0</v>
      </c>
      <c r="N565" s="16">
        <v>0.0</v>
      </c>
      <c r="O565" s="16">
        <f t="shared" si="1149"/>
        <v>0</v>
      </c>
      <c r="P565" s="16">
        <f t="shared" si="1150"/>
        <v>0</v>
      </c>
      <c r="Q565" s="16">
        <f t="shared" si="1151"/>
        <v>0</v>
      </c>
      <c r="R565" s="67">
        <f t="shared" si="1152"/>
        <v>0</v>
      </c>
      <c r="S565" s="17">
        <f t="shared" si="1153"/>
        <v>0</v>
      </c>
      <c r="T565" s="17">
        <f t="shared" si="1154"/>
        <v>0</v>
      </c>
      <c r="U565" s="86">
        <v>0.0</v>
      </c>
      <c r="V565" s="18">
        <f t="shared" si="1155"/>
        <v>0</v>
      </c>
      <c r="W565" s="7">
        <f t="shared" si="1156"/>
        <v>0</v>
      </c>
      <c r="X565" s="69">
        <f t="shared" si="1157"/>
        <v>0</v>
      </c>
      <c r="Y565" s="7">
        <f t="shared" si="1158"/>
        <v>0</v>
      </c>
      <c r="Z565" s="7">
        <f t="shared" si="1159"/>
        <v>0</v>
      </c>
      <c r="AA565" s="18">
        <f t="shared" si="1160"/>
        <v>0</v>
      </c>
      <c r="AB565" s="56">
        <v>0.0</v>
      </c>
      <c r="AC565" s="24">
        <v>0.0</v>
      </c>
      <c r="AD565" s="57">
        <v>0.0</v>
      </c>
      <c r="AE565" s="24">
        <v>0.0</v>
      </c>
      <c r="AF565" s="24">
        <v>0.0</v>
      </c>
      <c r="AG565" s="24">
        <v>0.0</v>
      </c>
      <c r="AH565" s="24">
        <v>0.0</v>
      </c>
      <c r="AI565" s="24">
        <v>0.0</v>
      </c>
      <c r="AJ565" s="24">
        <v>0.0</v>
      </c>
      <c r="AK565" s="15">
        <v>0.0</v>
      </c>
      <c r="AL565" s="16">
        <v>0.0</v>
      </c>
      <c r="AM565" s="16">
        <v>0.0</v>
      </c>
      <c r="AN565" s="16">
        <v>0.0</v>
      </c>
      <c r="AO565" s="16">
        <v>0.0</v>
      </c>
      <c r="AP565" s="16">
        <v>0.0</v>
      </c>
      <c r="AQ565" s="16">
        <v>0.0</v>
      </c>
      <c r="AR565" s="16">
        <v>0.0</v>
      </c>
      <c r="AS565" s="7">
        <v>0.0</v>
      </c>
      <c r="AT565" s="7">
        <v>0.0</v>
      </c>
      <c r="AU565" s="7">
        <v>0.0</v>
      </c>
      <c r="AV565" s="7">
        <v>0.0</v>
      </c>
      <c r="AW565" s="7">
        <v>0.0</v>
      </c>
      <c r="AX565" s="7">
        <v>0.0</v>
      </c>
      <c r="AY565" s="7">
        <f t="shared" si="1161"/>
        <v>0</v>
      </c>
      <c r="AZ565" s="9">
        <v>0.0</v>
      </c>
      <c r="BA565" s="9">
        <v>0.0</v>
      </c>
      <c r="BB565" s="84">
        <v>0.0</v>
      </c>
      <c r="BC565" s="84">
        <v>0.0</v>
      </c>
    </row>
    <row r="566">
      <c r="A566" s="11">
        <v>2025.0</v>
      </c>
      <c r="B566" s="11" t="s">
        <v>53</v>
      </c>
      <c r="C566" s="1"/>
      <c r="D566" s="2">
        <v>0.0</v>
      </c>
      <c r="E566" s="2">
        <v>0.0</v>
      </c>
      <c r="F566" s="50">
        <v>0.0</v>
      </c>
      <c r="G566" s="2"/>
      <c r="H566" s="33"/>
      <c r="I566" s="33"/>
      <c r="J566" s="33"/>
      <c r="K566" s="33"/>
      <c r="L566" s="33"/>
      <c r="M566" s="4">
        <v>12.0</v>
      </c>
      <c r="N566" s="51">
        <v>1544000.0</v>
      </c>
      <c r="O566" s="35"/>
      <c r="P566" s="35"/>
      <c r="Q566" s="35"/>
      <c r="R566" s="35"/>
      <c r="S566" s="35"/>
      <c r="T566" s="35"/>
      <c r="U566" s="37"/>
      <c r="V566" s="48"/>
      <c r="W566" s="48"/>
      <c r="X566" s="37"/>
      <c r="Y566" s="48"/>
      <c r="Z566" s="48"/>
      <c r="AA566" s="48"/>
      <c r="AB566" s="2">
        <v>0.0</v>
      </c>
      <c r="AC566" s="33"/>
      <c r="AD566" s="50">
        <v>0.0</v>
      </c>
      <c r="AE566" s="33"/>
      <c r="AF566" s="33"/>
      <c r="AG566" s="33"/>
      <c r="AH566" s="33"/>
      <c r="AI566" s="33"/>
      <c r="AJ566" s="33"/>
      <c r="AK566" s="4">
        <v>0.0</v>
      </c>
      <c r="AL566" s="4">
        <v>0.0</v>
      </c>
      <c r="AM566" s="35"/>
      <c r="AN566" s="35"/>
      <c r="AO566" s="35"/>
      <c r="AP566" s="35"/>
      <c r="AQ566" s="35"/>
      <c r="AR566" s="35"/>
      <c r="AS566" s="37"/>
      <c r="AT566" s="48"/>
      <c r="AU566" s="48"/>
      <c r="AV566" s="48"/>
      <c r="AW566" s="48"/>
      <c r="AX566" s="48"/>
      <c r="AY566" s="48"/>
      <c r="AZ566" s="38"/>
      <c r="BA566" s="39"/>
      <c r="BB566" s="85"/>
      <c r="BC566" s="88"/>
    </row>
    <row r="567">
      <c r="A567" s="1">
        <v>2025.0</v>
      </c>
      <c r="B567" s="11" t="s">
        <v>53</v>
      </c>
      <c r="C567" s="1" t="s">
        <v>49</v>
      </c>
      <c r="D567" s="33">
        <f>SUM(D559:D565)</f>
        <v>0</v>
      </c>
      <c r="E567" s="34">
        <f>SUM(E559:E566)</f>
        <v>0</v>
      </c>
      <c r="F567" s="34">
        <f>SUM(F559:F565)</f>
        <v>0</v>
      </c>
      <c r="G567" s="34">
        <f>SUM(G559:G566)</f>
        <v>0</v>
      </c>
      <c r="H567" s="34">
        <f t="shared" ref="H567:L567" si="1162">SUM(H559:H565)</f>
        <v>0</v>
      </c>
      <c r="I567" s="34">
        <f t="shared" si="1162"/>
        <v>0</v>
      </c>
      <c r="J567" s="34">
        <f t="shared" si="1162"/>
        <v>0</v>
      </c>
      <c r="K567" s="34">
        <f t="shared" si="1162"/>
        <v>0</v>
      </c>
      <c r="L567" s="34">
        <f t="shared" si="1162"/>
        <v>0</v>
      </c>
      <c r="M567" s="35">
        <f t="shared" ref="M567:N567" si="1163">SUM(M559:M566)</f>
        <v>23</v>
      </c>
      <c r="N567" s="36">
        <f t="shared" si="1163"/>
        <v>3246621.4</v>
      </c>
      <c r="O567" s="36">
        <f t="shared" ref="O567:AA567" si="1164">SUM(O559:O565)</f>
        <v>68104.856</v>
      </c>
      <c r="P567" s="36">
        <f t="shared" si="1164"/>
        <v>28604.03952</v>
      </c>
      <c r="Q567" s="36">
        <f t="shared" si="1164"/>
        <v>9372</v>
      </c>
      <c r="R567" s="70">
        <f t="shared" si="1164"/>
        <v>2631.09</v>
      </c>
      <c r="S567" s="36">
        <f t="shared" si="1164"/>
        <v>4327.62</v>
      </c>
      <c r="T567" s="36">
        <f t="shared" si="1164"/>
        <v>1518</v>
      </c>
      <c r="U567" s="37">
        <f t="shared" si="1164"/>
        <v>0</v>
      </c>
      <c r="V567" s="37">
        <f t="shared" si="1164"/>
        <v>28604.03952</v>
      </c>
      <c r="W567" s="37">
        <f t="shared" si="1164"/>
        <v>2631.09</v>
      </c>
      <c r="X567" s="37">
        <f t="shared" si="1164"/>
        <v>0</v>
      </c>
      <c r="Y567" s="37">
        <f t="shared" si="1164"/>
        <v>68104.856</v>
      </c>
      <c r="Z567" s="37">
        <f t="shared" si="1164"/>
        <v>9372</v>
      </c>
      <c r="AA567" s="37">
        <f t="shared" si="1164"/>
        <v>108711.9855</v>
      </c>
      <c r="AB567" s="33">
        <f>SUM(AB559:AB566)</f>
        <v>0</v>
      </c>
      <c r="AC567" s="34">
        <f>SUM(AC559:AC565)</f>
        <v>0</v>
      </c>
      <c r="AD567" s="55">
        <f>SUM(AD559:AD566)</f>
        <v>0</v>
      </c>
      <c r="AE567" s="34">
        <f t="shared" ref="AE567:AJ567" si="1165">SUM(AE559:AE565)</f>
        <v>0</v>
      </c>
      <c r="AF567" s="34">
        <f t="shared" si="1165"/>
        <v>0</v>
      </c>
      <c r="AG567" s="34">
        <f t="shared" si="1165"/>
        <v>0</v>
      </c>
      <c r="AH567" s="34">
        <f t="shared" si="1165"/>
        <v>0</v>
      </c>
      <c r="AI567" s="34">
        <f t="shared" si="1165"/>
        <v>0</v>
      </c>
      <c r="AJ567" s="34">
        <f t="shared" si="1165"/>
        <v>0</v>
      </c>
      <c r="AK567" s="35">
        <f t="shared" ref="AK567:AL567" si="1166">SUM(AK559:AK566)</f>
        <v>0</v>
      </c>
      <c r="AL567" s="36">
        <f t="shared" si="1166"/>
        <v>0</v>
      </c>
      <c r="AM567" s="36">
        <f t="shared" ref="AM567:BB567" si="1167">SUM(AM559:AM565)</f>
        <v>0</v>
      </c>
      <c r="AN567" s="36">
        <f t="shared" si="1167"/>
        <v>0</v>
      </c>
      <c r="AO567" s="36">
        <f t="shared" si="1167"/>
        <v>0</v>
      </c>
      <c r="AP567" s="36">
        <f t="shared" si="1167"/>
        <v>0</v>
      </c>
      <c r="AQ567" s="36">
        <f t="shared" si="1167"/>
        <v>0</v>
      </c>
      <c r="AR567" s="36">
        <f t="shared" si="1167"/>
        <v>0</v>
      </c>
      <c r="AS567" s="37">
        <f t="shared" si="1167"/>
        <v>0</v>
      </c>
      <c r="AT567" s="37">
        <f t="shared" si="1167"/>
        <v>0</v>
      </c>
      <c r="AU567" s="37">
        <f t="shared" si="1167"/>
        <v>0</v>
      </c>
      <c r="AV567" s="37">
        <f t="shared" si="1167"/>
        <v>0</v>
      </c>
      <c r="AW567" s="37">
        <f t="shared" si="1167"/>
        <v>0</v>
      </c>
      <c r="AX567" s="37">
        <f t="shared" si="1167"/>
        <v>0</v>
      </c>
      <c r="AY567" s="37">
        <f t="shared" si="1167"/>
        <v>0</v>
      </c>
      <c r="AZ567" s="38">
        <f t="shared" si="1167"/>
        <v>0</v>
      </c>
      <c r="BA567" s="39">
        <f t="shared" si="1167"/>
        <v>0</v>
      </c>
      <c r="BB567" s="85">
        <f t="shared" si="1167"/>
        <v>0</v>
      </c>
      <c r="BC567" s="85">
        <f>SUM(BC559:BC566)</f>
        <v>0</v>
      </c>
    </row>
    <row r="568">
      <c r="A568" s="89"/>
      <c r="B568" s="89"/>
      <c r="C568" s="89"/>
      <c r="D568" s="90"/>
      <c r="E568" s="82"/>
      <c r="F568" s="82"/>
      <c r="G568" s="82"/>
      <c r="H568" s="82"/>
      <c r="I568" s="82"/>
      <c r="J568" s="82"/>
      <c r="K568" s="82"/>
      <c r="L568" s="82"/>
      <c r="M568" s="91"/>
      <c r="N568" s="83"/>
      <c r="O568" s="83"/>
      <c r="P568" s="83"/>
      <c r="Q568" s="83"/>
      <c r="R568" s="83"/>
      <c r="S568" s="83"/>
      <c r="T568" s="83"/>
      <c r="U568" s="32"/>
      <c r="V568" s="32"/>
      <c r="W568" s="32"/>
      <c r="X568" s="32"/>
      <c r="Y568" s="32"/>
      <c r="Z568" s="18"/>
      <c r="AA568" s="18"/>
      <c r="AZ568" s="92"/>
      <c r="BA568" s="21"/>
      <c r="BB568" s="93"/>
      <c r="BC568" s="93"/>
    </row>
    <row r="569">
      <c r="A569" s="89"/>
      <c r="B569" s="89"/>
      <c r="C569" s="89"/>
      <c r="D569" s="90"/>
      <c r="E569" s="82"/>
      <c r="F569" s="82"/>
      <c r="G569" s="82"/>
      <c r="H569" s="82"/>
      <c r="I569" s="82"/>
      <c r="J569" s="82"/>
      <c r="K569" s="82"/>
      <c r="L569" s="82"/>
      <c r="M569" s="91"/>
      <c r="N569" s="83"/>
      <c r="O569" s="83"/>
      <c r="P569" s="83"/>
      <c r="Q569" s="83"/>
      <c r="R569" s="83"/>
      <c r="S569" s="83"/>
      <c r="T569" s="83"/>
      <c r="U569" s="32"/>
      <c r="V569" s="32"/>
      <c r="W569" s="32"/>
      <c r="X569" s="32"/>
      <c r="Y569" s="32"/>
      <c r="Z569" s="18"/>
      <c r="AA569" s="18"/>
      <c r="AZ569" s="92"/>
      <c r="BA569" s="21"/>
      <c r="BB569" s="93"/>
      <c r="BC569" s="93"/>
    </row>
    <row r="570">
      <c r="A570" s="89"/>
      <c r="B570" s="89"/>
      <c r="C570" s="89"/>
      <c r="D570" s="90"/>
      <c r="E570" s="82"/>
      <c r="F570" s="82"/>
      <c r="G570" s="82"/>
      <c r="H570" s="82"/>
      <c r="I570" s="82"/>
      <c r="J570" s="82"/>
      <c r="K570" s="82"/>
      <c r="L570" s="82"/>
      <c r="M570" s="91"/>
      <c r="N570" s="83"/>
      <c r="O570" s="83"/>
      <c r="P570" s="83"/>
      <c r="Q570" s="83"/>
      <c r="R570" s="83"/>
      <c r="S570" s="83"/>
      <c r="T570" s="83"/>
      <c r="U570" s="32"/>
      <c r="V570" s="32"/>
      <c r="W570" s="32"/>
      <c r="X570" s="32"/>
      <c r="Y570" s="32"/>
      <c r="Z570" s="18"/>
      <c r="AA570" s="18"/>
      <c r="AZ570" s="92"/>
      <c r="BA570" s="21"/>
      <c r="BB570" s="93"/>
      <c r="BC570" s="93"/>
    </row>
    <row r="571">
      <c r="A571" s="89"/>
      <c r="B571" s="89"/>
      <c r="C571" s="89"/>
      <c r="D571" s="90"/>
      <c r="E571" s="82"/>
      <c r="F571" s="82"/>
      <c r="G571" s="82"/>
      <c r="H571" s="82"/>
      <c r="I571" s="82"/>
      <c r="J571" s="82"/>
      <c r="K571" s="82"/>
      <c r="L571" s="82"/>
      <c r="M571" s="91"/>
      <c r="N571" s="83"/>
      <c r="O571" s="83"/>
      <c r="P571" s="83"/>
      <c r="Q571" s="83"/>
      <c r="R571" s="83"/>
      <c r="S571" s="83"/>
      <c r="T571" s="83"/>
      <c r="U571" s="32"/>
      <c r="V571" s="32"/>
      <c r="W571" s="32"/>
      <c r="X571" s="32"/>
      <c r="Y571" s="32"/>
      <c r="Z571" s="18"/>
      <c r="AA571" s="18"/>
      <c r="AZ571" s="92"/>
      <c r="BA571" s="21"/>
      <c r="BB571" s="93"/>
      <c r="BC571" s="93"/>
    </row>
    <row r="572">
      <c r="A572" s="89"/>
      <c r="B572" s="89"/>
      <c r="C572" s="89"/>
      <c r="D572" s="90"/>
      <c r="E572" s="82"/>
      <c r="F572" s="82"/>
      <c r="G572" s="82"/>
      <c r="H572" s="82"/>
      <c r="I572" s="82"/>
      <c r="J572" s="82"/>
      <c r="K572" s="82"/>
      <c r="L572" s="82"/>
      <c r="M572" s="91"/>
      <c r="N572" s="83"/>
      <c r="O572" s="83"/>
      <c r="P572" s="83"/>
      <c r="Q572" s="83"/>
      <c r="R572" s="83"/>
      <c r="S572" s="83"/>
      <c r="T572" s="83"/>
      <c r="U572" s="32"/>
      <c r="V572" s="32"/>
      <c r="W572" s="32"/>
      <c r="X572" s="32"/>
      <c r="Y572" s="32"/>
      <c r="Z572" s="18"/>
      <c r="AA572" s="18"/>
      <c r="AZ572" s="92"/>
      <c r="BA572" s="21"/>
      <c r="BB572" s="93"/>
      <c r="BC572" s="93"/>
    </row>
    <row r="573">
      <c r="A573" s="89"/>
      <c r="B573" s="89"/>
      <c r="C573" s="89"/>
      <c r="D573" s="90"/>
      <c r="E573" s="82"/>
      <c r="F573" s="82"/>
      <c r="G573" s="82"/>
      <c r="H573" s="82"/>
      <c r="I573" s="82"/>
      <c r="J573" s="82"/>
      <c r="K573" s="82"/>
      <c r="L573" s="82"/>
      <c r="M573" s="91"/>
      <c r="N573" s="83"/>
      <c r="O573" s="83"/>
      <c r="P573" s="83"/>
      <c r="Q573" s="83"/>
      <c r="R573" s="83"/>
      <c r="S573" s="83"/>
      <c r="T573" s="83"/>
      <c r="U573" s="32"/>
      <c r="V573" s="32"/>
      <c r="W573" s="32"/>
      <c r="X573" s="32"/>
      <c r="Y573" s="32"/>
      <c r="Z573" s="18"/>
      <c r="AA573" s="18"/>
      <c r="AZ573" s="92"/>
      <c r="BA573" s="21"/>
      <c r="BB573" s="93"/>
      <c r="BC573" s="93"/>
    </row>
    <row r="574">
      <c r="A574" s="89"/>
      <c r="B574" s="89"/>
      <c r="C574" s="89"/>
      <c r="D574" s="90"/>
      <c r="E574" s="82"/>
      <c r="F574" s="82"/>
      <c r="G574" s="82"/>
      <c r="H574" s="82"/>
      <c r="I574" s="82"/>
      <c r="J574" s="82"/>
      <c r="K574" s="82"/>
      <c r="L574" s="82"/>
      <c r="M574" s="91"/>
      <c r="N574" s="83"/>
      <c r="O574" s="83"/>
      <c r="P574" s="83"/>
      <c r="Q574" s="83"/>
      <c r="R574" s="83"/>
      <c r="S574" s="83"/>
      <c r="T574" s="83"/>
      <c r="U574" s="32"/>
      <c r="V574" s="32"/>
      <c r="W574" s="32"/>
      <c r="X574" s="32"/>
      <c r="Y574" s="32"/>
      <c r="Z574" s="18"/>
      <c r="AA574" s="18"/>
      <c r="AZ574" s="92"/>
      <c r="BA574" s="21"/>
      <c r="BB574" s="93"/>
      <c r="BC574" s="93"/>
    </row>
    <row r="575">
      <c r="A575" s="89"/>
      <c r="B575" s="89"/>
      <c r="C575" s="89"/>
      <c r="D575" s="90"/>
      <c r="E575" s="82"/>
      <c r="F575" s="82"/>
      <c r="G575" s="82"/>
      <c r="H575" s="82"/>
      <c r="I575" s="82"/>
      <c r="J575" s="82"/>
      <c r="K575" s="82"/>
      <c r="L575" s="82"/>
      <c r="M575" s="91"/>
      <c r="N575" s="83"/>
      <c r="O575" s="83"/>
      <c r="P575" s="83"/>
      <c r="Q575" s="83"/>
      <c r="R575" s="83"/>
      <c r="S575" s="83"/>
      <c r="T575" s="83"/>
      <c r="U575" s="32"/>
      <c r="V575" s="32"/>
      <c r="W575" s="32"/>
      <c r="X575" s="32"/>
      <c r="Y575" s="32"/>
      <c r="Z575" s="18"/>
      <c r="AA575" s="18"/>
      <c r="AZ575" s="92"/>
      <c r="BA575" s="21"/>
      <c r="BB575" s="93"/>
      <c r="BC575" s="93"/>
    </row>
    <row r="576">
      <c r="A576" s="89"/>
      <c r="B576" s="89"/>
      <c r="C576" s="89"/>
      <c r="D576" s="90"/>
      <c r="E576" s="82"/>
      <c r="F576" s="82"/>
      <c r="G576" s="82"/>
      <c r="H576" s="82"/>
      <c r="I576" s="82"/>
      <c r="J576" s="82"/>
      <c r="K576" s="82"/>
      <c r="L576" s="82"/>
      <c r="M576" s="91"/>
      <c r="N576" s="83"/>
      <c r="O576" s="83"/>
      <c r="P576" s="83"/>
      <c r="Q576" s="83"/>
      <c r="R576" s="83"/>
      <c r="S576" s="83"/>
      <c r="T576" s="83"/>
      <c r="U576" s="32"/>
      <c r="V576" s="32"/>
      <c r="W576" s="32"/>
      <c r="X576" s="32"/>
      <c r="Y576" s="32"/>
      <c r="Z576" s="18"/>
      <c r="AA576" s="18"/>
      <c r="AZ576" s="92"/>
      <c r="BA576" s="21"/>
      <c r="BB576" s="93"/>
      <c r="BC576" s="93"/>
    </row>
    <row r="577">
      <c r="A577" s="89"/>
      <c r="B577" s="89"/>
      <c r="C577" s="89"/>
      <c r="D577" s="90"/>
      <c r="E577" s="82"/>
      <c r="F577" s="82"/>
      <c r="G577" s="82"/>
      <c r="H577" s="82"/>
      <c r="I577" s="82"/>
      <c r="J577" s="82"/>
      <c r="K577" s="82"/>
      <c r="L577" s="82"/>
      <c r="M577" s="91"/>
      <c r="N577" s="83"/>
      <c r="O577" s="83"/>
      <c r="P577" s="83"/>
      <c r="Q577" s="83"/>
      <c r="R577" s="83"/>
      <c r="S577" s="83"/>
      <c r="T577" s="83"/>
      <c r="U577" s="32"/>
      <c r="V577" s="32"/>
      <c r="W577" s="32"/>
      <c r="X577" s="32"/>
      <c r="Y577" s="32"/>
      <c r="Z577" s="18"/>
      <c r="AA577" s="18"/>
      <c r="AZ577" s="92"/>
      <c r="BA577" s="21"/>
      <c r="BB577" s="93"/>
      <c r="BC577" s="93"/>
    </row>
    <row r="578">
      <c r="A578" s="89"/>
      <c r="B578" s="89"/>
      <c r="C578" s="89"/>
      <c r="D578" s="90"/>
      <c r="E578" s="82"/>
      <c r="F578" s="82"/>
      <c r="G578" s="82"/>
      <c r="H578" s="82"/>
      <c r="I578" s="82"/>
      <c r="J578" s="82"/>
      <c r="K578" s="82"/>
      <c r="L578" s="82"/>
      <c r="M578" s="91"/>
      <c r="N578" s="83"/>
      <c r="O578" s="83"/>
      <c r="P578" s="83"/>
      <c r="Q578" s="83"/>
      <c r="R578" s="83"/>
      <c r="S578" s="83"/>
      <c r="T578" s="83"/>
      <c r="U578" s="32"/>
      <c r="V578" s="32"/>
      <c r="W578" s="32"/>
      <c r="X578" s="32"/>
      <c r="Y578" s="32"/>
      <c r="Z578" s="18"/>
      <c r="AA578" s="18"/>
      <c r="AZ578" s="92"/>
      <c r="BA578" s="21"/>
      <c r="BB578" s="93"/>
      <c r="BC578" s="93"/>
    </row>
    <row r="579">
      <c r="A579" s="89"/>
      <c r="B579" s="89"/>
      <c r="C579" s="89"/>
      <c r="D579" s="90"/>
      <c r="E579" s="82"/>
      <c r="F579" s="82"/>
      <c r="G579" s="82"/>
      <c r="H579" s="82"/>
      <c r="I579" s="82"/>
      <c r="J579" s="82"/>
      <c r="K579" s="82"/>
      <c r="L579" s="82"/>
      <c r="M579" s="91"/>
      <c r="N579" s="83"/>
      <c r="O579" s="83"/>
      <c r="P579" s="83"/>
      <c r="Q579" s="83"/>
      <c r="R579" s="83"/>
      <c r="S579" s="83"/>
      <c r="T579" s="83"/>
      <c r="U579" s="32"/>
      <c r="V579" s="32"/>
      <c r="W579" s="32"/>
      <c r="X579" s="32"/>
      <c r="Y579" s="32"/>
      <c r="Z579" s="18"/>
      <c r="AA579" s="18"/>
      <c r="AZ579" s="92"/>
      <c r="BA579" s="21"/>
      <c r="BB579" s="93"/>
      <c r="BC579" s="93"/>
    </row>
    <row r="580">
      <c r="A580" s="89"/>
      <c r="B580" s="89"/>
      <c r="C580" s="89"/>
      <c r="D580" s="90"/>
      <c r="E580" s="82"/>
      <c r="F580" s="82"/>
      <c r="G580" s="82"/>
      <c r="H580" s="82"/>
      <c r="I580" s="82"/>
      <c r="J580" s="82"/>
      <c r="K580" s="82"/>
      <c r="L580" s="82"/>
      <c r="M580" s="91"/>
      <c r="N580" s="83"/>
      <c r="O580" s="83"/>
      <c r="P580" s="83"/>
      <c r="Q580" s="83"/>
      <c r="R580" s="83"/>
      <c r="S580" s="83"/>
      <c r="T580" s="83"/>
      <c r="U580" s="32"/>
      <c r="V580" s="32"/>
      <c r="W580" s="32"/>
      <c r="X580" s="32"/>
      <c r="Y580" s="32"/>
      <c r="Z580" s="18"/>
      <c r="AA580" s="18"/>
      <c r="AZ580" s="92"/>
      <c r="BA580" s="21"/>
      <c r="BB580" s="93"/>
      <c r="BC580" s="93"/>
    </row>
    <row r="581">
      <c r="A581" s="89"/>
      <c r="B581" s="89"/>
      <c r="C581" s="89"/>
      <c r="D581" s="90"/>
      <c r="E581" s="82"/>
      <c r="F581" s="82"/>
      <c r="G581" s="82"/>
      <c r="H581" s="82"/>
      <c r="I581" s="82"/>
      <c r="J581" s="82"/>
      <c r="K581" s="82"/>
      <c r="L581" s="82"/>
      <c r="M581" s="91"/>
      <c r="N581" s="83"/>
      <c r="O581" s="83"/>
      <c r="P581" s="83"/>
      <c r="Q581" s="83"/>
      <c r="R581" s="83"/>
      <c r="S581" s="83"/>
      <c r="T581" s="83"/>
      <c r="U581" s="32"/>
      <c r="V581" s="32"/>
      <c r="W581" s="32"/>
      <c r="X581" s="32"/>
      <c r="Y581" s="32"/>
      <c r="Z581" s="18"/>
      <c r="AA581" s="18"/>
      <c r="AZ581" s="92"/>
      <c r="BA581" s="21"/>
      <c r="BB581" s="93"/>
      <c r="BC581" s="93"/>
    </row>
    <row r="582">
      <c r="A582" s="89"/>
      <c r="B582" s="89"/>
      <c r="C582" s="89"/>
      <c r="D582" s="90"/>
      <c r="E582" s="82"/>
      <c r="F582" s="82"/>
      <c r="G582" s="82"/>
      <c r="H582" s="82"/>
      <c r="I582" s="82"/>
      <c r="J582" s="82"/>
      <c r="K582" s="82"/>
      <c r="L582" s="82"/>
      <c r="M582" s="91"/>
      <c r="N582" s="83"/>
      <c r="O582" s="83"/>
      <c r="P582" s="83"/>
      <c r="Q582" s="83"/>
      <c r="R582" s="83"/>
      <c r="S582" s="83"/>
      <c r="T582" s="83"/>
      <c r="U582" s="32"/>
      <c r="V582" s="32"/>
      <c r="W582" s="32"/>
      <c r="X582" s="32"/>
      <c r="Y582" s="32"/>
      <c r="Z582" s="18"/>
      <c r="AA582" s="18"/>
      <c r="AZ582" s="92"/>
      <c r="BA582" s="21"/>
      <c r="BB582" s="93"/>
      <c r="BC582" s="93"/>
    </row>
    <row r="583">
      <c r="A583" s="89"/>
      <c r="B583" s="89"/>
      <c r="C583" s="89"/>
      <c r="D583" s="90"/>
      <c r="E583" s="82"/>
      <c r="F583" s="82"/>
      <c r="G583" s="82"/>
      <c r="H583" s="82"/>
      <c r="I583" s="82"/>
      <c r="J583" s="82"/>
      <c r="K583" s="82"/>
      <c r="L583" s="82"/>
      <c r="M583" s="91"/>
      <c r="N583" s="83"/>
      <c r="O583" s="83"/>
      <c r="P583" s="83"/>
      <c r="Q583" s="83"/>
      <c r="R583" s="83"/>
      <c r="S583" s="83"/>
      <c r="T583" s="83"/>
      <c r="U583" s="32"/>
      <c r="V583" s="32"/>
      <c r="W583" s="32"/>
      <c r="X583" s="32"/>
      <c r="Y583" s="32"/>
      <c r="Z583" s="18"/>
      <c r="AA583" s="18"/>
      <c r="AZ583" s="92"/>
      <c r="BA583" s="21"/>
      <c r="BB583" s="93"/>
      <c r="BC583" s="93"/>
    </row>
    <row r="584">
      <c r="A584" s="89"/>
      <c r="B584" s="89"/>
      <c r="C584" s="89"/>
      <c r="D584" s="90"/>
      <c r="E584" s="82"/>
      <c r="F584" s="82"/>
      <c r="G584" s="82"/>
      <c r="H584" s="82"/>
      <c r="I584" s="82"/>
      <c r="J584" s="82"/>
      <c r="K584" s="82"/>
      <c r="L584" s="82"/>
      <c r="M584" s="91"/>
      <c r="N584" s="83"/>
      <c r="O584" s="83"/>
      <c r="P584" s="83"/>
      <c r="Q584" s="83"/>
      <c r="R584" s="83"/>
      <c r="S584" s="83"/>
      <c r="T584" s="83"/>
      <c r="U584" s="32"/>
      <c r="V584" s="32"/>
      <c r="W584" s="32"/>
      <c r="X584" s="32"/>
      <c r="Y584" s="32"/>
      <c r="Z584" s="18"/>
      <c r="AA584" s="18"/>
      <c r="AZ584" s="92"/>
      <c r="BA584" s="21"/>
      <c r="BB584" s="93"/>
      <c r="BC584" s="93"/>
    </row>
    <row r="585">
      <c r="A585" s="89"/>
      <c r="B585" s="89"/>
      <c r="C585" s="89"/>
      <c r="D585" s="90"/>
      <c r="E585" s="82"/>
      <c r="F585" s="82"/>
      <c r="G585" s="82"/>
      <c r="H585" s="82"/>
      <c r="I585" s="82"/>
      <c r="J585" s="82"/>
      <c r="K585" s="82"/>
      <c r="L585" s="82"/>
      <c r="M585" s="91"/>
      <c r="N585" s="83"/>
      <c r="O585" s="83"/>
      <c r="P585" s="83"/>
      <c r="Q585" s="83"/>
      <c r="R585" s="83"/>
      <c r="S585" s="83"/>
      <c r="T585" s="83"/>
      <c r="U585" s="32"/>
      <c r="V585" s="32"/>
      <c r="W585" s="32"/>
      <c r="X585" s="32"/>
      <c r="Y585" s="32"/>
      <c r="Z585" s="18"/>
      <c r="AA585" s="18"/>
      <c r="AZ585" s="92"/>
      <c r="BA585" s="21"/>
      <c r="BB585" s="93"/>
      <c r="BC585" s="93"/>
    </row>
    <row r="586">
      <c r="A586" s="89"/>
      <c r="B586" s="89"/>
      <c r="C586" s="89"/>
      <c r="D586" s="90"/>
      <c r="E586" s="82"/>
      <c r="F586" s="82"/>
      <c r="G586" s="82"/>
      <c r="H586" s="82"/>
      <c r="I586" s="82"/>
      <c r="J586" s="82"/>
      <c r="K586" s="82"/>
      <c r="L586" s="82"/>
      <c r="M586" s="91"/>
      <c r="N586" s="83"/>
      <c r="O586" s="83"/>
      <c r="P586" s="83"/>
      <c r="Q586" s="83"/>
      <c r="R586" s="83"/>
      <c r="S586" s="83"/>
      <c r="T586" s="83"/>
      <c r="U586" s="32"/>
      <c r="V586" s="32"/>
      <c r="W586" s="32"/>
      <c r="X586" s="32"/>
      <c r="Y586" s="32"/>
      <c r="Z586" s="18"/>
      <c r="AA586" s="18"/>
      <c r="AZ586" s="92"/>
      <c r="BA586" s="21"/>
      <c r="BB586" s="93"/>
      <c r="BC586" s="93"/>
    </row>
    <row r="587">
      <c r="A587" s="89"/>
      <c r="B587" s="89"/>
      <c r="C587" s="89"/>
      <c r="D587" s="90"/>
      <c r="E587" s="82"/>
      <c r="F587" s="82"/>
      <c r="G587" s="82"/>
      <c r="H587" s="82"/>
      <c r="I587" s="82"/>
      <c r="J587" s="82"/>
      <c r="K587" s="82"/>
      <c r="L587" s="82"/>
      <c r="M587" s="91"/>
      <c r="N587" s="83"/>
      <c r="O587" s="83"/>
      <c r="P587" s="83"/>
      <c r="Q587" s="83"/>
      <c r="R587" s="83"/>
      <c r="S587" s="83"/>
      <c r="T587" s="83"/>
      <c r="U587" s="32"/>
      <c r="V587" s="32"/>
      <c r="W587" s="32"/>
      <c r="X587" s="32"/>
      <c r="Y587" s="32"/>
      <c r="Z587" s="18"/>
      <c r="AA587" s="18"/>
      <c r="AZ587" s="92"/>
      <c r="BA587" s="21"/>
      <c r="BB587" s="93"/>
      <c r="BC587" s="93"/>
    </row>
    <row r="588">
      <c r="A588" s="89"/>
      <c r="B588" s="89"/>
      <c r="C588" s="89"/>
      <c r="D588" s="90"/>
      <c r="E588" s="82"/>
      <c r="F588" s="82"/>
      <c r="G588" s="82"/>
      <c r="H588" s="82"/>
      <c r="I588" s="82"/>
      <c r="J588" s="82"/>
      <c r="K588" s="82"/>
      <c r="L588" s="82"/>
      <c r="M588" s="91"/>
      <c r="N588" s="83"/>
      <c r="O588" s="83"/>
      <c r="P588" s="83"/>
      <c r="Q588" s="83"/>
      <c r="R588" s="83"/>
      <c r="S588" s="83"/>
      <c r="T588" s="83"/>
      <c r="U588" s="32"/>
      <c r="V588" s="32"/>
      <c r="W588" s="32"/>
      <c r="X588" s="32"/>
      <c r="Y588" s="32"/>
      <c r="Z588" s="18"/>
      <c r="AA588" s="18"/>
      <c r="AZ588" s="92"/>
      <c r="BA588" s="21"/>
      <c r="BB588" s="93"/>
      <c r="BC588" s="93"/>
    </row>
    <row r="589">
      <c r="A589" s="89"/>
      <c r="B589" s="89"/>
      <c r="C589" s="89"/>
      <c r="D589" s="90"/>
      <c r="E589" s="82"/>
      <c r="F589" s="82"/>
      <c r="G589" s="82"/>
      <c r="H589" s="82"/>
      <c r="I589" s="82"/>
      <c r="J589" s="82"/>
      <c r="K589" s="82"/>
      <c r="L589" s="82"/>
      <c r="M589" s="91"/>
      <c r="N589" s="83"/>
      <c r="O589" s="83"/>
      <c r="P589" s="83"/>
      <c r="Q589" s="83"/>
      <c r="R589" s="83"/>
      <c r="S589" s="83"/>
      <c r="T589" s="83"/>
      <c r="U589" s="32"/>
      <c r="V589" s="32"/>
      <c r="W589" s="32"/>
      <c r="X589" s="32"/>
      <c r="Y589" s="32"/>
      <c r="Z589" s="18"/>
      <c r="AA589" s="18"/>
      <c r="AZ589" s="92"/>
      <c r="BA589" s="21"/>
      <c r="BB589" s="93"/>
      <c r="BC589" s="93"/>
    </row>
    <row r="590">
      <c r="A590" s="89"/>
      <c r="B590" s="89"/>
      <c r="C590" s="89"/>
      <c r="D590" s="90"/>
      <c r="E590" s="82"/>
      <c r="F590" s="82"/>
      <c r="G590" s="82"/>
      <c r="H590" s="82"/>
      <c r="I590" s="82"/>
      <c r="J590" s="82"/>
      <c r="K590" s="82"/>
      <c r="L590" s="82"/>
      <c r="M590" s="91"/>
      <c r="N590" s="83"/>
      <c r="O590" s="83"/>
      <c r="P590" s="83"/>
      <c r="Q590" s="83"/>
      <c r="R590" s="83"/>
      <c r="S590" s="83"/>
      <c r="T590" s="83"/>
      <c r="U590" s="32"/>
      <c r="V590" s="32"/>
      <c r="W590" s="32"/>
      <c r="X590" s="32"/>
      <c r="Y590" s="32"/>
      <c r="Z590" s="18"/>
      <c r="AA590" s="18"/>
      <c r="AZ590" s="92"/>
      <c r="BA590" s="21"/>
      <c r="BB590" s="93"/>
      <c r="BC590" s="93"/>
    </row>
    <row r="591">
      <c r="A591" s="89"/>
      <c r="B591" s="89"/>
      <c r="C591" s="89"/>
      <c r="D591" s="90"/>
      <c r="E591" s="82"/>
      <c r="F591" s="82"/>
      <c r="G591" s="82"/>
      <c r="H591" s="82"/>
      <c r="I591" s="82"/>
      <c r="J591" s="82"/>
      <c r="K591" s="82"/>
      <c r="L591" s="82"/>
      <c r="M591" s="91"/>
      <c r="N591" s="83"/>
      <c r="O591" s="83"/>
      <c r="P591" s="83"/>
      <c r="Q591" s="83"/>
      <c r="R591" s="83"/>
      <c r="S591" s="83"/>
      <c r="T591" s="83"/>
      <c r="U591" s="32"/>
      <c r="V591" s="32"/>
      <c r="W591" s="32"/>
      <c r="X591" s="32"/>
      <c r="Y591" s="32"/>
      <c r="Z591" s="18"/>
      <c r="AA591" s="18"/>
      <c r="AZ591" s="92"/>
      <c r="BA591" s="21"/>
      <c r="BB591" s="93"/>
      <c r="BC591" s="93"/>
    </row>
    <row r="592">
      <c r="A592" s="89"/>
      <c r="B592" s="89"/>
      <c r="C592" s="89"/>
      <c r="D592" s="90"/>
      <c r="E592" s="82"/>
      <c r="F592" s="82"/>
      <c r="G592" s="82"/>
      <c r="H592" s="82"/>
      <c r="I592" s="82"/>
      <c r="J592" s="82"/>
      <c r="K592" s="82"/>
      <c r="L592" s="82"/>
      <c r="M592" s="91"/>
      <c r="N592" s="83"/>
      <c r="O592" s="83"/>
      <c r="P592" s="83"/>
      <c r="Q592" s="83"/>
      <c r="R592" s="83"/>
      <c r="S592" s="83"/>
      <c r="T592" s="83"/>
      <c r="U592" s="32"/>
      <c r="V592" s="32"/>
      <c r="W592" s="32"/>
      <c r="X592" s="32"/>
      <c r="Y592" s="32"/>
      <c r="Z592" s="18"/>
      <c r="AA592" s="18"/>
      <c r="AZ592" s="92"/>
      <c r="BA592" s="21"/>
      <c r="BB592" s="93"/>
      <c r="BC592" s="93"/>
    </row>
    <row r="593">
      <c r="A593" s="89"/>
      <c r="B593" s="89"/>
      <c r="C593" s="89"/>
      <c r="D593" s="90"/>
      <c r="E593" s="82"/>
      <c r="F593" s="82"/>
      <c r="G593" s="82"/>
      <c r="H593" s="82"/>
      <c r="I593" s="82"/>
      <c r="J593" s="82"/>
      <c r="K593" s="82"/>
      <c r="L593" s="82"/>
      <c r="M593" s="91"/>
      <c r="N593" s="83"/>
      <c r="O593" s="83"/>
      <c r="P593" s="83"/>
      <c r="Q593" s="83"/>
      <c r="R593" s="83"/>
      <c r="S593" s="83"/>
      <c r="T593" s="83"/>
      <c r="U593" s="32"/>
      <c r="V593" s="32"/>
      <c r="W593" s="32"/>
      <c r="X593" s="32"/>
      <c r="Y593" s="32"/>
      <c r="Z593" s="18"/>
      <c r="AA593" s="18"/>
      <c r="AZ593" s="92"/>
      <c r="BA593" s="21"/>
      <c r="BB593" s="93"/>
      <c r="BC593" s="93"/>
    </row>
    <row r="594">
      <c r="A594" s="89"/>
      <c r="B594" s="89"/>
      <c r="C594" s="89"/>
      <c r="D594" s="90"/>
      <c r="E594" s="82"/>
      <c r="F594" s="82"/>
      <c r="G594" s="82"/>
      <c r="H594" s="82"/>
      <c r="I594" s="82"/>
      <c r="J594" s="82"/>
      <c r="K594" s="82"/>
      <c r="L594" s="82"/>
      <c r="M594" s="91"/>
      <c r="N594" s="83"/>
      <c r="O594" s="83"/>
      <c r="P594" s="83"/>
      <c r="Q594" s="83"/>
      <c r="R594" s="83"/>
      <c r="S594" s="83"/>
      <c r="T594" s="83"/>
      <c r="U594" s="32"/>
      <c r="V594" s="32"/>
      <c r="W594" s="32"/>
      <c r="X594" s="32"/>
      <c r="Y594" s="32"/>
      <c r="Z594" s="18"/>
      <c r="AA594" s="18"/>
      <c r="AZ594" s="92"/>
      <c r="BA594" s="21"/>
      <c r="BB594" s="93"/>
      <c r="BC594" s="93"/>
    </row>
    <row r="595">
      <c r="A595" s="89"/>
      <c r="B595" s="89"/>
      <c r="C595" s="89"/>
      <c r="D595" s="90"/>
      <c r="E595" s="82"/>
      <c r="F595" s="82"/>
      <c r="G595" s="82"/>
      <c r="H595" s="82"/>
      <c r="I595" s="82"/>
      <c r="J595" s="82"/>
      <c r="K595" s="82"/>
      <c r="L595" s="82"/>
      <c r="M595" s="91"/>
      <c r="N595" s="83"/>
      <c r="O595" s="83"/>
      <c r="P595" s="83"/>
      <c r="Q595" s="83"/>
      <c r="R595" s="83"/>
      <c r="S595" s="83"/>
      <c r="T595" s="83"/>
      <c r="U595" s="32"/>
      <c r="V595" s="32"/>
      <c r="W595" s="32"/>
      <c r="X595" s="32"/>
      <c r="Y595" s="32"/>
      <c r="Z595" s="18"/>
      <c r="AA595" s="18"/>
      <c r="AZ595" s="92"/>
      <c r="BA595" s="21"/>
      <c r="BB595" s="93"/>
      <c r="BC595" s="93"/>
    </row>
    <row r="596">
      <c r="A596" s="89"/>
      <c r="B596" s="89"/>
      <c r="C596" s="89"/>
      <c r="D596" s="90"/>
      <c r="E596" s="82"/>
      <c r="F596" s="82"/>
      <c r="G596" s="82"/>
      <c r="H596" s="82"/>
      <c r="I596" s="82"/>
      <c r="J596" s="82"/>
      <c r="K596" s="82"/>
      <c r="L596" s="82"/>
      <c r="M596" s="91"/>
      <c r="N596" s="83"/>
      <c r="O596" s="83"/>
      <c r="P596" s="83"/>
      <c r="Q596" s="83"/>
      <c r="R596" s="83"/>
      <c r="S596" s="83"/>
      <c r="T596" s="83"/>
      <c r="U596" s="32"/>
      <c r="V596" s="32"/>
      <c r="W596" s="32"/>
      <c r="X596" s="32"/>
      <c r="Y596" s="32"/>
      <c r="Z596" s="18"/>
      <c r="AA596" s="18"/>
      <c r="AZ596" s="92"/>
      <c r="BA596" s="21"/>
      <c r="BB596" s="93"/>
      <c r="BC596" s="93"/>
    </row>
    <row r="597">
      <c r="A597" s="89"/>
      <c r="B597" s="89"/>
      <c r="C597" s="89"/>
      <c r="D597" s="90"/>
      <c r="E597" s="82"/>
      <c r="F597" s="82"/>
      <c r="G597" s="82"/>
      <c r="H597" s="82"/>
      <c r="I597" s="82"/>
      <c r="J597" s="82"/>
      <c r="K597" s="82"/>
      <c r="L597" s="82"/>
      <c r="M597" s="91"/>
      <c r="N597" s="83"/>
      <c r="O597" s="83"/>
      <c r="P597" s="83"/>
      <c r="Q597" s="83"/>
      <c r="R597" s="83"/>
      <c r="S597" s="83"/>
      <c r="T597" s="83"/>
      <c r="U597" s="32"/>
      <c r="V597" s="32"/>
      <c r="W597" s="32"/>
      <c r="X597" s="32"/>
      <c r="Y597" s="32"/>
      <c r="Z597" s="18"/>
      <c r="AA597" s="18"/>
      <c r="AZ597" s="92"/>
      <c r="BA597" s="21"/>
      <c r="BB597" s="93"/>
      <c r="BC597" s="93"/>
    </row>
    <row r="598">
      <c r="A598" s="89"/>
      <c r="B598" s="89"/>
      <c r="C598" s="89"/>
      <c r="D598" s="90"/>
      <c r="E598" s="82"/>
      <c r="F598" s="82"/>
      <c r="G598" s="82"/>
      <c r="H598" s="82"/>
      <c r="I598" s="82"/>
      <c r="J598" s="82"/>
      <c r="K598" s="82"/>
      <c r="L598" s="82"/>
      <c r="M598" s="91"/>
      <c r="N598" s="83"/>
      <c r="O598" s="83"/>
      <c r="P598" s="83"/>
      <c r="Q598" s="83"/>
      <c r="R598" s="83"/>
      <c r="S598" s="83"/>
      <c r="T598" s="83"/>
      <c r="U598" s="32"/>
      <c r="V598" s="32"/>
      <c r="W598" s="32"/>
      <c r="X598" s="32"/>
      <c r="Y598" s="32"/>
      <c r="Z598" s="18"/>
      <c r="AA598" s="18"/>
      <c r="AZ598" s="92"/>
      <c r="BA598" s="21"/>
      <c r="BB598" s="93"/>
      <c r="BC598" s="93"/>
    </row>
    <row r="599">
      <c r="A599" s="89"/>
      <c r="B599" s="89"/>
      <c r="C599" s="89"/>
      <c r="D599" s="90"/>
      <c r="E599" s="82"/>
      <c r="F599" s="82"/>
      <c r="G599" s="82"/>
      <c r="H599" s="82"/>
      <c r="I599" s="82"/>
      <c r="J599" s="82"/>
      <c r="K599" s="82"/>
      <c r="L599" s="82"/>
      <c r="M599" s="91"/>
      <c r="N599" s="83"/>
      <c r="O599" s="83"/>
      <c r="P599" s="83"/>
      <c r="Q599" s="83"/>
      <c r="R599" s="83"/>
      <c r="S599" s="83"/>
      <c r="T599" s="83"/>
      <c r="U599" s="32"/>
      <c r="V599" s="32"/>
      <c r="W599" s="32"/>
      <c r="X599" s="32"/>
      <c r="Y599" s="32"/>
      <c r="Z599" s="18"/>
      <c r="AA599" s="18"/>
      <c r="AZ599" s="92"/>
      <c r="BA599" s="21"/>
      <c r="BB599" s="93"/>
      <c r="BC599" s="93"/>
    </row>
    <row r="600">
      <c r="A600" s="89"/>
      <c r="B600" s="89"/>
      <c r="C600" s="89"/>
      <c r="D600" s="90"/>
      <c r="E600" s="82"/>
      <c r="F600" s="82"/>
      <c r="G600" s="82"/>
      <c r="H600" s="82"/>
      <c r="I600" s="82"/>
      <c r="J600" s="82"/>
      <c r="K600" s="82"/>
      <c r="L600" s="82"/>
      <c r="M600" s="91"/>
      <c r="N600" s="83"/>
      <c r="O600" s="83"/>
      <c r="P600" s="83"/>
      <c r="Q600" s="83"/>
      <c r="R600" s="83"/>
      <c r="S600" s="83"/>
      <c r="T600" s="83"/>
      <c r="U600" s="32"/>
      <c r="V600" s="32"/>
      <c r="W600" s="32"/>
      <c r="X600" s="32"/>
      <c r="Y600" s="32"/>
      <c r="Z600" s="18"/>
      <c r="AA600" s="18"/>
      <c r="AZ600" s="92"/>
      <c r="BA600" s="21"/>
      <c r="BB600" s="93"/>
      <c r="BC600" s="93"/>
    </row>
    <row r="601">
      <c r="A601" s="89"/>
      <c r="B601" s="89"/>
      <c r="C601" s="89"/>
      <c r="D601" s="90"/>
      <c r="E601" s="82"/>
      <c r="F601" s="82"/>
      <c r="G601" s="82"/>
      <c r="H601" s="82"/>
      <c r="I601" s="82"/>
      <c r="J601" s="82"/>
      <c r="K601" s="82"/>
      <c r="L601" s="82"/>
      <c r="M601" s="91"/>
      <c r="N601" s="83"/>
      <c r="O601" s="83"/>
      <c r="P601" s="83"/>
      <c r="Q601" s="83"/>
      <c r="R601" s="83"/>
      <c r="S601" s="83"/>
      <c r="T601" s="83"/>
      <c r="U601" s="32"/>
      <c r="V601" s="32"/>
      <c r="W601" s="32"/>
      <c r="X601" s="32"/>
      <c r="Y601" s="32"/>
      <c r="Z601" s="18"/>
      <c r="AA601" s="18"/>
      <c r="AZ601" s="92"/>
      <c r="BA601" s="21"/>
      <c r="BB601" s="93"/>
      <c r="BC601" s="93"/>
    </row>
    <row r="602">
      <c r="A602" s="89"/>
      <c r="B602" s="89"/>
      <c r="C602" s="89"/>
      <c r="D602" s="90"/>
      <c r="E602" s="82"/>
      <c r="F602" s="82"/>
      <c r="G602" s="82"/>
      <c r="H602" s="82"/>
      <c r="I602" s="82"/>
      <c r="J602" s="82"/>
      <c r="K602" s="82"/>
      <c r="L602" s="82"/>
      <c r="M602" s="91"/>
      <c r="N602" s="83"/>
      <c r="O602" s="83"/>
      <c r="P602" s="83"/>
      <c r="Q602" s="83"/>
      <c r="R602" s="83"/>
      <c r="S602" s="83"/>
      <c r="T602" s="83"/>
      <c r="U602" s="32"/>
      <c r="V602" s="32"/>
      <c r="W602" s="32"/>
      <c r="X602" s="32"/>
      <c r="Y602" s="32"/>
      <c r="Z602" s="18"/>
      <c r="AA602" s="18"/>
      <c r="AZ602" s="92"/>
      <c r="BA602" s="21"/>
      <c r="BB602" s="93"/>
      <c r="BC602" s="93"/>
    </row>
    <row r="603">
      <c r="A603" s="89"/>
      <c r="B603" s="89"/>
      <c r="C603" s="89"/>
      <c r="D603" s="90"/>
      <c r="E603" s="82"/>
      <c r="F603" s="82"/>
      <c r="G603" s="82"/>
      <c r="H603" s="82"/>
      <c r="I603" s="82"/>
      <c r="J603" s="82"/>
      <c r="K603" s="82"/>
      <c r="L603" s="82"/>
      <c r="M603" s="91"/>
      <c r="N603" s="83"/>
      <c r="O603" s="83"/>
      <c r="P603" s="83"/>
      <c r="Q603" s="83"/>
      <c r="R603" s="83"/>
      <c r="S603" s="83"/>
      <c r="T603" s="83"/>
      <c r="U603" s="32"/>
      <c r="V603" s="32"/>
      <c r="W603" s="32"/>
      <c r="X603" s="32"/>
      <c r="Y603" s="32"/>
      <c r="Z603" s="18"/>
      <c r="AA603" s="18"/>
      <c r="AZ603" s="92"/>
      <c r="BA603" s="21"/>
      <c r="BB603" s="93"/>
      <c r="BC603" s="93"/>
    </row>
    <row r="604">
      <c r="A604" s="89"/>
      <c r="B604" s="89"/>
      <c r="C604" s="89"/>
      <c r="D604" s="90"/>
      <c r="E604" s="82"/>
      <c r="F604" s="82"/>
      <c r="G604" s="82"/>
      <c r="H604" s="82"/>
      <c r="I604" s="82"/>
      <c r="J604" s="82"/>
      <c r="K604" s="82"/>
      <c r="L604" s="82"/>
      <c r="M604" s="91"/>
      <c r="N604" s="83"/>
      <c r="O604" s="83"/>
      <c r="P604" s="83"/>
      <c r="Q604" s="83"/>
      <c r="R604" s="83"/>
      <c r="S604" s="83"/>
      <c r="T604" s="83"/>
      <c r="U604" s="32"/>
      <c r="V604" s="32"/>
      <c r="W604" s="32"/>
      <c r="X604" s="32"/>
      <c r="Y604" s="32"/>
      <c r="Z604" s="18"/>
      <c r="AA604" s="18"/>
      <c r="AZ604" s="92"/>
      <c r="BA604" s="21"/>
      <c r="BB604" s="93"/>
      <c r="BC604" s="93"/>
    </row>
    <row r="605">
      <c r="A605" s="89"/>
      <c r="B605" s="89"/>
      <c r="C605" s="89"/>
      <c r="D605" s="90"/>
      <c r="E605" s="82"/>
      <c r="F605" s="82"/>
      <c r="G605" s="82"/>
      <c r="H605" s="82"/>
      <c r="I605" s="82"/>
      <c r="J605" s="82"/>
      <c r="K605" s="82"/>
      <c r="L605" s="82"/>
      <c r="M605" s="91"/>
      <c r="N605" s="83"/>
      <c r="O605" s="83"/>
      <c r="P605" s="83"/>
      <c r="Q605" s="83"/>
      <c r="R605" s="83"/>
      <c r="S605" s="83"/>
      <c r="T605" s="83"/>
      <c r="U605" s="32"/>
      <c r="V605" s="32"/>
      <c r="W605" s="32"/>
      <c r="X605" s="32"/>
      <c r="Y605" s="32"/>
      <c r="Z605" s="18"/>
      <c r="AA605" s="18"/>
      <c r="AZ605" s="92"/>
      <c r="BA605" s="21"/>
      <c r="BB605" s="93"/>
      <c r="BC605" s="93"/>
    </row>
    <row r="606">
      <c r="A606" s="89"/>
      <c r="B606" s="89"/>
      <c r="C606" s="89"/>
      <c r="D606" s="90"/>
      <c r="E606" s="82"/>
      <c r="F606" s="82"/>
      <c r="G606" s="82"/>
      <c r="H606" s="82"/>
      <c r="I606" s="82"/>
      <c r="J606" s="82"/>
      <c r="K606" s="82"/>
      <c r="L606" s="82"/>
      <c r="M606" s="91"/>
      <c r="N606" s="83"/>
      <c r="O606" s="83"/>
      <c r="P606" s="83"/>
      <c r="Q606" s="83"/>
      <c r="R606" s="83"/>
      <c r="S606" s="83"/>
      <c r="T606" s="83"/>
      <c r="U606" s="32"/>
      <c r="V606" s="32"/>
      <c r="W606" s="32"/>
      <c r="X606" s="32"/>
      <c r="Y606" s="32"/>
      <c r="Z606" s="18"/>
      <c r="AA606" s="18"/>
      <c r="AZ606" s="92"/>
      <c r="BA606" s="21"/>
      <c r="BB606" s="93"/>
      <c r="BC606" s="93"/>
    </row>
    <row r="607">
      <c r="A607" s="89"/>
      <c r="B607" s="89"/>
      <c r="C607" s="89"/>
      <c r="D607" s="90"/>
      <c r="E607" s="82"/>
      <c r="F607" s="82"/>
      <c r="G607" s="82"/>
      <c r="H607" s="82"/>
      <c r="I607" s="82"/>
      <c r="J607" s="82"/>
      <c r="K607" s="82"/>
      <c r="L607" s="82"/>
      <c r="M607" s="91"/>
      <c r="N607" s="83"/>
      <c r="O607" s="83"/>
      <c r="P607" s="83"/>
      <c r="Q607" s="83"/>
      <c r="R607" s="83"/>
      <c r="S607" s="83"/>
      <c r="T607" s="83"/>
      <c r="U607" s="32"/>
      <c r="V607" s="32"/>
      <c r="W607" s="32"/>
      <c r="X607" s="32"/>
      <c r="Y607" s="32"/>
      <c r="Z607" s="18"/>
      <c r="AA607" s="18"/>
      <c r="AZ607" s="92"/>
      <c r="BA607" s="21"/>
      <c r="BB607" s="93"/>
      <c r="BC607" s="93"/>
    </row>
    <row r="608">
      <c r="A608" s="89"/>
      <c r="B608" s="89"/>
      <c r="C608" s="89"/>
      <c r="D608" s="90"/>
      <c r="E608" s="82"/>
      <c r="F608" s="82"/>
      <c r="G608" s="82"/>
      <c r="H608" s="82"/>
      <c r="I608" s="82"/>
      <c r="J608" s="82"/>
      <c r="K608" s="82"/>
      <c r="L608" s="82"/>
      <c r="M608" s="91"/>
      <c r="N608" s="83"/>
      <c r="O608" s="83"/>
      <c r="P608" s="83"/>
      <c r="Q608" s="83"/>
      <c r="R608" s="83"/>
      <c r="S608" s="83"/>
      <c r="T608" s="83"/>
      <c r="U608" s="32"/>
      <c r="V608" s="32"/>
      <c r="W608" s="32"/>
      <c r="X608" s="32"/>
      <c r="Y608" s="32"/>
      <c r="Z608" s="18"/>
      <c r="AA608" s="18"/>
      <c r="AZ608" s="92"/>
      <c r="BA608" s="21"/>
      <c r="BB608" s="93"/>
      <c r="BC608" s="93"/>
    </row>
    <row r="609">
      <c r="A609" s="89"/>
      <c r="B609" s="89"/>
      <c r="C609" s="89"/>
      <c r="D609" s="90"/>
      <c r="E609" s="82"/>
      <c r="F609" s="82"/>
      <c r="G609" s="82"/>
      <c r="H609" s="82"/>
      <c r="I609" s="82"/>
      <c r="J609" s="82"/>
      <c r="K609" s="82"/>
      <c r="L609" s="82"/>
      <c r="M609" s="91"/>
      <c r="N609" s="83"/>
      <c r="O609" s="83"/>
      <c r="P609" s="83"/>
      <c r="Q609" s="83"/>
      <c r="R609" s="83"/>
      <c r="S609" s="83"/>
      <c r="T609" s="83"/>
      <c r="U609" s="32"/>
      <c r="V609" s="32"/>
      <c r="W609" s="32"/>
      <c r="X609" s="32"/>
      <c r="Y609" s="32"/>
      <c r="Z609" s="18"/>
      <c r="AA609" s="18"/>
      <c r="AZ609" s="92"/>
      <c r="BA609" s="21"/>
      <c r="BB609" s="93"/>
      <c r="BC609" s="93"/>
    </row>
    <row r="610">
      <c r="A610" s="89"/>
      <c r="B610" s="89"/>
      <c r="C610" s="89"/>
      <c r="D610" s="90"/>
      <c r="E610" s="82"/>
      <c r="F610" s="82"/>
      <c r="G610" s="82"/>
      <c r="H610" s="82"/>
      <c r="I610" s="82"/>
      <c r="J610" s="82"/>
      <c r="K610" s="82"/>
      <c r="L610" s="82"/>
      <c r="M610" s="91"/>
      <c r="N610" s="83"/>
      <c r="O610" s="83"/>
      <c r="P610" s="83"/>
      <c r="Q610" s="83"/>
      <c r="R610" s="83"/>
      <c r="S610" s="83"/>
      <c r="T610" s="83"/>
      <c r="U610" s="32"/>
      <c r="V610" s="32"/>
      <c r="W610" s="32"/>
      <c r="X610" s="32"/>
      <c r="Y610" s="32"/>
      <c r="Z610" s="18"/>
      <c r="AA610" s="18"/>
      <c r="AZ610" s="92"/>
      <c r="BA610" s="21"/>
      <c r="BB610" s="93"/>
      <c r="BC610" s="93"/>
    </row>
    <row r="611">
      <c r="A611" s="89"/>
      <c r="B611" s="89"/>
      <c r="C611" s="89"/>
      <c r="D611" s="90"/>
      <c r="E611" s="82"/>
      <c r="F611" s="82"/>
      <c r="G611" s="82"/>
      <c r="H611" s="82"/>
      <c r="I611" s="82"/>
      <c r="J611" s="82"/>
      <c r="K611" s="82"/>
      <c r="L611" s="82"/>
      <c r="M611" s="91"/>
      <c r="N611" s="83"/>
      <c r="O611" s="83"/>
      <c r="P611" s="83"/>
      <c r="Q611" s="83"/>
      <c r="R611" s="83"/>
      <c r="S611" s="83"/>
      <c r="T611" s="83"/>
      <c r="U611" s="32"/>
      <c r="V611" s="32"/>
      <c r="W611" s="32"/>
      <c r="X611" s="32"/>
      <c r="Y611" s="32"/>
      <c r="Z611" s="18"/>
      <c r="AA611" s="18"/>
      <c r="AZ611" s="92"/>
      <c r="BA611" s="21"/>
      <c r="BB611" s="93"/>
      <c r="BC611" s="93"/>
    </row>
    <row r="612">
      <c r="A612" s="89"/>
      <c r="B612" s="89"/>
      <c r="C612" s="89"/>
      <c r="D612" s="90"/>
      <c r="E612" s="82"/>
      <c r="F612" s="82"/>
      <c r="G612" s="82"/>
      <c r="H612" s="82"/>
      <c r="I612" s="82"/>
      <c r="J612" s="82"/>
      <c r="K612" s="82"/>
      <c r="L612" s="82"/>
      <c r="M612" s="91"/>
      <c r="N612" s="83"/>
      <c r="O612" s="83"/>
      <c r="P612" s="83"/>
      <c r="Q612" s="83"/>
      <c r="R612" s="83"/>
      <c r="S612" s="83"/>
      <c r="T612" s="83"/>
      <c r="U612" s="32"/>
      <c r="V612" s="32"/>
      <c r="W612" s="32"/>
      <c r="X612" s="32"/>
      <c r="Y612" s="32"/>
      <c r="Z612" s="18"/>
      <c r="AA612" s="18"/>
      <c r="AZ612" s="92"/>
      <c r="BA612" s="21"/>
      <c r="BB612" s="93"/>
      <c r="BC612" s="93"/>
    </row>
    <row r="613">
      <c r="A613" s="89"/>
      <c r="B613" s="89"/>
      <c r="C613" s="89"/>
      <c r="D613" s="90"/>
      <c r="E613" s="82"/>
      <c r="F613" s="82"/>
      <c r="G613" s="82"/>
      <c r="H613" s="82"/>
      <c r="I613" s="82"/>
      <c r="J613" s="82"/>
      <c r="K613" s="82"/>
      <c r="L613" s="82"/>
      <c r="M613" s="91"/>
      <c r="N613" s="83"/>
      <c r="O613" s="83"/>
      <c r="P613" s="83"/>
      <c r="Q613" s="83"/>
      <c r="R613" s="83"/>
      <c r="S613" s="83"/>
      <c r="T613" s="83"/>
      <c r="U613" s="32"/>
      <c r="V613" s="32"/>
      <c r="W613" s="32"/>
      <c r="X613" s="32"/>
      <c r="Y613" s="32"/>
      <c r="Z613" s="18"/>
      <c r="AA613" s="18"/>
      <c r="AZ613" s="92"/>
      <c r="BA613" s="21"/>
      <c r="BB613" s="93"/>
      <c r="BC613" s="93"/>
    </row>
    <row r="614">
      <c r="A614" s="89"/>
      <c r="B614" s="89"/>
      <c r="C614" s="89"/>
      <c r="D614" s="90"/>
      <c r="E614" s="82"/>
      <c r="F614" s="82"/>
      <c r="G614" s="82"/>
      <c r="H614" s="82"/>
      <c r="I614" s="82"/>
      <c r="J614" s="82"/>
      <c r="K614" s="82"/>
      <c r="L614" s="82"/>
      <c r="M614" s="91"/>
      <c r="N614" s="83"/>
      <c r="O614" s="83"/>
      <c r="P614" s="83"/>
      <c r="Q614" s="83"/>
      <c r="R614" s="83"/>
      <c r="S614" s="83"/>
      <c r="T614" s="83"/>
      <c r="U614" s="32"/>
      <c r="V614" s="32"/>
      <c r="W614" s="32"/>
      <c r="X614" s="32"/>
      <c r="Y614" s="32"/>
      <c r="Z614" s="18"/>
      <c r="AA614" s="18"/>
      <c r="AZ614" s="92"/>
      <c r="BA614" s="21"/>
      <c r="BB614" s="93"/>
      <c r="BC614" s="93"/>
    </row>
    <row r="615">
      <c r="A615" s="89"/>
      <c r="B615" s="89"/>
      <c r="C615" s="89"/>
      <c r="D615" s="90"/>
      <c r="E615" s="82"/>
      <c r="F615" s="82"/>
      <c r="G615" s="82"/>
      <c r="H615" s="82"/>
      <c r="I615" s="82"/>
      <c r="J615" s="82"/>
      <c r="K615" s="82"/>
      <c r="L615" s="82"/>
      <c r="M615" s="91"/>
      <c r="N615" s="83"/>
      <c r="O615" s="83"/>
      <c r="P615" s="83"/>
      <c r="Q615" s="83"/>
      <c r="R615" s="83"/>
      <c r="S615" s="83"/>
      <c r="T615" s="83"/>
      <c r="U615" s="32"/>
      <c r="V615" s="32"/>
      <c r="W615" s="32"/>
      <c r="X615" s="32"/>
      <c r="Y615" s="32"/>
      <c r="Z615" s="18"/>
      <c r="AA615" s="18"/>
      <c r="AZ615" s="92"/>
      <c r="BA615" s="21"/>
      <c r="BB615" s="93"/>
      <c r="BC615" s="93"/>
    </row>
    <row r="616">
      <c r="A616" s="89"/>
      <c r="B616" s="89"/>
      <c r="C616" s="89"/>
      <c r="D616" s="90"/>
      <c r="E616" s="82"/>
      <c r="F616" s="82"/>
      <c r="G616" s="82"/>
      <c r="H616" s="82"/>
      <c r="I616" s="82"/>
      <c r="J616" s="82"/>
      <c r="K616" s="82"/>
      <c r="L616" s="82"/>
      <c r="M616" s="91"/>
      <c r="N616" s="83"/>
      <c r="O616" s="83"/>
      <c r="P616" s="83"/>
      <c r="Q616" s="83"/>
      <c r="R616" s="83"/>
      <c r="S616" s="83"/>
      <c r="T616" s="83"/>
      <c r="U616" s="32"/>
      <c r="V616" s="32"/>
      <c r="W616" s="32"/>
      <c r="X616" s="32"/>
      <c r="Y616" s="32"/>
      <c r="Z616" s="18"/>
      <c r="AA616" s="18"/>
      <c r="AZ616" s="92"/>
      <c r="BA616" s="21"/>
      <c r="BB616" s="93"/>
      <c r="BC616" s="93"/>
    </row>
    <row r="617">
      <c r="A617" s="89"/>
      <c r="B617" s="89"/>
      <c r="C617" s="89"/>
      <c r="D617" s="90"/>
      <c r="E617" s="82"/>
      <c r="F617" s="82"/>
      <c r="G617" s="82"/>
      <c r="H617" s="82"/>
      <c r="I617" s="82"/>
      <c r="J617" s="82"/>
      <c r="K617" s="82"/>
      <c r="L617" s="82"/>
      <c r="M617" s="91"/>
      <c r="N617" s="83"/>
      <c r="O617" s="83"/>
      <c r="P617" s="83"/>
      <c r="Q617" s="83"/>
      <c r="R617" s="83"/>
      <c r="S617" s="83"/>
      <c r="T617" s="83"/>
      <c r="U617" s="32"/>
      <c r="V617" s="32"/>
      <c r="W617" s="32"/>
      <c r="X617" s="32"/>
      <c r="Y617" s="32"/>
      <c r="Z617" s="18"/>
      <c r="AA617" s="18"/>
      <c r="AZ617" s="92"/>
      <c r="BA617" s="21"/>
      <c r="BB617" s="93"/>
      <c r="BC617" s="93"/>
    </row>
    <row r="618">
      <c r="A618" s="89"/>
      <c r="B618" s="89"/>
      <c r="C618" s="89"/>
      <c r="D618" s="90"/>
      <c r="E618" s="82"/>
      <c r="F618" s="82"/>
      <c r="G618" s="82"/>
      <c r="H618" s="82"/>
      <c r="I618" s="82"/>
      <c r="J618" s="82"/>
      <c r="K618" s="82"/>
      <c r="L618" s="82"/>
      <c r="M618" s="91"/>
      <c r="N618" s="83"/>
      <c r="O618" s="83"/>
      <c r="P618" s="83"/>
      <c r="Q618" s="83"/>
      <c r="R618" s="83"/>
      <c r="S618" s="83"/>
      <c r="T618" s="83"/>
      <c r="U618" s="32"/>
      <c r="V618" s="32"/>
      <c r="W618" s="32"/>
      <c r="X618" s="32"/>
      <c r="Y618" s="32"/>
      <c r="Z618" s="18"/>
      <c r="AA618" s="18"/>
      <c r="AZ618" s="92"/>
      <c r="BA618" s="21"/>
      <c r="BB618" s="93"/>
      <c r="BC618" s="93"/>
    </row>
    <row r="619">
      <c r="A619" s="89"/>
      <c r="B619" s="89"/>
      <c r="C619" s="89"/>
      <c r="D619" s="90"/>
      <c r="E619" s="82"/>
      <c r="F619" s="82"/>
      <c r="G619" s="82"/>
      <c r="H619" s="82"/>
      <c r="I619" s="82"/>
      <c r="J619" s="82"/>
      <c r="K619" s="82"/>
      <c r="L619" s="82"/>
      <c r="M619" s="91"/>
      <c r="N619" s="83"/>
      <c r="O619" s="83"/>
      <c r="P619" s="83"/>
      <c r="Q619" s="83"/>
      <c r="R619" s="83"/>
      <c r="S619" s="83"/>
      <c r="T619" s="83"/>
      <c r="U619" s="32"/>
      <c r="V619" s="32"/>
      <c r="W619" s="32"/>
      <c r="X619" s="32"/>
      <c r="Y619" s="32"/>
      <c r="Z619" s="18"/>
      <c r="AA619" s="18"/>
      <c r="AZ619" s="92"/>
      <c r="BA619" s="21"/>
      <c r="BB619" s="93"/>
      <c r="BC619" s="93"/>
    </row>
    <row r="620">
      <c r="A620" s="89"/>
      <c r="B620" s="89"/>
      <c r="C620" s="89"/>
      <c r="D620" s="90"/>
      <c r="E620" s="82"/>
      <c r="F620" s="82"/>
      <c r="G620" s="82"/>
      <c r="H620" s="82"/>
      <c r="I620" s="82"/>
      <c r="J620" s="82"/>
      <c r="K620" s="82"/>
      <c r="L620" s="82"/>
      <c r="M620" s="91"/>
      <c r="N620" s="83"/>
      <c r="O620" s="83"/>
      <c r="P620" s="83"/>
      <c r="Q620" s="83"/>
      <c r="R620" s="83"/>
      <c r="S620" s="83"/>
      <c r="T620" s="83"/>
      <c r="U620" s="32"/>
      <c r="V620" s="32"/>
      <c r="W620" s="32"/>
      <c r="X620" s="32"/>
      <c r="Y620" s="32"/>
      <c r="Z620" s="18"/>
      <c r="AA620" s="18"/>
      <c r="AZ620" s="92"/>
      <c r="BA620" s="21"/>
      <c r="BB620" s="93"/>
      <c r="BC620" s="93"/>
    </row>
    <row r="621">
      <c r="A621" s="89"/>
      <c r="B621" s="89"/>
      <c r="C621" s="89"/>
      <c r="D621" s="90"/>
      <c r="E621" s="82"/>
      <c r="F621" s="82"/>
      <c r="G621" s="82"/>
      <c r="H621" s="82"/>
      <c r="I621" s="82"/>
      <c r="J621" s="82"/>
      <c r="K621" s="82"/>
      <c r="L621" s="82"/>
      <c r="M621" s="91"/>
      <c r="N621" s="83"/>
      <c r="O621" s="83"/>
      <c r="P621" s="83"/>
      <c r="Q621" s="83"/>
      <c r="R621" s="83"/>
      <c r="S621" s="83"/>
      <c r="T621" s="83"/>
      <c r="U621" s="32"/>
      <c r="V621" s="32"/>
      <c r="W621" s="32"/>
      <c r="X621" s="32"/>
      <c r="Y621" s="32"/>
      <c r="Z621" s="18"/>
      <c r="AA621" s="18"/>
      <c r="AZ621" s="92"/>
      <c r="BA621" s="21"/>
      <c r="BB621" s="93"/>
      <c r="BC621" s="93"/>
    </row>
    <row r="622">
      <c r="A622" s="89"/>
      <c r="B622" s="89"/>
      <c r="C622" s="89"/>
      <c r="D622" s="90"/>
      <c r="E622" s="82"/>
      <c r="F622" s="82"/>
      <c r="G622" s="82"/>
      <c r="H622" s="82"/>
      <c r="I622" s="82"/>
      <c r="J622" s="82"/>
      <c r="K622" s="82"/>
      <c r="L622" s="82"/>
      <c r="M622" s="91"/>
      <c r="N622" s="83"/>
      <c r="O622" s="83"/>
      <c r="P622" s="83"/>
      <c r="Q622" s="83"/>
      <c r="R622" s="83"/>
      <c r="S622" s="83"/>
      <c r="T622" s="83"/>
      <c r="U622" s="32"/>
      <c r="V622" s="32"/>
      <c r="W622" s="32"/>
      <c r="X622" s="32"/>
      <c r="Y622" s="32"/>
      <c r="Z622" s="18"/>
      <c r="AA622" s="18"/>
      <c r="AZ622" s="92"/>
      <c r="BA622" s="21"/>
      <c r="BB622" s="93"/>
      <c r="BC622" s="93"/>
    </row>
    <row r="623">
      <c r="A623" s="89"/>
      <c r="B623" s="89"/>
      <c r="C623" s="89"/>
      <c r="D623" s="90"/>
      <c r="E623" s="82"/>
      <c r="F623" s="82"/>
      <c r="G623" s="82"/>
      <c r="H623" s="82"/>
      <c r="I623" s="82"/>
      <c r="J623" s="82"/>
      <c r="K623" s="82"/>
      <c r="L623" s="82"/>
      <c r="M623" s="91"/>
      <c r="N623" s="83"/>
      <c r="O623" s="83"/>
      <c r="P623" s="83"/>
      <c r="Q623" s="83"/>
      <c r="R623" s="83"/>
      <c r="S623" s="83"/>
      <c r="T623" s="83"/>
      <c r="U623" s="32"/>
      <c r="V623" s="32"/>
      <c r="W623" s="32"/>
      <c r="X623" s="32"/>
      <c r="Y623" s="32"/>
      <c r="Z623" s="18"/>
      <c r="AA623" s="18"/>
      <c r="AZ623" s="92"/>
      <c r="BA623" s="21"/>
      <c r="BB623" s="93"/>
      <c r="BC623" s="93"/>
    </row>
    <row r="624">
      <c r="A624" s="89"/>
      <c r="B624" s="89"/>
      <c r="C624" s="89"/>
      <c r="D624" s="90"/>
      <c r="E624" s="82"/>
      <c r="F624" s="82"/>
      <c r="G624" s="82"/>
      <c r="H624" s="82"/>
      <c r="I624" s="82"/>
      <c r="J624" s="82"/>
      <c r="K624" s="82"/>
      <c r="L624" s="82"/>
      <c r="M624" s="91"/>
      <c r="N624" s="83"/>
      <c r="O624" s="83"/>
      <c r="P624" s="83"/>
      <c r="Q624" s="83"/>
      <c r="R624" s="83"/>
      <c r="S624" s="83"/>
      <c r="T624" s="83"/>
      <c r="U624" s="32"/>
      <c r="V624" s="32"/>
      <c r="W624" s="32"/>
      <c r="X624" s="32"/>
      <c r="Y624" s="32"/>
      <c r="Z624" s="18"/>
      <c r="AA624" s="18"/>
      <c r="AZ624" s="92"/>
      <c r="BA624" s="21"/>
      <c r="BB624" s="93"/>
      <c r="BC624" s="93"/>
    </row>
    <row r="625">
      <c r="A625" s="89"/>
      <c r="B625" s="89"/>
      <c r="C625" s="89"/>
      <c r="D625" s="90"/>
      <c r="E625" s="82"/>
      <c r="F625" s="82"/>
      <c r="G625" s="82"/>
      <c r="H625" s="82"/>
      <c r="I625" s="82"/>
      <c r="J625" s="82"/>
      <c r="K625" s="82"/>
      <c r="L625" s="82"/>
      <c r="M625" s="91"/>
      <c r="N625" s="83"/>
      <c r="O625" s="83"/>
      <c r="P625" s="83"/>
      <c r="Q625" s="83"/>
      <c r="R625" s="83"/>
      <c r="S625" s="83"/>
      <c r="T625" s="83"/>
      <c r="U625" s="32"/>
      <c r="V625" s="32"/>
      <c r="W625" s="32"/>
      <c r="X625" s="32"/>
      <c r="Y625" s="32"/>
      <c r="Z625" s="18"/>
      <c r="AA625" s="18"/>
      <c r="AZ625" s="92"/>
      <c r="BA625" s="21"/>
      <c r="BB625" s="93"/>
      <c r="BC625" s="93"/>
    </row>
    <row r="626">
      <c r="A626" s="89"/>
      <c r="B626" s="89"/>
      <c r="C626" s="89"/>
      <c r="D626" s="90"/>
      <c r="E626" s="82"/>
      <c r="F626" s="82"/>
      <c r="G626" s="82"/>
      <c r="H626" s="82"/>
      <c r="I626" s="82"/>
      <c r="J626" s="82"/>
      <c r="K626" s="82"/>
      <c r="L626" s="82"/>
      <c r="M626" s="91"/>
      <c r="N626" s="83"/>
      <c r="O626" s="83"/>
      <c r="P626" s="83"/>
      <c r="Q626" s="83"/>
      <c r="R626" s="83"/>
      <c r="S626" s="83"/>
      <c r="T626" s="83"/>
      <c r="U626" s="32"/>
      <c r="V626" s="32"/>
      <c r="W626" s="32"/>
      <c r="X626" s="32"/>
      <c r="Y626" s="32"/>
      <c r="Z626" s="18"/>
      <c r="AA626" s="18"/>
      <c r="AZ626" s="92"/>
      <c r="BA626" s="21"/>
      <c r="BB626" s="93"/>
      <c r="BC626" s="93"/>
    </row>
    <row r="627">
      <c r="A627" s="89"/>
      <c r="B627" s="89"/>
      <c r="C627" s="89"/>
      <c r="D627" s="90"/>
      <c r="E627" s="82"/>
      <c r="F627" s="82"/>
      <c r="G627" s="82"/>
      <c r="H627" s="82"/>
      <c r="I627" s="82"/>
      <c r="J627" s="82"/>
      <c r="K627" s="82"/>
      <c r="L627" s="82"/>
      <c r="M627" s="91"/>
      <c r="N627" s="83"/>
      <c r="O627" s="83"/>
      <c r="P627" s="83"/>
      <c r="Q627" s="83"/>
      <c r="R627" s="83"/>
      <c r="S627" s="83"/>
      <c r="T627" s="83"/>
      <c r="U627" s="32"/>
      <c r="V627" s="32"/>
      <c r="W627" s="32"/>
      <c r="X627" s="32"/>
      <c r="Y627" s="32"/>
      <c r="Z627" s="18"/>
      <c r="AA627" s="18"/>
      <c r="AZ627" s="92"/>
      <c r="BA627" s="21"/>
      <c r="BB627" s="93"/>
      <c r="BC627" s="93"/>
    </row>
    <row r="628">
      <c r="A628" s="89"/>
      <c r="B628" s="89"/>
      <c r="C628" s="89"/>
      <c r="D628" s="90"/>
      <c r="E628" s="82"/>
      <c r="F628" s="82"/>
      <c r="G628" s="82"/>
      <c r="H628" s="82"/>
      <c r="I628" s="82"/>
      <c r="J628" s="82"/>
      <c r="K628" s="82"/>
      <c r="L628" s="82"/>
      <c r="M628" s="91"/>
      <c r="N628" s="83"/>
      <c r="O628" s="83"/>
      <c r="P628" s="83"/>
      <c r="Q628" s="83"/>
      <c r="R628" s="83"/>
      <c r="S628" s="83"/>
      <c r="T628" s="83"/>
      <c r="U628" s="32"/>
      <c r="V628" s="32"/>
      <c r="W628" s="32"/>
      <c r="X628" s="32"/>
      <c r="Y628" s="32"/>
      <c r="Z628" s="18"/>
      <c r="AA628" s="18"/>
      <c r="AZ628" s="92"/>
      <c r="BA628" s="21"/>
      <c r="BB628" s="93"/>
      <c r="BC628" s="93"/>
    </row>
    <row r="629">
      <c r="A629" s="89"/>
      <c r="B629" s="89"/>
      <c r="C629" s="89"/>
      <c r="D629" s="90"/>
      <c r="E629" s="82"/>
      <c r="F629" s="82"/>
      <c r="G629" s="82"/>
      <c r="H629" s="82"/>
      <c r="I629" s="82"/>
      <c r="J629" s="82"/>
      <c r="K629" s="82"/>
      <c r="L629" s="82"/>
      <c r="M629" s="91"/>
      <c r="N629" s="83"/>
      <c r="O629" s="83"/>
      <c r="P629" s="83"/>
      <c r="Q629" s="83"/>
      <c r="R629" s="83"/>
      <c r="S629" s="83"/>
      <c r="T629" s="83"/>
      <c r="U629" s="32"/>
      <c r="V629" s="32"/>
      <c r="W629" s="32"/>
      <c r="X629" s="32"/>
      <c r="Y629" s="32"/>
      <c r="Z629" s="18"/>
      <c r="AA629" s="18"/>
      <c r="AZ629" s="92"/>
      <c r="BA629" s="21"/>
      <c r="BB629" s="93"/>
      <c r="BC629" s="93"/>
    </row>
    <row r="630">
      <c r="A630" s="89"/>
      <c r="B630" s="89"/>
      <c r="C630" s="89"/>
      <c r="D630" s="90"/>
      <c r="E630" s="82"/>
      <c r="F630" s="82"/>
      <c r="G630" s="82"/>
      <c r="H630" s="82"/>
      <c r="I630" s="82"/>
      <c r="J630" s="82"/>
      <c r="K630" s="82"/>
      <c r="L630" s="82"/>
      <c r="M630" s="91"/>
      <c r="N630" s="83"/>
      <c r="O630" s="83"/>
      <c r="P630" s="83"/>
      <c r="Q630" s="83"/>
      <c r="R630" s="83"/>
      <c r="S630" s="83"/>
      <c r="T630" s="83"/>
      <c r="U630" s="32"/>
      <c r="V630" s="32"/>
      <c r="W630" s="32"/>
      <c r="X630" s="32"/>
      <c r="Y630" s="32"/>
      <c r="Z630" s="18"/>
      <c r="AA630" s="18"/>
      <c r="AZ630" s="92"/>
      <c r="BA630" s="21"/>
      <c r="BB630" s="93"/>
      <c r="BC630" s="93"/>
    </row>
    <row r="631">
      <c r="A631" s="89"/>
      <c r="B631" s="89"/>
      <c r="C631" s="89"/>
      <c r="D631" s="90"/>
      <c r="E631" s="82"/>
      <c r="F631" s="82"/>
      <c r="G631" s="82"/>
      <c r="H631" s="82"/>
      <c r="I631" s="82"/>
      <c r="J631" s="82"/>
      <c r="K631" s="82"/>
      <c r="L631" s="82"/>
      <c r="M631" s="91"/>
      <c r="N631" s="83"/>
      <c r="O631" s="83"/>
      <c r="P631" s="83"/>
      <c r="Q631" s="83"/>
      <c r="R631" s="83"/>
      <c r="S631" s="83"/>
      <c r="T631" s="83"/>
      <c r="U631" s="32"/>
      <c r="V631" s="32"/>
      <c r="W631" s="32"/>
      <c r="X631" s="32"/>
      <c r="Y631" s="32"/>
      <c r="Z631" s="18"/>
      <c r="AA631" s="18"/>
      <c r="AZ631" s="92"/>
      <c r="BA631" s="21"/>
      <c r="BB631" s="93"/>
      <c r="BC631" s="93"/>
    </row>
    <row r="632">
      <c r="A632" s="89"/>
      <c r="B632" s="89"/>
      <c r="C632" s="89"/>
      <c r="D632" s="90"/>
      <c r="E632" s="82"/>
      <c r="F632" s="82"/>
      <c r="G632" s="82"/>
      <c r="H632" s="82"/>
      <c r="I632" s="82"/>
      <c r="J632" s="82"/>
      <c r="K632" s="82"/>
      <c r="L632" s="82"/>
      <c r="M632" s="91"/>
      <c r="N632" s="83"/>
      <c r="O632" s="83"/>
      <c r="P632" s="83"/>
      <c r="Q632" s="83"/>
      <c r="R632" s="83"/>
      <c r="S632" s="83"/>
      <c r="T632" s="83"/>
      <c r="U632" s="32"/>
      <c r="V632" s="32"/>
      <c r="W632" s="32"/>
      <c r="X632" s="32"/>
      <c r="Y632" s="32"/>
      <c r="Z632" s="18"/>
      <c r="AA632" s="18"/>
      <c r="AZ632" s="92"/>
      <c r="BA632" s="21"/>
      <c r="BB632" s="93"/>
      <c r="BC632" s="93"/>
    </row>
    <row r="633">
      <c r="A633" s="89"/>
      <c r="B633" s="89"/>
      <c r="C633" s="89"/>
      <c r="D633" s="90"/>
      <c r="E633" s="82"/>
      <c r="F633" s="82"/>
      <c r="G633" s="82"/>
      <c r="H633" s="82"/>
      <c r="I633" s="82"/>
      <c r="J633" s="82"/>
      <c r="K633" s="82"/>
      <c r="L633" s="82"/>
      <c r="M633" s="91"/>
      <c r="N633" s="83"/>
      <c r="O633" s="83"/>
      <c r="P633" s="83"/>
      <c r="Q633" s="83"/>
      <c r="R633" s="83"/>
      <c r="S633" s="83"/>
      <c r="T633" s="83"/>
      <c r="U633" s="32"/>
      <c r="V633" s="32"/>
      <c r="W633" s="32"/>
      <c r="X633" s="32"/>
      <c r="Y633" s="32"/>
      <c r="Z633" s="18"/>
      <c r="AA633" s="18"/>
      <c r="AZ633" s="92"/>
      <c r="BA633" s="21"/>
      <c r="BB633" s="93"/>
      <c r="BC633" s="93"/>
    </row>
    <row r="634">
      <c r="A634" s="89"/>
      <c r="B634" s="89"/>
      <c r="C634" s="89"/>
      <c r="D634" s="90"/>
      <c r="E634" s="82"/>
      <c r="F634" s="82"/>
      <c r="G634" s="82"/>
      <c r="H634" s="82"/>
      <c r="I634" s="82"/>
      <c r="J634" s="82"/>
      <c r="K634" s="82"/>
      <c r="L634" s="82"/>
      <c r="M634" s="91"/>
      <c r="N634" s="83"/>
      <c r="O634" s="83"/>
      <c r="P634" s="83"/>
      <c r="Q634" s="83"/>
      <c r="R634" s="83"/>
      <c r="S634" s="83"/>
      <c r="T634" s="83"/>
      <c r="U634" s="32"/>
      <c r="V634" s="32"/>
      <c r="W634" s="32"/>
      <c r="X634" s="32"/>
      <c r="Y634" s="32"/>
      <c r="Z634" s="18"/>
      <c r="AA634" s="18"/>
      <c r="AZ634" s="92"/>
      <c r="BA634" s="21"/>
      <c r="BB634" s="93"/>
      <c r="BC634" s="93"/>
    </row>
    <row r="635">
      <c r="A635" s="89"/>
      <c r="B635" s="89"/>
      <c r="C635" s="89"/>
      <c r="D635" s="90"/>
      <c r="E635" s="82"/>
      <c r="F635" s="82"/>
      <c r="G635" s="82"/>
      <c r="H635" s="82"/>
      <c r="I635" s="82"/>
      <c r="J635" s="82"/>
      <c r="K635" s="82"/>
      <c r="L635" s="82"/>
      <c r="M635" s="91"/>
      <c r="N635" s="83"/>
      <c r="O635" s="83"/>
      <c r="P635" s="83"/>
      <c r="Q635" s="83"/>
      <c r="R635" s="83"/>
      <c r="S635" s="83"/>
      <c r="T635" s="83"/>
      <c r="U635" s="32"/>
      <c r="V635" s="32"/>
      <c r="W635" s="32"/>
      <c r="X635" s="32"/>
      <c r="Y635" s="32"/>
      <c r="Z635" s="18"/>
      <c r="AA635" s="18"/>
      <c r="AZ635" s="92"/>
      <c r="BA635" s="21"/>
      <c r="BB635" s="93"/>
      <c r="BC635" s="93"/>
    </row>
    <row r="636">
      <c r="A636" s="89"/>
      <c r="B636" s="89"/>
      <c r="C636" s="89"/>
      <c r="D636" s="90"/>
      <c r="E636" s="82"/>
      <c r="F636" s="82"/>
      <c r="G636" s="82"/>
      <c r="H636" s="82"/>
      <c r="I636" s="82"/>
      <c r="J636" s="82"/>
      <c r="K636" s="82"/>
      <c r="L636" s="82"/>
      <c r="M636" s="91"/>
      <c r="N636" s="83"/>
      <c r="O636" s="83"/>
      <c r="P636" s="83"/>
      <c r="Q636" s="83"/>
      <c r="R636" s="83"/>
      <c r="S636" s="83"/>
      <c r="T636" s="83"/>
      <c r="U636" s="32"/>
      <c r="V636" s="32"/>
      <c r="W636" s="32"/>
      <c r="X636" s="32"/>
      <c r="Y636" s="32"/>
      <c r="Z636" s="18"/>
      <c r="AA636" s="18"/>
      <c r="AZ636" s="92"/>
      <c r="BA636" s="21"/>
      <c r="BB636" s="93"/>
      <c r="BC636" s="93"/>
    </row>
    <row r="637">
      <c r="A637" s="89"/>
      <c r="B637" s="89"/>
      <c r="C637" s="89"/>
      <c r="D637" s="90"/>
      <c r="E637" s="82"/>
      <c r="F637" s="82"/>
      <c r="G637" s="82"/>
      <c r="H637" s="82"/>
      <c r="I637" s="82"/>
      <c r="J637" s="82"/>
      <c r="K637" s="82"/>
      <c r="L637" s="82"/>
      <c r="M637" s="91"/>
      <c r="N637" s="83"/>
      <c r="O637" s="83"/>
      <c r="P637" s="83"/>
      <c r="Q637" s="83"/>
      <c r="R637" s="83"/>
      <c r="S637" s="83"/>
      <c r="T637" s="83"/>
      <c r="U637" s="32"/>
      <c r="V637" s="32"/>
      <c r="W637" s="32"/>
      <c r="X637" s="32"/>
      <c r="Y637" s="32"/>
      <c r="Z637" s="18"/>
      <c r="AA637" s="18"/>
      <c r="AZ637" s="92"/>
      <c r="BA637" s="21"/>
      <c r="BB637" s="93"/>
      <c r="BC637" s="93"/>
    </row>
    <row r="638">
      <c r="A638" s="89"/>
      <c r="B638" s="89"/>
      <c r="C638" s="89"/>
      <c r="D638" s="90"/>
      <c r="E638" s="82"/>
      <c r="F638" s="82"/>
      <c r="G638" s="82"/>
      <c r="H638" s="82"/>
      <c r="I638" s="82"/>
      <c r="J638" s="82"/>
      <c r="K638" s="82"/>
      <c r="L638" s="82"/>
      <c r="M638" s="91"/>
      <c r="N638" s="83"/>
      <c r="O638" s="83"/>
      <c r="P638" s="83"/>
      <c r="Q638" s="83"/>
      <c r="R638" s="83"/>
      <c r="S638" s="83"/>
      <c r="T638" s="83"/>
      <c r="U638" s="32"/>
      <c r="V638" s="32"/>
      <c r="W638" s="32"/>
      <c r="X638" s="32"/>
      <c r="Y638" s="32"/>
      <c r="Z638" s="18"/>
      <c r="AA638" s="18"/>
      <c r="AZ638" s="92"/>
      <c r="BA638" s="21"/>
      <c r="BB638" s="93"/>
      <c r="BC638" s="93"/>
    </row>
    <row r="639">
      <c r="A639" s="89"/>
      <c r="B639" s="89"/>
      <c r="C639" s="89"/>
      <c r="D639" s="90"/>
      <c r="E639" s="82"/>
      <c r="F639" s="82"/>
      <c r="G639" s="82"/>
      <c r="H639" s="82"/>
      <c r="I639" s="82"/>
      <c r="J639" s="82"/>
      <c r="K639" s="82"/>
      <c r="L639" s="82"/>
      <c r="M639" s="91"/>
      <c r="N639" s="83"/>
      <c r="O639" s="83"/>
      <c r="P639" s="83"/>
      <c r="Q639" s="83"/>
      <c r="R639" s="83"/>
      <c r="S639" s="83"/>
      <c r="T639" s="83"/>
      <c r="U639" s="32"/>
      <c r="V639" s="32"/>
      <c r="W639" s="32"/>
      <c r="X639" s="32"/>
      <c r="Y639" s="32"/>
      <c r="Z639" s="18"/>
      <c r="AA639" s="18"/>
      <c r="AZ639" s="92"/>
      <c r="BA639" s="21"/>
      <c r="BB639" s="93"/>
      <c r="BC639" s="93"/>
    </row>
    <row r="640">
      <c r="A640" s="89"/>
      <c r="B640" s="89"/>
      <c r="C640" s="89"/>
      <c r="D640" s="90"/>
      <c r="E640" s="82"/>
      <c r="F640" s="82"/>
      <c r="G640" s="82"/>
      <c r="H640" s="82"/>
      <c r="I640" s="82"/>
      <c r="J640" s="82"/>
      <c r="K640" s="82"/>
      <c r="L640" s="82"/>
      <c r="M640" s="91"/>
      <c r="N640" s="83"/>
      <c r="O640" s="83"/>
      <c r="P640" s="83"/>
      <c r="Q640" s="83"/>
      <c r="R640" s="83"/>
      <c r="S640" s="83"/>
      <c r="T640" s="83"/>
      <c r="U640" s="32"/>
      <c r="V640" s="32"/>
      <c r="W640" s="32"/>
      <c r="X640" s="32"/>
      <c r="Y640" s="32"/>
      <c r="Z640" s="18"/>
      <c r="AA640" s="18"/>
      <c r="AZ640" s="92"/>
      <c r="BA640" s="21"/>
      <c r="BB640" s="93"/>
      <c r="BC640" s="93"/>
    </row>
    <row r="641">
      <c r="A641" s="89"/>
      <c r="B641" s="89"/>
      <c r="C641" s="89"/>
      <c r="D641" s="90"/>
      <c r="E641" s="82"/>
      <c r="F641" s="82"/>
      <c r="G641" s="82"/>
      <c r="H641" s="82"/>
      <c r="I641" s="82"/>
      <c r="J641" s="82"/>
      <c r="K641" s="82"/>
      <c r="L641" s="82"/>
      <c r="M641" s="91"/>
      <c r="N641" s="83"/>
      <c r="O641" s="83"/>
      <c r="P641" s="83"/>
      <c r="Q641" s="83"/>
      <c r="R641" s="83"/>
      <c r="S641" s="83"/>
      <c r="T641" s="83"/>
      <c r="U641" s="32"/>
      <c r="V641" s="32"/>
      <c r="W641" s="32"/>
      <c r="X641" s="32"/>
      <c r="Y641" s="32"/>
      <c r="Z641" s="18"/>
      <c r="AA641" s="18"/>
      <c r="AZ641" s="92"/>
      <c r="BA641" s="21"/>
      <c r="BB641" s="93"/>
      <c r="BC641" s="93"/>
    </row>
    <row r="642">
      <c r="A642" s="89"/>
      <c r="B642" s="89"/>
      <c r="C642" s="89"/>
      <c r="D642" s="90"/>
      <c r="E642" s="82"/>
      <c r="F642" s="82"/>
      <c r="G642" s="82"/>
      <c r="H642" s="82"/>
      <c r="I642" s="82"/>
      <c r="J642" s="82"/>
      <c r="K642" s="82"/>
      <c r="L642" s="82"/>
      <c r="M642" s="91"/>
      <c r="N642" s="83"/>
      <c r="O642" s="83"/>
      <c r="P642" s="83"/>
      <c r="Q642" s="83"/>
      <c r="R642" s="83"/>
      <c r="S642" s="83"/>
      <c r="T642" s="83"/>
      <c r="U642" s="32"/>
      <c r="V642" s="32"/>
      <c r="W642" s="32"/>
      <c r="X642" s="32"/>
      <c r="Y642" s="32"/>
      <c r="Z642" s="18"/>
      <c r="AA642" s="18"/>
      <c r="AZ642" s="92"/>
      <c r="BA642" s="21"/>
      <c r="BB642" s="93"/>
      <c r="BC642" s="93"/>
    </row>
    <row r="643">
      <c r="A643" s="89"/>
      <c r="B643" s="89"/>
      <c r="C643" s="89"/>
      <c r="D643" s="90"/>
      <c r="E643" s="82"/>
      <c r="F643" s="82"/>
      <c r="G643" s="82"/>
      <c r="H643" s="82"/>
      <c r="I643" s="82"/>
      <c r="J643" s="82"/>
      <c r="K643" s="82"/>
      <c r="L643" s="82"/>
      <c r="M643" s="91"/>
      <c r="N643" s="83"/>
      <c r="O643" s="83"/>
      <c r="P643" s="83"/>
      <c r="Q643" s="83"/>
      <c r="R643" s="83"/>
      <c r="S643" s="83"/>
      <c r="T643" s="83"/>
      <c r="U643" s="32"/>
      <c r="V643" s="32"/>
      <c r="W643" s="32"/>
      <c r="X643" s="32"/>
      <c r="Y643" s="32"/>
      <c r="Z643" s="18"/>
      <c r="AA643" s="18"/>
      <c r="AZ643" s="92"/>
      <c r="BA643" s="21"/>
      <c r="BB643" s="93"/>
      <c r="BC643" s="93"/>
    </row>
    <row r="644">
      <c r="A644" s="89"/>
      <c r="B644" s="89"/>
      <c r="C644" s="89"/>
      <c r="D644" s="90"/>
      <c r="E644" s="82"/>
      <c r="F644" s="82"/>
      <c r="G644" s="82"/>
      <c r="H644" s="82"/>
      <c r="I644" s="82"/>
      <c r="J644" s="82"/>
      <c r="K644" s="82"/>
      <c r="L644" s="82"/>
      <c r="M644" s="91"/>
      <c r="N644" s="83"/>
      <c r="O644" s="83"/>
      <c r="P644" s="83"/>
      <c r="Q644" s="83"/>
      <c r="R644" s="83"/>
      <c r="S644" s="83"/>
      <c r="T644" s="83"/>
      <c r="U644" s="32"/>
      <c r="V644" s="32"/>
      <c r="W644" s="32"/>
      <c r="X644" s="32"/>
      <c r="Y644" s="32"/>
      <c r="Z644" s="18"/>
      <c r="AA644" s="18"/>
      <c r="AZ644" s="92"/>
      <c r="BA644" s="21"/>
      <c r="BB644" s="93"/>
      <c r="BC644" s="93"/>
    </row>
    <row r="645">
      <c r="A645" s="89"/>
      <c r="B645" s="89"/>
      <c r="C645" s="89"/>
      <c r="D645" s="90"/>
      <c r="E645" s="82"/>
      <c r="F645" s="82"/>
      <c r="G645" s="82"/>
      <c r="H645" s="82"/>
      <c r="I645" s="82"/>
      <c r="J645" s="82"/>
      <c r="K645" s="82"/>
      <c r="L645" s="82"/>
      <c r="M645" s="91"/>
      <c r="N645" s="83"/>
      <c r="O645" s="83"/>
      <c r="P645" s="83"/>
      <c r="Q645" s="83"/>
      <c r="R645" s="83"/>
      <c r="S645" s="83"/>
      <c r="T645" s="83"/>
      <c r="U645" s="32"/>
      <c r="V645" s="32"/>
      <c r="W645" s="32"/>
      <c r="X645" s="32"/>
      <c r="Y645" s="32"/>
      <c r="Z645" s="18"/>
      <c r="AA645" s="18"/>
      <c r="AZ645" s="92"/>
      <c r="BA645" s="21"/>
      <c r="BB645" s="93"/>
      <c r="BC645" s="93"/>
    </row>
    <row r="646">
      <c r="A646" s="89"/>
      <c r="B646" s="89"/>
      <c r="C646" s="89"/>
      <c r="D646" s="90"/>
      <c r="E646" s="82"/>
      <c r="F646" s="82"/>
      <c r="G646" s="82"/>
      <c r="H646" s="82"/>
      <c r="I646" s="82"/>
      <c r="J646" s="82"/>
      <c r="K646" s="82"/>
      <c r="L646" s="82"/>
      <c r="M646" s="91"/>
      <c r="N646" s="83"/>
      <c r="O646" s="83"/>
      <c r="P646" s="83"/>
      <c r="Q646" s="83"/>
      <c r="R646" s="83"/>
      <c r="S646" s="83"/>
      <c r="T646" s="83"/>
      <c r="U646" s="32"/>
      <c r="V646" s="32"/>
      <c r="W646" s="32"/>
      <c r="X646" s="32"/>
      <c r="Y646" s="32"/>
      <c r="Z646" s="18"/>
      <c r="AA646" s="18"/>
      <c r="AZ646" s="92"/>
      <c r="BA646" s="21"/>
      <c r="BB646" s="93"/>
      <c r="BC646" s="93"/>
    </row>
    <row r="647">
      <c r="A647" s="89"/>
      <c r="B647" s="89"/>
      <c r="C647" s="89"/>
      <c r="D647" s="90"/>
      <c r="E647" s="82"/>
      <c r="F647" s="82"/>
      <c r="G647" s="82"/>
      <c r="H647" s="82"/>
      <c r="I647" s="82"/>
      <c r="J647" s="82"/>
      <c r="K647" s="82"/>
      <c r="L647" s="82"/>
      <c r="M647" s="91"/>
      <c r="N647" s="83"/>
      <c r="O647" s="83"/>
      <c r="P647" s="83"/>
      <c r="Q647" s="83"/>
      <c r="R647" s="83"/>
      <c r="S647" s="83"/>
      <c r="T647" s="83"/>
      <c r="U647" s="32"/>
      <c r="V647" s="32"/>
      <c r="W647" s="32"/>
      <c r="X647" s="32"/>
      <c r="Y647" s="32"/>
      <c r="Z647" s="18"/>
      <c r="AA647" s="18"/>
      <c r="AZ647" s="92"/>
      <c r="BA647" s="21"/>
      <c r="BB647" s="93"/>
      <c r="BC647" s="93"/>
    </row>
    <row r="648">
      <c r="A648" s="89"/>
      <c r="B648" s="89"/>
      <c r="C648" s="89"/>
      <c r="D648" s="90"/>
      <c r="E648" s="82"/>
      <c r="F648" s="82"/>
      <c r="G648" s="82"/>
      <c r="H648" s="82"/>
      <c r="I648" s="82"/>
      <c r="J648" s="82"/>
      <c r="K648" s="82"/>
      <c r="L648" s="82"/>
      <c r="M648" s="91"/>
      <c r="N648" s="83"/>
      <c r="O648" s="83"/>
      <c r="P648" s="83"/>
      <c r="Q648" s="83"/>
      <c r="R648" s="83"/>
      <c r="S648" s="83"/>
      <c r="T648" s="83"/>
      <c r="U648" s="32"/>
      <c r="V648" s="32"/>
      <c r="W648" s="32"/>
      <c r="X648" s="32"/>
      <c r="Y648" s="32"/>
      <c r="Z648" s="18"/>
      <c r="AA648" s="18"/>
      <c r="AZ648" s="92"/>
      <c r="BA648" s="21"/>
      <c r="BB648" s="93"/>
      <c r="BC648" s="93"/>
    </row>
    <row r="649">
      <c r="A649" s="89"/>
      <c r="B649" s="89"/>
      <c r="C649" s="89"/>
      <c r="D649" s="90"/>
      <c r="E649" s="82"/>
      <c r="F649" s="82"/>
      <c r="G649" s="82"/>
      <c r="H649" s="82"/>
      <c r="I649" s="82"/>
      <c r="J649" s="82"/>
      <c r="K649" s="82"/>
      <c r="L649" s="82"/>
      <c r="M649" s="91"/>
      <c r="N649" s="83"/>
      <c r="O649" s="83"/>
      <c r="P649" s="83"/>
      <c r="Q649" s="83"/>
      <c r="R649" s="83"/>
      <c r="S649" s="83"/>
      <c r="T649" s="83"/>
      <c r="U649" s="32"/>
      <c r="V649" s="32"/>
      <c r="W649" s="32"/>
      <c r="X649" s="32"/>
      <c r="Y649" s="32"/>
      <c r="Z649" s="18"/>
      <c r="AA649" s="18"/>
      <c r="AZ649" s="92"/>
      <c r="BA649" s="21"/>
      <c r="BB649" s="93"/>
      <c r="BC649" s="93"/>
    </row>
    <row r="650">
      <c r="A650" s="89"/>
      <c r="B650" s="89"/>
      <c r="C650" s="89"/>
      <c r="D650" s="90"/>
      <c r="E650" s="82"/>
      <c r="F650" s="82"/>
      <c r="G650" s="82"/>
      <c r="H650" s="82"/>
      <c r="I650" s="82"/>
      <c r="J650" s="82"/>
      <c r="K650" s="82"/>
      <c r="L650" s="82"/>
      <c r="M650" s="91"/>
      <c r="N650" s="83"/>
      <c r="O650" s="83"/>
      <c r="P650" s="83"/>
      <c r="Q650" s="83"/>
      <c r="R650" s="83"/>
      <c r="S650" s="83"/>
      <c r="T650" s="83"/>
      <c r="U650" s="32"/>
      <c r="V650" s="32"/>
      <c r="W650" s="32"/>
      <c r="X650" s="32"/>
      <c r="Y650" s="32"/>
      <c r="Z650" s="18"/>
      <c r="AA650" s="18"/>
      <c r="AZ650" s="92"/>
      <c r="BA650" s="21"/>
      <c r="BB650" s="93"/>
      <c r="BC650" s="93"/>
    </row>
    <row r="651">
      <c r="A651" s="89"/>
      <c r="B651" s="89"/>
      <c r="C651" s="89"/>
      <c r="D651" s="90"/>
      <c r="E651" s="82"/>
      <c r="F651" s="82"/>
      <c r="G651" s="82"/>
      <c r="H651" s="82"/>
      <c r="I651" s="82"/>
      <c r="J651" s="82"/>
      <c r="K651" s="82"/>
      <c r="L651" s="82"/>
      <c r="M651" s="91"/>
      <c r="N651" s="83"/>
      <c r="O651" s="83"/>
      <c r="P651" s="83"/>
      <c r="Q651" s="83"/>
      <c r="R651" s="83"/>
      <c r="S651" s="83"/>
      <c r="T651" s="83"/>
      <c r="U651" s="32"/>
      <c r="V651" s="32"/>
      <c r="W651" s="32"/>
      <c r="X651" s="32"/>
      <c r="Y651" s="32"/>
      <c r="Z651" s="18"/>
      <c r="AA651" s="18"/>
      <c r="AZ651" s="92"/>
      <c r="BA651" s="21"/>
      <c r="BB651" s="93"/>
      <c r="BC651" s="93"/>
    </row>
    <row r="652">
      <c r="A652" s="89"/>
      <c r="B652" s="89"/>
      <c r="C652" s="89"/>
      <c r="D652" s="90"/>
      <c r="E652" s="82"/>
      <c r="F652" s="82"/>
      <c r="G652" s="82"/>
      <c r="H652" s="82"/>
      <c r="I652" s="82"/>
      <c r="J652" s="82"/>
      <c r="K652" s="82"/>
      <c r="L652" s="82"/>
      <c r="M652" s="91"/>
      <c r="N652" s="83"/>
      <c r="O652" s="83"/>
      <c r="P652" s="83"/>
      <c r="Q652" s="83"/>
      <c r="R652" s="83"/>
      <c r="S652" s="83"/>
      <c r="T652" s="83"/>
      <c r="U652" s="32"/>
      <c r="V652" s="32"/>
      <c r="W652" s="32"/>
      <c r="X652" s="32"/>
      <c r="Y652" s="32"/>
      <c r="Z652" s="18"/>
      <c r="AA652" s="18"/>
      <c r="AZ652" s="92"/>
      <c r="BA652" s="21"/>
      <c r="BB652" s="93"/>
      <c r="BC652" s="93"/>
    </row>
    <row r="653">
      <c r="A653" s="89"/>
      <c r="B653" s="89"/>
      <c r="C653" s="89"/>
      <c r="D653" s="90"/>
      <c r="E653" s="82"/>
      <c r="F653" s="82"/>
      <c r="G653" s="82"/>
      <c r="H653" s="82"/>
      <c r="I653" s="82"/>
      <c r="J653" s="82"/>
      <c r="K653" s="82"/>
      <c r="L653" s="82"/>
      <c r="M653" s="91"/>
      <c r="N653" s="83"/>
      <c r="O653" s="83"/>
      <c r="P653" s="83"/>
      <c r="Q653" s="83"/>
      <c r="R653" s="83"/>
      <c r="S653" s="83"/>
      <c r="T653" s="83"/>
      <c r="U653" s="32"/>
      <c r="V653" s="32"/>
      <c r="W653" s="32"/>
      <c r="X653" s="32"/>
      <c r="Y653" s="32"/>
      <c r="Z653" s="18"/>
      <c r="AA653" s="18"/>
      <c r="AZ653" s="92"/>
      <c r="BA653" s="21"/>
      <c r="BB653" s="93"/>
      <c r="BC653" s="93"/>
    </row>
    <row r="654">
      <c r="A654" s="89"/>
      <c r="B654" s="89"/>
      <c r="C654" s="89"/>
      <c r="D654" s="90"/>
      <c r="E654" s="82"/>
      <c r="F654" s="82"/>
      <c r="G654" s="82"/>
      <c r="H654" s="82"/>
      <c r="I654" s="82"/>
      <c r="J654" s="82"/>
      <c r="K654" s="82"/>
      <c r="L654" s="82"/>
      <c r="M654" s="91"/>
      <c r="N654" s="83"/>
      <c r="O654" s="83"/>
      <c r="P654" s="83"/>
      <c r="Q654" s="83"/>
      <c r="R654" s="83"/>
      <c r="S654" s="83"/>
      <c r="T654" s="83"/>
      <c r="U654" s="32"/>
      <c r="V654" s="32"/>
      <c r="W654" s="32"/>
      <c r="X654" s="32"/>
      <c r="Y654" s="32"/>
      <c r="Z654" s="18"/>
      <c r="AA654" s="18"/>
      <c r="AZ654" s="92"/>
      <c r="BA654" s="21"/>
      <c r="BB654" s="93"/>
      <c r="BC654" s="93"/>
    </row>
    <row r="655">
      <c r="A655" s="89"/>
      <c r="B655" s="89"/>
      <c r="C655" s="89"/>
      <c r="D655" s="90"/>
      <c r="E655" s="82"/>
      <c r="F655" s="82"/>
      <c r="G655" s="82"/>
      <c r="H655" s="82"/>
      <c r="I655" s="82"/>
      <c r="J655" s="82"/>
      <c r="K655" s="82"/>
      <c r="L655" s="82"/>
      <c r="M655" s="91"/>
      <c r="N655" s="83"/>
      <c r="O655" s="83"/>
      <c r="P655" s="83"/>
      <c r="Q655" s="83"/>
      <c r="R655" s="83"/>
      <c r="S655" s="83"/>
      <c r="T655" s="83"/>
      <c r="U655" s="32"/>
      <c r="V655" s="32"/>
      <c r="W655" s="32"/>
      <c r="X655" s="32"/>
      <c r="Y655" s="32"/>
      <c r="Z655" s="18"/>
      <c r="AA655" s="18"/>
      <c r="AZ655" s="92"/>
      <c r="BA655" s="21"/>
      <c r="BB655" s="93"/>
      <c r="BC655" s="93"/>
    </row>
    <row r="656">
      <c r="A656" s="89"/>
      <c r="B656" s="89"/>
      <c r="C656" s="89"/>
      <c r="D656" s="90"/>
      <c r="E656" s="82"/>
      <c r="F656" s="82"/>
      <c r="G656" s="82"/>
      <c r="H656" s="82"/>
      <c r="I656" s="82"/>
      <c r="J656" s="82"/>
      <c r="K656" s="82"/>
      <c r="L656" s="82"/>
      <c r="M656" s="91"/>
      <c r="N656" s="83"/>
      <c r="O656" s="83"/>
      <c r="P656" s="83"/>
      <c r="Q656" s="83"/>
      <c r="R656" s="83"/>
      <c r="S656" s="83"/>
      <c r="T656" s="83"/>
      <c r="U656" s="32"/>
      <c r="V656" s="32"/>
      <c r="W656" s="32"/>
      <c r="X656" s="32"/>
      <c r="Y656" s="32"/>
      <c r="Z656" s="18"/>
      <c r="AA656" s="18"/>
      <c r="AZ656" s="92"/>
      <c r="BA656" s="21"/>
      <c r="BB656" s="93"/>
      <c r="BC656" s="93"/>
    </row>
    <row r="657">
      <c r="A657" s="89"/>
      <c r="B657" s="89"/>
      <c r="C657" s="89"/>
      <c r="D657" s="90"/>
      <c r="E657" s="82"/>
      <c r="F657" s="82"/>
      <c r="G657" s="82"/>
      <c r="H657" s="82"/>
      <c r="I657" s="82"/>
      <c r="J657" s="82"/>
      <c r="K657" s="82"/>
      <c r="L657" s="82"/>
      <c r="M657" s="91"/>
      <c r="N657" s="83"/>
      <c r="O657" s="83"/>
      <c r="P657" s="83"/>
      <c r="Q657" s="83"/>
      <c r="R657" s="83"/>
      <c r="S657" s="83"/>
      <c r="T657" s="83"/>
      <c r="U657" s="32"/>
      <c r="V657" s="32"/>
      <c r="W657" s="32"/>
      <c r="X657" s="32"/>
      <c r="Y657" s="32"/>
      <c r="Z657" s="18"/>
      <c r="AA657" s="18"/>
      <c r="AZ657" s="92"/>
      <c r="BA657" s="21"/>
      <c r="BB657" s="93"/>
      <c r="BC657" s="93"/>
    </row>
    <row r="658">
      <c r="A658" s="89"/>
      <c r="B658" s="89"/>
      <c r="C658" s="89"/>
      <c r="D658" s="90"/>
      <c r="E658" s="82"/>
      <c r="F658" s="82"/>
      <c r="G658" s="82"/>
      <c r="H658" s="82"/>
      <c r="I658" s="82"/>
      <c r="J658" s="82"/>
      <c r="K658" s="82"/>
      <c r="L658" s="82"/>
      <c r="M658" s="91"/>
      <c r="N658" s="83"/>
      <c r="O658" s="83"/>
      <c r="P658" s="83"/>
      <c r="Q658" s="83"/>
      <c r="R658" s="83"/>
      <c r="S658" s="83"/>
      <c r="T658" s="83"/>
      <c r="U658" s="32"/>
      <c r="V658" s="32"/>
      <c r="W658" s="32"/>
      <c r="X658" s="32"/>
      <c r="Y658" s="32"/>
      <c r="Z658" s="18"/>
      <c r="AA658" s="18"/>
      <c r="AZ658" s="92"/>
      <c r="BA658" s="21"/>
      <c r="BB658" s="93"/>
      <c r="BC658" s="93"/>
    </row>
    <row r="659">
      <c r="A659" s="89"/>
      <c r="B659" s="89"/>
      <c r="C659" s="89"/>
      <c r="D659" s="90"/>
      <c r="E659" s="82"/>
      <c r="F659" s="82"/>
      <c r="G659" s="82"/>
      <c r="H659" s="82"/>
      <c r="I659" s="82"/>
      <c r="J659" s="82"/>
      <c r="K659" s="82"/>
      <c r="L659" s="82"/>
      <c r="M659" s="91"/>
      <c r="N659" s="83"/>
      <c r="O659" s="83"/>
      <c r="P659" s="83"/>
      <c r="Q659" s="83"/>
      <c r="R659" s="83"/>
      <c r="S659" s="83"/>
      <c r="T659" s="83"/>
      <c r="U659" s="32"/>
      <c r="V659" s="32"/>
      <c r="W659" s="32"/>
      <c r="X659" s="32"/>
      <c r="Y659" s="32"/>
      <c r="Z659" s="18"/>
      <c r="AA659" s="18"/>
      <c r="AZ659" s="92"/>
      <c r="BA659" s="21"/>
      <c r="BB659" s="93"/>
      <c r="BC659" s="93"/>
    </row>
    <row r="660">
      <c r="A660" s="89"/>
      <c r="B660" s="89"/>
      <c r="C660" s="89"/>
      <c r="D660" s="90"/>
      <c r="E660" s="82"/>
      <c r="F660" s="82"/>
      <c r="G660" s="82"/>
      <c r="H660" s="82"/>
      <c r="I660" s="82"/>
      <c r="J660" s="82"/>
      <c r="K660" s="82"/>
      <c r="L660" s="82"/>
      <c r="M660" s="91"/>
      <c r="N660" s="83"/>
      <c r="O660" s="83"/>
      <c r="P660" s="83"/>
      <c r="Q660" s="83"/>
      <c r="R660" s="83"/>
      <c r="S660" s="83"/>
      <c r="T660" s="83"/>
      <c r="U660" s="32"/>
      <c r="V660" s="32"/>
      <c r="W660" s="32"/>
      <c r="X660" s="32"/>
      <c r="Y660" s="32"/>
      <c r="Z660" s="18"/>
      <c r="AA660" s="18"/>
      <c r="AZ660" s="92"/>
      <c r="BA660" s="21"/>
      <c r="BB660" s="93"/>
      <c r="BC660" s="93"/>
    </row>
    <row r="661">
      <c r="A661" s="89"/>
      <c r="B661" s="89"/>
      <c r="C661" s="89"/>
      <c r="D661" s="90"/>
      <c r="E661" s="82"/>
      <c r="F661" s="82"/>
      <c r="G661" s="82"/>
      <c r="H661" s="82"/>
      <c r="I661" s="82"/>
      <c r="J661" s="82"/>
      <c r="K661" s="82"/>
      <c r="L661" s="82"/>
      <c r="M661" s="91"/>
      <c r="N661" s="83"/>
      <c r="O661" s="83"/>
      <c r="P661" s="83"/>
      <c r="Q661" s="83"/>
      <c r="R661" s="83"/>
      <c r="S661" s="83"/>
      <c r="T661" s="83"/>
      <c r="U661" s="32"/>
      <c r="V661" s="32"/>
      <c r="W661" s="32"/>
      <c r="X661" s="32"/>
      <c r="Y661" s="32"/>
      <c r="Z661" s="18"/>
      <c r="AA661" s="18"/>
      <c r="AZ661" s="92"/>
      <c r="BA661" s="21"/>
      <c r="BB661" s="93"/>
      <c r="BC661" s="93"/>
    </row>
    <row r="662">
      <c r="A662" s="89"/>
      <c r="B662" s="89"/>
      <c r="C662" s="89"/>
      <c r="D662" s="90"/>
      <c r="E662" s="82"/>
      <c r="F662" s="82"/>
      <c r="G662" s="82"/>
      <c r="H662" s="82"/>
      <c r="I662" s="82"/>
      <c r="J662" s="82"/>
      <c r="K662" s="82"/>
      <c r="L662" s="82"/>
      <c r="M662" s="91"/>
      <c r="N662" s="83"/>
      <c r="O662" s="83"/>
      <c r="P662" s="83"/>
      <c r="Q662" s="83"/>
      <c r="R662" s="83"/>
      <c r="S662" s="83"/>
      <c r="T662" s="83"/>
      <c r="U662" s="32"/>
      <c r="V662" s="32"/>
      <c r="W662" s="32"/>
      <c r="X662" s="32"/>
      <c r="Y662" s="32"/>
      <c r="Z662" s="18"/>
      <c r="AA662" s="18"/>
      <c r="AZ662" s="92"/>
      <c r="BA662" s="21"/>
      <c r="BB662" s="93"/>
      <c r="BC662" s="93"/>
    </row>
    <row r="663">
      <c r="A663" s="89"/>
      <c r="B663" s="89"/>
      <c r="C663" s="89"/>
      <c r="D663" s="90"/>
      <c r="E663" s="82"/>
      <c r="F663" s="82"/>
      <c r="G663" s="82"/>
      <c r="H663" s="82"/>
      <c r="I663" s="82"/>
      <c r="J663" s="82"/>
      <c r="K663" s="82"/>
      <c r="L663" s="82"/>
      <c r="M663" s="91"/>
      <c r="N663" s="83"/>
      <c r="O663" s="83"/>
      <c r="P663" s="83"/>
      <c r="Q663" s="83"/>
      <c r="R663" s="83"/>
      <c r="S663" s="83"/>
      <c r="T663" s="83"/>
      <c r="U663" s="32"/>
      <c r="V663" s="32"/>
      <c r="W663" s="32"/>
      <c r="X663" s="32"/>
      <c r="Y663" s="32"/>
      <c r="Z663" s="18"/>
      <c r="AA663" s="18"/>
      <c r="AZ663" s="92"/>
      <c r="BA663" s="21"/>
      <c r="BB663" s="93"/>
      <c r="BC663" s="93"/>
    </row>
    <row r="664">
      <c r="A664" s="89"/>
      <c r="B664" s="89"/>
      <c r="C664" s="89"/>
      <c r="D664" s="90"/>
      <c r="E664" s="82"/>
      <c r="F664" s="82"/>
      <c r="G664" s="82"/>
      <c r="H664" s="82"/>
      <c r="I664" s="82"/>
      <c r="J664" s="82"/>
      <c r="K664" s="82"/>
      <c r="L664" s="82"/>
      <c r="M664" s="91"/>
      <c r="N664" s="83"/>
      <c r="O664" s="83"/>
      <c r="P664" s="83"/>
      <c r="Q664" s="83"/>
      <c r="R664" s="83"/>
      <c r="S664" s="83"/>
      <c r="T664" s="83"/>
      <c r="U664" s="32"/>
      <c r="V664" s="32"/>
      <c r="W664" s="32"/>
      <c r="X664" s="32"/>
      <c r="Y664" s="32"/>
      <c r="Z664" s="18"/>
      <c r="AA664" s="18"/>
      <c r="AZ664" s="92"/>
      <c r="BA664" s="21"/>
      <c r="BB664" s="93"/>
      <c r="BC664" s="93"/>
    </row>
    <row r="665">
      <c r="A665" s="89"/>
      <c r="B665" s="89"/>
      <c r="C665" s="89"/>
      <c r="D665" s="90"/>
      <c r="E665" s="82"/>
      <c r="F665" s="82"/>
      <c r="G665" s="82"/>
      <c r="H665" s="82"/>
      <c r="I665" s="82"/>
      <c r="J665" s="82"/>
      <c r="K665" s="82"/>
      <c r="L665" s="82"/>
      <c r="M665" s="91"/>
      <c r="N665" s="83"/>
      <c r="O665" s="83"/>
      <c r="P665" s="83"/>
      <c r="Q665" s="83"/>
      <c r="R665" s="83"/>
      <c r="S665" s="83"/>
      <c r="T665" s="83"/>
      <c r="U665" s="32"/>
      <c r="V665" s="32"/>
      <c r="W665" s="32"/>
      <c r="X665" s="32"/>
      <c r="Y665" s="32"/>
      <c r="Z665" s="18"/>
      <c r="AA665" s="18"/>
      <c r="AZ665" s="92"/>
      <c r="BA665" s="21"/>
      <c r="BB665" s="93"/>
      <c r="BC665" s="93"/>
    </row>
    <row r="666">
      <c r="A666" s="89"/>
      <c r="B666" s="89"/>
      <c r="C666" s="89"/>
      <c r="D666" s="90"/>
      <c r="E666" s="82"/>
      <c r="F666" s="82"/>
      <c r="G666" s="82"/>
      <c r="H666" s="82"/>
      <c r="I666" s="82"/>
      <c r="J666" s="82"/>
      <c r="K666" s="82"/>
      <c r="L666" s="82"/>
      <c r="M666" s="91"/>
      <c r="N666" s="83"/>
      <c r="O666" s="83"/>
      <c r="P666" s="83"/>
      <c r="Q666" s="83"/>
      <c r="R666" s="83"/>
      <c r="S666" s="83"/>
      <c r="T666" s="83"/>
      <c r="U666" s="32"/>
      <c r="V666" s="32"/>
      <c r="W666" s="32"/>
      <c r="X666" s="32"/>
      <c r="Y666" s="32"/>
      <c r="Z666" s="18"/>
      <c r="AA666" s="18"/>
      <c r="AZ666" s="92"/>
      <c r="BA666" s="21"/>
      <c r="BB666" s="93"/>
      <c r="BC666" s="93"/>
    </row>
    <row r="667">
      <c r="A667" s="89"/>
      <c r="B667" s="89"/>
      <c r="C667" s="89"/>
      <c r="D667" s="90"/>
      <c r="E667" s="82"/>
      <c r="F667" s="82"/>
      <c r="G667" s="82"/>
      <c r="H667" s="82"/>
      <c r="I667" s="82"/>
      <c r="J667" s="82"/>
      <c r="K667" s="82"/>
      <c r="L667" s="82"/>
      <c r="M667" s="91"/>
      <c r="N667" s="83"/>
      <c r="O667" s="83"/>
      <c r="P667" s="83"/>
      <c r="Q667" s="83"/>
      <c r="R667" s="83"/>
      <c r="S667" s="83"/>
      <c r="T667" s="83"/>
      <c r="U667" s="32"/>
      <c r="V667" s="32"/>
      <c r="W667" s="32"/>
      <c r="X667" s="32"/>
      <c r="Y667" s="32"/>
      <c r="Z667" s="18"/>
      <c r="AA667" s="18"/>
      <c r="AZ667" s="92"/>
      <c r="BA667" s="21"/>
      <c r="BB667" s="93"/>
      <c r="BC667" s="93"/>
    </row>
    <row r="668">
      <c r="A668" s="89"/>
      <c r="B668" s="89"/>
      <c r="C668" s="89"/>
      <c r="D668" s="90"/>
      <c r="E668" s="82"/>
      <c r="F668" s="82"/>
      <c r="G668" s="82"/>
      <c r="H668" s="82"/>
      <c r="I668" s="82"/>
      <c r="J668" s="82"/>
      <c r="K668" s="82"/>
      <c r="L668" s="82"/>
      <c r="M668" s="91"/>
      <c r="N668" s="83"/>
      <c r="O668" s="83"/>
      <c r="P668" s="83"/>
      <c r="Q668" s="83"/>
      <c r="R668" s="83"/>
      <c r="S668" s="83"/>
      <c r="T668" s="83"/>
      <c r="U668" s="32"/>
      <c r="V668" s="32"/>
      <c r="W668" s="32"/>
      <c r="X668" s="32"/>
      <c r="Y668" s="32"/>
      <c r="Z668" s="18"/>
      <c r="AA668" s="18"/>
      <c r="AZ668" s="92"/>
      <c r="BA668" s="21"/>
      <c r="BB668" s="93"/>
      <c r="BC668" s="93"/>
    </row>
    <row r="669">
      <c r="A669" s="89"/>
      <c r="B669" s="89"/>
      <c r="C669" s="89"/>
      <c r="D669" s="90"/>
      <c r="E669" s="82"/>
      <c r="F669" s="82"/>
      <c r="G669" s="82"/>
      <c r="H669" s="82"/>
      <c r="I669" s="82"/>
      <c r="J669" s="82"/>
      <c r="K669" s="82"/>
      <c r="L669" s="82"/>
      <c r="M669" s="91"/>
      <c r="N669" s="83"/>
      <c r="O669" s="83"/>
      <c r="P669" s="83"/>
      <c r="Q669" s="83"/>
      <c r="R669" s="83"/>
      <c r="S669" s="83"/>
      <c r="T669" s="83"/>
      <c r="U669" s="32"/>
      <c r="V669" s="32"/>
      <c r="W669" s="32"/>
      <c r="X669" s="32"/>
      <c r="Y669" s="32"/>
      <c r="Z669" s="18"/>
      <c r="AA669" s="18"/>
      <c r="AZ669" s="92"/>
      <c r="BA669" s="21"/>
      <c r="BB669" s="93"/>
      <c r="BC669" s="93"/>
    </row>
    <row r="670">
      <c r="A670" s="89"/>
      <c r="B670" s="89"/>
      <c r="C670" s="89"/>
      <c r="D670" s="90"/>
      <c r="E670" s="82"/>
      <c r="F670" s="82"/>
      <c r="G670" s="82"/>
      <c r="H670" s="82"/>
      <c r="I670" s="82"/>
      <c r="J670" s="82"/>
      <c r="K670" s="82"/>
      <c r="L670" s="82"/>
      <c r="M670" s="91"/>
      <c r="N670" s="83"/>
      <c r="O670" s="83"/>
      <c r="P670" s="83"/>
      <c r="Q670" s="83"/>
      <c r="R670" s="83"/>
      <c r="S670" s="83"/>
      <c r="T670" s="83"/>
      <c r="U670" s="32"/>
      <c r="V670" s="32"/>
      <c r="W670" s="32"/>
      <c r="X670" s="32"/>
      <c r="Y670" s="32"/>
      <c r="Z670" s="18"/>
      <c r="AA670" s="18"/>
      <c r="AZ670" s="92"/>
      <c r="BA670" s="21"/>
      <c r="BB670" s="93"/>
      <c r="BC670" s="93"/>
    </row>
    <row r="671">
      <c r="A671" s="89"/>
      <c r="B671" s="89"/>
      <c r="C671" s="89"/>
      <c r="D671" s="90"/>
      <c r="E671" s="82"/>
      <c r="F671" s="82"/>
      <c r="G671" s="82"/>
      <c r="H671" s="82"/>
      <c r="I671" s="82"/>
      <c r="J671" s="82"/>
      <c r="K671" s="82"/>
      <c r="L671" s="82"/>
      <c r="M671" s="91"/>
      <c r="N671" s="83"/>
      <c r="O671" s="83"/>
      <c r="P671" s="83"/>
      <c r="Q671" s="83"/>
      <c r="R671" s="83"/>
      <c r="S671" s="83"/>
      <c r="T671" s="83"/>
      <c r="U671" s="32"/>
      <c r="V671" s="32"/>
      <c r="W671" s="32"/>
      <c r="X671" s="32"/>
      <c r="Y671" s="32"/>
      <c r="Z671" s="18"/>
      <c r="AA671" s="18"/>
      <c r="AZ671" s="92"/>
      <c r="BA671" s="21"/>
      <c r="BB671" s="93"/>
      <c r="BC671" s="93"/>
    </row>
    <row r="672">
      <c r="A672" s="89"/>
      <c r="B672" s="89"/>
      <c r="C672" s="89"/>
      <c r="D672" s="90"/>
      <c r="E672" s="82"/>
      <c r="F672" s="82"/>
      <c r="G672" s="82"/>
      <c r="H672" s="82"/>
      <c r="I672" s="82"/>
      <c r="J672" s="82"/>
      <c r="K672" s="82"/>
      <c r="L672" s="82"/>
      <c r="M672" s="91"/>
      <c r="N672" s="83"/>
      <c r="O672" s="83"/>
      <c r="P672" s="83"/>
      <c r="Q672" s="83"/>
      <c r="R672" s="83"/>
      <c r="S672" s="83"/>
      <c r="T672" s="83"/>
      <c r="U672" s="32"/>
      <c r="V672" s="32"/>
      <c r="W672" s="32"/>
      <c r="X672" s="32"/>
      <c r="Y672" s="32"/>
      <c r="Z672" s="18"/>
      <c r="AA672" s="18"/>
      <c r="AZ672" s="92"/>
      <c r="BA672" s="21"/>
      <c r="BB672" s="93"/>
      <c r="BC672" s="93"/>
    </row>
    <row r="673">
      <c r="A673" s="89"/>
      <c r="B673" s="89"/>
      <c r="C673" s="89"/>
      <c r="D673" s="90"/>
      <c r="E673" s="82"/>
      <c r="F673" s="82"/>
      <c r="G673" s="82"/>
      <c r="H673" s="82"/>
      <c r="I673" s="82"/>
      <c r="J673" s="82"/>
      <c r="K673" s="82"/>
      <c r="L673" s="82"/>
      <c r="M673" s="91"/>
      <c r="N673" s="83"/>
      <c r="O673" s="83"/>
      <c r="P673" s="83"/>
      <c r="Q673" s="83"/>
      <c r="R673" s="83"/>
      <c r="S673" s="83"/>
      <c r="T673" s="83"/>
      <c r="U673" s="32"/>
      <c r="V673" s="32"/>
      <c r="W673" s="32"/>
      <c r="X673" s="32"/>
      <c r="Y673" s="32"/>
      <c r="Z673" s="18"/>
      <c r="AA673" s="18"/>
      <c r="AZ673" s="92"/>
      <c r="BA673" s="21"/>
      <c r="BB673" s="93"/>
      <c r="BC673" s="93"/>
    </row>
    <row r="674">
      <c r="A674" s="89"/>
      <c r="B674" s="89"/>
      <c r="C674" s="89"/>
      <c r="D674" s="90"/>
      <c r="E674" s="82"/>
      <c r="F674" s="82"/>
      <c r="G674" s="82"/>
      <c r="H674" s="82"/>
      <c r="I674" s="82"/>
      <c r="J674" s="82"/>
      <c r="K674" s="82"/>
      <c r="L674" s="82"/>
      <c r="M674" s="91"/>
      <c r="N674" s="83"/>
      <c r="O674" s="83"/>
      <c r="P674" s="83"/>
      <c r="Q674" s="83"/>
      <c r="R674" s="83"/>
      <c r="S674" s="83"/>
      <c r="T674" s="83"/>
      <c r="U674" s="32"/>
      <c r="V674" s="32"/>
      <c r="W674" s="32"/>
      <c r="X674" s="32"/>
      <c r="Y674" s="32"/>
      <c r="Z674" s="18"/>
      <c r="AA674" s="18"/>
      <c r="AZ674" s="92"/>
      <c r="BA674" s="21"/>
      <c r="BB674" s="93"/>
      <c r="BC674" s="93"/>
    </row>
    <row r="675">
      <c r="A675" s="89"/>
      <c r="B675" s="89"/>
      <c r="C675" s="89"/>
      <c r="D675" s="90"/>
      <c r="E675" s="82"/>
      <c r="F675" s="82"/>
      <c r="G675" s="82"/>
      <c r="H675" s="82"/>
      <c r="I675" s="82"/>
      <c r="J675" s="82"/>
      <c r="K675" s="82"/>
      <c r="L675" s="82"/>
      <c r="M675" s="91"/>
      <c r="N675" s="83"/>
      <c r="O675" s="83"/>
      <c r="P675" s="83"/>
      <c r="Q675" s="83"/>
      <c r="R675" s="83"/>
      <c r="S675" s="83"/>
      <c r="T675" s="83"/>
      <c r="U675" s="32"/>
      <c r="V675" s="32"/>
      <c r="W675" s="32"/>
      <c r="X675" s="32"/>
      <c r="Y675" s="32"/>
      <c r="Z675" s="18"/>
      <c r="AA675" s="18"/>
      <c r="AZ675" s="92"/>
      <c r="BA675" s="21"/>
      <c r="BB675" s="93"/>
      <c r="BC675" s="93"/>
    </row>
    <row r="676">
      <c r="A676" s="89"/>
      <c r="B676" s="89"/>
      <c r="C676" s="89"/>
      <c r="D676" s="90"/>
      <c r="E676" s="82"/>
      <c r="F676" s="82"/>
      <c r="G676" s="82"/>
      <c r="H676" s="82"/>
      <c r="I676" s="82"/>
      <c r="J676" s="82"/>
      <c r="K676" s="82"/>
      <c r="L676" s="82"/>
      <c r="M676" s="91"/>
      <c r="N676" s="83"/>
      <c r="O676" s="83"/>
      <c r="P676" s="83"/>
      <c r="Q676" s="83"/>
      <c r="R676" s="83"/>
      <c r="S676" s="83"/>
      <c r="T676" s="83"/>
      <c r="U676" s="32"/>
      <c r="V676" s="32"/>
      <c r="W676" s="32"/>
      <c r="X676" s="32"/>
      <c r="Y676" s="32"/>
      <c r="Z676" s="18"/>
      <c r="AA676" s="18"/>
      <c r="AZ676" s="92"/>
      <c r="BA676" s="21"/>
      <c r="BB676" s="93"/>
      <c r="BC676" s="93"/>
    </row>
    <row r="677">
      <c r="A677" s="89"/>
      <c r="B677" s="89"/>
      <c r="C677" s="89"/>
      <c r="D677" s="90"/>
      <c r="E677" s="82"/>
      <c r="F677" s="82"/>
      <c r="G677" s="82"/>
      <c r="H677" s="82"/>
      <c r="I677" s="82"/>
      <c r="J677" s="82"/>
      <c r="K677" s="82"/>
      <c r="L677" s="82"/>
      <c r="M677" s="91"/>
      <c r="N677" s="83"/>
      <c r="O677" s="83"/>
      <c r="P677" s="83"/>
      <c r="Q677" s="83"/>
      <c r="R677" s="83"/>
      <c r="S677" s="83"/>
      <c r="T677" s="83"/>
      <c r="U677" s="32"/>
      <c r="V677" s="32"/>
      <c r="W677" s="32"/>
      <c r="X677" s="32"/>
      <c r="Y677" s="32"/>
      <c r="Z677" s="18"/>
      <c r="AA677" s="18"/>
      <c r="AZ677" s="92"/>
      <c r="BA677" s="21"/>
      <c r="BB677" s="93"/>
      <c r="BC677" s="93"/>
    </row>
    <row r="678">
      <c r="A678" s="89"/>
      <c r="B678" s="89"/>
      <c r="C678" s="89"/>
      <c r="D678" s="90"/>
      <c r="E678" s="82"/>
      <c r="F678" s="82"/>
      <c r="G678" s="82"/>
      <c r="H678" s="82"/>
      <c r="I678" s="82"/>
      <c r="J678" s="82"/>
      <c r="K678" s="82"/>
      <c r="L678" s="82"/>
      <c r="M678" s="91"/>
      <c r="N678" s="83"/>
      <c r="O678" s="83"/>
      <c r="P678" s="83"/>
      <c r="Q678" s="83"/>
      <c r="R678" s="83"/>
      <c r="S678" s="83"/>
      <c r="T678" s="83"/>
      <c r="U678" s="32"/>
      <c r="V678" s="32"/>
      <c r="W678" s="32"/>
      <c r="X678" s="32"/>
      <c r="Y678" s="32"/>
      <c r="Z678" s="18"/>
      <c r="AA678" s="18"/>
      <c r="AZ678" s="92"/>
      <c r="BA678" s="21"/>
      <c r="BB678" s="93"/>
      <c r="BC678" s="93"/>
    </row>
    <row r="679">
      <c r="A679" s="89"/>
      <c r="B679" s="89"/>
      <c r="C679" s="89"/>
      <c r="D679" s="90"/>
      <c r="E679" s="82"/>
      <c r="F679" s="82"/>
      <c r="G679" s="82"/>
      <c r="H679" s="82"/>
      <c r="I679" s="82"/>
      <c r="J679" s="82"/>
      <c r="K679" s="82"/>
      <c r="L679" s="82"/>
      <c r="M679" s="91"/>
      <c r="N679" s="83"/>
      <c r="O679" s="83"/>
      <c r="P679" s="83"/>
      <c r="Q679" s="83"/>
      <c r="R679" s="83"/>
      <c r="S679" s="83"/>
      <c r="T679" s="83"/>
      <c r="U679" s="32"/>
      <c r="V679" s="32"/>
      <c r="W679" s="32"/>
      <c r="X679" s="32"/>
      <c r="Y679" s="32"/>
      <c r="Z679" s="18"/>
      <c r="AA679" s="18"/>
      <c r="AZ679" s="92"/>
      <c r="BA679" s="21"/>
      <c r="BB679" s="93"/>
      <c r="BC679" s="93"/>
    </row>
    <row r="680">
      <c r="A680" s="89"/>
      <c r="B680" s="89"/>
      <c r="C680" s="89"/>
      <c r="D680" s="90"/>
      <c r="E680" s="82"/>
      <c r="F680" s="82"/>
      <c r="G680" s="82"/>
      <c r="H680" s="82"/>
      <c r="I680" s="82"/>
      <c r="J680" s="82"/>
      <c r="K680" s="82"/>
      <c r="L680" s="82"/>
      <c r="M680" s="91"/>
      <c r="N680" s="83"/>
      <c r="O680" s="83"/>
      <c r="P680" s="83"/>
      <c r="Q680" s="83"/>
      <c r="R680" s="83"/>
      <c r="S680" s="83"/>
      <c r="T680" s="83"/>
      <c r="U680" s="32"/>
      <c r="V680" s="32"/>
      <c r="W680" s="32"/>
      <c r="X680" s="32"/>
      <c r="Y680" s="32"/>
      <c r="Z680" s="18"/>
      <c r="AA680" s="18"/>
      <c r="AZ680" s="92"/>
      <c r="BA680" s="21"/>
      <c r="BB680" s="93"/>
      <c r="BC680" s="93"/>
    </row>
    <row r="681">
      <c r="A681" s="89"/>
      <c r="B681" s="89"/>
      <c r="C681" s="89"/>
      <c r="D681" s="90"/>
      <c r="E681" s="82"/>
      <c r="F681" s="82"/>
      <c r="G681" s="82"/>
      <c r="H681" s="82"/>
      <c r="I681" s="82"/>
      <c r="J681" s="82"/>
      <c r="K681" s="82"/>
      <c r="L681" s="82"/>
      <c r="M681" s="91"/>
      <c r="N681" s="83"/>
      <c r="O681" s="83"/>
      <c r="P681" s="83"/>
      <c r="Q681" s="83"/>
      <c r="R681" s="83"/>
      <c r="S681" s="83"/>
      <c r="T681" s="83"/>
      <c r="U681" s="32"/>
      <c r="V681" s="32"/>
      <c r="W681" s="32"/>
      <c r="X681" s="32"/>
      <c r="Y681" s="32"/>
      <c r="Z681" s="18"/>
      <c r="AA681" s="18"/>
      <c r="AZ681" s="92"/>
      <c r="BA681" s="21"/>
      <c r="BB681" s="93"/>
      <c r="BC681" s="93"/>
    </row>
    <row r="682">
      <c r="A682" s="89"/>
      <c r="B682" s="89"/>
      <c r="C682" s="89"/>
      <c r="D682" s="90"/>
      <c r="E682" s="82"/>
      <c r="F682" s="82"/>
      <c r="G682" s="82"/>
      <c r="H682" s="82"/>
      <c r="I682" s="82"/>
      <c r="J682" s="82"/>
      <c r="K682" s="82"/>
      <c r="L682" s="82"/>
      <c r="M682" s="91"/>
      <c r="N682" s="83"/>
      <c r="O682" s="83"/>
      <c r="P682" s="83"/>
      <c r="Q682" s="83"/>
      <c r="R682" s="83"/>
      <c r="S682" s="83"/>
      <c r="T682" s="83"/>
      <c r="U682" s="32"/>
      <c r="V682" s="32"/>
      <c r="W682" s="32"/>
      <c r="X682" s="32"/>
      <c r="Y682" s="32"/>
      <c r="Z682" s="18"/>
      <c r="AA682" s="18"/>
      <c r="AZ682" s="92"/>
      <c r="BA682" s="21"/>
      <c r="BB682" s="93"/>
      <c r="BC682" s="93"/>
    </row>
    <row r="683">
      <c r="A683" s="89"/>
      <c r="B683" s="89"/>
      <c r="C683" s="89"/>
      <c r="D683" s="90"/>
      <c r="E683" s="82"/>
      <c r="F683" s="82"/>
      <c r="G683" s="82"/>
      <c r="H683" s="82"/>
      <c r="I683" s="82"/>
      <c r="J683" s="82"/>
      <c r="K683" s="82"/>
      <c r="L683" s="82"/>
      <c r="M683" s="91"/>
      <c r="N683" s="83"/>
      <c r="O683" s="83"/>
      <c r="P683" s="83"/>
      <c r="Q683" s="83"/>
      <c r="R683" s="83"/>
      <c r="S683" s="83"/>
      <c r="T683" s="83"/>
      <c r="U683" s="32"/>
      <c r="V683" s="32"/>
      <c r="W683" s="32"/>
      <c r="X683" s="32"/>
      <c r="Y683" s="32"/>
      <c r="Z683" s="18"/>
      <c r="AA683" s="18"/>
      <c r="AZ683" s="92"/>
      <c r="BA683" s="21"/>
      <c r="BB683" s="93"/>
      <c r="BC683" s="93"/>
    </row>
    <row r="684">
      <c r="A684" s="89"/>
      <c r="B684" s="89"/>
      <c r="C684" s="89"/>
      <c r="D684" s="90"/>
      <c r="E684" s="82"/>
      <c r="F684" s="82"/>
      <c r="G684" s="82"/>
      <c r="H684" s="82"/>
      <c r="I684" s="82"/>
      <c r="J684" s="82"/>
      <c r="K684" s="82"/>
      <c r="L684" s="82"/>
      <c r="M684" s="91"/>
      <c r="N684" s="83"/>
      <c r="O684" s="83"/>
      <c r="P684" s="83"/>
      <c r="Q684" s="83"/>
      <c r="R684" s="83"/>
      <c r="S684" s="83"/>
      <c r="T684" s="83"/>
      <c r="U684" s="32"/>
      <c r="V684" s="32"/>
      <c r="W684" s="32"/>
      <c r="X684" s="32"/>
      <c r="Y684" s="32"/>
      <c r="Z684" s="18"/>
      <c r="AA684" s="18"/>
      <c r="AZ684" s="92"/>
      <c r="BA684" s="21"/>
      <c r="BB684" s="93"/>
      <c r="BC684" s="93"/>
    </row>
    <row r="685">
      <c r="A685" s="89"/>
      <c r="B685" s="89"/>
      <c r="C685" s="89"/>
      <c r="D685" s="90"/>
      <c r="E685" s="82"/>
      <c r="F685" s="82"/>
      <c r="G685" s="82"/>
      <c r="H685" s="82"/>
      <c r="I685" s="82"/>
      <c r="J685" s="82"/>
      <c r="K685" s="82"/>
      <c r="L685" s="82"/>
      <c r="M685" s="91"/>
      <c r="N685" s="83"/>
      <c r="O685" s="83"/>
      <c r="P685" s="83"/>
      <c r="Q685" s="83"/>
      <c r="R685" s="83"/>
      <c r="S685" s="83"/>
      <c r="T685" s="83"/>
      <c r="U685" s="32"/>
      <c r="V685" s="32"/>
      <c r="W685" s="32"/>
      <c r="X685" s="32"/>
      <c r="Y685" s="32"/>
      <c r="Z685" s="18"/>
      <c r="AA685" s="18"/>
      <c r="AZ685" s="92"/>
      <c r="BA685" s="21"/>
      <c r="BB685" s="93"/>
      <c r="BC685" s="93"/>
    </row>
    <row r="686">
      <c r="A686" s="89"/>
      <c r="B686" s="89"/>
      <c r="C686" s="89"/>
      <c r="D686" s="90"/>
      <c r="E686" s="82"/>
      <c r="F686" s="82"/>
      <c r="G686" s="82"/>
      <c r="H686" s="82"/>
      <c r="I686" s="82"/>
      <c r="J686" s="82"/>
      <c r="K686" s="82"/>
      <c r="L686" s="82"/>
      <c r="M686" s="91"/>
      <c r="N686" s="83"/>
      <c r="O686" s="83"/>
      <c r="P686" s="83"/>
      <c r="Q686" s="83"/>
      <c r="R686" s="83"/>
      <c r="S686" s="83"/>
      <c r="T686" s="83"/>
      <c r="U686" s="32"/>
      <c r="V686" s="32"/>
      <c r="W686" s="32"/>
      <c r="X686" s="32"/>
      <c r="Y686" s="32"/>
      <c r="Z686" s="18"/>
      <c r="AA686" s="18"/>
      <c r="AZ686" s="92"/>
      <c r="BA686" s="21"/>
      <c r="BB686" s="93"/>
      <c r="BC686" s="93"/>
    </row>
    <row r="687">
      <c r="A687" s="89"/>
      <c r="B687" s="89"/>
      <c r="C687" s="89"/>
      <c r="D687" s="90"/>
      <c r="E687" s="82"/>
      <c r="F687" s="82"/>
      <c r="G687" s="82"/>
      <c r="H687" s="82"/>
      <c r="I687" s="82"/>
      <c r="J687" s="82"/>
      <c r="K687" s="82"/>
      <c r="L687" s="82"/>
      <c r="M687" s="91"/>
      <c r="N687" s="83"/>
      <c r="O687" s="83"/>
      <c r="P687" s="83"/>
      <c r="Q687" s="83"/>
      <c r="R687" s="83"/>
      <c r="S687" s="83"/>
      <c r="T687" s="83"/>
      <c r="U687" s="32"/>
      <c r="V687" s="32"/>
      <c r="W687" s="32"/>
      <c r="X687" s="32"/>
      <c r="Y687" s="32"/>
      <c r="Z687" s="18"/>
      <c r="AA687" s="18"/>
      <c r="AZ687" s="92"/>
      <c r="BA687" s="21"/>
      <c r="BB687" s="93"/>
      <c r="BC687" s="93"/>
    </row>
    <row r="688">
      <c r="A688" s="89"/>
      <c r="B688" s="89"/>
      <c r="C688" s="89"/>
      <c r="D688" s="90"/>
      <c r="E688" s="82"/>
      <c r="F688" s="82"/>
      <c r="G688" s="82"/>
      <c r="H688" s="82"/>
      <c r="I688" s="82"/>
      <c r="J688" s="82"/>
      <c r="K688" s="82"/>
      <c r="L688" s="82"/>
      <c r="M688" s="91"/>
      <c r="N688" s="83"/>
      <c r="O688" s="83"/>
      <c r="P688" s="83"/>
      <c r="Q688" s="83"/>
      <c r="R688" s="83"/>
      <c r="S688" s="83"/>
      <c r="T688" s="83"/>
      <c r="U688" s="32"/>
      <c r="V688" s="32"/>
      <c r="W688" s="32"/>
      <c r="X688" s="32"/>
      <c r="Y688" s="32"/>
      <c r="Z688" s="18"/>
      <c r="AA688" s="18"/>
      <c r="AZ688" s="92"/>
      <c r="BA688" s="21"/>
      <c r="BB688" s="93"/>
      <c r="BC688" s="93"/>
    </row>
    <row r="689">
      <c r="A689" s="89"/>
      <c r="B689" s="89"/>
      <c r="C689" s="89"/>
      <c r="D689" s="90"/>
      <c r="E689" s="82"/>
      <c r="F689" s="82"/>
      <c r="G689" s="82"/>
      <c r="H689" s="82"/>
      <c r="I689" s="82"/>
      <c r="J689" s="82"/>
      <c r="K689" s="82"/>
      <c r="L689" s="82"/>
      <c r="M689" s="91"/>
      <c r="N689" s="83"/>
      <c r="O689" s="83"/>
      <c r="P689" s="83"/>
      <c r="Q689" s="83"/>
      <c r="R689" s="83"/>
      <c r="S689" s="83"/>
      <c r="T689" s="83"/>
      <c r="U689" s="32"/>
      <c r="V689" s="32"/>
      <c r="W689" s="32"/>
      <c r="X689" s="32"/>
      <c r="Y689" s="32"/>
      <c r="Z689" s="18"/>
      <c r="AA689" s="18"/>
      <c r="AZ689" s="92"/>
      <c r="BA689" s="21"/>
      <c r="BB689" s="93"/>
      <c r="BC689" s="93"/>
    </row>
    <row r="690">
      <c r="A690" s="89"/>
      <c r="B690" s="89"/>
      <c r="C690" s="89"/>
      <c r="D690" s="90"/>
      <c r="E690" s="82"/>
      <c r="F690" s="82"/>
      <c r="G690" s="82"/>
      <c r="H690" s="82"/>
      <c r="I690" s="82"/>
      <c r="J690" s="82"/>
      <c r="K690" s="82"/>
      <c r="L690" s="82"/>
      <c r="M690" s="91"/>
      <c r="N690" s="83"/>
      <c r="O690" s="83"/>
      <c r="P690" s="83"/>
      <c r="Q690" s="83"/>
      <c r="R690" s="83"/>
      <c r="S690" s="83"/>
      <c r="T690" s="83"/>
      <c r="U690" s="32"/>
      <c r="V690" s="32"/>
      <c r="W690" s="32"/>
      <c r="X690" s="32"/>
      <c r="Y690" s="32"/>
      <c r="Z690" s="18"/>
      <c r="AA690" s="18"/>
      <c r="AZ690" s="92"/>
      <c r="BA690" s="21"/>
      <c r="BB690" s="93"/>
      <c r="BC690" s="93"/>
    </row>
    <row r="691">
      <c r="A691" s="89"/>
      <c r="B691" s="89"/>
      <c r="C691" s="89"/>
      <c r="D691" s="90"/>
      <c r="E691" s="82"/>
      <c r="F691" s="82"/>
      <c r="G691" s="82"/>
      <c r="H691" s="82"/>
      <c r="I691" s="82"/>
      <c r="J691" s="82"/>
      <c r="K691" s="82"/>
      <c r="L691" s="82"/>
      <c r="M691" s="91"/>
      <c r="N691" s="83"/>
      <c r="O691" s="83"/>
      <c r="P691" s="83"/>
      <c r="Q691" s="83"/>
      <c r="R691" s="83"/>
      <c r="S691" s="83"/>
      <c r="T691" s="83"/>
      <c r="U691" s="32"/>
      <c r="V691" s="32"/>
      <c r="W691" s="32"/>
      <c r="X691" s="32"/>
      <c r="Y691" s="32"/>
      <c r="Z691" s="18"/>
      <c r="AA691" s="18"/>
      <c r="AZ691" s="92"/>
      <c r="BA691" s="21"/>
      <c r="BB691" s="93"/>
      <c r="BC691" s="93"/>
    </row>
    <row r="692">
      <c r="A692" s="89"/>
      <c r="B692" s="89"/>
      <c r="C692" s="89"/>
      <c r="D692" s="90"/>
      <c r="E692" s="82"/>
      <c r="F692" s="82"/>
      <c r="G692" s="82"/>
      <c r="H692" s="82"/>
      <c r="I692" s="82"/>
      <c r="J692" s="82"/>
      <c r="K692" s="82"/>
      <c r="L692" s="82"/>
      <c r="M692" s="91"/>
      <c r="N692" s="83"/>
      <c r="O692" s="83"/>
      <c r="P692" s="83"/>
      <c r="Q692" s="83"/>
      <c r="R692" s="83"/>
      <c r="S692" s="83"/>
      <c r="T692" s="83"/>
      <c r="U692" s="32"/>
      <c r="V692" s="32"/>
      <c r="W692" s="32"/>
      <c r="X692" s="32"/>
      <c r="Y692" s="32"/>
      <c r="Z692" s="18"/>
      <c r="AA692" s="18"/>
      <c r="AZ692" s="92"/>
      <c r="BA692" s="21"/>
      <c r="BB692" s="93"/>
      <c r="BC692" s="93"/>
    </row>
    <row r="693">
      <c r="A693" s="89"/>
      <c r="B693" s="89"/>
      <c r="C693" s="89"/>
      <c r="D693" s="90"/>
      <c r="E693" s="82"/>
      <c r="F693" s="82"/>
      <c r="G693" s="82"/>
      <c r="H693" s="82"/>
      <c r="I693" s="82"/>
      <c r="J693" s="82"/>
      <c r="K693" s="82"/>
      <c r="L693" s="82"/>
      <c r="M693" s="91"/>
      <c r="N693" s="83"/>
      <c r="O693" s="83"/>
      <c r="P693" s="83"/>
      <c r="Q693" s="83"/>
      <c r="R693" s="83"/>
      <c r="S693" s="83"/>
      <c r="T693" s="83"/>
      <c r="U693" s="32"/>
      <c r="V693" s="32"/>
      <c r="W693" s="32"/>
      <c r="X693" s="32"/>
      <c r="Y693" s="32"/>
      <c r="Z693" s="18"/>
      <c r="AA693" s="18"/>
      <c r="AZ693" s="92"/>
      <c r="BA693" s="21"/>
      <c r="BB693" s="93"/>
      <c r="BC693" s="93"/>
    </row>
    <row r="694">
      <c r="A694" s="89"/>
      <c r="B694" s="89"/>
      <c r="C694" s="89"/>
      <c r="D694" s="90"/>
      <c r="E694" s="82"/>
      <c r="F694" s="82"/>
      <c r="G694" s="82"/>
      <c r="H694" s="82"/>
      <c r="I694" s="82"/>
      <c r="J694" s="82"/>
      <c r="K694" s="82"/>
      <c r="L694" s="82"/>
      <c r="M694" s="91"/>
      <c r="N694" s="83"/>
      <c r="O694" s="83"/>
      <c r="P694" s="83"/>
      <c r="Q694" s="83"/>
      <c r="R694" s="83"/>
      <c r="S694" s="83"/>
      <c r="T694" s="83"/>
      <c r="U694" s="32"/>
      <c r="V694" s="32"/>
      <c r="W694" s="32"/>
      <c r="X694" s="32"/>
      <c r="Y694" s="32"/>
      <c r="Z694" s="18"/>
      <c r="AA694" s="18"/>
      <c r="AZ694" s="92"/>
      <c r="BA694" s="21"/>
      <c r="BB694" s="93"/>
      <c r="BC694" s="93"/>
    </row>
    <row r="695">
      <c r="A695" s="89"/>
      <c r="B695" s="89"/>
      <c r="C695" s="89"/>
      <c r="D695" s="90"/>
      <c r="E695" s="82"/>
      <c r="F695" s="82"/>
      <c r="G695" s="82"/>
      <c r="H695" s="82"/>
      <c r="I695" s="82"/>
      <c r="J695" s="82"/>
      <c r="K695" s="82"/>
      <c r="L695" s="82"/>
      <c r="M695" s="91"/>
      <c r="N695" s="83"/>
      <c r="O695" s="83"/>
      <c r="P695" s="83"/>
      <c r="Q695" s="83"/>
      <c r="R695" s="83"/>
      <c r="S695" s="83"/>
      <c r="T695" s="83"/>
      <c r="U695" s="32"/>
      <c r="V695" s="32"/>
      <c r="W695" s="32"/>
      <c r="X695" s="32"/>
      <c r="Y695" s="32"/>
      <c r="Z695" s="18"/>
      <c r="AA695" s="18"/>
      <c r="AZ695" s="92"/>
      <c r="BA695" s="21"/>
      <c r="BB695" s="93"/>
      <c r="BC695" s="93"/>
    </row>
    <row r="696">
      <c r="A696" s="89"/>
      <c r="B696" s="89"/>
      <c r="C696" s="89"/>
      <c r="D696" s="90"/>
      <c r="E696" s="82"/>
      <c r="F696" s="82"/>
      <c r="G696" s="82"/>
      <c r="H696" s="82"/>
      <c r="I696" s="82"/>
      <c r="J696" s="82"/>
      <c r="K696" s="82"/>
      <c r="L696" s="82"/>
      <c r="M696" s="91"/>
      <c r="N696" s="83"/>
      <c r="O696" s="83"/>
      <c r="P696" s="83"/>
      <c r="Q696" s="83"/>
      <c r="R696" s="83"/>
      <c r="S696" s="83"/>
      <c r="T696" s="83"/>
      <c r="U696" s="32"/>
      <c r="V696" s="32"/>
      <c r="W696" s="32"/>
      <c r="X696" s="32"/>
      <c r="Y696" s="32"/>
      <c r="Z696" s="18"/>
      <c r="AA696" s="18"/>
      <c r="AZ696" s="92"/>
      <c r="BA696" s="21"/>
      <c r="BB696" s="93"/>
      <c r="BC696" s="93"/>
    </row>
    <row r="697">
      <c r="A697" s="89"/>
      <c r="B697" s="89"/>
      <c r="C697" s="89"/>
      <c r="D697" s="90"/>
      <c r="E697" s="82"/>
      <c r="F697" s="82"/>
      <c r="G697" s="82"/>
      <c r="H697" s="82"/>
      <c r="I697" s="82"/>
      <c r="J697" s="82"/>
      <c r="K697" s="82"/>
      <c r="L697" s="82"/>
      <c r="M697" s="91"/>
      <c r="N697" s="83"/>
      <c r="O697" s="83"/>
      <c r="P697" s="83"/>
      <c r="Q697" s="83"/>
      <c r="R697" s="83"/>
      <c r="S697" s="83"/>
      <c r="T697" s="83"/>
      <c r="U697" s="32"/>
      <c r="V697" s="32"/>
      <c r="W697" s="32"/>
      <c r="X697" s="32"/>
      <c r="Y697" s="32"/>
      <c r="Z697" s="18"/>
      <c r="AA697" s="18"/>
      <c r="AZ697" s="92"/>
      <c r="BA697" s="21"/>
      <c r="BB697" s="93"/>
      <c r="BC697" s="93"/>
    </row>
    <row r="698">
      <c r="A698" s="89"/>
      <c r="B698" s="89"/>
      <c r="C698" s="89"/>
      <c r="D698" s="90"/>
      <c r="E698" s="82"/>
      <c r="F698" s="82"/>
      <c r="G698" s="82"/>
      <c r="H698" s="82"/>
      <c r="I698" s="82"/>
      <c r="J698" s="82"/>
      <c r="K698" s="82"/>
      <c r="L698" s="82"/>
      <c r="M698" s="91"/>
      <c r="N698" s="83"/>
      <c r="O698" s="83"/>
      <c r="P698" s="83"/>
      <c r="Q698" s="83"/>
      <c r="R698" s="83"/>
      <c r="S698" s="83"/>
      <c r="T698" s="83"/>
      <c r="U698" s="32"/>
      <c r="V698" s="32"/>
      <c r="W698" s="32"/>
      <c r="X698" s="32"/>
      <c r="Y698" s="32"/>
      <c r="Z698" s="18"/>
      <c r="AA698" s="18"/>
      <c r="AZ698" s="92"/>
      <c r="BA698" s="21"/>
      <c r="BB698" s="93"/>
      <c r="BC698" s="93"/>
    </row>
    <row r="699">
      <c r="A699" s="89"/>
      <c r="B699" s="89"/>
      <c r="C699" s="89"/>
      <c r="D699" s="90"/>
      <c r="E699" s="82"/>
      <c r="F699" s="82"/>
      <c r="G699" s="82"/>
      <c r="H699" s="82"/>
      <c r="I699" s="82"/>
      <c r="J699" s="82"/>
      <c r="K699" s="82"/>
      <c r="L699" s="82"/>
      <c r="M699" s="91"/>
      <c r="N699" s="83"/>
      <c r="O699" s="83"/>
      <c r="P699" s="83"/>
      <c r="Q699" s="83"/>
      <c r="R699" s="83"/>
      <c r="S699" s="83"/>
      <c r="T699" s="83"/>
      <c r="U699" s="32"/>
      <c r="V699" s="32"/>
      <c r="W699" s="32"/>
      <c r="X699" s="32"/>
      <c r="Y699" s="32"/>
      <c r="Z699" s="18"/>
      <c r="AA699" s="18"/>
      <c r="AZ699" s="92"/>
      <c r="BA699" s="21"/>
      <c r="BB699" s="93"/>
      <c r="BC699" s="93"/>
    </row>
    <row r="700">
      <c r="A700" s="89"/>
      <c r="B700" s="89"/>
      <c r="C700" s="89"/>
      <c r="D700" s="90"/>
      <c r="E700" s="82"/>
      <c r="F700" s="82"/>
      <c r="G700" s="82"/>
      <c r="H700" s="82"/>
      <c r="I700" s="82"/>
      <c r="J700" s="82"/>
      <c r="K700" s="82"/>
      <c r="L700" s="82"/>
      <c r="M700" s="91"/>
      <c r="N700" s="83"/>
      <c r="O700" s="83"/>
      <c r="P700" s="83"/>
      <c r="Q700" s="83"/>
      <c r="R700" s="83"/>
      <c r="S700" s="83"/>
      <c r="T700" s="83"/>
      <c r="U700" s="32"/>
      <c r="V700" s="32"/>
      <c r="W700" s="32"/>
      <c r="X700" s="32"/>
      <c r="Y700" s="32"/>
      <c r="Z700" s="18"/>
      <c r="AA700" s="18"/>
      <c r="AZ700" s="92"/>
      <c r="BA700" s="21"/>
      <c r="BB700" s="93"/>
      <c r="BC700" s="93"/>
    </row>
    <row r="701">
      <c r="A701" s="89"/>
      <c r="B701" s="89"/>
      <c r="C701" s="89"/>
      <c r="D701" s="90"/>
      <c r="E701" s="82"/>
      <c r="F701" s="82"/>
      <c r="G701" s="82"/>
      <c r="H701" s="82"/>
      <c r="I701" s="82"/>
      <c r="J701" s="82"/>
      <c r="K701" s="82"/>
      <c r="L701" s="82"/>
      <c r="M701" s="91"/>
      <c r="N701" s="83"/>
      <c r="O701" s="83"/>
      <c r="P701" s="83"/>
      <c r="Q701" s="83"/>
      <c r="R701" s="83"/>
      <c r="S701" s="83"/>
      <c r="T701" s="83"/>
      <c r="U701" s="32"/>
      <c r="V701" s="32"/>
      <c r="W701" s="32"/>
      <c r="X701" s="32"/>
      <c r="Y701" s="32"/>
      <c r="Z701" s="18"/>
      <c r="AA701" s="18"/>
      <c r="AZ701" s="92"/>
      <c r="BA701" s="21"/>
      <c r="BB701" s="93"/>
      <c r="BC701" s="93"/>
    </row>
    <row r="702">
      <c r="A702" s="89"/>
      <c r="B702" s="89"/>
      <c r="C702" s="89"/>
      <c r="D702" s="90"/>
      <c r="E702" s="82"/>
      <c r="F702" s="82"/>
      <c r="G702" s="82"/>
      <c r="H702" s="82"/>
      <c r="I702" s="82"/>
      <c r="J702" s="82"/>
      <c r="K702" s="82"/>
      <c r="L702" s="82"/>
      <c r="M702" s="91"/>
      <c r="N702" s="83"/>
      <c r="O702" s="83"/>
      <c r="P702" s="83"/>
      <c r="Q702" s="83"/>
      <c r="R702" s="83"/>
      <c r="S702" s="83"/>
      <c r="T702" s="83"/>
      <c r="U702" s="32"/>
      <c r="V702" s="32"/>
      <c r="W702" s="32"/>
      <c r="X702" s="32"/>
      <c r="Y702" s="32"/>
      <c r="Z702" s="18"/>
      <c r="AA702" s="18"/>
      <c r="AZ702" s="92"/>
      <c r="BA702" s="21"/>
      <c r="BB702" s="93"/>
      <c r="BC702" s="93"/>
    </row>
    <row r="703">
      <c r="A703" s="89"/>
      <c r="B703" s="89"/>
      <c r="C703" s="89"/>
      <c r="D703" s="90"/>
      <c r="E703" s="82"/>
      <c r="F703" s="82"/>
      <c r="G703" s="82"/>
      <c r="H703" s="82"/>
      <c r="I703" s="82"/>
      <c r="J703" s="82"/>
      <c r="K703" s="82"/>
      <c r="L703" s="82"/>
      <c r="M703" s="91"/>
      <c r="N703" s="83"/>
      <c r="O703" s="83"/>
      <c r="P703" s="83"/>
      <c r="Q703" s="83"/>
      <c r="R703" s="83"/>
      <c r="S703" s="83"/>
      <c r="T703" s="83"/>
      <c r="U703" s="32"/>
      <c r="V703" s="32"/>
      <c r="W703" s="32"/>
      <c r="X703" s="32"/>
      <c r="Y703" s="32"/>
      <c r="Z703" s="18"/>
      <c r="AA703" s="18"/>
      <c r="AZ703" s="92"/>
      <c r="BA703" s="21"/>
      <c r="BB703" s="93"/>
      <c r="BC703" s="93"/>
    </row>
    <row r="704">
      <c r="A704" s="89"/>
      <c r="B704" s="89"/>
      <c r="C704" s="89"/>
      <c r="D704" s="90"/>
      <c r="E704" s="82"/>
      <c r="F704" s="82"/>
      <c r="G704" s="82"/>
      <c r="H704" s="82"/>
      <c r="I704" s="82"/>
      <c r="J704" s="82"/>
      <c r="K704" s="82"/>
      <c r="L704" s="82"/>
      <c r="M704" s="91"/>
      <c r="N704" s="83"/>
      <c r="O704" s="83"/>
      <c r="P704" s="83"/>
      <c r="Q704" s="83"/>
      <c r="R704" s="83"/>
      <c r="S704" s="83"/>
      <c r="T704" s="83"/>
      <c r="U704" s="32"/>
      <c r="V704" s="32"/>
      <c r="W704" s="32"/>
      <c r="X704" s="32"/>
      <c r="Y704" s="32"/>
      <c r="Z704" s="18"/>
      <c r="AA704" s="18"/>
      <c r="AZ704" s="92"/>
      <c r="BA704" s="21"/>
      <c r="BB704" s="93"/>
      <c r="BC704" s="93"/>
    </row>
    <row r="705">
      <c r="A705" s="89"/>
      <c r="B705" s="89"/>
      <c r="C705" s="89"/>
      <c r="D705" s="90"/>
      <c r="E705" s="82"/>
      <c r="F705" s="82"/>
      <c r="G705" s="82"/>
      <c r="H705" s="82"/>
      <c r="I705" s="82"/>
      <c r="J705" s="82"/>
      <c r="K705" s="82"/>
      <c r="L705" s="82"/>
      <c r="M705" s="91"/>
      <c r="N705" s="83"/>
      <c r="O705" s="83"/>
      <c r="P705" s="83"/>
      <c r="Q705" s="83"/>
      <c r="R705" s="83"/>
      <c r="S705" s="83"/>
      <c r="T705" s="83"/>
      <c r="U705" s="32"/>
      <c r="V705" s="32"/>
      <c r="W705" s="32"/>
      <c r="X705" s="32"/>
      <c r="Y705" s="32"/>
      <c r="Z705" s="18"/>
      <c r="AA705" s="18"/>
      <c r="AZ705" s="92"/>
      <c r="BA705" s="21"/>
      <c r="BB705" s="93"/>
      <c r="BC705" s="93"/>
    </row>
    <row r="706">
      <c r="A706" s="89"/>
      <c r="B706" s="89"/>
      <c r="C706" s="89"/>
      <c r="D706" s="90"/>
      <c r="E706" s="82"/>
      <c r="F706" s="82"/>
      <c r="G706" s="82"/>
      <c r="H706" s="82"/>
      <c r="I706" s="82"/>
      <c r="J706" s="82"/>
      <c r="K706" s="82"/>
      <c r="L706" s="82"/>
      <c r="M706" s="91"/>
      <c r="N706" s="83"/>
      <c r="O706" s="83"/>
      <c r="P706" s="83"/>
      <c r="Q706" s="83"/>
      <c r="R706" s="83"/>
      <c r="S706" s="83"/>
      <c r="T706" s="83"/>
      <c r="U706" s="32"/>
      <c r="V706" s="32"/>
      <c r="W706" s="32"/>
      <c r="X706" s="32"/>
      <c r="Y706" s="32"/>
      <c r="Z706" s="18"/>
      <c r="AA706" s="18"/>
      <c r="AZ706" s="92"/>
      <c r="BA706" s="21"/>
      <c r="BB706" s="93"/>
      <c r="BC706" s="93"/>
    </row>
    <row r="707">
      <c r="A707" s="89"/>
      <c r="B707" s="89"/>
      <c r="C707" s="89"/>
      <c r="D707" s="90"/>
      <c r="E707" s="82"/>
      <c r="F707" s="82"/>
      <c r="G707" s="82"/>
      <c r="H707" s="82"/>
      <c r="I707" s="82"/>
      <c r="J707" s="82"/>
      <c r="K707" s="82"/>
      <c r="L707" s="82"/>
      <c r="M707" s="91"/>
      <c r="N707" s="83"/>
      <c r="O707" s="83"/>
      <c r="P707" s="83"/>
      <c r="Q707" s="83"/>
      <c r="R707" s="83"/>
      <c r="S707" s="83"/>
      <c r="T707" s="83"/>
      <c r="U707" s="32"/>
      <c r="V707" s="32"/>
      <c r="W707" s="32"/>
      <c r="X707" s="32"/>
      <c r="Y707" s="32"/>
      <c r="Z707" s="18"/>
      <c r="AA707" s="18"/>
      <c r="AZ707" s="92"/>
      <c r="BA707" s="21"/>
      <c r="BB707" s="93"/>
      <c r="BC707" s="93"/>
    </row>
    <row r="708">
      <c r="A708" s="89"/>
      <c r="B708" s="89"/>
      <c r="C708" s="89"/>
      <c r="D708" s="90"/>
      <c r="E708" s="82"/>
      <c r="F708" s="82"/>
      <c r="G708" s="82"/>
      <c r="H708" s="82"/>
      <c r="I708" s="82"/>
      <c r="J708" s="82"/>
      <c r="K708" s="82"/>
      <c r="L708" s="82"/>
      <c r="M708" s="91"/>
      <c r="N708" s="83"/>
      <c r="O708" s="83"/>
      <c r="P708" s="83"/>
      <c r="Q708" s="83"/>
      <c r="R708" s="83"/>
      <c r="S708" s="83"/>
      <c r="T708" s="83"/>
      <c r="U708" s="32"/>
      <c r="V708" s="32"/>
      <c r="W708" s="32"/>
      <c r="X708" s="32"/>
      <c r="Y708" s="32"/>
      <c r="Z708" s="18"/>
      <c r="AA708" s="18"/>
      <c r="AZ708" s="92"/>
      <c r="BA708" s="21"/>
      <c r="BB708" s="93"/>
      <c r="BC708" s="93"/>
    </row>
    <row r="709">
      <c r="A709" s="89"/>
      <c r="B709" s="89"/>
      <c r="C709" s="89"/>
      <c r="D709" s="90"/>
      <c r="E709" s="82"/>
      <c r="F709" s="82"/>
      <c r="G709" s="82"/>
      <c r="H709" s="82"/>
      <c r="I709" s="82"/>
      <c r="J709" s="82"/>
      <c r="K709" s="82"/>
      <c r="L709" s="82"/>
      <c r="M709" s="91"/>
      <c r="N709" s="83"/>
      <c r="O709" s="83"/>
      <c r="P709" s="83"/>
      <c r="Q709" s="83"/>
      <c r="R709" s="83"/>
      <c r="S709" s="83"/>
      <c r="T709" s="83"/>
      <c r="U709" s="32"/>
      <c r="V709" s="32"/>
      <c r="W709" s="32"/>
      <c r="X709" s="32"/>
      <c r="Y709" s="32"/>
      <c r="Z709" s="18"/>
      <c r="AA709" s="18"/>
      <c r="AZ709" s="92"/>
      <c r="BA709" s="21"/>
      <c r="BB709" s="93"/>
      <c r="BC709" s="93"/>
    </row>
    <row r="710">
      <c r="A710" s="89"/>
      <c r="B710" s="89"/>
      <c r="C710" s="89"/>
      <c r="D710" s="90"/>
      <c r="E710" s="82"/>
      <c r="F710" s="82"/>
      <c r="G710" s="82"/>
      <c r="H710" s="82"/>
      <c r="I710" s="82"/>
      <c r="J710" s="82"/>
      <c r="K710" s="82"/>
      <c r="L710" s="82"/>
      <c r="M710" s="91"/>
      <c r="N710" s="83"/>
      <c r="O710" s="83"/>
      <c r="P710" s="83"/>
      <c r="Q710" s="83"/>
      <c r="R710" s="83"/>
      <c r="S710" s="83"/>
      <c r="T710" s="83"/>
      <c r="U710" s="32"/>
      <c r="V710" s="32"/>
      <c r="W710" s="32"/>
      <c r="X710" s="32"/>
      <c r="Y710" s="32"/>
      <c r="Z710" s="18"/>
      <c r="AA710" s="18"/>
      <c r="AZ710" s="92"/>
      <c r="BA710" s="21"/>
      <c r="BB710" s="93"/>
      <c r="BC710" s="93"/>
    </row>
    <row r="711">
      <c r="A711" s="89"/>
      <c r="B711" s="89"/>
      <c r="C711" s="89"/>
      <c r="D711" s="90"/>
      <c r="E711" s="82"/>
      <c r="F711" s="82"/>
      <c r="G711" s="82"/>
      <c r="H711" s="82"/>
      <c r="I711" s="82"/>
      <c r="J711" s="82"/>
      <c r="K711" s="82"/>
      <c r="L711" s="82"/>
      <c r="M711" s="91"/>
      <c r="N711" s="83"/>
      <c r="O711" s="83"/>
      <c r="P711" s="83"/>
      <c r="Q711" s="83"/>
      <c r="R711" s="83"/>
      <c r="S711" s="83"/>
      <c r="T711" s="83"/>
      <c r="U711" s="32"/>
      <c r="V711" s="32"/>
      <c r="W711" s="32"/>
      <c r="X711" s="32"/>
      <c r="Y711" s="32"/>
      <c r="Z711" s="18"/>
      <c r="AA711" s="18"/>
      <c r="AZ711" s="92"/>
      <c r="BA711" s="21"/>
      <c r="BB711" s="93"/>
      <c r="BC711" s="93"/>
    </row>
    <row r="712">
      <c r="A712" s="89"/>
      <c r="B712" s="89"/>
      <c r="C712" s="89"/>
      <c r="D712" s="90"/>
      <c r="E712" s="82"/>
      <c r="F712" s="82"/>
      <c r="G712" s="82"/>
      <c r="H712" s="82"/>
      <c r="I712" s="82"/>
      <c r="J712" s="82"/>
      <c r="K712" s="82"/>
      <c r="L712" s="82"/>
      <c r="M712" s="91"/>
      <c r="N712" s="83"/>
      <c r="O712" s="83"/>
      <c r="P712" s="83"/>
      <c r="Q712" s="83"/>
      <c r="R712" s="83"/>
      <c r="S712" s="83"/>
      <c r="T712" s="83"/>
      <c r="U712" s="32"/>
      <c r="V712" s="32"/>
      <c r="W712" s="32"/>
      <c r="X712" s="32"/>
      <c r="Y712" s="32"/>
      <c r="Z712" s="18"/>
      <c r="AA712" s="18"/>
      <c r="AZ712" s="92"/>
      <c r="BA712" s="21"/>
      <c r="BB712" s="93"/>
      <c r="BC712" s="93"/>
    </row>
    <row r="713">
      <c r="A713" s="89"/>
      <c r="B713" s="89"/>
      <c r="C713" s="89"/>
      <c r="D713" s="90"/>
      <c r="E713" s="82"/>
      <c r="F713" s="82"/>
      <c r="G713" s="82"/>
      <c r="H713" s="82"/>
      <c r="I713" s="82"/>
      <c r="J713" s="82"/>
      <c r="K713" s="82"/>
      <c r="L713" s="82"/>
      <c r="M713" s="91"/>
      <c r="N713" s="83"/>
      <c r="O713" s="83"/>
      <c r="P713" s="83"/>
      <c r="Q713" s="83"/>
      <c r="R713" s="83"/>
      <c r="S713" s="83"/>
      <c r="T713" s="83"/>
      <c r="U713" s="32"/>
      <c r="V713" s="32"/>
      <c r="W713" s="32"/>
      <c r="X713" s="32"/>
      <c r="Y713" s="32"/>
      <c r="Z713" s="18"/>
      <c r="AA713" s="18"/>
      <c r="AZ713" s="92"/>
      <c r="BA713" s="21"/>
      <c r="BB713" s="93"/>
      <c r="BC713" s="93"/>
    </row>
    <row r="714">
      <c r="A714" s="89"/>
      <c r="B714" s="89"/>
      <c r="C714" s="89"/>
      <c r="D714" s="90"/>
      <c r="E714" s="82"/>
      <c r="F714" s="82"/>
      <c r="G714" s="82"/>
      <c r="H714" s="82"/>
      <c r="I714" s="82"/>
      <c r="J714" s="82"/>
      <c r="K714" s="82"/>
      <c r="L714" s="82"/>
      <c r="M714" s="91"/>
      <c r="N714" s="83"/>
      <c r="O714" s="83"/>
      <c r="P714" s="83"/>
      <c r="Q714" s="83"/>
      <c r="R714" s="83"/>
      <c r="S714" s="83"/>
      <c r="T714" s="83"/>
      <c r="U714" s="32"/>
      <c r="V714" s="32"/>
      <c r="W714" s="32"/>
      <c r="X714" s="32"/>
      <c r="Y714" s="32"/>
      <c r="Z714" s="18"/>
      <c r="AA714" s="18"/>
      <c r="AZ714" s="92"/>
      <c r="BA714" s="21"/>
      <c r="BB714" s="93"/>
      <c r="BC714" s="93"/>
    </row>
    <row r="715">
      <c r="A715" s="89"/>
      <c r="B715" s="89"/>
      <c r="C715" s="89"/>
      <c r="D715" s="90"/>
      <c r="E715" s="82"/>
      <c r="F715" s="82"/>
      <c r="G715" s="82"/>
      <c r="H715" s="82"/>
      <c r="I715" s="82"/>
      <c r="J715" s="82"/>
      <c r="K715" s="82"/>
      <c r="L715" s="82"/>
      <c r="M715" s="91"/>
      <c r="N715" s="83"/>
      <c r="O715" s="83"/>
      <c r="P715" s="83"/>
      <c r="Q715" s="83"/>
      <c r="R715" s="83"/>
      <c r="S715" s="83"/>
      <c r="T715" s="83"/>
      <c r="U715" s="32"/>
      <c r="V715" s="32"/>
      <c r="W715" s="32"/>
      <c r="X715" s="32"/>
      <c r="Y715" s="32"/>
      <c r="Z715" s="18"/>
      <c r="AA715" s="18"/>
      <c r="AZ715" s="92"/>
      <c r="BA715" s="21"/>
      <c r="BB715" s="93"/>
      <c r="BC715" s="93"/>
    </row>
    <row r="716">
      <c r="A716" s="89"/>
      <c r="B716" s="89"/>
      <c r="C716" s="89"/>
      <c r="D716" s="90"/>
      <c r="E716" s="82"/>
      <c r="F716" s="82"/>
      <c r="G716" s="82"/>
      <c r="H716" s="82"/>
      <c r="I716" s="82"/>
      <c r="J716" s="82"/>
      <c r="K716" s="82"/>
      <c r="L716" s="82"/>
      <c r="M716" s="91"/>
      <c r="N716" s="83"/>
      <c r="O716" s="83"/>
      <c r="P716" s="83"/>
      <c r="Q716" s="83"/>
      <c r="R716" s="83"/>
      <c r="S716" s="83"/>
      <c r="T716" s="83"/>
      <c r="U716" s="32"/>
      <c r="V716" s="32"/>
      <c r="W716" s="32"/>
      <c r="X716" s="32"/>
      <c r="Y716" s="32"/>
      <c r="Z716" s="18"/>
      <c r="AA716" s="18"/>
      <c r="AZ716" s="92"/>
      <c r="BA716" s="21"/>
      <c r="BB716" s="93"/>
      <c r="BC716" s="93"/>
    </row>
    <row r="717">
      <c r="A717" s="89"/>
      <c r="B717" s="89"/>
      <c r="C717" s="89"/>
      <c r="D717" s="90"/>
      <c r="E717" s="82"/>
      <c r="F717" s="82"/>
      <c r="G717" s="82"/>
      <c r="H717" s="82"/>
      <c r="I717" s="82"/>
      <c r="J717" s="82"/>
      <c r="K717" s="82"/>
      <c r="L717" s="82"/>
      <c r="M717" s="91"/>
      <c r="N717" s="83"/>
      <c r="O717" s="83"/>
      <c r="P717" s="83"/>
      <c r="Q717" s="83"/>
      <c r="R717" s="83"/>
      <c r="S717" s="83"/>
      <c r="T717" s="83"/>
      <c r="U717" s="32"/>
      <c r="V717" s="32"/>
      <c r="W717" s="32"/>
      <c r="X717" s="32"/>
      <c r="Y717" s="32"/>
      <c r="Z717" s="18"/>
      <c r="AA717" s="18"/>
      <c r="AZ717" s="92"/>
      <c r="BA717" s="21"/>
      <c r="BB717" s="93"/>
      <c r="BC717" s="93"/>
    </row>
    <row r="718">
      <c r="A718" s="89"/>
      <c r="B718" s="89"/>
      <c r="C718" s="89"/>
      <c r="D718" s="90"/>
      <c r="E718" s="82"/>
      <c r="F718" s="82"/>
      <c r="G718" s="82"/>
      <c r="H718" s="82"/>
      <c r="I718" s="82"/>
      <c r="J718" s="82"/>
      <c r="K718" s="82"/>
      <c r="L718" s="82"/>
      <c r="M718" s="91"/>
      <c r="N718" s="83"/>
      <c r="O718" s="83"/>
      <c r="P718" s="83"/>
      <c r="Q718" s="83"/>
      <c r="R718" s="83"/>
      <c r="S718" s="83"/>
      <c r="T718" s="83"/>
      <c r="U718" s="32"/>
      <c r="V718" s="32"/>
      <c r="W718" s="32"/>
      <c r="X718" s="32"/>
      <c r="Y718" s="32"/>
      <c r="Z718" s="18"/>
      <c r="AA718" s="18"/>
      <c r="AZ718" s="92"/>
      <c r="BA718" s="21"/>
      <c r="BB718" s="93"/>
      <c r="BC718" s="93"/>
    </row>
    <row r="719">
      <c r="A719" s="89"/>
      <c r="B719" s="89"/>
      <c r="C719" s="89"/>
      <c r="D719" s="90"/>
      <c r="E719" s="82"/>
      <c r="F719" s="82"/>
      <c r="G719" s="82"/>
      <c r="H719" s="82"/>
      <c r="I719" s="82"/>
      <c r="J719" s="82"/>
      <c r="K719" s="82"/>
      <c r="L719" s="82"/>
      <c r="M719" s="91"/>
      <c r="N719" s="83"/>
      <c r="O719" s="83"/>
      <c r="P719" s="83"/>
      <c r="Q719" s="83"/>
      <c r="R719" s="83"/>
      <c r="S719" s="83"/>
      <c r="T719" s="83"/>
      <c r="U719" s="32"/>
      <c r="V719" s="32"/>
      <c r="W719" s="32"/>
      <c r="X719" s="32"/>
      <c r="Y719" s="32"/>
      <c r="Z719" s="18"/>
      <c r="AA719" s="18"/>
      <c r="AZ719" s="92"/>
      <c r="BA719" s="21"/>
      <c r="BB719" s="93"/>
      <c r="BC719" s="93"/>
    </row>
    <row r="720">
      <c r="A720" s="89"/>
      <c r="B720" s="89"/>
      <c r="C720" s="89"/>
      <c r="D720" s="90"/>
      <c r="E720" s="82"/>
      <c r="F720" s="82"/>
      <c r="G720" s="82"/>
      <c r="H720" s="82"/>
      <c r="I720" s="82"/>
      <c r="J720" s="82"/>
      <c r="K720" s="82"/>
      <c r="L720" s="82"/>
      <c r="M720" s="91"/>
      <c r="N720" s="83"/>
      <c r="O720" s="83"/>
      <c r="P720" s="83"/>
      <c r="Q720" s="83"/>
      <c r="R720" s="83"/>
      <c r="S720" s="83"/>
      <c r="T720" s="83"/>
      <c r="U720" s="32"/>
      <c r="V720" s="32"/>
      <c r="W720" s="32"/>
      <c r="X720" s="32"/>
      <c r="Y720" s="32"/>
      <c r="Z720" s="18"/>
      <c r="AA720" s="18"/>
      <c r="AZ720" s="92"/>
      <c r="BA720" s="21"/>
      <c r="BB720" s="93"/>
      <c r="BC720" s="93"/>
    </row>
    <row r="721">
      <c r="A721" s="89"/>
      <c r="B721" s="89"/>
      <c r="C721" s="89"/>
      <c r="D721" s="90"/>
      <c r="E721" s="82"/>
      <c r="F721" s="82"/>
      <c r="G721" s="82"/>
      <c r="H721" s="82"/>
      <c r="I721" s="82"/>
      <c r="J721" s="82"/>
      <c r="K721" s="82"/>
      <c r="L721" s="82"/>
      <c r="M721" s="91"/>
      <c r="N721" s="83"/>
      <c r="O721" s="83"/>
      <c r="P721" s="83"/>
      <c r="Q721" s="83"/>
      <c r="R721" s="83"/>
      <c r="S721" s="83"/>
      <c r="T721" s="83"/>
      <c r="U721" s="32"/>
      <c r="V721" s="32"/>
      <c r="W721" s="32"/>
      <c r="X721" s="32"/>
      <c r="Y721" s="32"/>
      <c r="Z721" s="18"/>
      <c r="AA721" s="18"/>
      <c r="AZ721" s="92"/>
      <c r="BA721" s="21"/>
      <c r="BB721" s="93"/>
      <c r="BC721" s="93"/>
    </row>
    <row r="722">
      <c r="A722" s="89"/>
      <c r="B722" s="89"/>
      <c r="C722" s="89"/>
      <c r="D722" s="90"/>
      <c r="E722" s="82"/>
      <c r="F722" s="82"/>
      <c r="G722" s="82"/>
      <c r="H722" s="82"/>
      <c r="I722" s="82"/>
      <c r="J722" s="82"/>
      <c r="K722" s="82"/>
      <c r="L722" s="82"/>
      <c r="M722" s="91"/>
      <c r="N722" s="83"/>
      <c r="O722" s="83"/>
      <c r="P722" s="83"/>
      <c r="Q722" s="83"/>
      <c r="R722" s="83"/>
      <c r="S722" s="83"/>
      <c r="T722" s="83"/>
      <c r="U722" s="32"/>
      <c r="V722" s="32"/>
      <c r="W722" s="32"/>
      <c r="X722" s="32"/>
      <c r="Y722" s="32"/>
      <c r="Z722" s="18"/>
      <c r="AA722" s="18"/>
      <c r="AZ722" s="92"/>
      <c r="BA722" s="21"/>
      <c r="BB722" s="93"/>
      <c r="BC722" s="93"/>
    </row>
    <row r="723">
      <c r="A723" s="89"/>
      <c r="B723" s="89"/>
      <c r="C723" s="89"/>
      <c r="D723" s="90"/>
      <c r="E723" s="82"/>
      <c r="F723" s="82"/>
      <c r="G723" s="82"/>
      <c r="H723" s="82"/>
      <c r="I723" s="82"/>
      <c r="J723" s="82"/>
      <c r="K723" s="82"/>
      <c r="L723" s="82"/>
      <c r="M723" s="91"/>
      <c r="N723" s="83"/>
      <c r="O723" s="83"/>
      <c r="P723" s="83"/>
      <c r="Q723" s="83"/>
      <c r="R723" s="83"/>
      <c r="S723" s="83"/>
      <c r="T723" s="83"/>
      <c r="U723" s="32"/>
      <c r="V723" s="32"/>
      <c r="W723" s="32"/>
      <c r="X723" s="32"/>
      <c r="Y723" s="32"/>
      <c r="Z723" s="18"/>
      <c r="AA723" s="18"/>
      <c r="AZ723" s="92"/>
      <c r="BA723" s="21"/>
      <c r="BB723" s="93"/>
      <c r="BC723" s="93"/>
    </row>
    <row r="724">
      <c r="A724" s="89"/>
      <c r="B724" s="89"/>
      <c r="C724" s="89"/>
      <c r="D724" s="90"/>
      <c r="E724" s="82"/>
      <c r="F724" s="82"/>
      <c r="G724" s="82"/>
      <c r="H724" s="82"/>
      <c r="I724" s="82"/>
      <c r="J724" s="82"/>
      <c r="K724" s="82"/>
      <c r="L724" s="82"/>
      <c r="M724" s="91"/>
      <c r="N724" s="83"/>
      <c r="O724" s="83"/>
      <c r="P724" s="83"/>
      <c r="Q724" s="83"/>
      <c r="R724" s="83"/>
      <c r="S724" s="83"/>
      <c r="T724" s="83"/>
      <c r="U724" s="32"/>
      <c r="V724" s="32"/>
      <c r="W724" s="32"/>
      <c r="X724" s="32"/>
      <c r="Y724" s="32"/>
      <c r="Z724" s="18"/>
      <c r="AA724" s="18"/>
      <c r="AZ724" s="92"/>
      <c r="BA724" s="21"/>
      <c r="BB724" s="93"/>
      <c r="BC724" s="93"/>
    </row>
    <row r="725">
      <c r="A725" s="89"/>
      <c r="B725" s="89"/>
      <c r="C725" s="89"/>
      <c r="D725" s="90"/>
      <c r="E725" s="82"/>
      <c r="F725" s="82"/>
      <c r="G725" s="82"/>
      <c r="H725" s="82"/>
      <c r="I725" s="82"/>
      <c r="J725" s="82"/>
      <c r="K725" s="82"/>
      <c r="L725" s="82"/>
      <c r="M725" s="91"/>
      <c r="N725" s="83"/>
      <c r="O725" s="83"/>
      <c r="P725" s="83"/>
      <c r="Q725" s="83"/>
      <c r="R725" s="83"/>
      <c r="S725" s="83"/>
      <c r="T725" s="83"/>
      <c r="U725" s="32"/>
      <c r="V725" s="32"/>
      <c r="W725" s="32"/>
      <c r="X725" s="32"/>
      <c r="Y725" s="32"/>
      <c r="Z725" s="18"/>
      <c r="AA725" s="18"/>
      <c r="AZ725" s="92"/>
      <c r="BA725" s="21"/>
      <c r="BB725" s="93"/>
      <c r="BC725" s="93"/>
    </row>
    <row r="726">
      <c r="A726" s="89"/>
      <c r="B726" s="89"/>
      <c r="C726" s="89"/>
      <c r="D726" s="90"/>
      <c r="E726" s="82"/>
      <c r="F726" s="82"/>
      <c r="G726" s="82"/>
      <c r="H726" s="82"/>
      <c r="I726" s="82"/>
      <c r="J726" s="82"/>
      <c r="K726" s="82"/>
      <c r="L726" s="82"/>
      <c r="M726" s="91"/>
      <c r="N726" s="83"/>
      <c r="O726" s="83"/>
      <c r="P726" s="83"/>
      <c r="Q726" s="83"/>
      <c r="R726" s="83"/>
      <c r="S726" s="83"/>
      <c r="T726" s="83"/>
      <c r="U726" s="32"/>
      <c r="V726" s="32"/>
      <c r="W726" s="32"/>
      <c r="X726" s="32"/>
      <c r="Y726" s="32"/>
      <c r="Z726" s="18"/>
      <c r="AA726" s="18"/>
      <c r="AZ726" s="92"/>
      <c r="BA726" s="21"/>
      <c r="BB726" s="93"/>
      <c r="BC726" s="93"/>
    </row>
    <row r="727">
      <c r="A727" s="89"/>
      <c r="B727" s="89"/>
      <c r="C727" s="89"/>
      <c r="D727" s="90"/>
      <c r="E727" s="82"/>
      <c r="F727" s="82"/>
      <c r="G727" s="82"/>
      <c r="H727" s="82"/>
      <c r="I727" s="82"/>
      <c r="J727" s="82"/>
      <c r="K727" s="82"/>
      <c r="L727" s="82"/>
      <c r="M727" s="91"/>
      <c r="N727" s="83"/>
      <c r="O727" s="83"/>
      <c r="P727" s="83"/>
      <c r="Q727" s="83"/>
      <c r="R727" s="83"/>
      <c r="S727" s="83"/>
      <c r="T727" s="83"/>
      <c r="U727" s="32"/>
      <c r="V727" s="32"/>
      <c r="W727" s="32"/>
      <c r="X727" s="32"/>
      <c r="Y727" s="32"/>
      <c r="Z727" s="18"/>
      <c r="AA727" s="18"/>
      <c r="AZ727" s="92"/>
      <c r="BA727" s="21"/>
      <c r="BB727" s="93"/>
      <c r="BC727" s="93"/>
    </row>
    <row r="728">
      <c r="A728" s="89"/>
      <c r="B728" s="89"/>
      <c r="C728" s="89"/>
      <c r="D728" s="90"/>
      <c r="E728" s="82"/>
      <c r="F728" s="82"/>
      <c r="G728" s="82"/>
      <c r="H728" s="82"/>
      <c r="I728" s="82"/>
      <c r="J728" s="82"/>
      <c r="K728" s="82"/>
      <c r="L728" s="82"/>
      <c r="M728" s="91"/>
      <c r="N728" s="83"/>
      <c r="O728" s="83"/>
      <c r="P728" s="83"/>
      <c r="Q728" s="83"/>
      <c r="R728" s="83"/>
      <c r="S728" s="83"/>
      <c r="T728" s="83"/>
      <c r="U728" s="32"/>
      <c r="V728" s="32"/>
      <c r="W728" s="32"/>
      <c r="X728" s="32"/>
      <c r="Y728" s="32"/>
      <c r="Z728" s="18"/>
      <c r="AA728" s="18"/>
      <c r="AZ728" s="92"/>
      <c r="BA728" s="21"/>
      <c r="BB728" s="93"/>
      <c r="BC728" s="93"/>
    </row>
    <row r="729">
      <c r="A729" s="89"/>
      <c r="B729" s="89"/>
      <c r="C729" s="89"/>
      <c r="D729" s="90"/>
      <c r="E729" s="82"/>
      <c r="F729" s="82"/>
      <c r="G729" s="82"/>
      <c r="H729" s="82"/>
      <c r="I729" s="82"/>
      <c r="J729" s="82"/>
      <c r="K729" s="82"/>
      <c r="L729" s="82"/>
      <c r="M729" s="91"/>
      <c r="N729" s="83"/>
      <c r="O729" s="83"/>
      <c r="P729" s="83"/>
      <c r="Q729" s="83"/>
      <c r="R729" s="83"/>
      <c r="S729" s="83"/>
      <c r="T729" s="83"/>
      <c r="U729" s="32"/>
      <c r="V729" s="32"/>
      <c r="W729" s="32"/>
      <c r="X729" s="32"/>
      <c r="Y729" s="32"/>
      <c r="Z729" s="18"/>
      <c r="AA729" s="18"/>
      <c r="AZ729" s="92"/>
      <c r="BA729" s="21"/>
      <c r="BB729" s="93"/>
      <c r="BC729" s="93"/>
    </row>
    <row r="730">
      <c r="A730" s="89"/>
      <c r="B730" s="89"/>
      <c r="C730" s="89"/>
      <c r="D730" s="90"/>
      <c r="E730" s="82"/>
      <c r="F730" s="82"/>
      <c r="G730" s="82"/>
      <c r="H730" s="82"/>
      <c r="I730" s="82"/>
      <c r="J730" s="82"/>
      <c r="K730" s="82"/>
      <c r="L730" s="82"/>
      <c r="M730" s="91"/>
      <c r="N730" s="83"/>
      <c r="O730" s="83"/>
      <c r="P730" s="83"/>
      <c r="Q730" s="83"/>
      <c r="R730" s="83"/>
      <c r="S730" s="83"/>
      <c r="T730" s="83"/>
      <c r="U730" s="32"/>
      <c r="V730" s="32"/>
      <c r="W730" s="32"/>
      <c r="X730" s="32"/>
      <c r="Y730" s="32"/>
      <c r="Z730" s="18"/>
      <c r="AA730" s="18"/>
      <c r="AZ730" s="92"/>
      <c r="BA730" s="21"/>
      <c r="BB730" s="93"/>
      <c r="BC730" s="93"/>
    </row>
    <row r="731">
      <c r="A731" s="89"/>
      <c r="B731" s="89"/>
      <c r="C731" s="89"/>
      <c r="D731" s="90"/>
      <c r="E731" s="82"/>
      <c r="F731" s="82"/>
      <c r="G731" s="82"/>
      <c r="H731" s="82"/>
      <c r="I731" s="82"/>
      <c r="J731" s="82"/>
      <c r="K731" s="82"/>
      <c r="L731" s="82"/>
      <c r="M731" s="91"/>
      <c r="N731" s="83"/>
      <c r="O731" s="83"/>
      <c r="P731" s="83"/>
      <c r="Q731" s="83"/>
      <c r="R731" s="83"/>
      <c r="S731" s="83"/>
      <c r="T731" s="83"/>
      <c r="U731" s="32"/>
      <c r="V731" s="32"/>
      <c r="W731" s="32"/>
      <c r="X731" s="32"/>
      <c r="Y731" s="32"/>
      <c r="Z731" s="18"/>
      <c r="AA731" s="18"/>
      <c r="AZ731" s="92"/>
      <c r="BA731" s="21"/>
      <c r="BB731" s="93"/>
      <c r="BC731" s="93"/>
    </row>
    <row r="732">
      <c r="A732" s="89"/>
      <c r="B732" s="89"/>
      <c r="C732" s="89"/>
      <c r="D732" s="90"/>
      <c r="E732" s="82"/>
      <c r="F732" s="82"/>
      <c r="G732" s="82"/>
      <c r="H732" s="82"/>
      <c r="I732" s="82"/>
      <c r="J732" s="82"/>
      <c r="K732" s="82"/>
      <c r="L732" s="82"/>
      <c r="M732" s="91"/>
      <c r="N732" s="83"/>
      <c r="O732" s="83"/>
      <c r="P732" s="83"/>
      <c r="Q732" s="83"/>
      <c r="R732" s="83"/>
      <c r="S732" s="83"/>
      <c r="T732" s="83"/>
      <c r="U732" s="32"/>
      <c r="V732" s="32"/>
      <c r="W732" s="32"/>
      <c r="X732" s="32"/>
      <c r="Y732" s="32"/>
      <c r="Z732" s="18"/>
      <c r="AA732" s="18"/>
      <c r="AZ732" s="92"/>
      <c r="BA732" s="21"/>
      <c r="BB732" s="93"/>
      <c r="BC732" s="93"/>
    </row>
    <row r="733">
      <c r="A733" s="89"/>
      <c r="B733" s="89"/>
      <c r="C733" s="89"/>
      <c r="D733" s="90"/>
      <c r="E733" s="82"/>
      <c r="F733" s="82"/>
      <c r="G733" s="82"/>
      <c r="H733" s="82"/>
      <c r="I733" s="82"/>
      <c r="J733" s="82"/>
      <c r="K733" s="82"/>
      <c r="L733" s="82"/>
      <c r="M733" s="91"/>
      <c r="N733" s="83"/>
      <c r="O733" s="83"/>
      <c r="P733" s="83"/>
      <c r="Q733" s="83"/>
      <c r="R733" s="83"/>
      <c r="S733" s="83"/>
      <c r="T733" s="83"/>
      <c r="U733" s="32"/>
      <c r="V733" s="32"/>
      <c r="W733" s="32"/>
      <c r="X733" s="32"/>
      <c r="Y733" s="32"/>
      <c r="Z733" s="18"/>
      <c r="AA733" s="18"/>
      <c r="AZ733" s="92"/>
      <c r="BA733" s="21"/>
      <c r="BB733" s="93"/>
      <c r="BC733" s="93"/>
    </row>
    <row r="734">
      <c r="A734" s="89"/>
      <c r="B734" s="89"/>
      <c r="C734" s="89"/>
      <c r="D734" s="90"/>
      <c r="E734" s="82"/>
      <c r="F734" s="82"/>
      <c r="G734" s="82"/>
      <c r="H734" s="82"/>
      <c r="I734" s="82"/>
      <c r="J734" s="82"/>
      <c r="K734" s="82"/>
      <c r="L734" s="82"/>
      <c r="M734" s="91"/>
      <c r="N734" s="83"/>
      <c r="O734" s="83"/>
      <c r="P734" s="83"/>
      <c r="Q734" s="83"/>
      <c r="R734" s="83"/>
      <c r="S734" s="83"/>
      <c r="T734" s="83"/>
      <c r="U734" s="32"/>
      <c r="V734" s="32"/>
      <c r="W734" s="32"/>
      <c r="X734" s="32"/>
      <c r="Y734" s="32"/>
      <c r="Z734" s="18"/>
      <c r="AA734" s="18"/>
      <c r="AZ734" s="92"/>
      <c r="BA734" s="21"/>
      <c r="BB734" s="93"/>
      <c r="BC734" s="93"/>
    </row>
    <row r="735">
      <c r="A735" s="89"/>
      <c r="B735" s="89"/>
      <c r="C735" s="89"/>
      <c r="D735" s="90"/>
      <c r="E735" s="82"/>
      <c r="F735" s="82"/>
      <c r="G735" s="82"/>
      <c r="H735" s="82"/>
      <c r="I735" s="82"/>
      <c r="J735" s="82"/>
      <c r="K735" s="82"/>
      <c r="L735" s="82"/>
      <c r="M735" s="91"/>
      <c r="N735" s="83"/>
      <c r="O735" s="83"/>
      <c r="P735" s="83"/>
      <c r="Q735" s="83"/>
      <c r="R735" s="83"/>
      <c r="S735" s="83"/>
      <c r="T735" s="83"/>
      <c r="U735" s="32"/>
      <c r="V735" s="32"/>
      <c r="W735" s="32"/>
      <c r="X735" s="32"/>
      <c r="Y735" s="32"/>
      <c r="Z735" s="18"/>
      <c r="AA735" s="18"/>
      <c r="AZ735" s="92"/>
      <c r="BA735" s="21"/>
      <c r="BB735" s="93"/>
      <c r="BC735" s="93"/>
    </row>
    <row r="736">
      <c r="A736" s="89"/>
      <c r="B736" s="89"/>
      <c r="C736" s="89"/>
      <c r="D736" s="90"/>
      <c r="E736" s="82"/>
      <c r="F736" s="82"/>
      <c r="G736" s="82"/>
      <c r="H736" s="82"/>
      <c r="I736" s="82"/>
      <c r="J736" s="82"/>
      <c r="K736" s="82"/>
      <c r="L736" s="82"/>
      <c r="M736" s="91"/>
      <c r="N736" s="83"/>
      <c r="O736" s="83"/>
      <c r="P736" s="83"/>
      <c r="Q736" s="83"/>
      <c r="R736" s="83"/>
      <c r="S736" s="83"/>
      <c r="T736" s="83"/>
      <c r="U736" s="32"/>
      <c r="V736" s="32"/>
      <c r="W736" s="32"/>
      <c r="X736" s="32"/>
      <c r="Y736" s="32"/>
      <c r="Z736" s="18"/>
      <c r="AA736" s="18"/>
      <c r="AZ736" s="92"/>
      <c r="BA736" s="21"/>
      <c r="BB736" s="93"/>
      <c r="BC736" s="93"/>
    </row>
    <row r="737">
      <c r="A737" s="89"/>
      <c r="B737" s="89"/>
      <c r="C737" s="89"/>
      <c r="D737" s="90"/>
      <c r="E737" s="82"/>
      <c r="F737" s="82"/>
      <c r="G737" s="82"/>
      <c r="H737" s="82"/>
      <c r="I737" s="82"/>
      <c r="J737" s="82"/>
      <c r="K737" s="82"/>
      <c r="L737" s="82"/>
      <c r="M737" s="91"/>
      <c r="N737" s="83"/>
      <c r="O737" s="83"/>
      <c r="P737" s="83"/>
      <c r="Q737" s="83"/>
      <c r="R737" s="83"/>
      <c r="S737" s="83"/>
      <c r="T737" s="83"/>
      <c r="U737" s="32"/>
      <c r="V737" s="32"/>
      <c r="W737" s="32"/>
      <c r="X737" s="32"/>
      <c r="Y737" s="32"/>
      <c r="Z737" s="18"/>
      <c r="AA737" s="18"/>
      <c r="AZ737" s="92"/>
      <c r="BA737" s="21"/>
      <c r="BB737" s="93"/>
      <c r="BC737" s="93"/>
    </row>
    <row r="738">
      <c r="A738" s="89"/>
      <c r="B738" s="89"/>
      <c r="C738" s="89"/>
      <c r="D738" s="90"/>
      <c r="E738" s="82"/>
      <c r="F738" s="82"/>
      <c r="G738" s="82"/>
      <c r="H738" s="82"/>
      <c r="I738" s="82"/>
      <c r="J738" s="82"/>
      <c r="K738" s="82"/>
      <c r="L738" s="82"/>
      <c r="M738" s="91"/>
      <c r="N738" s="83"/>
      <c r="O738" s="83"/>
      <c r="P738" s="83"/>
      <c r="Q738" s="83"/>
      <c r="R738" s="83"/>
      <c r="S738" s="83"/>
      <c r="T738" s="83"/>
      <c r="U738" s="32"/>
      <c r="V738" s="32"/>
      <c r="W738" s="32"/>
      <c r="X738" s="32"/>
      <c r="Y738" s="32"/>
      <c r="Z738" s="18"/>
      <c r="AA738" s="18"/>
      <c r="AZ738" s="92"/>
      <c r="BA738" s="21"/>
      <c r="BB738" s="93"/>
      <c r="BC738" s="93"/>
    </row>
    <row r="739">
      <c r="A739" s="89"/>
      <c r="B739" s="89"/>
      <c r="C739" s="89"/>
      <c r="D739" s="90"/>
      <c r="E739" s="82"/>
      <c r="F739" s="82"/>
      <c r="G739" s="82"/>
      <c r="H739" s="82"/>
      <c r="I739" s="82"/>
      <c r="J739" s="82"/>
      <c r="K739" s="82"/>
      <c r="L739" s="82"/>
      <c r="M739" s="91"/>
      <c r="N739" s="83"/>
      <c r="O739" s="83"/>
      <c r="P739" s="83"/>
      <c r="Q739" s="83"/>
      <c r="R739" s="83"/>
      <c r="S739" s="83"/>
      <c r="T739" s="83"/>
      <c r="U739" s="32"/>
      <c r="V739" s="32"/>
      <c r="W739" s="32"/>
      <c r="X739" s="32"/>
      <c r="Y739" s="32"/>
      <c r="Z739" s="18"/>
      <c r="AA739" s="18"/>
      <c r="AZ739" s="92"/>
      <c r="BA739" s="21"/>
      <c r="BB739" s="93"/>
      <c r="BC739" s="93"/>
    </row>
    <row r="740">
      <c r="A740" s="89"/>
      <c r="B740" s="89"/>
      <c r="C740" s="89"/>
      <c r="D740" s="90"/>
      <c r="E740" s="82"/>
      <c r="F740" s="82"/>
      <c r="G740" s="82"/>
      <c r="H740" s="82"/>
      <c r="I740" s="82"/>
      <c r="J740" s="82"/>
      <c r="K740" s="82"/>
      <c r="L740" s="82"/>
      <c r="M740" s="91"/>
      <c r="N740" s="83"/>
      <c r="O740" s="83"/>
      <c r="P740" s="83"/>
      <c r="Q740" s="83"/>
      <c r="R740" s="83"/>
      <c r="S740" s="83"/>
      <c r="T740" s="83"/>
      <c r="U740" s="32"/>
      <c r="V740" s="32"/>
      <c r="W740" s="32"/>
      <c r="X740" s="32"/>
      <c r="Y740" s="32"/>
      <c r="Z740" s="18"/>
      <c r="AA740" s="18"/>
      <c r="AZ740" s="92"/>
      <c r="BA740" s="21"/>
      <c r="BB740" s="93"/>
      <c r="BC740" s="93"/>
    </row>
    <row r="741">
      <c r="A741" s="89"/>
      <c r="B741" s="89"/>
      <c r="C741" s="89"/>
      <c r="D741" s="90"/>
      <c r="E741" s="82"/>
      <c r="F741" s="82"/>
      <c r="G741" s="82"/>
      <c r="H741" s="82"/>
      <c r="I741" s="82"/>
      <c r="J741" s="82"/>
      <c r="K741" s="82"/>
      <c r="L741" s="82"/>
      <c r="M741" s="91"/>
      <c r="N741" s="83"/>
      <c r="O741" s="83"/>
      <c r="P741" s="83"/>
      <c r="Q741" s="83"/>
      <c r="R741" s="83"/>
      <c r="S741" s="83"/>
      <c r="T741" s="83"/>
      <c r="U741" s="32"/>
      <c r="V741" s="32"/>
      <c r="W741" s="32"/>
      <c r="X741" s="32"/>
      <c r="Y741" s="32"/>
      <c r="Z741" s="18"/>
      <c r="AA741" s="18"/>
      <c r="AZ741" s="92"/>
      <c r="BA741" s="21"/>
      <c r="BB741" s="93"/>
      <c r="BC741" s="93"/>
    </row>
    <row r="742">
      <c r="A742" s="89"/>
      <c r="B742" s="89"/>
      <c r="C742" s="89"/>
      <c r="D742" s="90"/>
      <c r="E742" s="82"/>
      <c r="F742" s="82"/>
      <c r="G742" s="82"/>
      <c r="H742" s="82"/>
      <c r="I742" s="82"/>
      <c r="J742" s="82"/>
      <c r="K742" s="82"/>
      <c r="L742" s="82"/>
      <c r="M742" s="91"/>
      <c r="N742" s="83"/>
      <c r="O742" s="83"/>
      <c r="P742" s="83"/>
      <c r="Q742" s="83"/>
      <c r="R742" s="83"/>
      <c r="S742" s="83"/>
      <c r="T742" s="83"/>
      <c r="U742" s="32"/>
      <c r="V742" s="32"/>
      <c r="W742" s="32"/>
      <c r="X742" s="32"/>
      <c r="Y742" s="32"/>
      <c r="Z742" s="18"/>
      <c r="AA742" s="18"/>
      <c r="AZ742" s="92"/>
      <c r="BA742" s="21"/>
      <c r="BB742" s="93"/>
      <c r="BC742" s="93"/>
    </row>
    <row r="743">
      <c r="A743" s="89"/>
      <c r="B743" s="89"/>
      <c r="C743" s="89"/>
      <c r="D743" s="90"/>
      <c r="E743" s="82"/>
      <c r="F743" s="82"/>
      <c r="G743" s="82"/>
      <c r="H743" s="82"/>
      <c r="I743" s="82"/>
      <c r="J743" s="82"/>
      <c r="K743" s="82"/>
      <c r="L743" s="82"/>
      <c r="M743" s="91"/>
      <c r="N743" s="83"/>
      <c r="O743" s="83"/>
      <c r="P743" s="83"/>
      <c r="Q743" s="83"/>
      <c r="R743" s="83"/>
      <c r="S743" s="83"/>
      <c r="T743" s="83"/>
      <c r="U743" s="32"/>
      <c r="V743" s="32"/>
      <c r="W743" s="32"/>
      <c r="X743" s="32"/>
      <c r="Y743" s="32"/>
      <c r="Z743" s="18"/>
      <c r="AA743" s="18"/>
      <c r="AZ743" s="92"/>
      <c r="BA743" s="21"/>
      <c r="BB743" s="93"/>
      <c r="BC743" s="93"/>
    </row>
    <row r="744">
      <c r="A744" s="89"/>
      <c r="B744" s="89"/>
      <c r="C744" s="89"/>
      <c r="D744" s="90"/>
      <c r="E744" s="82"/>
      <c r="F744" s="82"/>
      <c r="G744" s="82"/>
      <c r="H744" s="82"/>
      <c r="I744" s="82"/>
      <c r="J744" s="82"/>
      <c r="K744" s="82"/>
      <c r="L744" s="82"/>
      <c r="M744" s="91"/>
      <c r="N744" s="83"/>
      <c r="O744" s="83"/>
      <c r="P744" s="83"/>
      <c r="Q744" s="83"/>
      <c r="R744" s="83"/>
      <c r="S744" s="83"/>
      <c r="T744" s="83"/>
      <c r="U744" s="32"/>
      <c r="V744" s="32"/>
      <c r="W744" s="32"/>
      <c r="X744" s="32"/>
      <c r="Y744" s="32"/>
      <c r="Z744" s="18"/>
      <c r="AA744" s="18"/>
      <c r="AZ744" s="92"/>
      <c r="BA744" s="21"/>
      <c r="BB744" s="93"/>
      <c r="BC744" s="93"/>
    </row>
    <row r="745">
      <c r="A745" s="89"/>
      <c r="B745" s="89"/>
      <c r="C745" s="89"/>
      <c r="D745" s="90"/>
      <c r="E745" s="82"/>
      <c r="F745" s="82"/>
      <c r="G745" s="82"/>
      <c r="H745" s="82"/>
      <c r="I745" s="82"/>
      <c r="J745" s="82"/>
      <c r="K745" s="82"/>
      <c r="L745" s="82"/>
      <c r="M745" s="91"/>
      <c r="N745" s="83"/>
      <c r="O745" s="83"/>
      <c r="P745" s="83"/>
      <c r="Q745" s="83"/>
      <c r="R745" s="83"/>
      <c r="S745" s="83"/>
      <c r="T745" s="83"/>
      <c r="U745" s="32"/>
      <c r="V745" s="32"/>
      <c r="W745" s="32"/>
      <c r="X745" s="32"/>
      <c r="Y745" s="32"/>
      <c r="Z745" s="18"/>
      <c r="AA745" s="18"/>
      <c r="AZ745" s="92"/>
      <c r="BA745" s="21"/>
      <c r="BB745" s="93"/>
      <c r="BC745" s="93"/>
    </row>
    <row r="746">
      <c r="A746" s="89"/>
      <c r="B746" s="89"/>
      <c r="C746" s="89"/>
      <c r="D746" s="90"/>
      <c r="E746" s="82"/>
      <c r="F746" s="82"/>
      <c r="G746" s="82"/>
      <c r="H746" s="82"/>
      <c r="I746" s="82"/>
      <c r="J746" s="82"/>
      <c r="K746" s="82"/>
      <c r="L746" s="82"/>
      <c r="M746" s="91"/>
      <c r="N746" s="83"/>
      <c r="O746" s="83"/>
      <c r="P746" s="83"/>
      <c r="Q746" s="83"/>
      <c r="R746" s="83"/>
      <c r="S746" s="83"/>
      <c r="T746" s="83"/>
      <c r="U746" s="32"/>
      <c r="V746" s="32"/>
      <c r="W746" s="32"/>
      <c r="X746" s="32"/>
      <c r="Y746" s="32"/>
      <c r="Z746" s="18"/>
      <c r="AA746" s="18"/>
      <c r="AZ746" s="92"/>
      <c r="BA746" s="21"/>
      <c r="BB746" s="93"/>
      <c r="BC746" s="93"/>
    </row>
    <row r="747">
      <c r="A747" s="89"/>
      <c r="B747" s="89"/>
      <c r="C747" s="89"/>
      <c r="D747" s="90"/>
      <c r="E747" s="82"/>
      <c r="F747" s="82"/>
      <c r="G747" s="82"/>
      <c r="H747" s="82"/>
      <c r="I747" s="82"/>
      <c r="J747" s="82"/>
      <c r="K747" s="82"/>
      <c r="L747" s="82"/>
      <c r="M747" s="91"/>
      <c r="N747" s="83"/>
      <c r="O747" s="83"/>
      <c r="P747" s="83"/>
      <c r="Q747" s="83"/>
      <c r="R747" s="83"/>
      <c r="S747" s="83"/>
      <c r="T747" s="83"/>
      <c r="U747" s="32"/>
      <c r="V747" s="32"/>
      <c r="W747" s="32"/>
      <c r="X747" s="32"/>
      <c r="Y747" s="32"/>
      <c r="Z747" s="18"/>
      <c r="AA747" s="18"/>
      <c r="AZ747" s="92"/>
      <c r="BA747" s="21"/>
      <c r="BB747" s="93"/>
      <c r="BC747" s="93"/>
    </row>
    <row r="748">
      <c r="A748" s="89"/>
      <c r="B748" s="89"/>
      <c r="C748" s="89"/>
      <c r="D748" s="90"/>
      <c r="E748" s="82"/>
      <c r="F748" s="82"/>
      <c r="G748" s="82"/>
      <c r="H748" s="82"/>
      <c r="I748" s="82"/>
      <c r="J748" s="82"/>
      <c r="K748" s="82"/>
      <c r="L748" s="82"/>
      <c r="M748" s="91"/>
      <c r="N748" s="83"/>
      <c r="O748" s="83"/>
      <c r="P748" s="83"/>
      <c r="Q748" s="83"/>
      <c r="R748" s="83"/>
      <c r="S748" s="83"/>
      <c r="T748" s="83"/>
      <c r="U748" s="32"/>
      <c r="V748" s="32"/>
      <c r="W748" s="32"/>
      <c r="X748" s="32"/>
      <c r="Y748" s="32"/>
      <c r="Z748" s="18"/>
      <c r="AA748" s="18"/>
      <c r="AZ748" s="92"/>
      <c r="BA748" s="21"/>
      <c r="BB748" s="93"/>
      <c r="BC748" s="93"/>
    </row>
    <row r="749">
      <c r="A749" s="89"/>
      <c r="B749" s="89"/>
      <c r="C749" s="89"/>
      <c r="D749" s="90"/>
      <c r="E749" s="82"/>
      <c r="F749" s="82"/>
      <c r="G749" s="82"/>
      <c r="H749" s="82"/>
      <c r="I749" s="82"/>
      <c r="J749" s="82"/>
      <c r="K749" s="82"/>
      <c r="L749" s="82"/>
      <c r="M749" s="91"/>
      <c r="N749" s="83"/>
      <c r="O749" s="83"/>
      <c r="P749" s="83"/>
      <c r="Q749" s="83"/>
      <c r="R749" s="83"/>
      <c r="S749" s="83"/>
      <c r="T749" s="83"/>
      <c r="U749" s="32"/>
      <c r="V749" s="32"/>
      <c r="W749" s="32"/>
      <c r="X749" s="32"/>
      <c r="Y749" s="32"/>
      <c r="Z749" s="18"/>
      <c r="AA749" s="18"/>
      <c r="AZ749" s="92"/>
      <c r="BA749" s="21"/>
      <c r="BB749" s="93"/>
      <c r="BC749" s="93"/>
    </row>
    <row r="750">
      <c r="A750" s="89"/>
      <c r="B750" s="89"/>
      <c r="C750" s="89"/>
      <c r="D750" s="90"/>
      <c r="E750" s="82"/>
      <c r="F750" s="82"/>
      <c r="G750" s="82"/>
      <c r="H750" s="82"/>
      <c r="I750" s="82"/>
      <c r="J750" s="82"/>
      <c r="K750" s="82"/>
      <c r="L750" s="82"/>
      <c r="M750" s="91"/>
      <c r="N750" s="83"/>
      <c r="O750" s="83"/>
      <c r="P750" s="83"/>
      <c r="Q750" s="83"/>
      <c r="R750" s="83"/>
      <c r="S750" s="83"/>
      <c r="T750" s="83"/>
      <c r="U750" s="32"/>
      <c r="V750" s="32"/>
      <c r="W750" s="32"/>
      <c r="X750" s="32"/>
      <c r="Y750" s="32"/>
      <c r="Z750" s="18"/>
      <c r="AA750" s="18"/>
      <c r="AZ750" s="92"/>
      <c r="BA750" s="21"/>
      <c r="BB750" s="93"/>
      <c r="BC750" s="93"/>
    </row>
    <row r="751">
      <c r="A751" s="89"/>
      <c r="B751" s="89"/>
      <c r="C751" s="89"/>
      <c r="D751" s="90"/>
      <c r="E751" s="82"/>
      <c r="F751" s="82"/>
      <c r="G751" s="82"/>
      <c r="H751" s="82"/>
      <c r="I751" s="82"/>
      <c r="J751" s="82"/>
      <c r="K751" s="82"/>
      <c r="L751" s="82"/>
      <c r="M751" s="91"/>
      <c r="N751" s="83"/>
      <c r="O751" s="83"/>
      <c r="P751" s="83"/>
      <c r="Q751" s="83"/>
      <c r="R751" s="83"/>
      <c r="S751" s="83"/>
      <c r="T751" s="83"/>
      <c r="U751" s="32"/>
      <c r="V751" s="32"/>
      <c r="W751" s="32"/>
      <c r="X751" s="32"/>
      <c r="Y751" s="32"/>
      <c r="Z751" s="18"/>
      <c r="AA751" s="18"/>
      <c r="AZ751" s="92"/>
      <c r="BA751" s="21"/>
      <c r="BB751" s="93"/>
      <c r="BC751" s="93"/>
    </row>
    <row r="752">
      <c r="A752" s="89"/>
      <c r="B752" s="89"/>
      <c r="C752" s="89"/>
      <c r="D752" s="90"/>
      <c r="E752" s="82"/>
      <c r="F752" s="82"/>
      <c r="G752" s="82"/>
      <c r="H752" s="82"/>
      <c r="I752" s="82"/>
      <c r="J752" s="82"/>
      <c r="K752" s="82"/>
      <c r="L752" s="82"/>
      <c r="M752" s="91"/>
      <c r="N752" s="83"/>
      <c r="O752" s="83"/>
      <c r="P752" s="83"/>
      <c r="Q752" s="83"/>
      <c r="R752" s="83"/>
      <c r="S752" s="83"/>
      <c r="T752" s="83"/>
      <c r="U752" s="32"/>
      <c r="V752" s="32"/>
      <c r="W752" s="32"/>
      <c r="X752" s="32"/>
      <c r="Y752" s="32"/>
      <c r="Z752" s="18"/>
      <c r="AA752" s="18"/>
      <c r="AZ752" s="92"/>
      <c r="BA752" s="21"/>
      <c r="BB752" s="93"/>
      <c r="BC752" s="93"/>
    </row>
    <row r="753">
      <c r="A753" s="89"/>
      <c r="B753" s="89"/>
      <c r="C753" s="89"/>
      <c r="D753" s="90"/>
      <c r="E753" s="82"/>
      <c r="F753" s="82"/>
      <c r="G753" s="82"/>
      <c r="H753" s="82"/>
      <c r="I753" s="82"/>
      <c r="J753" s="82"/>
      <c r="K753" s="82"/>
      <c r="L753" s="82"/>
      <c r="M753" s="91"/>
      <c r="N753" s="83"/>
      <c r="O753" s="83"/>
      <c r="P753" s="83"/>
      <c r="Q753" s="83"/>
      <c r="R753" s="83"/>
      <c r="S753" s="83"/>
      <c r="T753" s="83"/>
      <c r="U753" s="32"/>
      <c r="V753" s="32"/>
      <c r="W753" s="32"/>
      <c r="X753" s="32"/>
      <c r="Y753" s="32"/>
      <c r="Z753" s="18"/>
      <c r="AA753" s="18"/>
      <c r="AZ753" s="92"/>
      <c r="BA753" s="21"/>
      <c r="BB753" s="93"/>
      <c r="BC753" s="93"/>
    </row>
    <row r="754">
      <c r="A754" s="89"/>
      <c r="B754" s="89"/>
      <c r="C754" s="89"/>
      <c r="D754" s="90"/>
      <c r="E754" s="82"/>
      <c r="F754" s="82"/>
      <c r="G754" s="82"/>
      <c r="H754" s="82"/>
      <c r="I754" s="82"/>
      <c r="J754" s="82"/>
      <c r="K754" s="82"/>
      <c r="L754" s="82"/>
      <c r="M754" s="91"/>
      <c r="N754" s="83"/>
      <c r="O754" s="83"/>
      <c r="P754" s="83"/>
      <c r="Q754" s="83"/>
      <c r="R754" s="83"/>
      <c r="S754" s="83"/>
      <c r="T754" s="83"/>
      <c r="U754" s="32"/>
      <c r="V754" s="32"/>
      <c r="W754" s="32"/>
      <c r="X754" s="32"/>
      <c r="Y754" s="32"/>
      <c r="Z754" s="18"/>
      <c r="AA754" s="18"/>
      <c r="AZ754" s="92"/>
      <c r="BA754" s="21"/>
      <c r="BB754" s="93"/>
      <c r="BC754" s="93"/>
    </row>
    <row r="755">
      <c r="A755" s="89"/>
      <c r="B755" s="89"/>
      <c r="C755" s="89"/>
      <c r="D755" s="90"/>
      <c r="E755" s="82"/>
      <c r="F755" s="82"/>
      <c r="G755" s="82"/>
      <c r="H755" s="82"/>
      <c r="I755" s="82"/>
      <c r="J755" s="82"/>
      <c r="K755" s="82"/>
      <c r="L755" s="82"/>
      <c r="M755" s="91"/>
      <c r="N755" s="83"/>
      <c r="O755" s="83"/>
      <c r="P755" s="83"/>
      <c r="Q755" s="83"/>
      <c r="R755" s="83"/>
      <c r="S755" s="83"/>
      <c r="T755" s="83"/>
      <c r="U755" s="32"/>
      <c r="V755" s="32"/>
      <c r="W755" s="32"/>
      <c r="X755" s="32"/>
      <c r="Y755" s="32"/>
      <c r="Z755" s="18"/>
      <c r="AA755" s="18"/>
      <c r="AZ755" s="92"/>
      <c r="BA755" s="21"/>
      <c r="BB755" s="93"/>
      <c r="BC755" s="93"/>
    </row>
    <row r="756">
      <c r="A756" s="89"/>
      <c r="B756" s="89"/>
      <c r="C756" s="89"/>
      <c r="D756" s="90"/>
      <c r="E756" s="82"/>
      <c r="F756" s="82"/>
      <c r="G756" s="82"/>
      <c r="H756" s="82"/>
      <c r="I756" s="82"/>
      <c r="J756" s="82"/>
      <c r="K756" s="82"/>
      <c r="L756" s="82"/>
      <c r="M756" s="91"/>
      <c r="N756" s="83"/>
      <c r="O756" s="83"/>
      <c r="P756" s="83"/>
      <c r="Q756" s="83"/>
      <c r="R756" s="83"/>
      <c r="S756" s="83"/>
      <c r="T756" s="83"/>
      <c r="U756" s="32"/>
      <c r="V756" s="32"/>
      <c r="W756" s="32"/>
      <c r="X756" s="32"/>
      <c r="Y756" s="32"/>
      <c r="Z756" s="18"/>
      <c r="AA756" s="18"/>
      <c r="AZ756" s="92"/>
      <c r="BA756" s="21"/>
      <c r="BB756" s="93"/>
      <c r="BC756" s="93"/>
    </row>
    <row r="757">
      <c r="A757" s="89"/>
      <c r="B757" s="89"/>
      <c r="C757" s="89"/>
      <c r="D757" s="90"/>
      <c r="E757" s="82"/>
      <c r="F757" s="82"/>
      <c r="G757" s="82"/>
      <c r="H757" s="82"/>
      <c r="I757" s="82"/>
      <c r="J757" s="82"/>
      <c r="K757" s="82"/>
      <c r="L757" s="82"/>
      <c r="M757" s="91"/>
      <c r="N757" s="83"/>
      <c r="O757" s="83"/>
      <c r="P757" s="83"/>
      <c r="Q757" s="83"/>
      <c r="R757" s="83"/>
      <c r="S757" s="83"/>
      <c r="T757" s="83"/>
      <c r="U757" s="32"/>
      <c r="V757" s="32"/>
      <c r="W757" s="32"/>
      <c r="X757" s="32"/>
      <c r="Y757" s="32"/>
      <c r="Z757" s="18"/>
      <c r="AA757" s="18"/>
      <c r="AZ757" s="92"/>
      <c r="BA757" s="21"/>
      <c r="BB757" s="93"/>
      <c r="BC757" s="93"/>
    </row>
    <row r="758">
      <c r="A758" s="89"/>
      <c r="B758" s="89"/>
      <c r="C758" s="89"/>
      <c r="D758" s="90"/>
      <c r="E758" s="82"/>
      <c r="F758" s="82"/>
      <c r="G758" s="82"/>
      <c r="H758" s="82"/>
      <c r="I758" s="82"/>
      <c r="J758" s="82"/>
      <c r="K758" s="82"/>
      <c r="L758" s="82"/>
      <c r="M758" s="91"/>
      <c r="N758" s="83"/>
      <c r="O758" s="83"/>
      <c r="P758" s="83"/>
      <c r="Q758" s="83"/>
      <c r="R758" s="83"/>
      <c r="S758" s="83"/>
      <c r="T758" s="83"/>
      <c r="U758" s="32"/>
      <c r="V758" s="32"/>
      <c r="W758" s="32"/>
      <c r="X758" s="32"/>
      <c r="Y758" s="32"/>
      <c r="Z758" s="18"/>
      <c r="AA758" s="18"/>
      <c r="AZ758" s="92"/>
      <c r="BA758" s="21"/>
      <c r="BB758" s="93"/>
      <c r="BC758" s="93"/>
    </row>
    <row r="759">
      <c r="A759" s="89"/>
      <c r="B759" s="89"/>
      <c r="C759" s="89"/>
      <c r="D759" s="90"/>
      <c r="E759" s="82"/>
      <c r="F759" s="82"/>
      <c r="G759" s="82"/>
      <c r="H759" s="82"/>
      <c r="I759" s="82"/>
      <c r="J759" s="82"/>
      <c r="K759" s="82"/>
      <c r="L759" s="82"/>
      <c r="M759" s="91"/>
      <c r="N759" s="83"/>
      <c r="O759" s="83"/>
      <c r="P759" s="83"/>
      <c r="Q759" s="83"/>
      <c r="R759" s="83"/>
      <c r="S759" s="83"/>
      <c r="T759" s="83"/>
      <c r="U759" s="32"/>
      <c r="V759" s="32"/>
      <c r="W759" s="32"/>
      <c r="X759" s="32"/>
      <c r="Y759" s="32"/>
      <c r="Z759" s="18"/>
      <c r="AA759" s="18"/>
      <c r="AZ759" s="92"/>
      <c r="BA759" s="21"/>
      <c r="BB759" s="93"/>
      <c r="BC759" s="93"/>
    </row>
    <row r="760">
      <c r="A760" s="89"/>
      <c r="B760" s="89"/>
      <c r="C760" s="89"/>
      <c r="D760" s="90"/>
      <c r="E760" s="82"/>
      <c r="F760" s="82"/>
      <c r="G760" s="82"/>
      <c r="H760" s="82"/>
      <c r="I760" s="82"/>
      <c r="J760" s="82"/>
      <c r="K760" s="82"/>
      <c r="L760" s="82"/>
      <c r="M760" s="91"/>
      <c r="N760" s="83"/>
      <c r="O760" s="83"/>
      <c r="P760" s="83"/>
      <c r="Q760" s="83"/>
      <c r="R760" s="83"/>
      <c r="S760" s="83"/>
      <c r="T760" s="83"/>
      <c r="U760" s="32"/>
      <c r="V760" s="32"/>
      <c r="W760" s="32"/>
      <c r="X760" s="32"/>
      <c r="Y760" s="32"/>
      <c r="Z760" s="18"/>
      <c r="AA760" s="18"/>
      <c r="AZ760" s="92"/>
      <c r="BA760" s="21"/>
      <c r="BB760" s="93"/>
      <c r="BC760" s="93"/>
    </row>
    <row r="761">
      <c r="A761" s="89"/>
      <c r="B761" s="89"/>
      <c r="C761" s="89"/>
      <c r="D761" s="90"/>
      <c r="E761" s="82"/>
      <c r="F761" s="82"/>
      <c r="G761" s="82"/>
      <c r="H761" s="82"/>
      <c r="I761" s="82"/>
      <c r="J761" s="82"/>
      <c r="K761" s="82"/>
      <c r="L761" s="82"/>
      <c r="M761" s="91"/>
      <c r="N761" s="83"/>
      <c r="O761" s="83"/>
      <c r="P761" s="83"/>
      <c r="Q761" s="83"/>
      <c r="R761" s="83"/>
      <c r="S761" s="83"/>
      <c r="T761" s="83"/>
      <c r="U761" s="32"/>
      <c r="V761" s="32"/>
      <c r="W761" s="32"/>
      <c r="X761" s="32"/>
      <c r="Y761" s="32"/>
      <c r="Z761" s="18"/>
      <c r="AA761" s="18"/>
      <c r="AZ761" s="92"/>
      <c r="BA761" s="21"/>
      <c r="BB761" s="93"/>
      <c r="BC761" s="93"/>
    </row>
    <row r="762">
      <c r="A762" s="89"/>
      <c r="B762" s="89"/>
      <c r="C762" s="89"/>
      <c r="D762" s="90"/>
      <c r="E762" s="82"/>
      <c r="F762" s="82"/>
      <c r="G762" s="82"/>
      <c r="H762" s="82"/>
      <c r="I762" s="82"/>
      <c r="J762" s="82"/>
      <c r="K762" s="82"/>
      <c r="L762" s="82"/>
      <c r="M762" s="91"/>
      <c r="N762" s="83"/>
      <c r="O762" s="83"/>
      <c r="P762" s="83"/>
      <c r="Q762" s="83"/>
      <c r="R762" s="83"/>
      <c r="S762" s="83"/>
      <c r="T762" s="83"/>
      <c r="U762" s="32"/>
      <c r="V762" s="32"/>
      <c r="W762" s="32"/>
      <c r="X762" s="32"/>
      <c r="Y762" s="32"/>
      <c r="Z762" s="18"/>
      <c r="AA762" s="18"/>
      <c r="AZ762" s="92"/>
      <c r="BA762" s="21"/>
      <c r="BB762" s="93"/>
      <c r="BC762" s="93"/>
    </row>
    <row r="763">
      <c r="A763" s="89"/>
      <c r="B763" s="89"/>
      <c r="C763" s="89"/>
      <c r="D763" s="90"/>
      <c r="E763" s="82"/>
      <c r="F763" s="82"/>
      <c r="G763" s="82"/>
      <c r="H763" s="82"/>
      <c r="I763" s="82"/>
      <c r="J763" s="82"/>
      <c r="K763" s="82"/>
      <c r="L763" s="82"/>
      <c r="M763" s="91"/>
      <c r="N763" s="83"/>
      <c r="O763" s="83"/>
      <c r="P763" s="83"/>
      <c r="Q763" s="83"/>
      <c r="R763" s="83"/>
      <c r="S763" s="83"/>
      <c r="T763" s="83"/>
      <c r="U763" s="32"/>
      <c r="V763" s="32"/>
      <c r="W763" s="32"/>
      <c r="X763" s="32"/>
      <c r="Y763" s="32"/>
      <c r="Z763" s="18"/>
      <c r="AA763" s="18"/>
      <c r="AZ763" s="92"/>
      <c r="BA763" s="21"/>
      <c r="BB763" s="93"/>
      <c r="BC763" s="93"/>
    </row>
    <row r="764">
      <c r="A764" s="89"/>
      <c r="B764" s="89"/>
      <c r="C764" s="89"/>
      <c r="D764" s="90"/>
      <c r="E764" s="82"/>
      <c r="F764" s="82"/>
      <c r="G764" s="82"/>
      <c r="H764" s="82"/>
      <c r="I764" s="82"/>
      <c r="J764" s="82"/>
      <c r="K764" s="82"/>
      <c r="L764" s="82"/>
      <c r="M764" s="91"/>
      <c r="N764" s="83"/>
      <c r="O764" s="83"/>
      <c r="P764" s="83"/>
      <c r="Q764" s="83"/>
      <c r="R764" s="83"/>
      <c r="S764" s="83"/>
      <c r="T764" s="83"/>
      <c r="U764" s="32"/>
      <c r="V764" s="32"/>
      <c r="W764" s="32"/>
      <c r="X764" s="32"/>
      <c r="Y764" s="32"/>
      <c r="Z764" s="18"/>
      <c r="AA764" s="18"/>
      <c r="AZ764" s="92"/>
      <c r="BA764" s="21"/>
      <c r="BB764" s="93"/>
      <c r="BC764" s="93"/>
    </row>
    <row r="765">
      <c r="A765" s="89"/>
      <c r="B765" s="89"/>
      <c r="C765" s="89"/>
      <c r="D765" s="90"/>
      <c r="E765" s="82"/>
      <c r="F765" s="82"/>
      <c r="G765" s="82"/>
      <c r="H765" s="82"/>
      <c r="I765" s="82"/>
      <c r="J765" s="82"/>
      <c r="K765" s="82"/>
      <c r="L765" s="82"/>
      <c r="M765" s="91"/>
      <c r="N765" s="83"/>
      <c r="O765" s="83"/>
      <c r="P765" s="83"/>
      <c r="Q765" s="83"/>
      <c r="R765" s="83"/>
      <c r="S765" s="83"/>
      <c r="T765" s="83"/>
      <c r="U765" s="32"/>
      <c r="V765" s="32"/>
      <c r="W765" s="32"/>
      <c r="X765" s="32"/>
      <c r="Y765" s="32"/>
      <c r="Z765" s="18"/>
      <c r="AA765" s="18"/>
      <c r="AZ765" s="92"/>
      <c r="BA765" s="21"/>
      <c r="BB765" s="93"/>
      <c r="BC765" s="93"/>
    </row>
    <row r="766">
      <c r="A766" s="89"/>
      <c r="B766" s="89"/>
      <c r="C766" s="89"/>
      <c r="D766" s="90"/>
      <c r="E766" s="82"/>
      <c r="F766" s="82"/>
      <c r="G766" s="82"/>
      <c r="H766" s="82"/>
      <c r="I766" s="82"/>
      <c r="J766" s="82"/>
      <c r="K766" s="82"/>
      <c r="L766" s="82"/>
      <c r="M766" s="91"/>
      <c r="N766" s="83"/>
      <c r="O766" s="83"/>
      <c r="P766" s="83"/>
      <c r="Q766" s="83"/>
      <c r="R766" s="83"/>
      <c r="S766" s="83"/>
      <c r="T766" s="83"/>
      <c r="U766" s="32"/>
      <c r="V766" s="32"/>
      <c r="W766" s="32"/>
      <c r="X766" s="32"/>
      <c r="Y766" s="32"/>
      <c r="Z766" s="18"/>
      <c r="AA766" s="18"/>
      <c r="AZ766" s="92"/>
      <c r="BA766" s="21"/>
      <c r="BB766" s="93"/>
      <c r="BC766" s="93"/>
    </row>
    <row r="767">
      <c r="A767" s="89"/>
      <c r="B767" s="89"/>
      <c r="C767" s="89"/>
      <c r="D767" s="90"/>
      <c r="E767" s="82"/>
      <c r="F767" s="82"/>
      <c r="G767" s="82"/>
      <c r="H767" s="82"/>
      <c r="I767" s="82"/>
      <c r="J767" s="82"/>
      <c r="K767" s="82"/>
      <c r="L767" s="82"/>
      <c r="M767" s="91"/>
      <c r="N767" s="83"/>
      <c r="O767" s="83"/>
      <c r="P767" s="83"/>
      <c r="Q767" s="83"/>
      <c r="R767" s="83"/>
      <c r="S767" s="83"/>
      <c r="T767" s="83"/>
      <c r="U767" s="32"/>
      <c r="V767" s="32"/>
      <c r="W767" s="32"/>
      <c r="X767" s="32"/>
      <c r="Y767" s="32"/>
      <c r="Z767" s="18"/>
      <c r="AA767" s="18"/>
      <c r="AZ767" s="92"/>
      <c r="BA767" s="21"/>
      <c r="BB767" s="93"/>
      <c r="BC767" s="93"/>
    </row>
    <row r="768">
      <c r="A768" s="89"/>
      <c r="B768" s="89"/>
      <c r="C768" s="89"/>
      <c r="D768" s="90"/>
      <c r="E768" s="82"/>
      <c r="F768" s="82"/>
      <c r="G768" s="82"/>
      <c r="H768" s="82"/>
      <c r="I768" s="82"/>
      <c r="J768" s="82"/>
      <c r="K768" s="82"/>
      <c r="L768" s="82"/>
      <c r="M768" s="91"/>
      <c r="N768" s="83"/>
      <c r="O768" s="83"/>
      <c r="P768" s="83"/>
      <c r="Q768" s="83"/>
      <c r="R768" s="83"/>
      <c r="S768" s="83"/>
      <c r="T768" s="83"/>
      <c r="U768" s="32"/>
      <c r="V768" s="32"/>
      <c r="W768" s="32"/>
      <c r="X768" s="32"/>
      <c r="Y768" s="32"/>
      <c r="Z768" s="18"/>
      <c r="AA768" s="18"/>
      <c r="AZ768" s="92"/>
      <c r="BA768" s="21"/>
      <c r="BB768" s="93"/>
      <c r="BC768" s="93"/>
    </row>
    <row r="769">
      <c r="A769" s="89"/>
      <c r="B769" s="89"/>
      <c r="C769" s="89"/>
      <c r="D769" s="90"/>
      <c r="E769" s="82"/>
      <c r="F769" s="82"/>
      <c r="G769" s="82"/>
      <c r="H769" s="82"/>
      <c r="I769" s="82"/>
      <c r="J769" s="82"/>
      <c r="K769" s="82"/>
      <c r="L769" s="82"/>
      <c r="M769" s="91"/>
      <c r="N769" s="83"/>
      <c r="O769" s="83"/>
      <c r="P769" s="83"/>
      <c r="Q769" s="83"/>
      <c r="R769" s="83"/>
      <c r="S769" s="83"/>
      <c r="T769" s="83"/>
      <c r="U769" s="32"/>
      <c r="V769" s="32"/>
      <c r="W769" s="32"/>
      <c r="X769" s="32"/>
      <c r="Y769" s="32"/>
      <c r="Z769" s="18"/>
      <c r="AA769" s="18"/>
      <c r="AZ769" s="92"/>
      <c r="BA769" s="21"/>
      <c r="BB769" s="93"/>
      <c r="BC769" s="93"/>
    </row>
    <row r="770">
      <c r="A770" s="89"/>
      <c r="B770" s="89"/>
      <c r="C770" s="89"/>
      <c r="D770" s="90"/>
      <c r="E770" s="82"/>
      <c r="F770" s="82"/>
      <c r="G770" s="82"/>
      <c r="H770" s="82"/>
      <c r="I770" s="82"/>
      <c r="J770" s="82"/>
      <c r="K770" s="82"/>
      <c r="L770" s="82"/>
      <c r="M770" s="91"/>
      <c r="N770" s="83"/>
      <c r="O770" s="83"/>
      <c r="P770" s="83"/>
      <c r="Q770" s="83"/>
      <c r="R770" s="83"/>
      <c r="S770" s="83"/>
      <c r="T770" s="83"/>
      <c r="U770" s="32"/>
      <c r="V770" s="32"/>
      <c r="W770" s="32"/>
      <c r="X770" s="32"/>
      <c r="Y770" s="32"/>
      <c r="Z770" s="18"/>
      <c r="AA770" s="18"/>
      <c r="AZ770" s="92"/>
      <c r="BA770" s="21"/>
      <c r="BB770" s="93"/>
      <c r="BC770" s="93"/>
    </row>
    <row r="771">
      <c r="A771" s="89"/>
      <c r="B771" s="89"/>
      <c r="C771" s="89"/>
      <c r="D771" s="90"/>
      <c r="E771" s="82"/>
      <c r="F771" s="82"/>
      <c r="G771" s="82"/>
      <c r="H771" s="82"/>
      <c r="I771" s="82"/>
      <c r="J771" s="82"/>
      <c r="K771" s="82"/>
      <c r="L771" s="82"/>
      <c r="M771" s="91"/>
      <c r="N771" s="83"/>
      <c r="O771" s="83"/>
      <c r="P771" s="83"/>
      <c r="Q771" s="83"/>
      <c r="R771" s="83"/>
      <c r="S771" s="83"/>
      <c r="T771" s="83"/>
      <c r="U771" s="32"/>
      <c r="V771" s="32"/>
      <c r="W771" s="32"/>
      <c r="X771" s="32"/>
      <c r="Y771" s="32"/>
      <c r="Z771" s="18"/>
      <c r="AA771" s="18"/>
      <c r="AZ771" s="92"/>
      <c r="BA771" s="21"/>
      <c r="BB771" s="93"/>
      <c r="BC771" s="93"/>
    </row>
    <row r="772">
      <c r="A772" s="89"/>
      <c r="B772" s="89"/>
      <c r="C772" s="89"/>
      <c r="D772" s="90"/>
      <c r="E772" s="82"/>
      <c r="F772" s="82"/>
      <c r="G772" s="82"/>
      <c r="H772" s="82"/>
      <c r="I772" s="82"/>
      <c r="J772" s="82"/>
      <c r="K772" s="82"/>
      <c r="L772" s="82"/>
      <c r="M772" s="91"/>
      <c r="N772" s="83"/>
      <c r="O772" s="83"/>
      <c r="P772" s="83"/>
      <c r="Q772" s="83"/>
      <c r="R772" s="83"/>
      <c r="S772" s="83"/>
      <c r="T772" s="83"/>
      <c r="U772" s="32"/>
      <c r="V772" s="32"/>
      <c r="W772" s="32"/>
      <c r="X772" s="32"/>
      <c r="Y772" s="32"/>
      <c r="Z772" s="18"/>
      <c r="AA772" s="18"/>
      <c r="AZ772" s="92"/>
      <c r="BA772" s="21"/>
      <c r="BB772" s="93"/>
      <c r="BC772" s="93"/>
    </row>
    <row r="773">
      <c r="A773" s="89"/>
      <c r="B773" s="89"/>
      <c r="C773" s="89"/>
      <c r="D773" s="90"/>
      <c r="E773" s="82"/>
      <c r="F773" s="82"/>
      <c r="G773" s="82"/>
      <c r="H773" s="82"/>
      <c r="I773" s="82"/>
      <c r="J773" s="82"/>
      <c r="K773" s="82"/>
      <c r="L773" s="82"/>
      <c r="M773" s="91"/>
      <c r="N773" s="83"/>
      <c r="O773" s="83"/>
      <c r="P773" s="83"/>
      <c r="Q773" s="83"/>
      <c r="R773" s="83"/>
      <c r="S773" s="83"/>
      <c r="T773" s="83"/>
      <c r="U773" s="32"/>
      <c r="V773" s="32"/>
      <c r="W773" s="32"/>
      <c r="X773" s="32"/>
      <c r="Y773" s="32"/>
      <c r="Z773" s="18"/>
      <c r="AA773" s="18"/>
      <c r="AZ773" s="92"/>
      <c r="BA773" s="21"/>
      <c r="BB773" s="93"/>
      <c r="BC773" s="93"/>
    </row>
    <row r="774">
      <c r="A774" s="89"/>
      <c r="B774" s="89"/>
      <c r="C774" s="89"/>
      <c r="D774" s="90"/>
      <c r="E774" s="82"/>
      <c r="F774" s="82"/>
      <c r="G774" s="82"/>
      <c r="H774" s="82"/>
      <c r="I774" s="82"/>
      <c r="J774" s="82"/>
      <c r="K774" s="82"/>
      <c r="L774" s="82"/>
      <c r="M774" s="91"/>
      <c r="N774" s="83"/>
      <c r="O774" s="83"/>
      <c r="P774" s="83"/>
      <c r="Q774" s="83"/>
      <c r="R774" s="83"/>
      <c r="S774" s="83"/>
      <c r="T774" s="83"/>
      <c r="U774" s="32"/>
      <c r="V774" s="32"/>
      <c r="W774" s="32"/>
      <c r="X774" s="32"/>
      <c r="Y774" s="32"/>
      <c r="Z774" s="18"/>
      <c r="AA774" s="18"/>
      <c r="AZ774" s="92"/>
      <c r="BA774" s="21"/>
      <c r="BB774" s="93"/>
      <c r="BC774" s="93"/>
    </row>
    <row r="775">
      <c r="A775" s="89"/>
      <c r="B775" s="89"/>
      <c r="C775" s="89"/>
      <c r="D775" s="90"/>
      <c r="E775" s="82"/>
      <c r="F775" s="82"/>
      <c r="G775" s="82"/>
      <c r="H775" s="82"/>
      <c r="I775" s="82"/>
      <c r="J775" s="82"/>
      <c r="K775" s="82"/>
      <c r="L775" s="82"/>
      <c r="M775" s="91"/>
      <c r="N775" s="83"/>
      <c r="O775" s="83"/>
      <c r="P775" s="83"/>
      <c r="Q775" s="83"/>
      <c r="R775" s="83"/>
      <c r="S775" s="83"/>
      <c r="T775" s="83"/>
      <c r="U775" s="32"/>
      <c r="V775" s="32"/>
      <c r="W775" s="32"/>
      <c r="X775" s="32"/>
      <c r="Y775" s="32"/>
      <c r="Z775" s="18"/>
      <c r="AA775" s="18"/>
      <c r="AZ775" s="92"/>
      <c r="BA775" s="21"/>
      <c r="BB775" s="93"/>
      <c r="BC775" s="93"/>
    </row>
    <row r="776">
      <c r="A776" s="89"/>
      <c r="B776" s="89"/>
      <c r="C776" s="89"/>
      <c r="D776" s="90"/>
      <c r="E776" s="82"/>
      <c r="F776" s="82"/>
      <c r="G776" s="82"/>
      <c r="H776" s="82"/>
      <c r="I776" s="82"/>
      <c r="J776" s="82"/>
      <c r="K776" s="82"/>
      <c r="L776" s="82"/>
      <c r="M776" s="91"/>
      <c r="N776" s="83"/>
      <c r="O776" s="83"/>
      <c r="P776" s="83"/>
      <c r="Q776" s="83"/>
      <c r="R776" s="83"/>
      <c r="S776" s="83"/>
      <c r="T776" s="83"/>
      <c r="U776" s="32"/>
      <c r="V776" s="32"/>
      <c r="W776" s="32"/>
      <c r="X776" s="32"/>
      <c r="Y776" s="32"/>
      <c r="Z776" s="18"/>
      <c r="AA776" s="18"/>
      <c r="AZ776" s="92"/>
      <c r="BA776" s="21"/>
      <c r="BB776" s="93"/>
      <c r="BC776" s="93"/>
    </row>
    <row r="777">
      <c r="A777" s="89"/>
      <c r="B777" s="89"/>
      <c r="C777" s="89"/>
      <c r="D777" s="90"/>
      <c r="E777" s="82"/>
      <c r="F777" s="82"/>
      <c r="G777" s="82"/>
      <c r="H777" s="82"/>
      <c r="I777" s="82"/>
      <c r="J777" s="82"/>
      <c r="K777" s="82"/>
      <c r="L777" s="82"/>
      <c r="M777" s="91"/>
      <c r="N777" s="83"/>
      <c r="O777" s="83"/>
      <c r="P777" s="83"/>
      <c r="Q777" s="83"/>
      <c r="R777" s="83"/>
      <c r="S777" s="83"/>
      <c r="T777" s="83"/>
      <c r="U777" s="32"/>
      <c r="V777" s="32"/>
      <c r="W777" s="32"/>
      <c r="X777" s="32"/>
      <c r="Y777" s="32"/>
      <c r="Z777" s="18"/>
      <c r="AA777" s="18"/>
      <c r="AZ777" s="92"/>
      <c r="BA777" s="21"/>
      <c r="BB777" s="93"/>
      <c r="BC777" s="93"/>
    </row>
    <row r="778">
      <c r="A778" s="89"/>
      <c r="B778" s="89"/>
      <c r="C778" s="89"/>
      <c r="D778" s="90"/>
      <c r="E778" s="82"/>
      <c r="F778" s="82"/>
      <c r="G778" s="82"/>
      <c r="H778" s="82"/>
      <c r="I778" s="82"/>
      <c r="J778" s="82"/>
      <c r="K778" s="82"/>
      <c r="L778" s="82"/>
      <c r="M778" s="91"/>
      <c r="N778" s="83"/>
      <c r="O778" s="83"/>
      <c r="P778" s="83"/>
      <c r="Q778" s="83"/>
      <c r="R778" s="83"/>
      <c r="S778" s="83"/>
      <c r="T778" s="83"/>
      <c r="U778" s="32"/>
      <c r="V778" s="32"/>
      <c r="W778" s="32"/>
      <c r="X778" s="32"/>
      <c r="Y778" s="32"/>
      <c r="Z778" s="18"/>
      <c r="AA778" s="18"/>
      <c r="AZ778" s="92"/>
      <c r="BA778" s="21"/>
      <c r="BB778" s="93"/>
      <c r="BC778" s="93"/>
    </row>
    <row r="779">
      <c r="A779" s="89"/>
      <c r="B779" s="89"/>
      <c r="C779" s="89"/>
      <c r="D779" s="90"/>
      <c r="E779" s="82"/>
      <c r="F779" s="82"/>
      <c r="G779" s="82"/>
      <c r="H779" s="82"/>
      <c r="I779" s="82"/>
      <c r="J779" s="82"/>
      <c r="K779" s="82"/>
      <c r="L779" s="82"/>
      <c r="M779" s="91"/>
      <c r="N779" s="83"/>
      <c r="O779" s="83"/>
      <c r="P779" s="83"/>
      <c r="Q779" s="83"/>
      <c r="R779" s="83"/>
      <c r="S779" s="83"/>
      <c r="T779" s="83"/>
      <c r="U779" s="32"/>
      <c r="V779" s="32"/>
      <c r="W779" s="32"/>
      <c r="X779" s="32"/>
      <c r="Y779" s="32"/>
      <c r="Z779" s="18"/>
      <c r="AA779" s="18"/>
      <c r="AZ779" s="92"/>
      <c r="BA779" s="21"/>
      <c r="BB779" s="93"/>
      <c r="BC779" s="93"/>
    </row>
    <row r="780">
      <c r="A780" s="89"/>
      <c r="B780" s="89"/>
      <c r="C780" s="89"/>
      <c r="D780" s="90"/>
      <c r="E780" s="82"/>
      <c r="F780" s="82"/>
      <c r="G780" s="82"/>
      <c r="H780" s="82"/>
      <c r="I780" s="82"/>
      <c r="J780" s="82"/>
      <c r="K780" s="82"/>
      <c r="L780" s="82"/>
      <c r="M780" s="91"/>
      <c r="N780" s="83"/>
      <c r="O780" s="83"/>
      <c r="P780" s="83"/>
      <c r="Q780" s="83"/>
      <c r="R780" s="83"/>
      <c r="S780" s="83"/>
      <c r="T780" s="83"/>
      <c r="U780" s="32"/>
      <c r="V780" s="32"/>
      <c r="W780" s="32"/>
      <c r="X780" s="32"/>
      <c r="Y780" s="32"/>
      <c r="Z780" s="18"/>
      <c r="AA780" s="18"/>
      <c r="AZ780" s="92"/>
      <c r="BA780" s="21"/>
      <c r="BB780" s="93"/>
      <c r="BC780" s="93"/>
    </row>
    <row r="781">
      <c r="A781" s="89"/>
      <c r="B781" s="89"/>
      <c r="C781" s="89"/>
      <c r="D781" s="90"/>
      <c r="E781" s="82"/>
      <c r="F781" s="82"/>
      <c r="G781" s="82"/>
      <c r="H781" s="82"/>
      <c r="I781" s="82"/>
      <c r="J781" s="82"/>
      <c r="K781" s="82"/>
      <c r="L781" s="82"/>
      <c r="M781" s="91"/>
      <c r="N781" s="83"/>
      <c r="O781" s="83"/>
      <c r="P781" s="83"/>
      <c r="Q781" s="83"/>
      <c r="R781" s="83"/>
      <c r="S781" s="83"/>
      <c r="T781" s="83"/>
      <c r="U781" s="32"/>
      <c r="V781" s="32"/>
      <c r="W781" s="32"/>
      <c r="X781" s="32"/>
      <c r="Y781" s="32"/>
      <c r="Z781" s="18"/>
      <c r="AA781" s="18"/>
      <c r="AZ781" s="92"/>
      <c r="BA781" s="21"/>
      <c r="BB781" s="93"/>
      <c r="BC781" s="93"/>
    </row>
    <row r="782">
      <c r="A782" s="89"/>
      <c r="B782" s="89"/>
      <c r="C782" s="89"/>
      <c r="D782" s="90"/>
      <c r="E782" s="82"/>
      <c r="F782" s="82"/>
      <c r="G782" s="82"/>
      <c r="H782" s="82"/>
      <c r="I782" s="82"/>
      <c r="J782" s="82"/>
      <c r="K782" s="82"/>
      <c r="L782" s="82"/>
      <c r="M782" s="91"/>
      <c r="N782" s="83"/>
      <c r="O782" s="83"/>
      <c r="P782" s="83"/>
      <c r="Q782" s="83"/>
      <c r="R782" s="83"/>
      <c r="S782" s="83"/>
      <c r="T782" s="83"/>
      <c r="U782" s="32"/>
      <c r="V782" s="32"/>
      <c r="W782" s="32"/>
      <c r="X782" s="32"/>
      <c r="Y782" s="32"/>
      <c r="Z782" s="18"/>
      <c r="AA782" s="18"/>
      <c r="AZ782" s="92"/>
      <c r="BA782" s="21"/>
      <c r="BB782" s="93"/>
      <c r="BC782" s="93"/>
    </row>
    <row r="783">
      <c r="A783" s="89"/>
      <c r="B783" s="89"/>
      <c r="C783" s="89"/>
      <c r="D783" s="90"/>
      <c r="E783" s="82"/>
      <c r="F783" s="82"/>
      <c r="G783" s="82"/>
      <c r="H783" s="82"/>
      <c r="I783" s="82"/>
      <c r="J783" s="82"/>
      <c r="K783" s="82"/>
      <c r="L783" s="82"/>
      <c r="M783" s="91"/>
      <c r="N783" s="83"/>
      <c r="O783" s="83"/>
      <c r="P783" s="83"/>
      <c r="Q783" s="83"/>
      <c r="R783" s="83"/>
      <c r="S783" s="83"/>
      <c r="T783" s="83"/>
      <c r="U783" s="32"/>
      <c r="V783" s="32"/>
      <c r="W783" s="32"/>
      <c r="X783" s="32"/>
      <c r="Y783" s="32"/>
      <c r="Z783" s="18"/>
      <c r="AA783" s="18"/>
      <c r="AZ783" s="92"/>
      <c r="BA783" s="21"/>
      <c r="BB783" s="93"/>
      <c r="BC783" s="93"/>
    </row>
    <row r="784">
      <c r="A784" s="89"/>
      <c r="B784" s="89"/>
      <c r="C784" s="89"/>
      <c r="D784" s="90"/>
      <c r="E784" s="82"/>
      <c r="F784" s="82"/>
      <c r="G784" s="82"/>
      <c r="H784" s="82"/>
      <c r="I784" s="82"/>
      <c r="J784" s="82"/>
      <c r="K784" s="82"/>
      <c r="L784" s="82"/>
      <c r="M784" s="91"/>
      <c r="N784" s="83"/>
      <c r="O784" s="83"/>
      <c r="P784" s="83"/>
      <c r="Q784" s="83"/>
      <c r="R784" s="83"/>
      <c r="S784" s="83"/>
      <c r="T784" s="83"/>
      <c r="U784" s="32"/>
      <c r="V784" s="32"/>
      <c r="W784" s="32"/>
      <c r="X784" s="32"/>
      <c r="Y784" s="32"/>
      <c r="Z784" s="18"/>
      <c r="AA784" s="18"/>
      <c r="AZ784" s="92"/>
      <c r="BA784" s="21"/>
      <c r="BB784" s="93"/>
      <c r="BC784" s="93"/>
    </row>
    <row r="785">
      <c r="A785" s="89"/>
      <c r="B785" s="89"/>
      <c r="C785" s="89"/>
      <c r="D785" s="90"/>
      <c r="E785" s="82"/>
      <c r="F785" s="82"/>
      <c r="G785" s="82"/>
      <c r="H785" s="82"/>
      <c r="I785" s="82"/>
      <c r="J785" s="82"/>
      <c r="K785" s="82"/>
      <c r="L785" s="82"/>
      <c r="M785" s="91"/>
      <c r="N785" s="83"/>
      <c r="O785" s="83"/>
      <c r="P785" s="83"/>
      <c r="Q785" s="83"/>
      <c r="R785" s="83"/>
      <c r="S785" s="83"/>
      <c r="T785" s="83"/>
      <c r="U785" s="32"/>
      <c r="V785" s="32"/>
      <c r="W785" s="32"/>
      <c r="X785" s="32"/>
      <c r="Y785" s="32"/>
      <c r="Z785" s="18"/>
      <c r="AA785" s="18"/>
      <c r="AZ785" s="92"/>
      <c r="BA785" s="21"/>
      <c r="BB785" s="93"/>
      <c r="BC785" s="93"/>
    </row>
    <row r="786">
      <c r="A786" s="89"/>
      <c r="B786" s="89"/>
      <c r="C786" s="89"/>
      <c r="D786" s="90"/>
      <c r="E786" s="82"/>
      <c r="F786" s="82"/>
      <c r="G786" s="82"/>
      <c r="H786" s="82"/>
      <c r="I786" s="82"/>
      <c r="J786" s="82"/>
      <c r="K786" s="82"/>
      <c r="L786" s="82"/>
      <c r="M786" s="91"/>
      <c r="N786" s="83"/>
      <c r="O786" s="83"/>
      <c r="P786" s="83"/>
      <c r="Q786" s="83"/>
      <c r="R786" s="83"/>
      <c r="S786" s="83"/>
      <c r="T786" s="83"/>
      <c r="U786" s="32"/>
      <c r="V786" s="32"/>
      <c r="W786" s="32"/>
      <c r="X786" s="32"/>
      <c r="Y786" s="32"/>
      <c r="Z786" s="18"/>
      <c r="AA786" s="18"/>
      <c r="AZ786" s="92"/>
      <c r="BA786" s="21"/>
      <c r="BB786" s="93"/>
      <c r="BC786" s="93"/>
    </row>
    <row r="787">
      <c r="A787" s="89"/>
      <c r="B787" s="89"/>
      <c r="C787" s="89"/>
      <c r="D787" s="90"/>
      <c r="E787" s="82"/>
      <c r="F787" s="82"/>
      <c r="G787" s="82"/>
      <c r="H787" s="82"/>
      <c r="I787" s="82"/>
      <c r="J787" s="82"/>
      <c r="K787" s="82"/>
      <c r="L787" s="82"/>
      <c r="M787" s="91"/>
      <c r="N787" s="83"/>
      <c r="O787" s="83"/>
      <c r="P787" s="83"/>
      <c r="Q787" s="83"/>
      <c r="R787" s="83"/>
      <c r="S787" s="83"/>
      <c r="T787" s="83"/>
      <c r="U787" s="32"/>
      <c r="V787" s="32"/>
      <c r="W787" s="32"/>
      <c r="X787" s="32"/>
      <c r="Y787" s="32"/>
      <c r="Z787" s="18"/>
      <c r="AA787" s="18"/>
      <c r="AZ787" s="92"/>
      <c r="BA787" s="21"/>
      <c r="BB787" s="93"/>
      <c r="BC787" s="93"/>
    </row>
    <row r="788">
      <c r="A788" s="89"/>
      <c r="B788" s="89"/>
      <c r="C788" s="89"/>
      <c r="D788" s="90"/>
      <c r="E788" s="82"/>
      <c r="F788" s="82"/>
      <c r="G788" s="82"/>
      <c r="H788" s="82"/>
      <c r="I788" s="82"/>
      <c r="J788" s="82"/>
      <c r="K788" s="82"/>
      <c r="L788" s="82"/>
      <c r="M788" s="91"/>
      <c r="N788" s="83"/>
      <c r="O788" s="83"/>
      <c r="P788" s="83"/>
      <c r="Q788" s="83"/>
      <c r="R788" s="83"/>
      <c r="S788" s="83"/>
      <c r="T788" s="83"/>
      <c r="U788" s="32"/>
      <c r="V788" s="32"/>
      <c r="W788" s="32"/>
      <c r="X788" s="32"/>
      <c r="Y788" s="32"/>
      <c r="Z788" s="18"/>
      <c r="AA788" s="18"/>
      <c r="AZ788" s="92"/>
      <c r="BA788" s="21"/>
      <c r="BB788" s="93"/>
      <c r="BC788" s="93"/>
    </row>
    <row r="789">
      <c r="A789" s="89"/>
      <c r="B789" s="89"/>
      <c r="C789" s="89"/>
      <c r="D789" s="90"/>
      <c r="E789" s="82"/>
      <c r="F789" s="82"/>
      <c r="G789" s="82"/>
      <c r="H789" s="82"/>
      <c r="I789" s="82"/>
      <c r="J789" s="82"/>
      <c r="K789" s="82"/>
      <c r="L789" s="82"/>
      <c r="M789" s="91"/>
      <c r="N789" s="83"/>
      <c r="O789" s="83"/>
      <c r="P789" s="83"/>
      <c r="Q789" s="83"/>
      <c r="R789" s="83"/>
      <c r="S789" s="83"/>
      <c r="T789" s="83"/>
      <c r="U789" s="32"/>
      <c r="V789" s="32"/>
      <c r="W789" s="32"/>
      <c r="X789" s="32"/>
      <c r="Y789" s="32"/>
      <c r="Z789" s="18"/>
      <c r="AA789" s="18"/>
      <c r="AZ789" s="92"/>
      <c r="BA789" s="21"/>
      <c r="BB789" s="93"/>
      <c r="BC789" s="93"/>
    </row>
    <row r="790">
      <c r="A790" s="89"/>
      <c r="B790" s="89"/>
      <c r="C790" s="89"/>
      <c r="D790" s="90"/>
      <c r="E790" s="82"/>
      <c r="F790" s="82"/>
      <c r="G790" s="82"/>
      <c r="H790" s="82"/>
      <c r="I790" s="82"/>
      <c r="J790" s="82"/>
      <c r="K790" s="82"/>
      <c r="L790" s="82"/>
      <c r="M790" s="91"/>
      <c r="N790" s="83"/>
      <c r="O790" s="83"/>
      <c r="P790" s="83"/>
      <c r="Q790" s="83"/>
      <c r="R790" s="83"/>
      <c r="S790" s="83"/>
      <c r="T790" s="83"/>
      <c r="U790" s="32"/>
      <c r="V790" s="32"/>
      <c r="W790" s="32"/>
      <c r="X790" s="32"/>
      <c r="Y790" s="32"/>
      <c r="Z790" s="18"/>
      <c r="AA790" s="18"/>
      <c r="AZ790" s="92"/>
      <c r="BA790" s="21"/>
      <c r="BB790" s="93"/>
      <c r="BC790" s="93"/>
    </row>
    <row r="791">
      <c r="A791" s="89"/>
      <c r="B791" s="89"/>
      <c r="C791" s="89"/>
      <c r="D791" s="90"/>
      <c r="E791" s="82"/>
      <c r="F791" s="82"/>
      <c r="G791" s="82"/>
      <c r="H791" s="82"/>
      <c r="I791" s="82"/>
      <c r="J791" s="82"/>
      <c r="K791" s="82"/>
      <c r="L791" s="82"/>
      <c r="M791" s="91"/>
      <c r="N791" s="83"/>
      <c r="O791" s="83"/>
      <c r="P791" s="83"/>
      <c r="Q791" s="83"/>
      <c r="R791" s="83"/>
      <c r="S791" s="83"/>
      <c r="T791" s="83"/>
      <c r="U791" s="32"/>
      <c r="V791" s="32"/>
      <c r="W791" s="32"/>
      <c r="X791" s="32"/>
      <c r="Y791" s="32"/>
      <c r="Z791" s="18"/>
      <c r="AA791" s="18"/>
      <c r="AZ791" s="92"/>
      <c r="BA791" s="21"/>
      <c r="BB791" s="93"/>
      <c r="BC791" s="93"/>
    </row>
    <row r="792">
      <c r="A792" s="89"/>
      <c r="B792" s="89"/>
      <c r="C792" s="89"/>
      <c r="D792" s="90"/>
      <c r="E792" s="82"/>
      <c r="F792" s="82"/>
      <c r="G792" s="82"/>
      <c r="H792" s="82"/>
      <c r="I792" s="82"/>
      <c r="J792" s="82"/>
      <c r="K792" s="82"/>
      <c r="L792" s="82"/>
      <c r="M792" s="91"/>
      <c r="N792" s="83"/>
      <c r="O792" s="83"/>
      <c r="P792" s="83"/>
      <c r="Q792" s="83"/>
      <c r="R792" s="83"/>
      <c r="S792" s="83"/>
      <c r="T792" s="83"/>
      <c r="U792" s="32"/>
      <c r="V792" s="32"/>
      <c r="W792" s="32"/>
      <c r="X792" s="32"/>
      <c r="Y792" s="32"/>
      <c r="Z792" s="18"/>
      <c r="AA792" s="18"/>
      <c r="AZ792" s="92"/>
      <c r="BA792" s="21"/>
      <c r="BB792" s="93"/>
      <c r="BC792" s="93"/>
    </row>
    <row r="793">
      <c r="A793" s="89"/>
      <c r="B793" s="89"/>
      <c r="C793" s="89"/>
      <c r="D793" s="90"/>
      <c r="E793" s="82"/>
      <c r="F793" s="82"/>
      <c r="G793" s="82"/>
      <c r="H793" s="82"/>
      <c r="I793" s="82"/>
      <c r="J793" s="82"/>
      <c r="K793" s="82"/>
      <c r="L793" s="82"/>
      <c r="M793" s="91"/>
      <c r="N793" s="83"/>
      <c r="O793" s="83"/>
      <c r="P793" s="83"/>
      <c r="Q793" s="83"/>
      <c r="R793" s="83"/>
      <c r="S793" s="83"/>
      <c r="T793" s="83"/>
      <c r="U793" s="32"/>
      <c r="V793" s="32"/>
      <c r="W793" s="32"/>
      <c r="X793" s="32"/>
      <c r="Y793" s="32"/>
      <c r="Z793" s="18"/>
      <c r="AA793" s="18"/>
      <c r="AZ793" s="92"/>
      <c r="BA793" s="21"/>
      <c r="BB793" s="93"/>
      <c r="BC793" s="93"/>
    </row>
    <row r="794">
      <c r="A794" s="89"/>
      <c r="B794" s="89"/>
      <c r="C794" s="89"/>
      <c r="D794" s="90"/>
      <c r="E794" s="82"/>
      <c r="F794" s="82"/>
      <c r="G794" s="82"/>
      <c r="H794" s="82"/>
      <c r="I794" s="82"/>
      <c r="J794" s="82"/>
      <c r="K794" s="82"/>
      <c r="L794" s="82"/>
      <c r="M794" s="91"/>
      <c r="N794" s="83"/>
      <c r="O794" s="83"/>
      <c r="P794" s="83"/>
      <c r="Q794" s="83"/>
      <c r="R794" s="83"/>
      <c r="S794" s="83"/>
      <c r="T794" s="83"/>
      <c r="U794" s="32"/>
      <c r="V794" s="32"/>
      <c r="W794" s="32"/>
      <c r="X794" s="32"/>
      <c r="Y794" s="32"/>
      <c r="Z794" s="18"/>
      <c r="AA794" s="18"/>
      <c r="AZ794" s="92"/>
      <c r="BA794" s="21"/>
      <c r="BB794" s="93"/>
      <c r="BC794" s="93"/>
    </row>
    <row r="795">
      <c r="A795" s="89"/>
      <c r="B795" s="89"/>
      <c r="C795" s="89"/>
      <c r="D795" s="90"/>
      <c r="E795" s="82"/>
      <c r="F795" s="82"/>
      <c r="G795" s="82"/>
      <c r="H795" s="82"/>
      <c r="I795" s="82"/>
      <c r="J795" s="82"/>
      <c r="K795" s="82"/>
      <c r="L795" s="82"/>
      <c r="M795" s="91"/>
      <c r="N795" s="83"/>
      <c r="O795" s="83"/>
      <c r="P795" s="83"/>
      <c r="Q795" s="83"/>
      <c r="R795" s="83"/>
      <c r="S795" s="83"/>
      <c r="T795" s="83"/>
      <c r="U795" s="32"/>
      <c r="V795" s="32"/>
      <c r="W795" s="32"/>
      <c r="X795" s="32"/>
      <c r="Y795" s="32"/>
      <c r="Z795" s="18"/>
      <c r="AA795" s="18"/>
      <c r="AZ795" s="92"/>
      <c r="BA795" s="21"/>
      <c r="BB795" s="93"/>
      <c r="BC795" s="93"/>
    </row>
    <row r="796">
      <c r="A796" s="89"/>
      <c r="B796" s="89"/>
      <c r="C796" s="89"/>
      <c r="D796" s="90"/>
      <c r="E796" s="82"/>
      <c r="F796" s="82"/>
      <c r="G796" s="82"/>
      <c r="H796" s="82"/>
      <c r="I796" s="82"/>
      <c r="J796" s="82"/>
      <c r="K796" s="82"/>
      <c r="L796" s="82"/>
      <c r="M796" s="91"/>
      <c r="N796" s="83"/>
      <c r="O796" s="83"/>
      <c r="P796" s="83"/>
      <c r="Q796" s="83"/>
      <c r="R796" s="83"/>
      <c r="S796" s="83"/>
      <c r="T796" s="83"/>
      <c r="U796" s="32"/>
      <c r="V796" s="32"/>
      <c r="W796" s="32"/>
      <c r="X796" s="32"/>
      <c r="Y796" s="32"/>
      <c r="Z796" s="18"/>
      <c r="AA796" s="18"/>
      <c r="AZ796" s="92"/>
      <c r="BA796" s="21"/>
      <c r="BB796" s="93"/>
      <c r="BC796" s="93"/>
    </row>
    <row r="797">
      <c r="A797" s="89"/>
      <c r="B797" s="89"/>
      <c r="C797" s="89"/>
      <c r="D797" s="90"/>
      <c r="E797" s="82"/>
      <c r="F797" s="82"/>
      <c r="G797" s="82"/>
      <c r="H797" s="82"/>
      <c r="I797" s="82"/>
      <c r="J797" s="82"/>
      <c r="K797" s="82"/>
      <c r="L797" s="82"/>
      <c r="M797" s="91"/>
      <c r="N797" s="83"/>
      <c r="O797" s="83"/>
      <c r="P797" s="83"/>
      <c r="Q797" s="83"/>
      <c r="R797" s="83"/>
      <c r="S797" s="83"/>
      <c r="T797" s="83"/>
      <c r="U797" s="32"/>
      <c r="V797" s="32"/>
      <c r="W797" s="32"/>
      <c r="X797" s="32"/>
      <c r="Y797" s="32"/>
      <c r="Z797" s="18"/>
      <c r="AA797" s="18"/>
      <c r="AZ797" s="92"/>
      <c r="BA797" s="21"/>
      <c r="BB797" s="93"/>
      <c r="BC797" s="93"/>
    </row>
    <row r="798">
      <c r="A798" s="89"/>
      <c r="B798" s="89"/>
      <c r="C798" s="89"/>
      <c r="D798" s="90"/>
      <c r="E798" s="82"/>
      <c r="F798" s="82"/>
      <c r="G798" s="82"/>
      <c r="H798" s="82"/>
      <c r="I798" s="82"/>
      <c r="J798" s="82"/>
      <c r="K798" s="82"/>
      <c r="L798" s="82"/>
      <c r="M798" s="91"/>
      <c r="N798" s="83"/>
      <c r="O798" s="83"/>
      <c r="P798" s="83"/>
      <c r="Q798" s="83"/>
      <c r="R798" s="83"/>
      <c r="S798" s="83"/>
      <c r="T798" s="83"/>
      <c r="U798" s="32"/>
      <c r="V798" s="32"/>
      <c r="W798" s="32"/>
      <c r="X798" s="32"/>
      <c r="Y798" s="32"/>
      <c r="Z798" s="18"/>
      <c r="AA798" s="18"/>
      <c r="AZ798" s="92"/>
      <c r="BA798" s="21"/>
      <c r="BB798" s="93"/>
      <c r="BC798" s="93"/>
    </row>
    <row r="799">
      <c r="A799" s="89"/>
      <c r="B799" s="89"/>
      <c r="C799" s="89"/>
      <c r="D799" s="90"/>
      <c r="E799" s="82"/>
      <c r="F799" s="82"/>
      <c r="G799" s="82"/>
      <c r="H799" s="82"/>
      <c r="I799" s="82"/>
      <c r="J799" s="82"/>
      <c r="K799" s="82"/>
      <c r="L799" s="82"/>
      <c r="M799" s="91"/>
      <c r="N799" s="83"/>
      <c r="O799" s="83"/>
      <c r="P799" s="83"/>
      <c r="Q799" s="83"/>
      <c r="R799" s="83"/>
      <c r="S799" s="83"/>
      <c r="T799" s="83"/>
      <c r="U799" s="32"/>
      <c r="V799" s="32"/>
      <c r="W799" s="32"/>
      <c r="X799" s="32"/>
      <c r="Y799" s="32"/>
      <c r="Z799" s="18"/>
      <c r="AA799" s="18"/>
      <c r="AZ799" s="92"/>
      <c r="BA799" s="21"/>
      <c r="BB799" s="93"/>
      <c r="BC799" s="93"/>
    </row>
    <row r="800">
      <c r="A800" s="89"/>
      <c r="B800" s="89"/>
      <c r="C800" s="89"/>
      <c r="D800" s="90"/>
      <c r="E800" s="82"/>
      <c r="F800" s="82"/>
      <c r="G800" s="82"/>
      <c r="H800" s="82"/>
      <c r="I800" s="82"/>
      <c r="J800" s="82"/>
      <c r="K800" s="82"/>
      <c r="L800" s="82"/>
      <c r="M800" s="91"/>
      <c r="N800" s="83"/>
      <c r="O800" s="83"/>
      <c r="P800" s="83"/>
      <c r="Q800" s="83"/>
      <c r="R800" s="83"/>
      <c r="S800" s="83"/>
      <c r="T800" s="83"/>
      <c r="U800" s="32"/>
      <c r="V800" s="32"/>
      <c r="W800" s="32"/>
      <c r="X800" s="32"/>
      <c r="Y800" s="32"/>
      <c r="Z800" s="18"/>
      <c r="AA800" s="18"/>
      <c r="AZ800" s="92"/>
      <c r="BA800" s="21"/>
      <c r="BB800" s="93"/>
      <c r="BC800" s="93"/>
    </row>
    <row r="801">
      <c r="A801" s="89"/>
      <c r="B801" s="89"/>
      <c r="C801" s="89"/>
      <c r="D801" s="90"/>
      <c r="E801" s="82"/>
      <c r="F801" s="82"/>
      <c r="G801" s="82"/>
      <c r="H801" s="82"/>
      <c r="I801" s="82"/>
      <c r="J801" s="82"/>
      <c r="K801" s="82"/>
      <c r="L801" s="82"/>
      <c r="M801" s="91"/>
      <c r="N801" s="83"/>
      <c r="O801" s="83"/>
      <c r="P801" s="83"/>
      <c r="Q801" s="83"/>
      <c r="R801" s="83"/>
      <c r="S801" s="83"/>
      <c r="T801" s="83"/>
      <c r="U801" s="32"/>
      <c r="V801" s="32"/>
      <c r="W801" s="32"/>
      <c r="X801" s="32"/>
      <c r="Y801" s="32"/>
      <c r="Z801" s="18"/>
      <c r="AA801" s="18"/>
      <c r="AZ801" s="92"/>
      <c r="BA801" s="21"/>
      <c r="BB801" s="93"/>
      <c r="BC801" s="93"/>
    </row>
    <row r="802">
      <c r="A802" s="89"/>
      <c r="B802" s="89"/>
      <c r="C802" s="89"/>
      <c r="D802" s="90"/>
      <c r="E802" s="82"/>
      <c r="F802" s="82"/>
      <c r="G802" s="82"/>
      <c r="H802" s="82"/>
      <c r="I802" s="82"/>
      <c r="J802" s="82"/>
      <c r="K802" s="82"/>
      <c r="L802" s="82"/>
      <c r="M802" s="91"/>
      <c r="N802" s="83"/>
      <c r="O802" s="83"/>
      <c r="P802" s="83"/>
      <c r="Q802" s="83"/>
      <c r="R802" s="83"/>
      <c r="S802" s="83"/>
      <c r="T802" s="83"/>
      <c r="U802" s="32"/>
      <c r="V802" s="32"/>
      <c r="W802" s="32"/>
      <c r="X802" s="32"/>
      <c r="Y802" s="32"/>
      <c r="Z802" s="18"/>
      <c r="AA802" s="18"/>
      <c r="AZ802" s="92"/>
      <c r="BA802" s="21"/>
      <c r="BB802" s="93"/>
      <c r="BC802" s="93"/>
    </row>
    <row r="803">
      <c r="A803" s="89"/>
      <c r="B803" s="89"/>
      <c r="C803" s="89"/>
      <c r="D803" s="90"/>
      <c r="E803" s="82"/>
      <c r="F803" s="82"/>
      <c r="G803" s="82"/>
      <c r="H803" s="82"/>
      <c r="I803" s="82"/>
      <c r="J803" s="82"/>
      <c r="K803" s="82"/>
      <c r="L803" s="82"/>
      <c r="M803" s="91"/>
      <c r="N803" s="83"/>
      <c r="O803" s="83"/>
      <c r="P803" s="83"/>
      <c r="Q803" s="83"/>
      <c r="R803" s="83"/>
      <c r="S803" s="83"/>
      <c r="T803" s="83"/>
      <c r="U803" s="32"/>
      <c r="V803" s="32"/>
      <c r="W803" s="32"/>
      <c r="X803" s="32"/>
      <c r="Y803" s="32"/>
      <c r="Z803" s="18"/>
      <c r="AA803" s="18"/>
      <c r="AZ803" s="92"/>
      <c r="BA803" s="21"/>
      <c r="BB803" s="93"/>
      <c r="BC803" s="93"/>
    </row>
    <row r="804">
      <c r="A804" s="89"/>
      <c r="B804" s="89"/>
      <c r="C804" s="89"/>
      <c r="D804" s="90"/>
      <c r="E804" s="82"/>
      <c r="F804" s="82"/>
      <c r="G804" s="82"/>
      <c r="H804" s="82"/>
      <c r="I804" s="82"/>
      <c r="J804" s="82"/>
      <c r="K804" s="82"/>
      <c r="L804" s="82"/>
      <c r="M804" s="91"/>
      <c r="N804" s="83"/>
      <c r="O804" s="83"/>
      <c r="P804" s="83"/>
      <c r="Q804" s="83"/>
      <c r="R804" s="83"/>
      <c r="S804" s="83"/>
      <c r="T804" s="83"/>
      <c r="U804" s="32"/>
      <c r="V804" s="32"/>
      <c r="W804" s="32"/>
      <c r="X804" s="32"/>
      <c r="Y804" s="32"/>
      <c r="Z804" s="18"/>
      <c r="AA804" s="18"/>
      <c r="AZ804" s="92"/>
      <c r="BA804" s="21"/>
      <c r="BB804" s="93"/>
      <c r="BC804" s="93"/>
    </row>
    <row r="805">
      <c r="A805" s="89"/>
      <c r="B805" s="89"/>
      <c r="C805" s="89"/>
      <c r="D805" s="90"/>
      <c r="E805" s="82"/>
      <c r="F805" s="82"/>
      <c r="G805" s="82"/>
      <c r="H805" s="82"/>
      <c r="I805" s="82"/>
      <c r="J805" s="82"/>
      <c r="K805" s="82"/>
      <c r="L805" s="82"/>
      <c r="M805" s="91"/>
      <c r="N805" s="83"/>
      <c r="O805" s="83"/>
      <c r="P805" s="83"/>
      <c r="Q805" s="83"/>
      <c r="R805" s="83"/>
      <c r="S805" s="83"/>
      <c r="T805" s="83"/>
      <c r="U805" s="32"/>
      <c r="V805" s="32"/>
      <c r="W805" s="32"/>
      <c r="X805" s="32"/>
      <c r="Y805" s="32"/>
      <c r="Z805" s="18"/>
      <c r="AA805" s="18"/>
      <c r="AZ805" s="92"/>
      <c r="BA805" s="21"/>
      <c r="BB805" s="93"/>
      <c r="BC805" s="93"/>
    </row>
    <row r="806">
      <c r="A806" s="89"/>
      <c r="B806" s="89"/>
      <c r="C806" s="89"/>
      <c r="D806" s="90"/>
      <c r="E806" s="82"/>
      <c r="F806" s="82"/>
      <c r="G806" s="82"/>
      <c r="H806" s="82"/>
      <c r="I806" s="82"/>
      <c r="J806" s="82"/>
      <c r="K806" s="82"/>
      <c r="L806" s="82"/>
      <c r="M806" s="91"/>
      <c r="N806" s="83"/>
      <c r="O806" s="83"/>
      <c r="P806" s="83"/>
      <c r="Q806" s="83"/>
      <c r="R806" s="83"/>
      <c r="S806" s="83"/>
      <c r="T806" s="83"/>
      <c r="U806" s="32"/>
      <c r="V806" s="32"/>
      <c r="W806" s="32"/>
      <c r="X806" s="32"/>
      <c r="Y806" s="32"/>
      <c r="Z806" s="18"/>
      <c r="AA806" s="18"/>
      <c r="AZ806" s="92"/>
      <c r="BA806" s="21"/>
      <c r="BB806" s="93"/>
      <c r="BC806" s="93"/>
    </row>
    <row r="807">
      <c r="A807" s="89"/>
      <c r="B807" s="89"/>
      <c r="C807" s="89"/>
      <c r="D807" s="90"/>
      <c r="E807" s="82"/>
      <c r="F807" s="82"/>
      <c r="G807" s="82"/>
      <c r="H807" s="82"/>
      <c r="I807" s="82"/>
      <c r="J807" s="82"/>
      <c r="K807" s="82"/>
      <c r="L807" s="82"/>
      <c r="M807" s="91"/>
      <c r="N807" s="83"/>
      <c r="O807" s="83"/>
      <c r="P807" s="83"/>
      <c r="Q807" s="83"/>
      <c r="R807" s="83"/>
      <c r="S807" s="83"/>
      <c r="T807" s="83"/>
      <c r="U807" s="32"/>
      <c r="V807" s="32"/>
      <c r="W807" s="32"/>
      <c r="X807" s="32"/>
      <c r="Y807" s="32"/>
      <c r="Z807" s="18"/>
      <c r="AA807" s="18"/>
      <c r="AZ807" s="92"/>
      <c r="BA807" s="21"/>
      <c r="BB807" s="93"/>
      <c r="BC807" s="93"/>
    </row>
    <row r="808">
      <c r="A808" s="89"/>
      <c r="B808" s="89"/>
      <c r="C808" s="89"/>
      <c r="D808" s="90"/>
      <c r="E808" s="82"/>
      <c r="F808" s="82"/>
      <c r="G808" s="82"/>
      <c r="H808" s="82"/>
      <c r="I808" s="82"/>
      <c r="J808" s="82"/>
      <c r="K808" s="82"/>
      <c r="L808" s="82"/>
      <c r="M808" s="91"/>
      <c r="N808" s="83"/>
      <c r="O808" s="83"/>
      <c r="P808" s="83"/>
      <c r="Q808" s="83"/>
      <c r="R808" s="83"/>
      <c r="S808" s="83"/>
      <c r="T808" s="83"/>
      <c r="U808" s="32"/>
      <c r="V808" s="32"/>
      <c r="W808" s="32"/>
      <c r="X808" s="32"/>
      <c r="Y808" s="32"/>
      <c r="Z808" s="18"/>
      <c r="AA808" s="18"/>
      <c r="AZ808" s="92"/>
      <c r="BA808" s="21"/>
      <c r="BB808" s="93"/>
      <c r="BC808" s="93"/>
    </row>
    <row r="809">
      <c r="A809" s="89"/>
      <c r="B809" s="89"/>
      <c r="C809" s="89"/>
      <c r="D809" s="90"/>
      <c r="E809" s="82"/>
      <c r="F809" s="82"/>
      <c r="G809" s="82"/>
      <c r="H809" s="82"/>
      <c r="I809" s="82"/>
      <c r="J809" s="82"/>
      <c r="K809" s="82"/>
      <c r="L809" s="82"/>
      <c r="M809" s="91"/>
      <c r="N809" s="83"/>
      <c r="O809" s="83"/>
      <c r="P809" s="83"/>
      <c r="Q809" s="83"/>
      <c r="R809" s="83"/>
      <c r="S809" s="83"/>
      <c r="T809" s="83"/>
      <c r="U809" s="32"/>
      <c r="V809" s="32"/>
      <c r="W809" s="32"/>
      <c r="X809" s="32"/>
      <c r="Y809" s="32"/>
      <c r="Z809" s="18"/>
      <c r="AA809" s="18"/>
      <c r="AZ809" s="92"/>
      <c r="BA809" s="21"/>
      <c r="BB809" s="93"/>
      <c r="BC809" s="93"/>
    </row>
    <row r="810">
      <c r="A810" s="89"/>
      <c r="B810" s="89"/>
      <c r="C810" s="89"/>
      <c r="D810" s="90"/>
      <c r="E810" s="82"/>
      <c r="F810" s="82"/>
      <c r="G810" s="82"/>
      <c r="H810" s="82"/>
      <c r="I810" s="82"/>
      <c r="J810" s="82"/>
      <c r="K810" s="82"/>
      <c r="L810" s="82"/>
      <c r="M810" s="91"/>
      <c r="N810" s="83"/>
      <c r="O810" s="83"/>
      <c r="P810" s="83"/>
      <c r="Q810" s="83"/>
      <c r="R810" s="83"/>
      <c r="S810" s="83"/>
      <c r="T810" s="83"/>
      <c r="U810" s="32"/>
      <c r="V810" s="32"/>
      <c r="W810" s="32"/>
      <c r="X810" s="32"/>
      <c r="Y810" s="32"/>
      <c r="Z810" s="18"/>
      <c r="AA810" s="18"/>
      <c r="AZ810" s="92"/>
      <c r="BA810" s="21"/>
      <c r="BB810" s="93"/>
      <c r="BC810" s="93"/>
    </row>
    <row r="811">
      <c r="A811" s="89"/>
      <c r="B811" s="89"/>
      <c r="C811" s="89"/>
      <c r="D811" s="90"/>
      <c r="E811" s="82"/>
      <c r="F811" s="82"/>
      <c r="G811" s="82"/>
      <c r="H811" s="82"/>
      <c r="I811" s="82"/>
      <c r="J811" s="82"/>
      <c r="K811" s="82"/>
      <c r="L811" s="82"/>
      <c r="M811" s="91"/>
      <c r="N811" s="83"/>
      <c r="O811" s="83"/>
      <c r="P811" s="83"/>
      <c r="Q811" s="83"/>
      <c r="R811" s="83"/>
      <c r="S811" s="83"/>
      <c r="T811" s="83"/>
      <c r="U811" s="32"/>
      <c r="V811" s="32"/>
      <c r="W811" s="32"/>
      <c r="X811" s="32"/>
      <c r="Y811" s="32"/>
      <c r="Z811" s="18"/>
      <c r="AA811" s="18"/>
      <c r="AZ811" s="92"/>
      <c r="BA811" s="21"/>
      <c r="BB811" s="93"/>
      <c r="BC811" s="93"/>
    </row>
    <row r="812">
      <c r="A812" s="89"/>
      <c r="B812" s="89"/>
      <c r="C812" s="89"/>
      <c r="D812" s="90"/>
      <c r="E812" s="82"/>
      <c r="F812" s="82"/>
      <c r="G812" s="82"/>
      <c r="H812" s="82"/>
      <c r="I812" s="82"/>
      <c r="J812" s="82"/>
      <c r="K812" s="82"/>
      <c r="L812" s="82"/>
      <c r="M812" s="91"/>
      <c r="N812" s="83"/>
      <c r="O812" s="83"/>
      <c r="P812" s="83"/>
      <c r="Q812" s="83"/>
      <c r="R812" s="83"/>
      <c r="S812" s="83"/>
      <c r="T812" s="83"/>
      <c r="U812" s="32"/>
      <c r="V812" s="32"/>
      <c r="W812" s="32"/>
      <c r="X812" s="32"/>
      <c r="Y812" s="32"/>
      <c r="Z812" s="18"/>
      <c r="AA812" s="18"/>
      <c r="AZ812" s="92"/>
      <c r="BA812" s="21"/>
      <c r="BB812" s="93"/>
      <c r="BC812" s="93"/>
    </row>
    <row r="813">
      <c r="A813" s="89"/>
      <c r="B813" s="89"/>
      <c r="C813" s="89"/>
      <c r="D813" s="90"/>
      <c r="E813" s="82"/>
      <c r="F813" s="82"/>
      <c r="G813" s="82"/>
      <c r="H813" s="82"/>
      <c r="I813" s="82"/>
      <c r="J813" s="82"/>
      <c r="K813" s="82"/>
      <c r="L813" s="82"/>
      <c r="M813" s="91"/>
      <c r="N813" s="83"/>
      <c r="O813" s="83"/>
      <c r="P813" s="83"/>
      <c r="Q813" s="83"/>
      <c r="R813" s="83"/>
      <c r="S813" s="83"/>
      <c r="T813" s="83"/>
      <c r="U813" s="32"/>
      <c r="V813" s="32"/>
      <c r="W813" s="32"/>
      <c r="X813" s="32"/>
      <c r="Y813" s="32"/>
      <c r="Z813" s="18"/>
      <c r="AA813" s="18"/>
      <c r="AZ813" s="92"/>
      <c r="BA813" s="21"/>
      <c r="BB813" s="93"/>
      <c r="BC813" s="93"/>
    </row>
    <row r="814">
      <c r="A814" s="89"/>
      <c r="B814" s="89"/>
      <c r="C814" s="89"/>
      <c r="D814" s="90"/>
      <c r="E814" s="82"/>
      <c r="F814" s="82"/>
      <c r="G814" s="82"/>
      <c r="H814" s="82"/>
      <c r="I814" s="82"/>
      <c r="J814" s="82"/>
      <c r="K814" s="82"/>
      <c r="L814" s="82"/>
      <c r="M814" s="91"/>
      <c r="N814" s="83"/>
      <c r="O814" s="83"/>
      <c r="P814" s="83"/>
      <c r="Q814" s="83"/>
      <c r="R814" s="83"/>
      <c r="S814" s="83"/>
      <c r="T814" s="83"/>
      <c r="U814" s="32"/>
      <c r="V814" s="32"/>
      <c r="W814" s="32"/>
      <c r="X814" s="32"/>
      <c r="Y814" s="32"/>
      <c r="Z814" s="18"/>
      <c r="AA814" s="18"/>
      <c r="AZ814" s="92"/>
      <c r="BA814" s="21"/>
      <c r="BB814" s="93"/>
      <c r="BC814" s="93"/>
    </row>
    <row r="815">
      <c r="A815" s="89"/>
      <c r="B815" s="89"/>
      <c r="C815" s="89"/>
      <c r="D815" s="90"/>
      <c r="E815" s="82"/>
      <c r="F815" s="82"/>
      <c r="G815" s="82"/>
      <c r="H815" s="82"/>
      <c r="I815" s="82"/>
      <c r="J815" s="82"/>
      <c r="K815" s="82"/>
      <c r="L815" s="82"/>
      <c r="M815" s="91"/>
      <c r="N815" s="83"/>
      <c r="O815" s="83"/>
      <c r="P815" s="83"/>
      <c r="Q815" s="83"/>
      <c r="R815" s="83"/>
      <c r="S815" s="83"/>
      <c r="T815" s="83"/>
      <c r="U815" s="32"/>
      <c r="V815" s="32"/>
      <c r="W815" s="32"/>
      <c r="X815" s="32"/>
      <c r="Y815" s="32"/>
      <c r="Z815" s="18"/>
      <c r="AA815" s="18"/>
      <c r="AZ815" s="92"/>
      <c r="BA815" s="21"/>
      <c r="BB815" s="93"/>
      <c r="BC815" s="93"/>
    </row>
    <row r="816">
      <c r="A816" s="89"/>
      <c r="B816" s="89"/>
      <c r="C816" s="89"/>
      <c r="D816" s="90"/>
      <c r="E816" s="82"/>
      <c r="F816" s="82"/>
      <c r="G816" s="82"/>
      <c r="H816" s="82"/>
      <c r="I816" s="82"/>
      <c r="J816" s="82"/>
      <c r="K816" s="82"/>
      <c r="L816" s="82"/>
      <c r="M816" s="91"/>
      <c r="N816" s="83"/>
      <c r="O816" s="83"/>
      <c r="P816" s="83"/>
      <c r="Q816" s="83"/>
      <c r="R816" s="83"/>
      <c r="S816" s="83"/>
      <c r="T816" s="83"/>
      <c r="U816" s="32"/>
      <c r="V816" s="32"/>
      <c r="W816" s="32"/>
      <c r="X816" s="32"/>
      <c r="Y816" s="32"/>
      <c r="Z816" s="18"/>
      <c r="AA816" s="18"/>
      <c r="AZ816" s="92"/>
      <c r="BA816" s="21"/>
      <c r="BB816" s="93"/>
      <c r="BC816" s="93"/>
    </row>
    <row r="817">
      <c r="A817" s="89"/>
      <c r="B817" s="89"/>
      <c r="C817" s="89"/>
      <c r="D817" s="90"/>
      <c r="E817" s="82"/>
      <c r="F817" s="82"/>
      <c r="G817" s="82"/>
      <c r="H817" s="82"/>
      <c r="I817" s="82"/>
      <c r="J817" s="82"/>
      <c r="K817" s="82"/>
      <c r="L817" s="82"/>
      <c r="M817" s="91"/>
      <c r="N817" s="83"/>
      <c r="O817" s="83"/>
      <c r="P817" s="83"/>
      <c r="Q817" s="83"/>
      <c r="R817" s="83"/>
      <c r="S817" s="83"/>
      <c r="T817" s="83"/>
      <c r="U817" s="32"/>
      <c r="V817" s="32"/>
      <c r="W817" s="32"/>
      <c r="X817" s="32"/>
      <c r="Y817" s="32"/>
      <c r="Z817" s="18"/>
      <c r="AA817" s="18"/>
      <c r="AZ817" s="92"/>
      <c r="BA817" s="21"/>
      <c r="BB817" s="93"/>
      <c r="BC817" s="93"/>
    </row>
    <row r="818">
      <c r="A818" s="89"/>
      <c r="B818" s="89"/>
      <c r="C818" s="89"/>
      <c r="D818" s="90"/>
      <c r="E818" s="82"/>
      <c r="F818" s="82"/>
      <c r="G818" s="82"/>
      <c r="H818" s="82"/>
      <c r="I818" s="82"/>
      <c r="J818" s="82"/>
      <c r="K818" s="82"/>
      <c r="L818" s="82"/>
      <c r="M818" s="91"/>
      <c r="N818" s="83"/>
      <c r="O818" s="83"/>
      <c r="P818" s="83"/>
      <c r="Q818" s="83"/>
      <c r="R818" s="83"/>
      <c r="S818" s="83"/>
      <c r="T818" s="83"/>
      <c r="U818" s="32"/>
      <c r="V818" s="32"/>
      <c r="W818" s="32"/>
      <c r="X818" s="32"/>
      <c r="Y818" s="32"/>
      <c r="Z818" s="18"/>
      <c r="AA818" s="18"/>
      <c r="AZ818" s="92"/>
      <c r="BA818" s="21"/>
      <c r="BB818" s="93"/>
      <c r="BC818" s="93"/>
    </row>
    <row r="819">
      <c r="A819" s="89"/>
      <c r="B819" s="89"/>
      <c r="C819" s="89"/>
      <c r="D819" s="90"/>
      <c r="E819" s="82"/>
      <c r="F819" s="82"/>
      <c r="G819" s="82"/>
      <c r="H819" s="82"/>
      <c r="I819" s="82"/>
      <c r="J819" s="82"/>
      <c r="K819" s="82"/>
      <c r="L819" s="82"/>
      <c r="M819" s="91"/>
      <c r="N819" s="83"/>
      <c r="O819" s="83"/>
      <c r="P819" s="83"/>
      <c r="Q819" s="83"/>
      <c r="R819" s="83"/>
      <c r="S819" s="83"/>
      <c r="T819" s="83"/>
      <c r="U819" s="32"/>
      <c r="V819" s="32"/>
      <c r="W819" s="32"/>
      <c r="X819" s="32"/>
      <c r="Y819" s="32"/>
      <c r="Z819" s="18"/>
      <c r="AA819" s="18"/>
      <c r="AZ819" s="92"/>
      <c r="BA819" s="21"/>
      <c r="BB819" s="93"/>
      <c r="BC819" s="93"/>
    </row>
    <row r="820">
      <c r="A820" s="89"/>
      <c r="B820" s="89"/>
      <c r="C820" s="89"/>
      <c r="D820" s="90"/>
      <c r="E820" s="82"/>
      <c r="F820" s="82"/>
      <c r="G820" s="82"/>
      <c r="H820" s="82"/>
      <c r="I820" s="82"/>
      <c r="J820" s="82"/>
      <c r="K820" s="82"/>
      <c r="L820" s="82"/>
      <c r="M820" s="91"/>
      <c r="N820" s="83"/>
      <c r="O820" s="83"/>
      <c r="P820" s="83"/>
      <c r="Q820" s="83"/>
      <c r="R820" s="83"/>
      <c r="S820" s="83"/>
      <c r="T820" s="83"/>
      <c r="U820" s="32"/>
      <c r="V820" s="32"/>
      <c r="W820" s="32"/>
      <c r="X820" s="32"/>
      <c r="Y820" s="32"/>
      <c r="Z820" s="18"/>
      <c r="AA820" s="18"/>
      <c r="AZ820" s="92"/>
      <c r="BA820" s="21"/>
      <c r="BB820" s="93"/>
      <c r="BC820" s="93"/>
    </row>
    <row r="821">
      <c r="A821" s="89"/>
      <c r="B821" s="89"/>
      <c r="C821" s="89"/>
      <c r="D821" s="90"/>
      <c r="E821" s="82"/>
      <c r="F821" s="82"/>
      <c r="G821" s="82"/>
      <c r="H821" s="82"/>
      <c r="I821" s="82"/>
      <c r="J821" s="82"/>
      <c r="K821" s="82"/>
      <c r="L821" s="82"/>
      <c r="M821" s="91"/>
      <c r="N821" s="83"/>
      <c r="O821" s="83"/>
      <c r="P821" s="83"/>
      <c r="Q821" s="83"/>
      <c r="R821" s="83"/>
      <c r="S821" s="83"/>
      <c r="T821" s="83"/>
      <c r="U821" s="32"/>
      <c r="V821" s="32"/>
      <c r="W821" s="32"/>
      <c r="X821" s="32"/>
      <c r="Y821" s="32"/>
      <c r="Z821" s="18"/>
      <c r="AA821" s="18"/>
      <c r="AZ821" s="92"/>
      <c r="BA821" s="21"/>
      <c r="BB821" s="93"/>
      <c r="BC821" s="93"/>
    </row>
    <row r="822">
      <c r="A822" s="89"/>
      <c r="B822" s="89"/>
      <c r="C822" s="89"/>
      <c r="D822" s="90"/>
      <c r="E822" s="82"/>
      <c r="F822" s="82"/>
      <c r="G822" s="82"/>
      <c r="H822" s="82"/>
      <c r="I822" s="82"/>
      <c r="J822" s="82"/>
      <c r="K822" s="82"/>
      <c r="L822" s="82"/>
      <c r="M822" s="91"/>
      <c r="N822" s="83"/>
      <c r="O822" s="83"/>
      <c r="P822" s="83"/>
      <c r="Q822" s="83"/>
      <c r="R822" s="83"/>
      <c r="S822" s="83"/>
      <c r="T822" s="83"/>
      <c r="U822" s="32"/>
      <c r="V822" s="32"/>
      <c r="W822" s="32"/>
      <c r="X822" s="32"/>
      <c r="Y822" s="32"/>
      <c r="Z822" s="18"/>
      <c r="AA822" s="18"/>
      <c r="AZ822" s="92"/>
      <c r="BA822" s="21"/>
      <c r="BB822" s="93"/>
      <c r="BC822" s="93"/>
    </row>
    <row r="823">
      <c r="A823" s="89"/>
      <c r="B823" s="89"/>
      <c r="C823" s="89"/>
      <c r="D823" s="90"/>
      <c r="E823" s="82"/>
      <c r="F823" s="82"/>
      <c r="G823" s="82"/>
      <c r="H823" s="82"/>
      <c r="I823" s="82"/>
      <c r="J823" s="82"/>
      <c r="K823" s="82"/>
      <c r="L823" s="82"/>
      <c r="M823" s="91"/>
      <c r="N823" s="83"/>
      <c r="O823" s="83"/>
      <c r="P823" s="83"/>
      <c r="Q823" s="83"/>
      <c r="R823" s="83"/>
      <c r="S823" s="83"/>
      <c r="T823" s="83"/>
      <c r="U823" s="32"/>
      <c r="V823" s="32"/>
      <c r="W823" s="32"/>
      <c r="X823" s="32"/>
      <c r="Y823" s="32"/>
      <c r="Z823" s="18"/>
      <c r="AA823" s="18"/>
      <c r="AZ823" s="92"/>
      <c r="BA823" s="21"/>
      <c r="BB823" s="93"/>
      <c r="BC823" s="93"/>
    </row>
    <row r="824">
      <c r="A824" s="89"/>
      <c r="B824" s="89"/>
      <c r="C824" s="89"/>
      <c r="D824" s="90"/>
      <c r="E824" s="82"/>
      <c r="F824" s="82"/>
      <c r="G824" s="82"/>
      <c r="H824" s="82"/>
      <c r="I824" s="82"/>
      <c r="J824" s="82"/>
      <c r="K824" s="82"/>
      <c r="L824" s="82"/>
      <c r="M824" s="91"/>
      <c r="N824" s="83"/>
      <c r="O824" s="83"/>
      <c r="P824" s="83"/>
      <c r="Q824" s="83"/>
      <c r="R824" s="83"/>
      <c r="S824" s="83"/>
      <c r="T824" s="83"/>
      <c r="U824" s="32"/>
      <c r="V824" s="32"/>
      <c r="W824" s="32"/>
      <c r="X824" s="32"/>
      <c r="Y824" s="32"/>
      <c r="Z824" s="18"/>
      <c r="AA824" s="18"/>
      <c r="AZ824" s="92"/>
      <c r="BA824" s="21"/>
      <c r="BB824" s="93"/>
      <c r="BC824" s="93"/>
    </row>
    <row r="825">
      <c r="A825" s="89"/>
      <c r="B825" s="89"/>
      <c r="C825" s="89"/>
      <c r="D825" s="90"/>
      <c r="E825" s="82"/>
      <c r="F825" s="82"/>
      <c r="G825" s="82"/>
      <c r="H825" s="82"/>
      <c r="I825" s="82"/>
      <c r="J825" s="82"/>
      <c r="K825" s="82"/>
      <c r="L825" s="82"/>
      <c r="M825" s="91"/>
      <c r="N825" s="83"/>
      <c r="O825" s="83"/>
      <c r="P825" s="83"/>
      <c r="Q825" s="83"/>
      <c r="R825" s="83"/>
      <c r="S825" s="83"/>
      <c r="T825" s="83"/>
      <c r="U825" s="32"/>
      <c r="V825" s="32"/>
      <c r="W825" s="32"/>
      <c r="X825" s="32"/>
      <c r="Y825" s="32"/>
      <c r="Z825" s="18"/>
      <c r="AA825" s="18"/>
      <c r="AZ825" s="92"/>
      <c r="BA825" s="21"/>
      <c r="BB825" s="93"/>
      <c r="BC825" s="93"/>
    </row>
    <row r="826">
      <c r="A826" s="89"/>
      <c r="B826" s="89"/>
      <c r="C826" s="89"/>
      <c r="D826" s="90"/>
      <c r="E826" s="82"/>
      <c r="F826" s="82"/>
      <c r="G826" s="82"/>
      <c r="H826" s="82"/>
      <c r="I826" s="82"/>
      <c r="J826" s="82"/>
      <c r="K826" s="82"/>
      <c r="L826" s="82"/>
      <c r="M826" s="91"/>
      <c r="N826" s="83"/>
      <c r="O826" s="83"/>
      <c r="P826" s="83"/>
      <c r="Q826" s="83"/>
      <c r="R826" s="83"/>
      <c r="S826" s="83"/>
      <c r="T826" s="83"/>
      <c r="U826" s="32"/>
      <c r="V826" s="32"/>
      <c r="W826" s="32"/>
      <c r="X826" s="32"/>
      <c r="Y826" s="32"/>
      <c r="Z826" s="18"/>
      <c r="AA826" s="18"/>
      <c r="AZ826" s="92"/>
      <c r="BA826" s="21"/>
      <c r="BB826" s="93"/>
      <c r="BC826" s="93"/>
    </row>
    <row r="827">
      <c r="A827" s="89"/>
      <c r="B827" s="89"/>
      <c r="C827" s="89"/>
      <c r="D827" s="90"/>
      <c r="E827" s="82"/>
      <c r="F827" s="82"/>
      <c r="G827" s="82"/>
      <c r="H827" s="82"/>
      <c r="I827" s="82"/>
      <c r="J827" s="82"/>
      <c r="K827" s="82"/>
      <c r="L827" s="82"/>
      <c r="M827" s="91"/>
      <c r="N827" s="83"/>
      <c r="O827" s="83"/>
      <c r="P827" s="83"/>
      <c r="Q827" s="83"/>
      <c r="R827" s="83"/>
      <c r="S827" s="83"/>
      <c r="T827" s="83"/>
      <c r="U827" s="32"/>
      <c r="V827" s="32"/>
      <c r="W827" s="32"/>
      <c r="X827" s="32"/>
      <c r="Y827" s="32"/>
      <c r="Z827" s="18"/>
      <c r="AA827" s="18"/>
      <c r="AZ827" s="92"/>
      <c r="BA827" s="21"/>
      <c r="BB827" s="93"/>
      <c r="BC827" s="93"/>
    </row>
    <row r="828">
      <c r="A828" s="89"/>
      <c r="B828" s="89"/>
      <c r="C828" s="89"/>
      <c r="D828" s="90"/>
      <c r="E828" s="82"/>
      <c r="F828" s="82"/>
      <c r="G828" s="82"/>
      <c r="H828" s="82"/>
      <c r="I828" s="82"/>
      <c r="J828" s="82"/>
      <c r="K828" s="82"/>
      <c r="L828" s="82"/>
      <c r="M828" s="91"/>
      <c r="N828" s="83"/>
      <c r="O828" s="83"/>
      <c r="P828" s="83"/>
      <c r="Q828" s="83"/>
      <c r="R828" s="83"/>
      <c r="S828" s="83"/>
      <c r="T828" s="83"/>
      <c r="U828" s="32"/>
      <c r="V828" s="32"/>
      <c r="W828" s="32"/>
      <c r="X828" s="32"/>
      <c r="Y828" s="32"/>
      <c r="Z828" s="18"/>
      <c r="AA828" s="18"/>
      <c r="AZ828" s="92"/>
      <c r="BA828" s="21"/>
      <c r="BB828" s="93"/>
      <c r="BC828" s="93"/>
    </row>
    <row r="829">
      <c r="A829" s="89"/>
      <c r="B829" s="89"/>
      <c r="C829" s="89"/>
      <c r="D829" s="90"/>
      <c r="E829" s="82"/>
      <c r="F829" s="82"/>
      <c r="G829" s="82"/>
      <c r="H829" s="82"/>
      <c r="I829" s="82"/>
      <c r="J829" s="82"/>
      <c r="K829" s="82"/>
      <c r="L829" s="82"/>
      <c r="M829" s="91"/>
      <c r="N829" s="83"/>
      <c r="O829" s="83"/>
      <c r="P829" s="83"/>
      <c r="Q829" s="83"/>
      <c r="R829" s="83"/>
      <c r="S829" s="83"/>
      <c r="T829" s="83"/>
      <c r="U829" s="32"/>
      <c r="V829" s="32"/>
      <c r="W829" s="32"/>
      <c r="X829" s="32"/>
      <c r="Y829" s="32"/>
      <c r="Z829" s="18"/>
      <c r="AA829" s="18"/>
      <c r="AZ829" s="92"/>
      <c r="BA829" s="21"/>
      <c r="BB829" s="93"/>
      <c r="BC829" s="93"/>
    </row>
    <row r="830">
      <c r="A830" s="89"/>
      <c r="B830" s="89"/>
      <c r="C830" s="89"/>
      <c r="D830" s="90"/>
      <c r="E830" s="82"/>
      <c r="F830" s="82"/>
      <c r="G830" s="82"/>
      <c r="H830" s="82"/>
      <c r="I830" s="82"/>
      <c r="J830" s="82"/>
      <c r="K830" s="82"/>
      <c r="L830" s="82"/>
      <c r="M830" s="91"/>
      <c r="N830" s="83"/>
      <c r="O830" s="83"/>
      <c r="P830" s="83"/>
      <c r="Q830" s="83"/>
      <c r="R830" s="83"/>
      <c r="S830" s="83"/>
      <c r="T830" s="83"/>
      <c r="U830" s="32"/>
      <c r="V830" s="32"/>
      <c r="W830" s="32"/>
      <c r="X830" s="32"/>
      <c r="Y830" s="32"/>
      <c r="Z830" s="18"/>
      <c r="AA830" s="18"/>
      <c r="AZ830" s="92"/>
      <c r="BA830" s="21"/>
      <c r="BB830" s="93"/>
      <c r="BC830" s="93"/>
    </row>
    <row r="831">
      <c r="A831" s="89"/>
      <c r="B831" s="89"/>
      <c r="C831" s="89"/>
      <c r="D831" s="90"/>
      <c r="E831" s="82"/>
      <c r="F831" s="82"/>
      <c r="G831" s="82"/>
      <c r="H831" s="82"/>
      <c r="I831" s="82"/>
      <c r="J831" s="82"/>
      <c r="K831" s="82"/>
      <c r="L831" s="82"/>
      <c r="M831" s="91"/>
      <c r="N831" s="83"/>
      <c r="O831" s="83"/>
      <c r="P831" s="83"/>
      <c r="Q831" s="83"/>
      <c r="R831" s="83"/>
      <c r="S831" s="83"/>
      <c r="T831" s="83"/>
      <c r="U831" s="32"/>
      <c r="V831" s="32"/>
      <c r="W831" s="32"/>
      <c r="X831" s="32"/>
      <c r="Y831" s="32"/>
      <c r="Z831" s="18"/>
      <c r="AA831" s="18"/>
      <c r="AZ831" s="92"/>
      <c r="BA831" s="21"/>
      <c r="BB831" s="93"/>
      <c r="BC831" s="93"/>
    </row>
    <row r="832">
      <c r="A832" s="89"/>
      <c r="B832" s="89"/>
      <c r="C832" s="89"/>
      <c r="D832" s="90"/>
      <c r="E832" s="82"/>
      <c r="F832" s="82"/>
      <c r="G832" s="82"/>
      <c r="H832" s="82"/>
      <c r="I832" s="82"/>
      <c r="J832" s="82"/>
      <c r="K832" s="82"/>
      <c r="L832" s="82"/>
      <c r="M832" s="91"/>
      <c r="N832" s="83"/>
      <c r="O832" s="83"/>
      <c r="P832" s="83"/>
      <c r="Q832" s="83"/>
      <c r="R832" s="83"/>
      <c r="S832" s="83"/>
      <c r="T832" s="83"/>
      <c r="U832" s="32"/>
      <c r="V832" s="32"/>
      <c r="W832" s="32"/>
      <c r="X832" s="32"/>
      <c r="Y832" s="32"/>
      <c r="Z832" s="18"/>
      <c r="AA832" s="18"/>
      <c r="AZ832" s="92"/>
      <c r="BA832" s="21"/>
      <c r="BB832" s="93"/>
      <c r="BC832" s="93"/>
    </row>
    <row r="833">
      <c r="A833" s="89"/>
      <c r="B833" s="89"/>
      <c r="C833" s="89"/>
      <c r="D833" s="90"/>
      <c r="E833" s="82"/>
      <c r="F833" s="82"/>
      <c r="G833" s="82"/>
      <c r="H833" s="82"/>
      <c r="I833" s="82"/>
      <c r="J833" s="82"/>
      <c r="K833" s="82"/>
      <c r="L833" s="82"/>
      <c r="M833" s="91"/>
      <c r="N833" s="83"/>
      <c r="O833" s="83"/>
      <c r="P833" s="83"/>
      <c r="Q833" s="83"/>
      <c r="R833" s="83"/>
      <c r="S833" s="83"/>
      <c r="T833" s="83"/>
      <c r="U833" s="32"/>
      <c r="V833" s="32"/>
      <c r="W833" s="32"/>
      <c r="X833" s="32"/>
      <c r="Y833" s="32"/>
      <c r="Z833" s="18"/>
      <c r="AA833" s="18"/>
      <c r="AZ833" s="92"/>
      <c r="BA833" s="21"/>
      <c r="BB833" s="93"/>
      <c r="BC833" s="93"/>
    </row>
    <row r="834">
      <c r="A834" s="89"/>
      <c r="B834" s="89"/>
      <c r="C834" s="89"/>
      <c r="D834" s="90"/>
      <c r="E834" s="82"/>
      <c r="F834" s="82"/>
      <c r="G834" s="82"/>
      <c r="H834" s="82"/>
      <c r="I834" s="82"/>
      <c r="J834" s="82"/>
      <c r="K834" s="82"/>
      <c r="L834" s="82"/>
      <c r="M834" s="91"/>
      <c r="N834" s="83"/>
      <c r="O834" s="83"/>
      <c r="P834" s="83"/>
      <c r="Q834" s="83"/>
      <c r="R834" s="83"/>
      <c r="S834" s="83"/>
      <c r="T834" s="83"/>
      <c r="U834" s="32"/>
      <c r="V834" s="32"/>
      <c r="W834" s="32"/>
      <c r="X834" s="32"/>
      <c r="Y834" s="32"/>
      <c r="Z834" s="18"/>
      <c r="AA834" s="18"/>
      <c r="AZ834" s="92"/>
      <c r="BA834" s="21"/>
      <c r="BB834" s="93"/>
      <c r="BC834" s="93"/>
    </row>
    <row r="835">
      <c r="A835" s="89"/>
      <c r="B835" s="89"/>
      <c r="C835" s="89"/>
      <c r="D835" s="90"/>
      <c r="E835" s="82"/>
      <c r="F835" s="82"/>
      <c r="G835" s="82"/>
      <c r="H835" s="82"/>
      <c r="I835" s="82"/>
      <c r="J835" s="82"/>
      <c r="K835" s="82"/>
      <c r="L835" s="82"/>
      <c r="M835" s="91"/>
      <c r="N835" s="83"/>
      <c r="O835" s="83"/>
      <c r="P835" s="83"/>
      <c r="Q835" s="83"/>
      <c r="R835" s="83"/>
      <c r="S835" s="83"/>
      <c r="T835" s="83"/>
      <c r="U835" s="32"/>
      <c r="V835" s="32"/>
      <c r="W835" s="32"/>
      <c r="X835" s="32"/>
      <c r="Y835" s="32"/>
      <c r="Z835" s="18"/>
      <c r="AA835" s="18"/>
      <c r="AZ835" s="92"/>
      <c r="BA835" s="21"/>
      <c r="BB835" s="93"/>
      <c r="BC835" s="93"/>
    </row>
    <row r="836">
      <c r="A836" s="89"/>
      <c r="B836" s="89"/>
      <c r="C836" s="89"/>
      <c r="D836" s="90"/>
      <c r="E836" s="82"/>
      <c r="F836" s="82"/>
      <c r="G836" s="82"/>
      <c r="H836" s="82"/>
      <c r="I836" s="82"/>
      <c r="J836" s="82"/>
      <c r="K836" s="82"/>
      <c r="L836" s="82"/>
      <c r="M836" s="91"/>
      <c r="N836" s="83"/>
      <c r="O836" s="83"/>
      <c r="P836" s="83"/>
      <c r="Q836" s="83"/>
      <c r="R836" s="83"/>
      <c r="S836" s="83"/>
      <c r="T836" s="83"/>
      <c r="U836" s="32"/>
      <c r="V836" s="32"/>
      <c r="W836" s="32"/>
      <c r="X836" s="32"/>
      <c r="Y836" s="32"/>
      <c r="Z836" s="18"/>
      <c r="AA836" s="18"/>
      <c r="AZ836" s="92"/>
      <c r="BA836" s="21"/>
      <c r="BB836" s="93"/>
      <c r="BC836" s="93"/>
    </row>
    <row r="837">
      <c r="A837" s="89"/>
      <c r="B837" s="89"/>
      <c r="C837" s="89"/>
      <c r="D837" s="90"/>
      <c r="E837" s="82"/>
      <c r="F837" s="82"/>
      <c r="G837" s="82"/>
      <c r="H837" s="82"/>
      <c r="I837" s="82"/>
      <c r="J837" s="82"/>
      <c r="K837" s="82"/>
      <c r="L837" s="82"/>
      <c r="M837" s="91"/>
      <c r="N837" s="83"/>
      <c r="O837" s="83"/>
      <c r="P837" s="83"/>
      <c r="Q837" s="83"/>
      <c r="R837" s="83"/>
      <c r="S837" s="83"/>
      <c r="T837" s="83"/>
      <c r="U837" s="32"/>
      <c r="V837" s="32"/>
      <c r="W837" s="32"/>
      <c r="X837" s="32"/>
      <c r="Y837" s="32"/>
      <c r="Z837" s="18"/>
      <c r="AA837" s="18"/>
      <c r="AZ837" s="92"/>
      <c r="BA837" s="21"/>
      <c r="BB837" s="93"/>
      <c r="BC837" s="93"/>
    </row>
    <row r="838">
      <c r="A838" s="89"/>
      <c r="B838" s="89"/>
      <c r="C838" s="89"/>
      <c r="D838" s="90"/>
      <c r="E838" s="82"/>
      <c r="F838" s="82"/>
      <c r="G838" s="82"/>
      <c r="H838" s="82"/>
      <c r="I838" s="82"/>
      <c r="J838" s="82"/>
      <c r="K838" s="82"/>
      <c r="L838" s="82"/>
      <c r="M838" s="91"/>
      <c r="N838" s="83"/>
      <c r="O838" s="83"/>
      <c r="P838" s="83"/>
      <c r="Q838" s="83"/>
      <c r="R838" s="83"/>
      <c r="S838" s="83"/>
      <c r="T838" s="83"/>
      <c r="U838" s="32"/>
      <c r="V838" s="32"/>
      <c r="W838" s="32"/>
      <c r="X838" s="32"/>
      <c r="Y838" s="32"/>
      <c r="Z838" s="18"/>
      <c r="AA838" s="18"/>
      <c r="AZ838" s="92"/>
      <c r="BA838" s="21"/>
      <c r="BB838" s="93"/>
      <c r="BC838" s="93"/>
    </row>
    <row r="839">
      <c r="A839" s="89"/>
      <c r="B839" s="89"/>
      <c r="C839" s="89"/>
      <c r="D839" s="90"/>
      <c r="E839" s="82"/>
      <c r="F839" s="82"/>
      <c r="G839" s="82"/>
      <c r="H839" s="82"/>
      <c r="I839" s="82"/>
      <c r="J839" s="82"/>
      <c r="K839" s="82"/>
      <c r="L839" s="82"/>
      <c r="M839" s="91"/>
      <c r="N839" s="83"/>
      <c r="O839" s="83"/>
      <c r="P839" s="83"/>
      <c r="Q839" s="83"/>
      <c r="R839" s="83"/>
      <c r="S839" s="83"/>
      <c r="T839" s="83"/>
      <c r="U839" s="32"/>
      <c r="V839" s="32"/>
      <c r="W839" s="32"/>
      <c r="X839" s="32"/>
      <c r="Y839" s="32"/>
      <c r="Z839" s="18"/>
      <c r="AA839" s="18"/>
      <c r="AZ839" s="92"/>
      <c r="BA839" s="21"/>
      <c r="BB839" s="93"/>
      <c r="BC839" s="93"/>
    </row>
    <row r="840">
      <c r="A840" s="89"/>
      <c r="B840" s="89"/>
      <c r="C840" s="89"/>
      <c r="D840" s="90"/>
      <c r="E840" s="82"/>
      <c r="F840" s="82"/>
      <c r="G840" s="82"/>
      <c r="H840" s="82"/>
      <c r="I840" s="82"/>
      <c r="J840" s="82"/>
      <c r="K840" s="82"/>
      <c r="L840" s="82"/>
      <c r="M840" s="91"/>
      <c r="N840" s="83"/>
      <c r="O840" s="83"/>
      <c r="P840" s="83"/>
      <c r="Q840" s="83"/>
      <c r="R840" s="83"/>
      <c r="S840" s="83"/>
      <c r="T840" s="83"/>
      <c r="U840" s="32"/>
      <c r="V840" s="32"/>
      <c r="W840" s="32"/>
      <c r="X840" s="32"/>
      <c r="Y840" s="32"/>
      <c r="Z840" s="18"/>
      <c r="AA840" s="18"/>
      <c r="AZ840" s="92"/>
      <c r="BA840" s="21"/>
      <c r="BB840" s="93"/>
      <c r="BC840" s="93"/>
    </row>
    <row r="841">
      <c r="A841" s="89"/>
      <c r="B841" s="89"/>
      <c r="C841" s="89"/>
      <c r="D841" s="90"/>
      <c r="E841" s="82"/>
      <c r="F841" s="82"/>
      <c r="G841" s="82"/>
      <c r="H841" s="82"/>
      <c r="I841" s="82"/>
      <c r="J841" s="82"/>
      <c r="K841" s="82"/>
      <c r="L841" s="82"/>
      <c r="M841" s="91"/>
      <c r="N841" s="83"/>
      <c r="O841" s="83"/>
      <c r="P841" s="83"/>
      <c r="Q841" s="83"/>
      <c r="R841" s="83"/>
      <c r="S841" s="83"/>
      <c r="T841" s="83"/>
      <c r="U841" s="32"/>
      <c r="V841" s="32"/>
      <c r="W841" s="32"/>
      <c r="X841" s="32"/>
      <c r="Y841" s="32"/>
      <c r="Z841" s="18"/>
      <c r="AA841" s="18"/>
      <c r="AZ841" s="92"/>
      <c r="BA841" s="21"/>
      <c r="BB841" s="93"/>
      <c r="BC841" s="93"/>
    </row>
    <row r="842">
      <c r="A842" s="89"/>
      <c r="B842" s="89"/>
      <c r="C842" s="89"/>
      <c r="D842" s="90"/>
      <c r="E842" s="82"/>
      <c r="F842" s="82"/>
      <c r="G842" s="82"/>
      <c r="H842" s="82"/>
      <c r="I842" s="82"/>
      <c r="J842" s="82"/>
      <c r="K842" s="82"/>
      <c r="L842" s="82"/>
      <c r="M842" s="91"/>
      <c r="N842" s="83"/>
      <c r="O842" s="83"/>
      <c r="P842" s="83"/>
      <c r="Q842" s="83"/>
      <c r="R842" s="83"/>
      <c r="S842" s="83"/>
      <c r="T842" s="83"/>
      <c r="U842" s="32"/>
      <c r="V842" s="32"/>
      <c r="W842" s="32"/>
      <c r="X842" s="32"/>
      <c r="Y842" s="32"/>
      <c r="Z842" s="18"/>
      <c r="AA842" s="18"/>
      <c r="AZ842" s="92"/>
      <c r="BA842" s="21"/>
      <c r="BB842" s="93"/>
      <c r="BC842" s="93"/>
    </row>
    <row r="843">
      <c r="A843" s="89"/>
      <c r="B843" s="89"/>
      <c r="C843" s="89"/>
      <c r="D843" s="90"/>
      <c r="E843" s="82"/>
      <c r="F843" s="82"/>
      <c r="G843" s="82"/>
      <c r="H843" s="82"/>
      <c r="I843" s="82"/>
      <c r="J843" s="82"/>
      <c r="K843" s="82"/>
      <c r="L843" s="82"/>
      <c r="M843" s="91"/>
      <c r="N843" s="83"/>
      <c r="O843" s="83"/>
      <c r="P843" s="83"/>
      <c r="Q843" s="83"/>
      <c r="R843" s="83"/>
      <c r="S843" s="83"/>
      <c r="T843" s="83"/>
      <c r="U843" s="32"/>
      <c r="V843" s="32"/>
      <c r="W843" s="32"/>
      <c r="X843" s="32"/>
      <c r="Y843" s="32"/>
      <c r="Z843" s="18"/>
      <c r="AA843" s="18"/>
      <c r="AZ843" s="92"/>
      <c r="BA843" s="21"/>
      <c r="BB843" s="93"/>
      <c r="BC843" s="93"/>
    </row>
    <row r="844">
      <c r="A844" s="89"/>
      <c r="B844" s="89"/>
      <c r="C844" s="89"/>
      <c r="D844" s="90"/>
      <c r="E844" s="82"/>
      <c r="F844" s="82"/>
      <c r="G844" s="82"/>
      <c r="H844" s="82"/>
      <c r="I844" s="82"/>
      <c r="J844" s="82"/>
      <c r="K844" s="82"/>
      <c r="L844" s="82"/>
      <c r="M844" s="91"/>
      <c r="N844" s="83"/>
      <c r="O844" s="83"/>
      <c r="P844" s="83"/>
      <c r="Q844" s="83"/>
      <c r="R844" s="83"/>
      <c r="S844" s="83"/>
      <c r="T844" s="83"/>
      <c r="U844" s="32"/>
      <c r="V844" s="32"/>
      <c r="W844" s="32"/>
      <c r="X844" s="32"/>
      <c r="Y844" s="32"/>
      <c r="Z844" s="18"/>
      <c r="AA844" s="18"/>
      <c r="AZ844" s="92"/>
      <c r="BA844" s="21"/>
      <c r="BB844" s="93"/>
      <c r="BC844" s="93"/>
    </row>
    <row r="845">
      <c r="A845" s="89"/>
      <c r="B845" s="89"/>
      <c r="C845" s="89"/>
      <c r="D845" s="90"/>
      <c r="E845" s="82"/>
      <c r="F845" s="82"/>
      <c r="G845" s="82"/>
      <c r="H845" s="82"/>
      <c r="I845" s="82"/>
      <c r="J845" s="82"/>
      <c r="K845" s="82"/>
      <c r="L845" s="82"/>
      <c r="M845" s="91"/>
      <c r="N845" s="83"/>
      <c r="O845" s="83"/>
      <c r="P845" s="83"/>
      <c r="Q845" s="83"/>
      <c r="R845" s="83"/>
      <c r="S845" s="83"/>
      <c r="T845" s="83"/>
      <c r="U845" s="32"/>
      <c r="V845" s="32"/>
      <c r="W845" s="32"/>
      <c r="X845" s="32"/>
      <c r="Y845" s="32"/>
      <c r="Z845" s="18"/>
      <c r="AA845" s="18"/>
      <c r="AZ845" s="92"/>
      <c r="BA845" s="21"/>
      <c r="BB845" s="93"/>
      <c r="BC845" s="93"/>
    </row>
    <row r="846">
      <c r="A846" s="89"/>
      <c r="B846" s="89"/>
      <c r="C846" s="89"/>
      <c r="D846" s="90"/>
      <c r="E846" s="82"/>
      <c r="F846" s="82"/>
      <c r="G846" s="82"/>
      <c r="H846" s="82"/>
      <c r="I846" s="82"/>
      <c r="J846" s="82"/>
      <c r="K846" s="82"/>
      <c r="L846" s="82"/>
      <c r="M846" s="91"/>
      <c r="N846" s="83"/>
      <c r="O846" s="83"/>
      <c r="P846" s="83"/>
      <c r="Q846" s="83"/>
      <c r="R846" s="83"/>
      <c r="S846" s="83"/>
      <c r="T846" s="83"/>
      <c r="U846" s="32"/>
      <c r="V846" s="32"/>
      <c r="W846" s="32"/>
      <c r="X846" s="32"/>
      <c r="Y846" s="32"/>
      <c r="Z846" s="18"/>
      <c r="AA846" s="18"/>
      <c r="AZ846" s="92"/>
      <c r="BA846" s="21"/>
      <c r="BB846" s="93"/>
      <c r="BC846" s="93"/>
    </row>
    <row r="847">
      <c r="A847" s="89"/>
      <c r="B847" s="89"/>
      <c r="C847" s="89"/>
      <c r="D847" s="90"/>
      <c r="E847" s="82"/>
      <c r="F847" s="82"/>
      <c r="G847" s="82"/>
      <c r="H847" s="82"/>
      <c r="I847" s="82"/>
      <c r="J847" s="82"/>
      <c r="K847" s="82"/>
      <c r="L847" s="82"/>
      <c r="M847" s="91"/>
      <c r="N847" s="83"/>
      <c r="O847" s="83"/>
      <c r="P847" s="83"/>
      <c r="Q847" s="83"/>
      <c r="R847" s="83"/>
      <c r="S847" s="83"/>
      <c r="T847" s="83"/>
      <c r="U847" s="32"/>
      <c r="V847" s="32"/>
      <c r="W847" s="32"/>
      <c r="X847" s="32"/>
      <c r="Y847" s="32"/>
      <c r="Z847" s="18"/>
      <c r="AA847" s="18"/>
      <c r="AZ847" s="92"/>
      <c r="BA847" s="21"/>
      <c r="BB847" s="93"/>
      <c r="BC847" s="93"/>
    </row>
    <row r="848">
      <c r="A848" s="89"/>
      <c r="B848" s="89"/>
      <c r="C848" s="89"/>
      <c r="D848" s="90"/>
      <c r="E848" s="82"/>
      <c r="F848" s="82"/>
      <c r="G848" s="82"/>
      <c r="H848" s="82"/>
      <c r="I848" s="82"/>
      <c r="J848" s="82"/>
      <c r="K848" s="82"/>
      <c r="L848" s="82"/>
      <c r="M848" s="91"/>
      <c r="N848" s="83"/>
      <c r="O848" s="83"/>
      <c r="P848" s="83"/>
      <c r="Q848" s="83"/>
      <c r="R848" s="83"/>
      <c r="S848" s="83"/>
      <c r="T848" s="83"/>
      <c r="U848" s="32"/>
      <c r="V848" s="32"/>
      <c r="W848" s="32"/>
      <c r="X848" s="32"/>
      <c r="Y848" s="32"/>
      <c r="Z848" s="18"/>
      <c r="AA848" s="18"/>
      <c r="AZ848" s="92"/>
      <c r="BA848" s="21"/>
      <c r="BB848" s="93"/>
      <c r="BC848" s="93"/>
    </row>
    <row r="849">
      <c r="A849" s="89"/>
      <c r="B849" s="89"/>
      <c r="C849" s="89"/>
      <c r="D849" s="90"/>
      <c r="E849" s="82"/>
      <c r="F849" s="82"/>
      <c r="G849" s="82"/>
      <c r="H849" s="82"/>
      <c r="I849" s="82"/>
      <c r="J849" s="82"/>
      <c r="K849" s="82"/>
      <c r="L849" s="82"/>
      <c r="M849" s="91"/>
      <c r="N849" s="83"/>
      <c r="O849" s="83"/>
      <c r="P849" s="83"/>
      <c r="Q849" s="83"/>
      <c r="R849" s="83"/>
      <c r="S849" s="83"/>
      <c r="T849" s="83"/>
      <c r="U849" s="32"/>
      <c r="V849" s="32"/>
      <c r="W849" s="32"/>
      <c r="X849" s="32"/>
      <c r="Y849" s="32"/>
      <c r="Z849" s="18"/>
      <c r="AA849" s="18"/>
      <c r="AZ849" s="92"/>
      <c r="BA849" s="21"/>
      <c r="BB849" s="93"/>
      <c r="BC849" s="93"/>
    </row>
    <row r="850">
      <c r="A850" s="89"/>
      <c r="B850" s="89"/>
      <c r="C850" s="89"/>
      <c r="D850" s="90"/>
      <c r="E850" s="82"/>
      <c r="F850" s="82"/>
      <c r="G850" s="82"/>
      <c r="H850" s="82"/>
      <c r="I850" s="82"/>
      <c r="J850" s="82"/>
      <c r="K850" s="82"/>
      <c r="L850" s="82"/>
      <c r="M850" s="91"/>
      <c r="N850" s="83"/>
      <c r="O850" s="83"/>
      <c r="P850" s="83"/>
      <c r="Q850" s="83"/>
      <c r="R850" s="83"/>
      <c r="S850" s="83"/>
      <c r="T850" s="83"/>
      <c r="U850" s="32"/>
      <c r="V850" s="32"/>
      <c r="W850" s="32"/>
      <c r="X850" s="32"/>
      <c r="Y850" s="32"/>
      <c r="Z850" s="18"/>
      <c r="AA850" s="18"/>
      <c r="AZ850" s="92"/>
      <c r="BA850" s="21"/>
      <c r="BB850" s="93"/>
      <c r="BC850" s="93"/>
    </row>
    <row r="851">
      <c r="A851" s="89"/>
      <c r="B851" s="89"/>
      <c r="C851" s="89"/>
      <c r="D851" s="90"/>
      <c r="E851" s="82"/>
      <c r="F851" s="82"/>
      <c r="G851" s="82"/>
      <c r="H851" s="82"/>
      <c r="I851" s="82"/>
      <c r="J851" s="82"/>
      <c r="K851" s="82"/>
      <c r="L851" s="82"/>
      <c r="M851" s="91"/>
      <c r="N851" s="83"/>
      <c r="O851" s="83"/>
      <c r="P851" s="83"/>
      <c r="Q851" s="83"/>
      <c r="R851" s="83"/>
      <c r="S851" s="83"/>
      <c r="T851" s="83"/>
      <c r="U851" s="32"/>
      <c r="V851" s="32"/>
      <c r="W851" s="32"/>
      <c r="X851" s="32"/>
      <c r="Y851" s="32"/>
      <c r="Z851" s="18"/>
      <c r="AA851" s="18"/>
      <c r="AZ851" s="92"/>
      <c r="BA851" s="21"/>
      <c r="BB851" s="93"/>
      <c r="BC851" s="93"/>
    </row>
    <row r="852">
      <c r="A852" s="89"/>
      <c r="B852" s="89"/>
      <c r="C852" s="89"/>
      <c r="D852" s="90"/>
      <c r="E852" s="82"/>
      <c r="F852" s="82"/>
      <c r="G852" s="82"/>
      <c r="H852" s="82"/>
      <c r="I852" s="82"/>
      <c r="J852" s="82"/>
      <c r="K852" s="82"/>
      <c r="L852" s="82"/>
      <c r="M852" s="91"/>
      <c r="N852" s="83"/>
      <c r="O852" s="83"/>
      <c r="P852" s="83"/>
      <c r="Q852" s="83"/>
      <c r="R852" s="83"/>
      <c r="S852" s="83"/>
      <c r="T852" s="83"/>
      <c r="U852" s="32"/>
      <c r="V852" s="32"/>
      <c r="W852" s="32"/>
      <c r="X852" s="32"/>
      <c r="Y852" s="32"/>
      <c r="Z852" s="18"/>
      <c r="AA852" s="18"/>
      <c r="AZ852" s="92"/>
      <c r="BA852" s="21"/>
      <c r="BB852" s="93"/>
      <c r="BC852" s="93"/>
    </row>
    <row r="853">
      <c r="A853" s="89"/>
      <c r="B853" s="89"/>
      <c r="C853" s="89"/>
      <c r="D853" s="90"/>
      <c r="E853" s="82"/>
      <c r="F853" s="82"/>
      <c r="G853" s="82"/>
      <c r="H853" s="82"/>
      <c r="I853" s="82"/>
      <c r="J853" s="82"/>
      <c r="K853" s="82"/>
      <c r="L853" s="82"/>
      <c r="M853" s="91"/>
      <c r="N853" s="83"/>
      <c r="O853" s="83"/>
      <c r="P853" s="83"/>
      <c r="Q853" s="83"/>
      <c r="R853" s="83"/>
      <c r="S853" s="83"/>
      <c r="T853" s="83"/>
      <c r="U853" s="32"/>
      <c r="V853" s="32"/>
      <c r="W853" s="32"/>
      <c r="X853" s="32"/>
      <c r="Y853" s="32"/>
      <c r="Z853" s="18"/>
      <c r="AA853" s="18"/>
      <c r="AZ853" s="92"/>
      <c r="BA853" s="21"/>
      <c r="BB853" s="93"/>
      <c r="BC853" s="93"/>
    </row>
    <row r="854">
      <c r="A854" s="89"/>
      <c r="B854" s="89"/>
      <c r="C854" s="89"/>
      <c r="D854" s="90"/>
      <c r="E854" s="82"/>
      <c r="F854" s="82"/>
      <c r="G854" s="82"/>
      <c r="H854" s="82"/>
      <c r="I854" s="82"/>
      <c r="J854" s="82"/>
      <c r="K854" s="82"/>
      <c r="L854" s="82"/>
      <c r="M854" s="91"/>
      <c r="N854" s="83"/>
      <c r="O854" s="83"/>
      <c r="P854" s="83"/>
      <c r="Q854" s="83"/>
      <c r="R854" s="83"/>
      <c r="S854" s="83"/>
      <c r="T854" s="83"/>
      <c r="U854" s="32"/>
      <c r="V854" s="32"/>
      <c r="W854" s="32"/>
      <c r="X854" s="32"/>
      <c r="Y854" s="32"/>
      <c r="Z854" s="18"/>
      <c r="AA854" s="18"/>
      <c r="AZ854" s="92"/>
      <c r="BA854" s="21"/>
      <c r="BB854" s="93"/>
      <c r="BC854" s="93"/>
    </row>
    <row r="855">
      <c r="A855" s="89"/>
      <c r="B855" s="89"/>
      <c r="C855" s="89"/>
      <c r="D855" s="90"/>
      <c r="E855" s="82"/>
      <c r="F855" s="82"/>
      <c r="G855" s="82"/>
      <c r="H855" s="82"/>
      <c r="I855" s="82"/>
      <c r="J855" s="82"/>
      <c r="K855" s="82"/>
      <c r="L855" s="82"/>
      <c r="M855" s="91"/>
      <c r="N855" s="83"/>
      <c r="O855" s="83"/>
      <c r="P855" s="83"/>
      <c r="Q855" s="83"/>
      <c r="R855" s="83"/>
      <c r="S855" s="83"/>
      <c r="T855" s="83"/>
      <c r="U855" s="32"/>
      <c r="V855" s="32"/>
      <c r="W855" s="32"/>
      <c r="X855" s="32"/>
      <c r="Y855" s="32"/>
      <c r="Z855" s="18"/>
      <c r="AA855" s="18"/>
      <c r="AZ855" s="92"/>
      <c r="BA855" s="21"/>
      <c r="BB855" s="93"/>
      <c r="BC855" s="93"/>
    </row>
    <row r="856">
      <c r="A856" s="89"/>
      <c r="B856" s="89"/>
      <c r="C856" s="89"/>
      <c r="D856" s="90"/>
      <c r="E856" s="82"/>
      <c r="F856" s="82"/>
      <c r="G856" s="82"/>
      <c r="H856" s="82"/>
      <c r="I856" s="82"/>
      <c r="J856" s="82"/>
      <c r="K856" s="82"/>
      <c r="L856" s="82"/>
      <c r="M856" s="91"/>
      <c r="N856" s="83"/>
      <c r="O856" s="83"/>
      <c r="P856" s="83"/>
      <c r="Q856" s="83"/>
      <c r="R856" s="83"/>
      <c r="S856" s="83"/>
      <c r="T856" s="83"/>
      <c r="U856" s="32"/>
      <c r="V856" s="32"/>
      <c r="W856" s="32"/>
      <c r="X856" s="32"/>
      <c r="Y856" s="32"/>
      <c r="Z856" s="18"/>
      <c r="AA856" s="18"/>
      <c r="AZ856" s="92"/>
      <c r="BA856" s="21"/>
      <c r="BB856" s="93"/>
      <c r="BC856" s="93"/>
    </row>
    <row r="857">
      <c r="A857" s="89"/>
      <c r="B857" s="89"/>
      <c r="C857" s="89"/>
      <c r="D857" s="90"/>
      <c r="E857" s="82"/>
      <c r="F857" s="82"/>
      <c r="G857" s="82"/>
      <c r="H857" s="82"/>
      <c r="I857" s="82"/>
      <c r="J857" s="82"/>
      <c r="K857" s="82"/>
      <c r="L857" s="82"/>
      <c r="M857" s="91"/>
      <c r="N857" s="83"/>
      <c r="O857" s="83"/>
      <c r="P857" s="83"/>
      <c r="Q857" s="83"/>
      <c r="R857" s="83"/>
      <c r="S857" s="83"/>
      <c r="T857" s="83"/>
      <c r="U857" s="32"/>
      <c r="V857" s="32"/>
      <c r="W857" s="32"/>
      <c r="X857" s="32"/>
      <c r="Y857" s="32"/>
      <c r="Z857" s="18"/>
      <c r="AA857" s="18"/>
      <c r="AZ857" s="92"/>
      <c r="BA857" s="21"/>
      <c r="BB857" s="93"/>
      <c r="BC857" s="93"/>
    </row>
    <row r="858">
      <c r="A858" s="89"/>
      <c r="B858" s="89"/>
      <c r="C858" s="89"/>
      <c r="D858" s="90"/>
      <c r="E858" s="82"/>
      <c r="F858" s="82"/>
      <c r="G858" s="82"/>
      <c r="H858" s="82"/>
      <c r="I858" s="82"/>
      <c r="J858" s="82"/>
      <c r="K858" s="82"/>
      <c r="L858" s="82"/>
      <c r="M858" s="91"/>
      <c r="N858" s="83"/>
      <c r="O858" s="83"/>
      <c r="P858" s="83"/>
      <c r="Q858" s="83"/>
      <c r="R858" s="83"/>
      <c r="S858" s="83"/>
      <c r="T858" s="83"/>
      <c r="U858" s="32"/>
      <c r="V858" s="32"/>
      <c r="W858" s="32"/>
      <c r="X858" s="32"/>
      <c r="Y858" s="32"/>
      <c r="Z858" s="18"/>
      <c r="AA858" s="18"/>
      <c r="AZ858" s="92"/>
      <c r="BA858" s="21"/>
      <c r="BB858" s="93"/>
      <c r="BC858" s="93"/>
    </row>
    <row r="859">
      <c r="A859" s="89"/>
      <c r="B859" s="89"/>
      <c r="C859" s="89"/>
      <c r="D859" s="90"/>
      <c r="E859" s="82"/>
      <c r="F859" s="82"/>
      <c r="G859" s="82"/>
      <c r="H859" s="82"/>
      <c r="I859" s="82"/>
      <c r="J859" s="82"/>
      <c r="K859" s="82"/>
      <c r="L859" s="82"/>
      <c r="M859" s="91"/>
      <c r="N859" s="83"/>
      <c r="O859" s="83"/>
      <c r="P859" s="83"/>
      <c r="Q859" s="83"/>
      <c r="R859" s="83"/>
      <c r="S859" s="83"/>
      <c r="T859" s="83"/>
      <c r="U859" s="32"/>
      <c r="V859" s="32"/>
      <c r="W859" s="32"/>
      <c r="X859" s="32"/>
      <c r="Y859" s="32"/>
      <c r="Z859" s="18"/>
      <c r="AA859" s="18"/>
      <c r="AZ859" s="92"/>
      <c r="BA859" s="21"/>
      <c r="BB859" s="93"/>
      <c r="BC859" s="93"/>
    </row>
    <row r="860">
      <c r="A860" s="89"/>
      <c r="B860" s="89"/>
      <c r="C860" s="89"/>
      <c r="D860" s="90"/>
      <c r="E860" s="82"/>
      <c r="F860" s="82"/>
      <c r="G860" s="82"/>
      <c r="H860" s="82"/>
      <c r="I860" s="82"/>
      <c r="J860" s="82"/>
      <c r="K860" s="82"/>
      <c r="L860" s="82"/>
      <c r="M860" s="91"/>
      <c r="N860" s="83"/>
      <c r="O860" s="83"/>
      <c r="P860" s="83"/>
      <c r="Q860" s="83"/>
      <c r="R860" s="83"/>
      <c r="S860" s="83"/>
      <c r="T860" s="83"/>
      <c r="U860" s="32"/>
      <c r="V860" s="32"/>
      <c r="W860" s="32"/>
      <c r="X860" s="32"/>
      <c r="Y860" s="32"/>
      <c r="Z860" s="18"/>
      <c r="AA860" s="18"/>
      <c r="AZ860" s="92"/>
      <c r="BA860" s="21"/>
      <c r="BB860" s="93"/>
      <c r="BC860" s="93"/>
    </row>
    <row r="861">
      <c r="A861" s="89"/>
      <c r="B861" s="89"/>
      <c r="C861" s="89"/>
      <c r="D861" s="90"/>
      <c r="E861" s="82"/>
      <c r="F861" s="82"/>
      <c r="G861" s="82"/>
      <c r="H861" s="82"/>
      <c r="I861" s="82"/>
      <c r="J861" s="82"/>
      <c r="K861" s="82"/>
      <c r="L861" s="82"/>
      <c r="M861" s="91"/>
      <c r="N861" s="83"/>
      <c r="O861" s="83"/>
      <c r="P861" s="83"/>
      <c r="Q861" s="83"/>
      <c r="R861" s="83"/>
      <c r="S861" s="83"/>
      <c r="T861" s="83"/>
      <c r="U861" s="32"/>
      <c r="V861" s="32"/>
      <c r="W861" s="32"/>
      <c r="X861" s="32"/>
      <c r="Y861" s="32"/>
      <c r="Z861" s="18"/>
      <c r="AA861" s="18"/>
      <c r="AZ861" s="92"/>
      <c r="BA861" s="21"/>
      <c r="BB861" s="93"/>
      <c r="BC861" s="93"/>
    </row>
    <row r="862">
      <c r="A862" s="89"/>
      <c r="B862" s="89"/>
      <c r="C862" s="89"/>
      <c r="D862" s="90"/>
      <c r="E862" s="82"/>
      <c r="F862" s="82"/>
      <c r="G862" s="82"/>
      <c r="H862" s="82"/>
      <c r="I862" s="82"/>
      <c r="J862" s="82"/>
      <c r="K862" s="82"/>
      <c r="L862" s="82"/>
      <c r="M862" s="91"/>
      <c r="N862" s="83"/>
      <c r="O862" s="83"/>
      <c r="P862" s="83"/>
      <c r="Q862" s="83"/>
      <c r="R862" s="83"/>
      <c r="S862" s="83"/>
      <c r="T862" s="83"/>
      <c r="U862" s="32"/>
      <c r="V862" s="32"/>
      <c r="W862" s="32"/>
      <c r="X862" s="32"/>
      <c r="Y862" s="32"/>
      <c r="Z862" s="18"/>
      <c r="AA862" s="18"/>
      <c r="AZ862" s="92"/>
      <c r="BA862" s="21"/>
      <c r="BB862" s="93"/>
      <c r="BC862" s="93"/>
    </row>
    <row r="863">
      <c r="A863" s="89"/>
      <c r="B863" s="89"/>
      <c r="C863" s="89"/>
      <c r="D863" s="90"/>
      <c r="E863" s="82"/>
      <c r="F863" s="82"/>
      <c r="G863" s="82"/>
      <c r="H863" s="82"/>
      <c r="I863" s="82"/>
      <c r="J863" s="82"/>
      <c r="K863" s="82"/>
      <c r="L863" s="82"/>
      <c r="M863" s="91"/>
      <c r="N863" s="83"/>
      <c r="O863" s="83"/>
      <c r="P863" s="83"/>
      <c r="Q863" s="83"/>
      <c r="R863" s="83"/>
      <c r="S863" s="83"/>
      <c r="T863" s="83"/>
      <c r="U863" s="32"/>
      <c r="V863" s="32"/>
      <c r="W863" s="32"/>
      <c r="X863" s="32"/>
      <c r="Y863" s="32"/>
      <c r="Z863" s="18"/>
      <c r="AA863" s="18"/>
      <c r="AZ863" s="92"/>
      <c r="BA863" s="21"/>
      <c r="BB863" s="93"/>
      <c r="BC863" s="93"/>
    </row>
    <row r="864">
      <c r="A864" s="89"/>
      <c r="B864" s="89"/>
      <c r="C864" s="89"/>
      <c r="D864" s="90"/>
      <c r="E864" s="82"/>
      <c r="F864" s="82"/>
      <c r="G864" s="82"/>
      <c r="H864" s="82"/>
      <c r="I864" s="82"/>
      <c r="J864" s="82"/>
      <c r="K864" s="82"/>
      <c r="L864" s="82"/>
      <c r="M864" s="91"/>
      <c r="N864" s="83"/>
      <c r="O864" s="83"/>
      <c r="P864" s="83"/>
      <c r="Q864" s="83"/>
      <c r="R864" s="83"/>
      <c r="S864" s="83"/>
      <c r="T864" s="83"/>
      <c r="U864" s="32"/>
      <c r="V864" s="32"/>
      <c r="W864" s="32"/>
      <c r="X864" s="32"/>
      <c r="Y864" s="32"/>
      <c r="Z864" s="18"/>
      <c r="AA864" s="18"/>
      <c r="AZ864" s="92"/>
      <c r="BA864" s="21"/>
      <c r="BB864" s="93"/>
      <c r="BC864" s="93"/>
    </row>
    <row r="865">
      <c r="A865" s="89"/>
      <c r="B865" s="89"/>
      <c r="C865" s="89"/>
      <c r="D865" s="90"/>
      <c r="E865" s="82"/>
      <c r="F865" s="82"/>
      <c r="G865" s="82"/>
      <c r="H865" s="82"/>
      <c r="I865" s="82"/>
      <c r="J865" s="82"/>
      <c r="K865" s="82"/>
      <c r="L865" s="82"/>
      <c r="M865" s="91"/>
      <c r="N865" s="83"/>
      <c r="O865" s="83"/>
      <c r="P865" s="83"/>
      <c r="Q865" s="83"/>
      <c r="R865" s="83"/>
      <c r="S865" s="83"/>
      <c r="T865" s="83"/>
      <c r="U865" s="32"/>
      <c r="V865" s="32"/>
      <c r="W865" s="32"/>
      <c r="X865" s="32"/>
      <c r="Y865" s="32"/>
      <c r="Z865" s="18"/>
      <c r="AA865" s="18"/>
      <c r="AZ865" s="92"/>
      <c r="BA865" s="21"/>
      <c r="BB865" s="93"/>
      <c r="BC865" s="93"/>
    </row>
    <row r="866">
      <c r="A866" s="89"/>
      <c r="B866" s="89"/>
      <c r="C866" s="89"/>
      <c r="D866" s="90"/>
      <c r="E866" s="82"/>
      <c r="F866" s="82"/>
      <c r="G866" s="82"/>
      <c r="H866" s="82"/>
      <c r="I866" s="82"/>
      <c r="J866" s="82"/>
      <c r="K866" s="82"/>
      <c r="L866" s="82"/>
      <c r="M866" s="91"/>
      <c r="N866" s="83"/>
      <c r="O866" s="83"/>
      <c r="P866" s="83"/>
      <c r="Q866" s="83"/>
      <c r="R866" s="83"/>
      <c r="S866" s="83"/>
      <c r="T866" s="83"/>
      <c r="U866" s="32"/>
      <c r="V866" s="32"/>
      <c r="W866" s="32"/>
      <c r="X866" s="32"/>
      <c r="Y866" s="32"/>
      <c r="Z866" s="18"/>
      <c r="AA866" s="18"/>
      <c r="AZ866" s="92"/>
      <c r="BA866" s="21"/>
      <c r="BB866" s="93"/>
      <c r="BC866" s="93"/>
    </row>
    <row r="867">
      <c r="A867" s="89"/>
      <c r="B867" s="89"/>
      <c r="C867" s="89"/>
      <c r="D867" s="90"/>
      <c r="E867" s="82"/>
      <c r="F867" s="82"/>
      <c r="G867" s="82"/>
      <c r="H867" s="82"/>
      <c r="I867" s="82"/>
      <c r="J867" s="82"/>
      <c r="K867" s="82"/>
      <c r="L867" s="82"/>
      <c r="M867" s="91"/>
      <c r="N867" s="83"/>
      <c r="O867" s="83"/>
      <c r="P867" s="83"/>
      <c r="Q867" s="83"/>
      <c r="R867" s="83"/>
      <c r="S867" s="83"/>
      <c r="T867" s="83"/>
      <c r="U867" s="32"/>
      <c r="V867" s="32"/>
      <c r="W867" s="32"/>
      <c r="X867" s="32"/>
      <c r="Y867" s="32"/>
      <c r="Z867" s="18"/>
      <c r="AA867" s="18"/>
      <c r="AZ867" s="92"/>
      <c r="BA867" s="21"/>
      <c r="BB867" s="93"/>
      <c r="BC867" s="93"/>
    </row>
    <row r="868">
      <c r="A868" s="89"/>
      <c r="B868" s="89"/>
      <c r="C868" s="89"/>
      <c r="D868" s="90"/>
      <c r="E868" s="82"/>
      <c r="F868" s="82"/>
      <c r="G868" s="82"/>
      <c r="H868" s="82"/>
      <c r="I868" s="82"/>
      <c r="J868" s="82"/>
      <c r="K868" s="82"/>
      <c r="L868" s="82"/>
      <c r="M868" s="91"/>
      <c r="N868" s="83"/>
      <c r="O868" s="83"/>
      <c r="P868" s="83"/>
      <c r="Q868" s="83"/>
      <c r="R868" s="83"/>
      <c r="S868" s="83"/>
      <c r="T868" s="83"/>
      <c r="U868" s="32"/>
      <c r="V868" s="32"/>
      <c r="W868" s="32"/>
      <c r="X868" s="32"/>
      <c r="Y868" s="32"/>
      <c r="Z868" s="18"/>
      <c r="AA868" s="18"/>
      <c r="AZ868" s="92"/>
      <c r="BA868" s="21"/>
      <c r="BB868" s="93"/>
      <c r="BC868" s="93"/>
    </row>
    <row r="869">
      <c r="A869" s="89"/>
      <c r="B869" s="89"/>
      <c r="C869" s="89"/>
      <c r="D869" s="90"/>
      <c r="E869" s="82"/>
      <c r="F869" s="82"/>
      <c r="G869" s="82"/>
      <c r="H869" s="82"/>
      <c r="I869" s="82"/>
      <c r="J869" s="82"/>
      <c r="K869" s="82"/>
      <c r="L869" s="82"/>
      <c r="M869" s="91"/>
      <c r="N869" s="83"/>
      <c r="O869" s="83"/>
      <c r="P869" s="83"/>
      <c r="Q869" s="83"/>
      <c r="R869" s="83"/>
      <c r="S869" s="83"/>
      <c r="T869" s="83"/>
      <c r="U869" s="32"/>
      <c r="V869" s="32"/>
      <c r="W869" s="32"/>
      <c r="X869" s="32"/>
      <c r="Y869" s="32"/>
      <c r="Z869" s="18"/>
      <c r="AA869" s="18"/>
      <c r="AZ869" s="92"/>
      <c r="BA869" s="21"/>
      <c r="BB869" s="93"/>
      <c r="BC869" s="93"/>
    </row>
    <row r="870">
      <c r="A870" s="89"/>
      <c r="B870" s="89"/>
      <c r="C870" s="89"/>
      <c r="D870" s="90"/>
      <c r="E870" s="82"/>
      <c r="F870" s="82"/>
      <c r="G870" s="82"/>
      <c r="H870" s="82"/>
      <c r="I870" s="82"/>
      <c r="J870" s="82"/>
      <c r="K870" s="82"/>
      <c r="L870" s="82"/>
      <c r="M870" s="91"/>
      <c r="N870" s="83"/>
      <c r="O870" s="83"/>
      <c r="P870" s="83"/>
      <c r="Q870" s="83"/>
      <c r="R870" s="83"/>
      <c r="S870" s="83"/>
      <c r="T870" s="83"/>
      <c r="U870" s="32"/>
      <c r="V870" s="32"/>
      <c r="W870" s="32"/>
      <c r="X870" s="32"/>
      <c r="Y870" s="32"/>
      <c r="Z870" s="18"/>
      <c r="AA870" s="18"/>
      <c r="AZ870" s="92"/>
      <c r="BA870" s="21"/>
      <c r="BB870" s="93"/>
      <c r="BC870" s="93"/>
    </row>
    <row r="871">
      <c r="A871" s="89"/>
      <c r="B871" s="89"/>
      <c r="C871" s="89"/>
      <c r="D871" s="90"/>
      <c r="E871" s="82"/>
      <c r="F871" s="82"/>
      <c r="G871" s="82"/>
      <c r="H871" s="82"/>
      <c r="I871" s="82"/>
      <c r="J871" s="82"/>
      <c r="K871" s="82"/>
      <c r="L871" s="82"/>
      <c r="M871" s="91"/>
      <c r="N871" s="83"/>
      <c r="O871" s="83"/>
      <c r="P871" s="83"/>
      <c r="Q871" s="83"/>
      <c r="R871" s="83"/>
      <c r="S871" s="83"/>
      <c r="T871" s="83"/>
      <c r="U871" s="32"/>
      <c r="V871" s="32"/>
      <c r="W871" s="32"/>
      <c r="X871" s="32"/>
      <c r="Y871" s="32"/>
      <c r="Z871" s="18"/>
      <c r="AA871" s="18"/>
      <c r="AZ871" s="92"/>
      <c r="BA871" s="21"/>
      <c r="BB871" s="93"/>
      <c r="BC871" s="93"/>
    </row>
    <row r="872">
      <c r="A872" s="89"/>
      <c r="B872" s="89"/>
      <c r="C872" s="89"/>
      <c r="D872" s="90"/>
      <c r="E872" s="82"/>
      <c r="F872" s="82"/>
      <c r="G872" s="82"/>
      <c r="H872" s="82"/>
      <c r="I872" s="82"/>
      <c r="J872" s="82"/>
      <c r="K872" s="82"/>
      <c r="L872" s="82"/>
      <c r="M872" s="91"/>
      <c r="N872" s="83"/>
      <c r="O872" s="83"/>
      <c r="P872" s="83"/>
      <c r="Q872" s="83"/>
      <c r="R872" s="83"/>
      <c r="S872" s="83"/>
      <c r="T872" s="83"/>
      <c r="U872" s="32"/>
      <c r="V872" s="32"/>
      <c r="W872" s="32"/>
      <c r="X872" s="32"/>
      <c r="Y872" s="32"/>
      <c r="Z872" s="18"/>
      <c r="AA872" s="18"/>
      <c r="AZ872" s="92"/>
      <c r="BA872" s="21"/>
      <c r="BB872" s="93"/>
      <c r="BC872" s="93"/>
    </row>
    <row r="873">
      <c r="A873" s="89"/>
      <c r="B873" s="89"/>
      <c r="C873" s="89"/>
      <c r="D873" s="90"/>
      <c r="E873" s="82"/>
      <c r="F873" s="82"/>
      <c r="G873" s="82"/>
      <c r="H873" s="82"/>
      <c r="I873" s="82"/>
      <c r="J873" s="82"/>
      <c r="K873" s="82"/>
      <c r="L873" s="82"/>
      <c r="M873" s="91"/>
      <c r="N873" s="83"/>
      <c r="O873" s="83"/>
      <c r="P873" s="83"/>
      <c r="Q873" s="83"/>
      <c r="R873" s="83"/>
      <c r="S873" s="83"/>
      <c r="T873" s="83"/>
      <c r="U873" s="32"/>
      <c r="V873" s="32"/>
      <c r="W873" s="32"/>
      <c r="X873" s="32"/>
      <c r="Y873" s="32"/>
      <c r="Z873" s="18"/>
      <c r="AA873" s="18"/>
      <c r="AZ873" s="92"/>
      <c r="BA873" s="21"/>
      <c r="BB873" s="93"/>
      <c r="BC873" s="93"/>
    </row>
    <row r="874">
      <c r="A874" s="89"/>
      <c r="B874" s="89"/>
      <c r="C874" s="89"/>
      <c r="D874" s="90"/>
      <c r="E874" s="82"/>
      <c r="F874" s="82"/>
      <c r="G874" s="82"/>
      <c r="H874" s="82"/>
      <c r="I874" s="82"/>
      <c r="J874" s="82"/>
      <c r="K874" s="82"/>
      <c r="L874" s="82"/>
      <c r="M874" s="91"/>
      <c r="N874" s="83"/>
      <c r="O874" s="83"/>
      <c r="P874" s="83"/>
      <c r="Q874" s="83"/>
      <c r="R874" s="83"/>
      <c r="S874" s="83"/>
      <c r="T874" s="83"/>
      <c r="U874" s="32"/>
      <c r="V874" s="32"/>
      <c r="W874" s="32"/>
      <c r="X874" s="32"/>
      <c r="Y874" s="32"/>
      <c r="Z874" s="18"/>
      <c r="AA874" s="18"/>
      <c r="AZ874" s="92"/>
      <c r="BA874" s="21"/>
      <c r="BB874" s="93"/>
      <c r="BC874" s="93"/>
    </row>
    <row r="875">
      <c r="A875" s="89"/>
      <c r="B875" s="89"/>
      <c r="C875" s="89"/>
      <c r="D875" s="90"/>
      <c r="E875" s="82"/>
      <c r="F875" s="82"/>
      <c r="G875" s="82"/>
      <c r="H875" s="82"/>
      <c r="I875" s="82"/>
      <c r="J875" s="82"/>
      <c r="K875" s="82"/>
      <c r="L875" s="82"/>
      <c r="M875" s="91"/>
      <c r="N875" s="83"/>
      <c r="O875" s="83"/>
      <c r="P875" s="83"/>
      <c r="Q875" s="83"/>
      <c r="R875" s="83"/>
      <c r="S875" s="83"/>
      <c r="T875" s="83"/>
      <c r="U875" s="32"/>
      <c r="V875" s="32"/>
      <c r="W875" s="32"/>
      <c r="X875" s="32"/>
      <c r="Y875" s="32"/>
      <c r="Z875" s="18"/>
      <c r="AA875" s="18"/>
      <c r="AZ875" s="92"/>
      <c r="BA875" s="21"/>
      <c r="BB875" s="93"/>
      <c r="BC875" s="93"/>
    </row>
    <row r="876">
      <c r="A876" s="89"/>
      <c r="B876" s="89"/>
      <c r="C876" s="89"/>
      <c r="D876" s="90"/>
      <c r="E876" s="82"/>
      <c r="F876" s="82"/>
      <c r="G876" s="82"/>
      <c r="H876" s="82"/>
      <c r="I876" s="82"/>
      <c r="J876" s="82"/>
      <c r="K876" s="82"/>
      <c r="L876" s="82"/>
      <c r="M876" s="91"/>
      <c r="N876" s="83"/>
      <c r="O876" s="83"/>
      <c r="P876" s="83"/>
      <c r="Q876" s="83"/>
      <c r="R876" s="83"/>
      <c r="S876" s="83"/>
      <c r="T876" s="83"/>
      <c r="U876" s="32"/>
      <c r="V876" s="32"/>
      <c r="W876" s="32"/>
      <c r="X876" s="32"/>
      <c r="Y876" s="32"/>
      <c r="Z876" s="18"/>
      <c r="AA876" s="18"/>
      <c r="AZ876" s="92"/>
      <c r="BA876" s="21"/>
      <c r="BB876" s="93"/>
      <c r="BC876" s="93"/>
    </row>
    <row r="877">
      <c r="A877" s="89"/>
      <c r="B877" s="89"/>
      <c r="C877" s="89"/>
      <c r="D877" s="90"/>
      <c r="E877" s="82"/>
      <c r="F877" s="82"/>
      <c r="G877" s="82"/>
      <c r="H877" s="82"/>
      <c r="I877" s="82"/>
      <c r="J877" s="82"/>
      <c r="K877" s="82"/>
      <c r="L877" s="82"/>
      <c r="M877" s="91"/>
      <c r="N877" s="83"/>
      <c r="O877" s="83"/>
      <c r="P877" s="83"/>
      <c r="Q877" s="83"/>
      <c r="R877" s="83"/>
      <c r="S877" s="83"/>
      <c r="T877" s="83"/>
      <c r="U877" s="32"/>
      <c r="V877" s="32"/>
      <c r="W877" s="32"/>
      <c r="X877" s="32"/>
      <c r="Y877" s="32"/>
      <c r="Z877" s="18"/>
      <c r="AA877" s="18"/>
      <c r="AZ877" s="92"/>
      <c r="BA877" s="21"/>
      <c r="BB877" s="93"/>
      <c r="BC877" s="93"/>
    </row>
    <row r="878">
      <c r="A878" s="89"/>
      <c r="B878" s="89"/>
      <c r="C878" s="89"/>
      <c r="D878" s="90"/>
      <c r="E878" s="82"/>
      <c r="F878" s="82"/>
      <c r="G878" s="82"/>
      <c r="H878" s="82"/>
      <c r="I878" s="82"/>
      <c r="J878" s="82"/>
      <c r="K878" s="82"/>
      <c r="L878" s="82"/>
      <c r="M878" s="91"/>
      <c r="N878" s="83"/>
      <c r="O878" s="83"/>
      <c r="P878" s="83"/>
      <c r="Q878" s="83"/>
      <c r="R878" s="83"/>
      <c r="S878" s="83"/>
      <c r="T878" s="83"/>
      <c r="U878" s="32"/>
      <c r="V878" s="32"/>
      <c r="W878" s="32"/>
      <c r="X878" s="32"/>
      <c r="Y878" s="32"/>
      <c r="Z878" s="18"/>
      <c r="AA878" s="18"/>
      <c r="AZ878" s="92"/>
      <c r="BA878" s="21"/>
      <c r="BB878" s="93"/>
      <c r="BC878" s="93"/>
    </row>
    <row r="879">
      <c r="A879" s="89"/>
      <c r="B879" s="89"/>
      <c r="C879" s="89"/>
      <c r="D879" s="90"/>
      <c r="E879" s="82"/>
      <c r="F879" s="82"/>
      <c r="G879" s="82"/>
      <c r="H879" s="82"/>
      <c r="I879" s="82"/>
      <c r="J879" s="82"/>
      <c r="K879" s="82"/>
      <c r="L879" s="82"/>
      <c r="M879" s="91"/>
      <c r="N879" s="83"/>
      <c r="O879" s="83"/>
      <c r="P879" s="83"/>
      <c r="Q879" s="83"/>
      <c r="R879" s="83"/>
      <c r="S879" s="83"/>
      <c r="T879" s="83"/>
      <c r="U879" s="32"/>
      <c r="V879" s="32"/>
      <c r="W879" s="32"/>
      <c r="X879" s="32"/>
      <c r="Y879" s="32"/>
      <c r="Z879" s="18"/>
      <c r="AA879" s="18"/>
      <c r="AZ879" s="92"/>
      <c r="BA879" s="21"/>
      <c r="BB879" s="93"/>
      <c r="BC879" s="93"/>
    </row>
    <row r="880">
      <c r="A880" s="89"/>
      <c r="B880" s="89"/>
      <c r="C880" s="89"/>
      <c r="D880" s="90"/>
      <c r="E880" s="82"/>
      <c r="F880" s="82"/>
      <c r="G880" s="82"/>
      <c r="H880" s="82"/>
      <c r="I880" s="82"/>
      <c r="J880" s="82"/>
      <c r="K880" s="82"/>
      <c r="L880" s="82"/>
      <c r="M880" s="91"/>
      <c r="N880" s="83"/>
      <c r="O880" s="83"/>
      <c r="P880" s="83"/>
      <c r="Q880" s="83"/>
      <c r="R880" s="83"/>
      <c r="S880" s="83"/>
      <c r="T880" s="83"/>
      <c r="U880" s="32"/>
      <c r="V880" s="32"/>
      <c r="W880" s="32"/>
      <c r="X880" s="32"/>
      <c r="Y880" s="32"/>
      <c r="Z880" s="18"/>
      <c r="AA880" s="18"/>
      <c r="AZ880" s="92"/>
      <c r="BA880" s="21"/>
      <c r="BB880" s="93"/>
      <c r="BC880" s="93"/>
    </row>
    <row r="881">
      <c r="A881" s="89"/>
      <c r="B881" s="89"/>
      <c r="C881" s="89"/>
      <c r="D881" s="90"/>
      <c r="E881" s="82"/>
      <c r="F881" s="82"/>
      <c r="G881" s="82"/>
      <c r="H881" s="82"/>
      <c r="I881" s="82"/>
      <c r="J881" s="82"/>
      <c r="K881" s="82"/>
      <c r="L881" s="82"/>
      <c r="M881" s="91"/>
      <c r="N881" s="83"/>
      <c r="O881" s="83"/>
      <c r="P881" s="83"/>
      <c r="Q881" s="83"/>
      <c r="R881" s="83"/>
      <c r="S881" s="83"/>
      <c r="T881" s="83"/>
      <c r="U881" s="32"/>
      <c r="V881" s="32"/>
      <c r="W881" s="32"/>
      <c r="X881" s="32"/>
      <c r="Y881" s="32"/>
      <c r="Z881" s="18"/>
      <c r="AA881" s="18"/>
      <c r="AZ881" s="92"/>
      <c r="BA881" s="21"/>
      <c r="BB881" s="93"/>
      <c r="BC881" s="93"/>
    </row>
    <row r="882">
      <c r="A882" s="89"/>
      <c r="B882" s="89"/>
      <c r="C882" s="89"/>
      <c r="D882" s="90"/>
      <c r="E882" s="82"/>
      <c r="F882" s="82"/>
      <c r="G882" s="82"/>
      <c r="H882" s="82"/>
      <c r="I882" s="82"/>
      <c r="J882" s="82"/>
      <c r="K882" s="82"/>
      <c r="L882" s="82"/>
      <c r="M882" s="91"/>
      <c r="N882" s="83"/>
      <c r="O882" s="83"/>
      <c r="P882" s="83"/>
      <c r="Q882" s="83"/>
      <c r="R882" s="83"/>
      <c r="S882" s="83"/>
      <c r="T882" s="83"/>
      <c r="U882" s="32"/>
      <c r="V882" s="32"/>
      <c r="W882" s="32"/>
      <c r="X882" s="32"/>
      <c r="Y882" s="32"/>
      <c r="Z882" s="18"/>
      <c r="AA882" s="18"/>
      <c r="AZ882" s="92"/>
      <c r="BA882" s="21"/>
      <c r="BB882" s="93"/>
      <c r="BC882" s="93"/>
    </row>
    <row r="883">
      <c r="A883" s="89"/>
      <c r="B883" s="89"/>
      <c r="C883" s="89"/>
      <c r="D883" s="90"/>
      <c r="E883" s="82"/>
      <c r="F883" s="82"/>
      <c r="G883" s="82"/>
      <c r="H883" s="82"/>
      <c r="I883" s="82"/>
      <c r="J883" s="82"/>
      <c r="K883" s="82"/>
      <c r="L883" s="82"/>
      <c r="M883" s="91"/>
      <c r="N883" s="83"/>
      <c r="O883" s="83"/>
      <c r="P883" s="83"/>
      <c r="Q883" s="83"/>
      <c r="R883" s="83"/>
      <c r="S883" s="83"/>
      <c r="T883" s="83"/>
      <c r="U883" s="32"/>
      <c r="V883" s="32"/>
      <c r="W883" s="32"/>
      <c r="X883" s="32"/>
      <c r="Y883" s="32"/>
      <c r="Z883" s="18"/>
      <c r="AA883" s="18"/>
      <c r="AZ883" s="92"/>
      <c r="BA883" s="21"/>
      <c r="BB883" s="93"/>
      <c r="BC883" s="93"/>
    </row>
    <row r="884">
      <c r="A884" s="89"/>
      <c r="B884" s="89"/>
      <c r="C884" s="89"/>
      <c r="D884" s="90"/>
      <c r="E884" s="82"/>
      <c r="F884" s="82"/>
      <c r="G884" s="82"/>
      <c r="H884" s="82"/>
      <c r="I884" s="82"/>
      <c r="J884" s="82"/>
      <c r="K884" s="82"/>
      <c r="L884" s="82"/>
      <c r="M884" s="91"/>
      <c r="N884" s="83"/>
      <c r="O884" s="83"/>
      <c r="P884" s="83"/>
      <c r="Q884" s="83"/>
      <c r="R884" s="83"/>
      <c r="S884" s="83"/>
      <c r="T884" s="83"/>
      <c r="U884" s="32"/>
      <c r="V884" s="32"/>
      <c r="W884" s="32"/>
      <c r="X884" s="32"/>
      <c r="Y884" s="32"/>
      <c r="Z884" s="18"/>
      <c r="AA884" s="18"/>
      <c r="AZ884" s="92"/>
      <c r="BA884" s="21"/>
      <c r="BB884" s="93"/>
      <c r="BC884" s="93"/>
    </row>
    <row r="885">
      <c r="A885" s="89"/>
      <c r="B885" s="89"/>
      <c r="C885" s="89"/>
      <c r="D885" s="90"/>
      <c r="E885" s="82"/>
      <c r="F885" s="82"/>
      <c r="G885" s="82"/>
      <c r="H885" s="82"/>
      <c r="I885" s="82"/>
      <c r="J885" s="82"/>
      <c r="K885" s="82"/>
      <c r="L885" s="82"/>
      <c r="M885" s="91"/>
      <c r="N885" s="83"/>
      <c r="O885" s="83"/>
      <c r="P885" s="83"/>
      <c r="Q885" s="83"/>
      <c r="R885" s="83"/>
      <c r="S885" s="83"/>
      <c r="T885" s="83"/>
      <c r="U885" s="32"/>
      <c r="V885" s="32"/>
      <c r="W885" s="32"/>
      <c r="X885" s="32"/>
      <c r="Y885" s="32"/>
      <c r="Z885" s="18"/>
      <c r="AA885" s="18"/>
      <c r="AZ885" s="92"/>
      <c r="BA885" s="21"/>
      <c r="BB885" s="93"/>
      <c r="BC885" s="93"/>
    </row>
    <row r="886">
      <c r="A886" s="89"/>
      <c r="B886" s="89"/>
      <c r="C886" s="89"/>
      <c r="D886" s="90"/>
      <c r="E886" s="82"/>
      <c r="F886" s="82"/>
      <c r="G886" s="82"/>
      <c r="H886" s="82"/>
      <c r="I886" s="82"/>
      <c r="J886" s="82"/>
      <c r="K886" s="82"/>
      <c r="L886" s="82"/>
      <c r="M886" s="91"/>
      <c r="N886" s="83"/>
      <c r="O886" s="83"/>
      <c r="P886" s="83"/>
      <c r="Q886" s="83"/>
      <c r="R886" s="83"/>
      <c r="S886" s="83"/>
      <c r="T886" s="83"/>
      <c r="U886" s="32"/>
      <c r="V886" s="32"/>
      <c r="W886" s="32"/>
      <c r="X886" s="32"/>
      <c r="Y886" s="32"/>
      <c r="Z886" s="18"/>
      <c r="AA886" s="18"/>
      <c r="AZ886" s="92"/>
      <c r="BA886" s="21"/>
      <c r="BB886" s="93"/>
      <c r="BC886" s="93"/>
    </row>
    <row r="887">
      <c r="A887" s="89"/>
      <c r="B887" s="89"/>
      <c r="C887" s="89"/>
      <c r="D887" s="90"/>
      <c r="E887" s="82"/>
      <c r="F887" s="82"/>
      <c r="G887" s="82"/>
      <c r="H887" s="82"/>
      <c r="I887" s="82"/>
      <c r="J887" s="82"/>
      <c r="K887" s="82"/>
      <c r="L887" s="82"/>
      <c r="M887" s="91"/>
      <c r="N887" s="83"/>
      <c r="O887" s="83"/>
      <c r="P887" s="83"/>
      <c r="Q887" s="83"/>
      <c r="R887" s="83"/>
      <c r="S887" s="83"/>
      <c r="T887" s="83"/>
      <c r="U887" s="32"/>
      <c r="V887" s="32"/>
      <c r="W887" s="32"/>
      <c r="X887" s="32"/>
      <c r="Y887" s="32"/>
      <c r="Z887" s="18"/>
      <c r="AA887" s="18"/>
      <c r="AZ887" s="92"/>
      <c r="BA887" s="21"/>
      <c r="BB887" s="93"/>
      <c r="BC887" s="93"/>
    </row>
    <row r="888">
      <c r="A888" s="89"/>
      <c r="B888" s="89"/>
      <c r="C888" s="89"/>
      <c r="D888" s="90"/>
      <c r="E888" s="82"/>
      <c r="F888" s="82"/>
      <c r="G888" s="82"/>
      <c r="H888" s="82"/>
      <c r="I888" s="82"/>
      <c r="J888" s="82"/>
      <c r="K888" s="82"/>
      <c r="L888" s="82"/>
      <c r="M888" s="91"/>
      <c r="N888" s="83"/>
      <c r="O888" s="83"/>
      <c r="P888" s="83"/>
      <c r="Q888" s="83"/>
      <c r="R888" s="83"/>
      <c r="S888" s="83"/>
      <c r="T888" s="83"/>
      <c r="U888" s="32"/>
      <c r="V888" s="32"/>
      <c r="W888" s="32"/>
      <c r="X888" s="32"/>
      <c r="Y888" s="32"/>
      <c r="Z888" s="18"/>
      <c r="AA888" s="18"/>
      <c r="AZ888" s="92"/>
      <c r="BA888" s="21"/>
      <c r="BB888" s="93"/>
      <c r="BC888" s="93"/>
    </row>
    <row r="889">
      <c r="A889" s="89"/>
      <c r="B889" s="89"/>
      <c r="C889" s="89"/>
      <c r="D889" s="90"/>
      <c r="E889" s="82"/>
      <c r="F889" s="82"/>
      <c r="G889" s="82"/>
      <c r="H889" s="82"/>
      <c r="I889" s="82"/>
      <c r="J889" s="82"/>
      <c r="K889" s="82"/>
      <c r="L889" s="82"/>
      <c r="M889" s="91"/>
      <c r="N889" s="83"/>
      <c r="O889" s="83"/>
      <c r="P889" s="83"/>
      <c r="Q889" s="83"/>
      <c r="R889" s="83"/>
      <c r="S889" s="83"/>
      <c r="T889" s="83"/>
      <c r="U889" s="32"/>
      <c r="V889" s="32"/>
      <c r="W889" s="32"/>
      <c r="X889" s="32"/>
      <c r="Y889" s="32"/>
      <c r="Z889" s="18"/>
      <c r="AA889" s="18"/>
      <c r="AZ889" s="92"/>
      <c r="BA889" s="21"/>
      <c r="BB889" s="93"/>
      <c r="BC889" s="93"/>
    </row>
    <row r="890">
      <c r="A890" s="89"/>
      <c r="B890" s="89"/>
      <c r="C890" s="89"/>
      <c r="D890" s="90"/>
      <c r="E890" s="82"/>
      <c r="F890" s="82"/>
      <c r="G890" s="82"/>
      <c r="H890" s="82"/>
      <c r="I890" s="82"/>
      <c r="J890" s="82"/>
      <c r="K890" s="82"/>
      <c r="L890" s="82"/>
      <c r="M890" s="91"/>
      <c r="N890" s="83"/>
      <c r="O890" s="83"/>
      <c r="P890" s="83"/>
      <c r="Q890" s="83"/>
      <c r="R890" s="83"/>
      <c r="S890" s="83"/>
      <c r="T890" s="83"/>
      <c r="U890" s="32"/>
      <c r="V890" s="32"/>
      <c r="W890" s="32"/>
      <c r="X890" s="32"/>
      <c r="Y890" s="32"/>
      <c r="Z890" s="18"/>
      <c r="AA890" s="18"/>
      <c r="AZ890" s="92"/>
      <c r="BA890" s="21"/>
      <c r="BB890" s="93"/>
      <c r="BC890" s="93"/>
    </row>
    <row r="891">
      <c r="A891" s="89"/>
      <c r="B891" s="89"/>
      <c r="C891" s="89"/>
      <c r="D891" s="90"/>
      <c r="E891" s="82"/>
      <c r="F891" s="82"/>
      <c r="G891" s="82"/>
      <c r="H891" s="82"/>
      <c r="I891" s="82"/>
      <c r="J891" s="82"/>
      <c r="K891" s="82"/>
      <c r="L891" s="82"/>
      <c r="M891" s="91"/>
      <c r="N891" s="83"/>
      <c r="O891" s="83"/>
      <c r="P891" s="83"/>
      <c r="Q891" s="83"/>
      <c r="R891" s="83"/>
      <c r="S891" s="83"/>
      <c r="T891" s="83"/>
      <c r="U891" s="32"/>
      <c r="V891" s="32"/>
      <c r="W891" s="32"/>
      <c r="X891" s="32"/>
      <c r="Y891" s="32"/>
      <c r="Z891" s="18"/>
      <c r="AA891" s="18"/>
      <c r="AZ891" s="92"/>
      <c r="BA891" s="21"/>
      <c r="BB891" s="93"/>
      <c r="BC891" s="93"/>
    </row>
    <row r="892">
      <c r="A892" s="89"/>
      <c r="B892" s="89"/>
      <c r="C892" s="89"/>
      <c r="D892" s="90"/>
      <c r="E892" s="82"/>
      <c r="F892" s="82"/>
      <c r="G892" s="82"/>
      <c r="H892" s="82"/>
      <c r="I892" s="82"/>
      <c r="J892" s="82"/>
      <c r="K892" s="82"/>
      <c r="L892" s="82"/>
      <c r="M892" s="91"/>
      <c r="N892" s="83"/>
      <c r="O892" s="83"/>
      <c r="P892" s="83"/>
      <c r="Q892" s="83"/>
      <c r="R892" s="83"/>
      <c r="S892" s="83"/>
      <c r="T892" s="83"/>
      <c r="U892" s="32"/>
      <c r="V892" s="32"/>
      <c r="W892" s="32"/>
      <c r="X892" s="32"/>
      <c r="Y892" s="32"/>
      <c r="Z892" s="18"/>
      <c r="AA892" s="18"/>
      <c r="AZ892" s="92"/>
      <c r="BA892" s="21"/>
      <c r="BB892" s="93"/>
      <c r="BC892" s="93"/>
    </row>
    <row r="893">
      <c r="A893" s="89"/>
      <c r="B893" s="89"/>
      <c r="C893" s="89"/>
      <c r="D893" s="90"/>
      <c r="E893" s="82"/>
      <c r="F893" s="82"/>
      <c r="G893" s="82"/>
      <c r="H893" s="82"/>
      <c r="I893" s="82"/>
      <c r="J893" s="82"/>
      <c r="K893" s="82"/>
      <c r="L893" s="82"/>
      <c r="M893" s="91"/>
      <c r="N893" s="83"/>
      <c r="O893" s="83"/>
      <c r="P893" s="83"/>
      <c r="Q893" s="83"/>
      <c r="R893" s="83"/>
      <c r="S893" s="83"/>
      <c r="T893" s="83"/>
      <c r="U893" s="32"/>
      <c r="V893" s="32"/>
      <c r="W893" s="32"/>
      <c r="X893" s="32"/>
      <c r="Y893" s="32"/>
      <c r="Z893" s="18"/>
      <c r="AA893" s="18"/>
      <c r="AZ893" s="92"/>
      <c r="BA893" s="21"/>
      <c r="BB893" s="93"/>
      <c r="BC893" s="93"/>
    </row>
    <row r="894">
      <c r="A894" s="89"/>
      <c r="B894" s="89"/>
      <c r="C894" s="89"/>
      <c r="D894" s="90"/>
      <c r="E894" s="82"/>
      <c r="F894" s="82"/>
      <c r="G894" s="82"/>
      <c r="H894" s="82"/>
      <c r="I894" s="82"/>
      <c r="J894" s="82"/>
      <c r="K894" s="82"/>
      <c r="L894" s="82"/>
      <c r="M894" s="91"/>
      <c r="N894" s="83"/>
      <c r="O894" s="83"/>
      <c r="P894" s="83"/>
      <c r="Q894" s="83"/>
      <c r="R894" s="83"/>
      <c r="S894" s="83"/>
      <c r="T894" s="83"/>
      <c r="U894" s="32"/>
      <c r="V894" s="32"/>
      <c r="W894" s="32"/>
      <c r="X894" s="32"/>
      <c r="Y894" s="32"/>
      <c r="Z894" s="18"/>
      <c r="AA894" s="18"/>
      <c r="AZ894" s="92"/>
      <c r="BA894" s="21"/>
      <c r="BB894" s="93"/>
      <c r="BC894" s="93"/>
    </row>
    <row r="895">
      <c r="A895" s="89"/>
      <c r="B895" s="89"/>
      <c r="C895" s="89"/>
      <c r="D895" s="90"/>
      <c r="E895" s="82"/>
      <c r="F895" s="82"/>
      <c r="G895" s="82"/>
      <c r="H895" s="82"/>
      <c r="I895" s="82"/>
      <c r="J895" s="82"/>
      <c r="K895" s="82"/>
      <c r="L895" s="82"/>
      <c r="M895" s="91"/>
      <c r="N895" s="83"/>
      <c r="O895" s="83"/>
      <c r="P895" s="83"/>
      <c r="Q895" s="83"/>
      <c r="R895" s="83"/>
      <c r="S895" s="83"/>
      <c r="T895" s="83"/>
      <c r="U895" s="32"/>
      <c r="V895" s="32"/>
      <c r="W895" s="32"/>
      <c r="X895" s="32"/>
      <c r="Y895" s="32"/>
      <c r="Z895" s="18"/>
      <c r="AA895" s="18"/>
      <c r="AZ895" s="92"/>
      <c r="BA895" s="21"/>
      <c r="BB895" s="93"/>
      <c r="BC895" s="93"/>
    </row>
    <row r="896">
      <c r="A896" s="89"/>
      <c r="B896" s="89"/>
      <c r="C896" s="89"/>
      <c r="D896" s="90"/>
      <c r="E896" s="82"/>
      <c r="F896" s="82"/>
      <c r="G896" s="82"/>
      <c r="H896" s="82"/>
      <c r="I896" s="82"/>
      <c r="J896" s="82"/>
      <c r="K896" s="82"/>
      <c r="L896" s="82"/>
      <c r="M896" s="91"/>
      <c r="N896" s="83"/>
      <c r="O896" s="83"/>
      <c r="P896" s="83"/>
      <c r="Q896" s="83"/>
      <c r="R896" s="83"/>
      <c r="S896" s="83"/>
      <c r="T896" s="83"/>
      <c r="U896" s="32"/>
      <c r="V896" s="32"/>
      <c r="W896" s="32"/>
      <c r="X896" s="32"/>
      <c r="Y896" s="32"/>
      <c r="Z896" s="18"/>
      <c r="AA896" s="18"/>
      <c r="AZ896" s="92"/>
      <c r="BA896" s="21"/>
      <c r="BB896" s="93"/>
      <c r="BC896" s="93"/>
    </row>
    <row r="897">
      <c r="A897" s="89"/>
      <c r="B897" s="89"/>
      <c r="C897" s="89"/>
      <c r="D897" s="90"/>
      <c r="E897" s="82"/>
      <c r="F897" s="82"/>
      <c r="G897" s="82"/>
      <c r="H897" s="82"/>
      <c r="I897" s="82"/>
      <c r="J897" s="82"/>
      <c r="K897" s="82"/>
      <c r="L897" s="82"/>
      <c r="M897" s="91"/>
      <c r="N897" s="83"/>
      <c r="O897" s="83"/>
      <c r="P897" s="83"/>
      <c r="Q897" s="83"/>
      <c r="R897" s="83"/>
      <c r="S897" s="83"/>
      <c r="T897" s="83"/>
      <c r="U897" s="32"/>
      <c r="V897" s="32"/>
      <c r="W897" s="32"/>
      <c r="X897" s="32"/>
      <c r="Y897" s="32"/>
      <c r="Z897" s="18"/>
      <c r="AA897" s="18"/>
      <c r="AZ897" s="92"/>
      <c r="BA897" s="21"/>
      <c r="BB897" s="93"/>
      <c r="BC897" s="93"/>
    </row>
    <row r="898">
      <c r="A898" s="89"/>
      <c r="B898" s="89"/>
      <c r="C898" s="89"/>
      <c r="D898" s="90"/>
      <c r="E898" s="82"/>
      <c r="F898" s="82"/>
      <c r="G898" s="82"/>
      <c r="H898" s="82"/>
      <c r="I898" s="82"/>
      <c r="J898" s="82"/>
      <c r="K898" s="82"/>
      <c r="L898" s="82"/>
      <c r="M898" s="91"/>
      <c r="N898" s="83"/>
      <c r="O898" s="83"/>
      <c r="P898" s="83"/>
      <c r="Q898" s="83"/>
      <c r="R898" s="83"/>
      <c r="S898" s="83"/>
      <c r="T898" s="83"/>
      <c r="U898" s="32"/>
      <c r="V898" s="32"/>
      <c r="W898" s="32"/>
      <c r="X898" s="32"/>
      <c r="Y898" s="32"/>
      <c r="Z898" s="18"/>
      <c r="AA898" s="18"/>
      <c r="AZ898" s="92"/>
      <c r="BA898" s="21"/>
      <c r="BB898" s="93"/>
      <c r="BC898" s="93"/>
    </row>
    <row r="899">
      <c r="A899" s="89"/>
      <c r="B899" s="89"/>
      <c r="C899" s="89"/>
      <c r="D899" s="90"/>
      <c r="E899" s="82"/>
      <c r="F899" s="82"/>
      <c r="G899" s="82"/>
      <c r="H899" s="82"/>
      <c r="I899" s="82"/>
      <c r="J899" s="82"/>
      <c r="K899" s="82"/>
      <c r="L899" s="82"/>
      <c r="M899" s="91"/>
      <c r="N899" s="83"/>
      <c r="O899" s="83"/>
      <c r="P899" s="83"/>
      <c r="Q899" s="83"/>
      <c r="R899" s="83"/>
      <c r="S899" s="83"/>
      <c r="T899" s="83"/>
      <c r="U899" s="32"/>
      <c r="V899" s="32"/>
      <c r="W899" s="32"/>
      <c r="X899" s="32"/>
      <c r="Y899" s="32"/>
      <c r="Z899" s="18"/>
      <c r="AA899" s="18"/>
      <c r="AZ899" s="92"/>
      <c r="BA899" s="21"/>
      <c r="BB899" s="93"/>
      <c r="BC899" s="93"/>
    </row>
    <row r="900">
      <c r="A900" s="89"/>
      <c r="B900" s="89"/>
      <c r="C900" s="89"/>
      <c r="D900" s="90"/>
      <c r="E900" s="82"/>
      <c r="F900" s="82"/>
      <c r="G900" s="82"/>
      <c r="H900" s="82"/>
      <c r="I900" s="82"/>
      <c r="J900" s="82"/>
      <c r="K900" s="82"/>
      <c r="L900" s="82"/>
      <c r="M900" s="91"/>
      <c r="N900" s="83"/>
      <c r="O900" s="83"/>
      <c r="P900" s="83"/>
      <c r="Q900" s="83"/>
      <c r="R900" s="83"/>
      <c r="S900" s="83"/>
      <c r="T900" s="83"/>
      <c r="U900" s="32"/>
      <c r="V900" s="32"/>
      <c r="W900" s="32"/>
      <c r="X900" s="32"/>
      <c r="Y900" s="32"/>
      <c r="Z900" s="18"/>
      <c r="AA900" s="18"/>
      <c r="AZ900" s="92"/>
      <c r="BA900" s="21"/>
      <c r="BB900" s="93"/>
      <c r="BC900" s="93"/>
    </row>
    <row r="901">
      <c r="A901" s="89"/>
      <c r="B901" s="89"/>
      <c r="C901" s="89"/>
      <c r="D901" s="90"/>
      <c r="E901" s="82"/>
      <c r="F901" s="82"/>
      <c r="G901" s="82"/>
      <c r="H901" s="82"/>
      <c r="I901" s="82"/>
      <c r="J901" s="82"/>
      <c r="K901" s="82"/>
      <c r="L901" s="82"/>
      <c r="M901" s="91"/>
      <c r="N901" s="83"/>
      <c r="O901" s="83"/>
      <c r="P901" s="83"/>
      <c r="Q901" s="83"/>
      <c r="R901" s="83"/>
      <c r="S901" s="83"/>
      <c r="T901" s="83"/>
      <c r="U901" s="32"/>
      <c r="V901" s="32"/>
      <c r="W901" s="32"/>
      <c r="X901" s="32"/>
      <c r="Y901" s="32"/>
      <c r="Z901" s="18"/>
      <c r="AA901" s="18"/>
      <c r="AZ901" s="92"/>
      <c r="BA901" s="21"/>
      <c r="BB901" s="93"/>
      <c r="BC901" s="93"/>
    </row>
    <row r="902">
      <c r="A902" s="89"/>
      <c r="B902" s="89"/>
      <c r="C902" s="89"/>
      <c r="D902" s="90"/>
      <c r="E902" s="82"/>
      <c r="F902" s="82"/>
      <c r="G902" s="82"/>
      <c r="H902" s="82"/>
      <c r="I902" s="82"/>
      <c r="J902" s="82"/>
      <c r="K902" s="82"/>
      <c r="L902" s="82"/>
      <c r="M902" s="91"/>
      <c r="N902" s="83"/>
      <c r="O902" s="83"/>
      <c r="P902" s="83"/>
      <c r="Q902" s="83"/>
      <c r="R902" s="83"/>
      <c r="S902" s="83"/>
      <c r="T902" s="83"/>
      <c r="U902" s="32"/>
      <c r="V902" s="32"/>
      <c r="W902" s="32"/>
      <c r="X902" s="32"/>
      <c r="Y902" s="32"/>
      <c r="Z902" s="18"/>
      <c r="AA902" s="18"/>
      <c r="AZ902" s="92"/>
      <c r="BA902" s="21"/>
      <c r="BB902" s="93"/>
      <c r="BC902" s="93"/>
    </row>
    <row r="903">
      <c r="A903" s="89"/>
      <c r="B903" s="89"/>
      <c r="C903" s="89"/>
      <c r="D903" s="90"/>
      <c r="E903" s="82"/>
      <c r="F903" s="82"/>
      <c r="G903" s="82"/>
      <c r="H903" s="82"/>
      <c r="I903" s="82"/>
      <c r="J903" s="82"/>
      <c r="K903" s="82"/>
      <c r="L903" s="82"/>
      <c r="M903" s="91"/>
      <c r="N903" s="83"/>
      <c r="O903" s="83"/>
      <c r="P903" s="83"/>
      <c r="Q903" s="83"/>
      <c r="R903" s="83"/>
      <c r="S903" s="83"/>
      <c r="T903" s="83"/>
      <c r="U903" s="32"/>
      <c r="V903" s="32"/>
      <c r="W903" s="32"/>
      <c r="X903" s="32"/>
      <c r="Y903" s="32"/>
      <c r="Z903" s="18"/>
      <c r="AA903" s="18"/>
      <c r="AZ903" s="92"/>
      <c r="BA903" s="21"/>
      <c r="BB903" s="93"/>
      <c r="BC903" s="93"/>
    </row>
    <row r="904">
      <c r="A904" s="89"/>
      <c r="B904" s="89"/>
      <c r="C904" s="89"/>
      <c r="D904" s="90"/>
      <c r="E904" s="82"/>
      <c r="F904" s="82"/>
      <c r="G904" s="82"/>
      <c r="H904" s="82"/>
      <c r="I904" s="82"/>
      <c r="J904" s="82"/>
      <c r="K904" s="82"/>
      <c r="L904" s="82"/>
      <c r="M904" s="91"/>
      <c r="N904" s="83"/>
      <c r="O904" s="83"/>
      <c r="P904" s="83"/>
      <c r="Q904" s="83"/>
      <c r="R904" s="83"/>
      <c r="S904" s="83"/>
      <c r="T904" s="83"/>
      <c r="U904" s="32"/>
      <c r="V904" s="32"/>
      <c r="W904" s="32"/>
      <c r="X904" s="32"/>
      <c r="Y904" s="32"/>
      <c r="Z904" s="18"/>
      <c r="AA904" s="18"/>
      <c r="AZ904" s="92"/>
      <c r="BA904" s="21"/>
      <c r="BB904" s="93"/>
      <c r="BC904" s="93"/>
    </row>
    <row r="905">
      <c r="A905" s="89"/>
      <c r="B905" s="89"/>
      <c r="C905" s="89"/>
      <c r="D905" s="90"/>
      <c r="E905" s="82"/>
      <c r="F905" s="82"/>
      <c r="G905" s="82"/>
      <c r="H905" s="82"/>
      <c r="I905" s="82"/>
      <c r="J905" s="82"/>
      <c r="K905" s="82"/>
      <c r="L905" s="82"/>
      <c r="M905" s="91"/>
      <c r="N905" s="83"/>
      <c r="O905" s="83"/>
      <c r="P905" s="83"/>
      <c r="Q905" s="83"/>
      <c r="R905" s="83"/>
      <c r="S905" s="83"/>
      <c r="T905" s="83"/>
      <c r="U905" s="32"/>
      <c r="V905" s="32"/>
      <c r="W905" s="32"/>
      <c r="X905" s="32"/>
      <c r="Y905" s="32"/>
      <c r="Z905" s="18"/>
      <c r="AA905" s="18"/>
      <c r="AZ905" s="92"/>
      <c r="BA905" s="21"/>
      <c r="BB905" s="93"/>
      <c r="BC905" s="93"/>
    </row>
    <row r="906">
      <c r="A906" s="89"/>
      <c r="B906" s="89"/>
      <c r="C906" s="89"/>
      <c r="D906" s="90"/>
      <c r="E906" s="82"/>
      <c r="F906" s="82"/>
      <c r="G906" s="82"/>
      <c r="H906" s="82"/>
      <c r="I906" s="82"/>
      <c r="J906" s="82"/>
      <c r="K906" s="82"/>
      <c r="L906" s="82"/>
      <c r="M906" s="91"/>
      <c r="N906" s="83"/>
      <c r="O906" s="83"/>
      <c r="P906" s="83"/>
      <c r="Q906" s="83"/>
      <c r="R906" s="83"/>
      <c r="S906" s="83"/>
      <c r="T906" s="83"/>
      <c r="U906" s="32"/>
      <c r="V906" s="32"/>
      <c r="W906" s="32"/>
      <c r="X906" s="32"/>
      <c r="Y906" s="32"/>
      <c r="Z906" s="18"/>
      <c r="AA906" s="18"/>
      <c r="AZ906" s="92"/>
      <c r="BA906" s="21"/>
      <c r="BB906" s="93"/>
      <c r="BC906" s="93"/>
    </row>
    <row r="907">
      <c r="A907" s="89"/>
      <c r="B907" s="89"/>
      <c r="C907" s="89"/>
      <c r="D907" s="90"/>
      <c r="E907" s="82"/>
      <c r="F907" s="82"/>
      <c r="G907" s="82"/>
      <c r="H907" s="82"/>
      <c r="I907" s="82"/>
      <c r="J907" s="82"/>
      <c r="K907" s="82"/>
      <c r="L907" s="82"/>
      <c r="M907" s="91"/>
      <c r="N907" s="83"/>
      <c r="O907" s="83"/>
      <c r="P907" s="83"/>
      <c r="Q907" s="83"/>
      <c r="R907" s="83"/>
      <c r="S907" s="83"/>
      <c r="T907" s="83"/>
      <c r="U907" s="32"/>
      <c r="V907" s="32"/>
      <c r="W907" s="32"/>
      <c r="X907" s="32"/>
      <c r="Y907" s="32"/>
      <c r="Z907" s="18"/>
      <c r="AA907" s="18"/>
      <c r="AZ907" s="92"/>
      <c r="BA907" s="21"/>
      <c r="BB907" s="93"/>
      <c r="BC907" s="93"/>
    </row>
    <row r="908">
      <c r="A908" s="89"/>
      <c r="B908" s="89"/>
      <c r="C908" s="89"/>
      <c r="D908" s="90"/>
      <c r="E908" s="82"/>
      <c r="F908" s="82"/>
      <c r="G908" s="82"/>
      <c r="H908" s="82"/>
      <c r="I908" s="82"/>
      <c r="J908" s="82"/>
      <c r="K908" s="82"/>
      <c r="L908" s="82"/>
      <c r="M908" s="91"/>
      <c r="N908" s="83"/>
      <c r="O908" s="83"/>
      <c r="P908" s="83"/>
      <c r="Q908" s="83"/>
      <c r="R908" s="83"/>
      <c r="S908" s="83"/>
      <c r="T908" s="83"/>
      <c r="U908" s="32"/>
      <c r="V908" s="32"/>
      <c r="W908" s="32"/>
      <c r="X908" s="32"/>
      <c r="Y908" s="32"/>
      <c r="Z908" s="18"/>
      <c r="AA908" s="18"/>
      <c r="AZ908" s="92"/>
      <c r="BA908" s="21"/>
      <c r="BB908" s="93"/>
      <c r="BC908" s="93"/>
    </row>
    <row r="909">
      <c r="A909" s="89"/>
      <c r="B909" s="89"/>
      <c r="C909" s="89"/>
      <c r="D909" s="90"/>
      <c r="E909" s="82"/>
      <c r="F909" s="82"/>
      <c r="G909" s="82"/>
      <c r="H909" s="82"/>
      <c r="I909" s="82"/>
      <c r="J909" s="82"/>
      <c r="K909" s="82"/>
      <c r="L909" s="82"/>
      <c r="M909" s="91"/>
      <c r="N909" s="83"/>
      <c r="O909" s="83"/>
      <c r="P909" s="83"/>
      <c r="Q909" s="83"/>
      <c r="R909" s="83"/>
      <c r="S909" s="83"/>
      <c r="T909" s="83"/>
      <c r="U909" s="32"/>
      <c r="V909" s="32"/>
      <c r="W909" s="32"/>
      <c r="X909" s="32"/>
      <c r="Y909" s="32"/>
      <c r="Z909" s="18"/>
      <c r="AA909" s="18"/>
      <c r="AZ909" s="92"/>
      <c r="BA909" s="21"/>
      <c r="BB909" s="93"/>
      <c r="BC909" s="93"/>
    </row>
    <row r="910">
      <c r="A910" s="89"/>
      <c r="B910" s="89"/>
      <c r="C910" s="89"/>
      <c r="D910" s="90"/>
      <c r="E910" s="82"/>
      <c r="F910" s="82"/>
      <c r="G910" s="82"/>
      <c r="H910" s="82"/>
      <c r="I910" s="82"/>
      <c r="J910" s="82"/>
      <c r="K910" s="82"/>
      <c r="L910" s="82"/>
      <c r="M910" s="91"/>
      <c r="N910" s="83"/>
      <c r="O910" s="83"/>
      <c r="P910" s="83"/>
      <c r="Q910" s="83"/>
      <c r="R910" s="83"/>
      <c r="S910" s="83"/>
      <c r="T910" s="83"/>
      <c r="U910" s="32"/>
      <c r="V910" s="32"/>
      <c r="W910" s="32"/>
      <c r="X910" s="32"/>
      <c r="Y910" s="32"/>
      <c r="Z910" s="18"/>
      <c r="AA910" s="18"/>
      <c r="AZ910" s="92"/>
      <c r="BA910" s="21"/>
      <c r="BB910" s="93"/>
      <c r="BC910" s="93"/>
    </row>
    <row r="911">
      <c r="A911" s="89"/>
      <c r="B911" s="89"/>
      <c r="C911" s="89"/>
      <c r="D911" s="90"/>
      <c r="E911" s="82"/>
      <c r="F911" s="82"/>
      <c r="G911" s="82"/>
      <c r="H911" s="82"/>
      <c r="I911" s="82"/>
      <c r="J911" s="82"/>
      <c r="K911" s="82"/>
      <c r="L911" s="82"/>
      <c r="M911" s="91"/>
      <c r="N911" s="83"/>
      <c r="O911" s="83"/>
      <c r="P911" s="83"/>
      <c r="Q911" s="83"/>
      <c r="R911" s="83"/>
      <c r="S911" s="83"/>
      <c r="T911" s="83"/>
      <c r="U911" s="32"/>
      <c r="V911" s="32"/>
      <c r="W911" s="32"/>
      <c r="X911" s="32"/>
      <c r="Y911" s="32"/>
      <c r="Z911" s="18"/>
      <c r="AA911" s="18"/>
      <c r="AZ911" s="92"/>
      <c r="BA911" s="21"/>
      <c r="BB911" s="93"/>
      <c r="BC911" s="93"/>
    </row>
    <row r="912">
      <c r="A912" s="89"/>
      <c r="B912" s="89"/>
      <c r="C912" s="89"/>
      <c r="D912" s="90"/>
      <c r="E912" s="82"/>
      <c r="F912" s="82"/>
      <c r="G912" s="82"/>
      <c r="H912" s="82"/>
      <c r="I912" s="82"/>
      <c r="J912" s="82"/>
      <c r="K912" s="82"/>
      <c r="L912" s="82"/>
      <c r="M912" s="91"/>
      <c r="N912" s="83"/>
      <c r="O912" s="83"/>
      <c r="P912" s="83"/>
      <c r="Q912" s="83"/>
      <c r="R912" s="83"/>
      <c r="S912" s="83"/>
      <c r="T912" s="83"/>
      <c r="U912" s="32"/>
      <c r="V912" s="32"/>
      <c r="W912" s="32"/>
      <c r="X912" s="32"/>
      <c r="Y912" s="32"/>
      <c r="Z912" s="18"/>
      <c r="AA912" s="18"/>
      <c r="AZ912" s="92"/>
      <c r="BA912" s="21"/>
      <c r="BB912" s="93"/>
      <c r="BC912" s="93"/>
    </row>
    <row r="913">
      <c r="A913" s="89"/>
      <c r="B913" s="89"/>
      <c r="C913" s="89"/>
      <c r="D913" s="90"/>
      <c r="E913" s="82"/>
      <c r="F913" s="82"/>
      <c r="G913" s="82"/>
      <c r="H913" s="82"/>
      <c r="I913" s="82"/>
      <c r="J913" s="82"/>
      <c r="K913" s="82"/>
      <c r="L913" s="82"/>
      <c r="M913" s="91"/>
      <c r="N913" s="83"/>
      <c r="O913" s="83"/>
      <c r="P913" s="83"/>
      <c r="Q913" s="83"/>
      <c r="R913" s="83"/>
      <c r="S913" s="83"/>
      <c r="T913" s="83"/>
      <c r="U913" s="32"/>
      <c r="V913" s="32"/>
      <c r="W913" s="32"/>
      <c r="X913" s="32"/>
      <c r="Y913" s="32"/>
      <c r="Z913" s="18"/>
      <c r="AA913" s="18"/>
      <c r="AZ913" s="92"/>
      <c r="BA913" s="21"/>
      <c r="BB913" s="93"/>
      <c r="BC913" s="93"/>
    </row>
    <row r="914">
      <c r="A914" s="89"/>
      <c r="B914" s="89"/>
      <c r="C914" s="89"/>
      <c r="D914" s="90"/>
      <c r="E914" s="82"/>
      <c r="F914" s="82"/>
      <c r="G914" s="82"/>
      <c r="H914" s="82"/>
      <c r="I914" s="82"/>
      <c r="J914" s="82"/>
      <c r="K914" s="82"/>
      <c r="L914" s="82"/>
      <c r="M914" s="91"/>
      <c r="N914" s="83"/>
      <c r="O914" s="83"/>
      <c r="P914" s="83"/>
      <c r="Q914" s="83"/>
      <c r="R914" s="83"/>
      <c r="S914" s="83"/>
      <c r="T914" s="83"/>
      <c r="U914" s="32"/>
      <c r="V914" s="32"/>
      <c r="W914" s="32"/>
      <c r="X914" s="32"/>
      <c r="Y914" s="32"/>
      <c r="Z914" s="18"/>
      <c r="AA914" s="18"/>
      <c r="AZ914" s="92"/>
      <c r="BA914" s="21"/>
      <c r="BB914" s="93"/>
      <c r="BC914" s="93"/>
    </row>
    <row r="915">
      <c r="A915" s="89"/>
      <c r="B915" s="89"/>
      <c r="C915" s="89"/>
      <c r="D915" s="90"/>
      <c r="E915" s="82"/>
      <c r="F915" s="82"/>
      <c r="G915" s="82"/>
      <c r="H915" s="82"/>
      <c r="I915" s="82"/>
      <c r="J915" s="82"/>
      <c r="K915" s="82"/>
      <c r="L915" s="82"/>
      <c r="M915" s="91"/>
      <c r="N915" s="83"/>
      <c r="O915" s="83"/>
      <c r="P915" s="83"/>
      <c r="Q915" s="83"/>
      <c r="R915" s="83"/>
      <c r="S915" s="83"/>
      <c r="T915" s="83"/>
      <c r="U915" s="32"/>
      <c r="V915" s="32"/>
      <c r="W915" s="32"/>
      <c r="X915" s="32"/>
      <c r="Y915" s="32"/>
      <c r="Z915" s="18"/>
      <c r="AA915" s="18"/>
      <c r="AZ915" s="92"/>
      <c r="BA915" s="21"/>
      <c r="BB915" s="93"/>
      <c r="BC915" s="93"/>
    </row>
    <row r="916">
      <c r="A916" s="89"/>
      <c r="B916" s="89"/>
      <c r="C916" s="89"/>
      <c r="D916" s="90"/>
      <c r="E916" s="82"/>
      <c r="F916" s="82"/>
      <c r="G916" s="82"/>
      <c r="H916" s="82"/>
      <c r="I916" s="82"/>
      <c r="J916" s="82"/>
      <c r="K916" s="82"/>
      <c r="L916" s="82"/>
      <c r="M916" s="91"/>
      <c r="N916" s="83"/>
      <c r="O916" s="83"/>
      <c r="P916" s="83"/>
      <c r="Q916" s="83"/>
      <c r="R916" s="83"/>
      <c r="S916" s="83"/>
      <c r="T916" s="83"/>
      <c r="U916" s="32"/>
      <c r="V916" s="32"/>
      <c r="W916" s="32"/>
      <c r="X916" s="32"/>
      <c r="Y916" s="32"/>
      <c r="Z916" s="18"/>
      <c r="AA916" s="18"/>
      <c r="AZ916" s="92"/>
      <c r="BA916" s="21"/>
      <c r="BB916" s="93"/>
      <c r="BC916" s="93"/>
    </row>
    <row r="917">
      <c r="A917" s="89"/>
      <c r="B917" s="89"/>
      <c r="C917" s="89"/>
      <c r="D917" s="90"/>
      <c r="E917" s="82"/>
      <c r="F917" s="82"/>
      <c r="G917" s="82"/>
      <c r="H917" s="82"/>
      <c r="I917" s="82"/>
      <c r="J917" s="82"/>
      <c r="K917" s="82"/>
      <c r="L917" s="82"/>
      <c r="M917" s="91"/>
      <c r="N917" s="83"/>
      <c r="O917" s="83"/>
      <c r="P917" s="83"/>
      <c r="Q917" s="83"/>
      <c r="R917" s="83"/>
      <c r="S917" s="83"/>
      <c r="T917" s="83"/>
      <c r="U917" s="32"/>
      <c r="V917" s="32"/>
      <c r="W917" s="32"/>
      <c r="X917" s="32"/>
      <c r="Y917" s="32"/>
      <c r="Z917" s="18"/>
      <c r="AA917" s="18"/>
      <c r="AZ917" s="92"/>
      <c r="BA917" s="21"/>
      <c r="BB917" s="93"/>
      <c r="BC917" s="93"/>
    </row>
    <row r="918">
      <c r="A918" s="89"/>
      <c r="B918" s="89"/>
      <c r="C918" s="89"/>
      <c r="D918" s="90"/>
      <c r="E918" s="82"/>
      <c r="F918" s="82"/>
      <c r="G918" s="82"/>
      <c r="H918" s="82"/>
      <c r="I918" s="82"/>
      <c r="J918" s="82"/>
      <c r="K918" s="82"/>
      <c r="L918" s="82"/>
      <c r="M918" s="91"/>
      <c r="N918" s="83"/>
      <c r="O918" s="83"/>
      <c r="P918" s="83"/>
      <c r="Q918" s="83"/>
      <c r="R918" s="83"/>
      <c r="S918" s="83"/>
      <c r="T918" s="83"/>
      <c r="U918" s="32"/>
      <c r="V918" s="32"/>
      <c r="W918" s="32"/>
      <c r="X918" s="32"/>
      <c r="Y918" s="32"/>
      <c r="Z918" s="18"/>
      <c r="AA918" s="18"/>
      <c r="AZ918" s="92"/>
      <c r="BA918" s="21"/>
      <c r="BB918" s="93"/>
      <c r="BC918" s="93"/>
    </row>
    <row r="919">
      <c r="A919" s="89"/>
      <c r="B919" s="89"/>
      <c r="C919" s="89"/>
      <c r="D919" s="90"/>
      <c r="E919" s="82"/>
      <c r="F919" s="82"/>
      <c r="G919" s="82"/>
      <c r="H919" s="82"/>
      <c r="I919" s="82"/>
      <c r="J919" s="82"/>
      <c r="K919" s="82"/>
      <c r="L919" s="82"/>
      <c r="M919" s="91"/>
      <c r="N919" s="83"/>
      <c r="O919" s="83"/>
      <c r="P919" s="83"/>
      <c r="Q919" s="83"/>
      <c r="R919" s="83"/>
      <c r="S919" s="83"/>
      <c r="T919" s="83"/>
      <c r="U919" s="32"/>
      <c r="V919" s="32"/>
      <c r="W919" s="32"/>
      <c r="X919" s="32"/>
      <c r="Y919" s="32"/>
      <c r="Z919" s="18"/>
      <c r="AA919" s="18"/>
      <c r="AZ919" s="92"/>
      <c r="BA919" s="21"/>
      <c r="BB919" s="93"/>
      <c r="BC919" s="93"/>
    </row>
    <row r="920">
      <c r="A920" s="89"/>
      <c r="B920" s="89"/>
      <c r="C920" s="89"/>
      <c r="D920" s="90"/>
      <c r="E920" s="82"/>
      <c r="F920" s="82"/>
      <c r="G920" s="82"/>
      <c r="H920" s="82"/>
      <c r="I920" s="82"/>
      <c r="J920" s="82"/>
      <c r="K920" s="82"/>
      <c r="L920" s="82"/>
      <c r="M920" s="91"/>
      <c r="N920" s="83"/>
      <c r="O920" s="83"/>
      <c r="P920" s="83"/>
      <c r="Q920" s="83"/>
      <c r="R920" s="83"/>
      <c r="S920" s="83"/>
      <c r="T920" s="83"/>
      <c r="U920" s="32"/>
      <c r="V920" s="32"/>
      <c r="W920" s="32"/>
      <c r="X920" s="32"/>
      <c r="Y920" s="32"/>
      <c r="Z920" s="18"/>
      <c r="AA920" s="18"/>
      <c r="AZ920" s="92"/>
      <c r="BA920" s="21"/>
      <c r="BB920" s="93"/>
      <c r="BC920" s="93"/>
    </row>
    <row r="921">
      <c r="A921" s="89"/>
      <c r="B921" s="89"/>
      <c r="C921" s="89"/>
      <c r="D921" s="90"/>
      <c r="E921" s="82"/>
      <c r="F921" s="82"/>
      <c r="G921" s="82"/>
      <c r="H921" s="82"/>
      <c r="I921" s="82"/>
      <c r="J921" s="82"/>
      <c r="K921" s="82"/>
      <c r="L921" s="82"/>
      <c r="M921" s="91"/>
      <c r="N921" s="83"/>
      <c r="O921" s="83"/>
      <c r="P921" s="83"/>
      <c r="Q921" s="83"/>
      <c r="R921" s="83"/>
      <c r="S921" s="83"/>
      <c r="T921" s="83"/>
      <c r="U921" s="32"/>
      <c r="V921" s="32"/>
      <c r="W921" s="32"/>
      <c r="X921" s="32"/>
      <c r="Y921" s="32"/>
      <c r="Z921" s="18"/>
      <c r="AA921" s="18"/>
      <c r="AZ921" s="92"/>
      <c r="BA921" s="21"/>
      <c r="BB921" s="93"/>
      <c r="BC921" s="93"/>
    </row>
    <row r="922">
      <c r="A922" s="89"/>
      <c r="B922" s="89"/>
      <c r="C922" s="89"/>
      <c r="D922" s="90"/>
      <c r="E922" s="82"/>
      <c r="F922" s="82"/>
      <c r="G922" s="82"/>
      <c r="H922" s="82"/>
      <c r="I922" s="82"/>
      <c r="J922" s="82"/>
      <c r="K922" s="82"/>
      <c r="L922" s="82"/>
      <c r="M922" s="91"/>
      <c r="N922" s="83"/>
      <c r="O922" s="83"/>
      <c r="P922" s="83"/>
      <c r="Q922" s="83"/>
      <c r="R922" s="83"/>
      <c r="S922" s="83"/>
      <c r="T922" s="83"/>
      <c r="U922" s="32"/>
      <c r="V922" s="32"/>
      <c r="W922" s="32"/>
      <c r="X922" s="32"/>
      <c r="Y922" s="32"/>
      <c r="Z922" s="18"/>
      <c r="AA922" s="18"/>
      <c r="AZ922" s="92"/>
      <c r="BA922" s="21"/>
      <c r="BB922" s="93"/>
      <c r="BC922" s="93"/>
    </row>
    <row r="923">
      <c r="A923" s="89"/>
      <c r="B923" s="89"/>
      <c r="C923" s="89"/>
      <c r="D923" s="90"/>
      <c r="E923" s="82"/>
      <c r="F923" s="82"/>
      <c r="G923" s="82"/>
      <c r="H923" s="82"/>
      <c r="I923" s="82"/>
      <c r="J923" s="82"/>
      <c r="K923" s="82"/>
      <c r="L923" s="82"/>
      <c r="M923" s="91"/>
      <c r="N923" s="83"/>
      <c r="O923" s="83"/>
      <c r="P923" s="83"/>
      <c r="Q923" s="83"/>
      <c r="R923" s="83"/>
      <c r="S923" s="83"/>
      <c r="T923" s="83"/>
      <c r="U923" s="32"/>
      <c r="V923" s="32"/>
      <c r="W923" s="32"/>
      <c r="X923" s="32"/>
      <c r="Y923" s="32"/>
      <c r="Z923" s="18"/>
      <c r="AA923" s="18"/>
      <c r="AZ923" s="92"/>
      <c r="BA923" s="21"/>
      <c r="BB923" s="93"/>
      <c r="BC923" s="93"/>
    </row>
    <row r="924">
      <c r="A924" s="89"/>
      <c r="B924" s="89"/>
      <c r="C924" s="89"/>
      <c r="D924" s="90"/>
      <c r="E924" s="82"/>
      <c r="F924" s="82"/>
      <c r="G924" s="82"/>
      <c r="H924" s="82"/>
      <c r="I924" s="82"/>
      <c r="J924" s="82"/>
      <c r="K924" s="82"/>
      <c r="L924" s="82"/>
      <c r="M924" s="91"/>
      <c r="N924" s="83"/>
      <c r="O924" s="83"/>
      <c r="P924" s="83"/>
      <c r="Q924" s="83"/>
      <c r="R924" s="83"/>
      <c r="S924" s="83"/>
      <c r="T924" s="83"/>
      <c r="U924" s="32"/>
      <c r="V924" s="32"/>
      <c r="W924" s="32"/>
      <c r="X924" s="32"/>
      <c r="Y924" s="32"/>
      <c r="Z924" s="18"/>
      <c r="AA924" s="18"/>
      <c r="AZ924" s="92"/>
      <c r="BA924" s="21"/>
      <c r="BB924" s="93"/>
      <c r="BC924" s="93"/>
    </row>
    <row r="925">
      <c r="A925" s="89"/>
      <c r="B925" s="89"/>
      <c r="C925" s="89"/>
      <c r="D925" s="90"/>
      <c r="E925" s="82"/>
      <c r="F925" s="82"/>
      <c r="G925" s="82"/>
      <c r="H925" s="82"/>
      <c r="I925" s="82"/>
      <c r="J925" s="82"/>
      <c r="K925" s="82"/>
      <c r="L925" s="82"/>
      <c r="M925" s="91"/>
      <c r="N925" s="83"/>
      <c r="O925" s="83"/>
      <c r="P925" s="83"/>
      <c r="Q925" s="83"/>
      <c r="R925" s="83"/>
      <c r="S925" s="83"/>
      <c r="T925" s="83"/>
      <c r="U925" s="32"/>
      <c r="V925" s="32"/>
      <c r="W925" s="32"/>
      <c r="X925" s="32"/>
      <c r="Y925" s="32"/>
      <c r="Z925" s="18"/>
      <c r="AA925" s="18"/>
      <c r="AZ925" s="92"/>
      <c r="BA925" s="21"/>
      <c r="BB925" s="93"/>
      <c r="BC925" s="93"/>
    </row>
    <row r="926">
      <c r="A926" s="89"/>
      <c r="B926" s="89"/>
      <c r="C926" s="89"/>
      <c r="D926" s="90"/>
      <c r="E926" s="82"/>
      <c r="F926" s="82"/>
      <c r="G926" s="82"/>
      <c r="H926" s="82"/>
      <c r="I926" s="82"/>
      <c r="J926" s="82"/>
      <c r="K926" s="82"/>
      <c r="L926" s="82"/>
      <c r="M926" s="91"/>
      <c r="N926" s="83"/>
      <c r="O926" s="83"/>
      <c r="P926" s="83"/>
      <c r="Q926" s="83"/>
      <c r="R926" s="83"/>
      <c r="S926" s="83"/>
      <c r="T926" s="83"/>
      <c r="U926" s="32"/>
      <c r="V926" s="32"/>
      <c r="W926" s="32"/>
      <c r="X926" s="32"/>
      <c r="Y926" s="32"/>
      <c r="Z926" s="18"/>
      <c r="AA926" s="18"/>
      <c r="AZ926" s="92"/>
      <c r="BA926" s="21"/>
      <c r="BB926" s="93"/>
      <c r="BC926" s="93"/>
    </row>
    <row r="927">
      <c r="A927" s="89"/>
      <c r="B927" s="89"/>
      <c r="C927" s="89"/>
      <c r="D927" s="90"/>
      <c r="E927" s="82"/>
      <c r="F927" s="82"/>
      <c r="G927" s="82"/>
      <c r="H927" s="82"/>
      <c r="I927" s="82"/>
      <c r="J927" s="82"/>
      <c r="K927" s="82"/>
      <c r="L927" s="82"/>
      <c r="M927" s="91"/>
      <c r="N927" s="83"/>
      <c r="O927" s="83"/>
      <c r="P927" s="83"/>
      <c r="Q927" s="83"/>
      <c r="R927" s="83"/>
      <c r="S927" s="83"/>
      <c r="T927" s="83"/>
      <c r="U927" s="32"/>
      <c r="V927" s="32"/>
      <c r="W927" s="32"/>
      <c r="X927" s="32"/>
      <c r="Y927" s="32"/>
      <c r="Z927" s="18"/>
      <c r="AA927" s="18"/>
      <c r="AZ927" s="92"/>
      <c r="BA927" s="21"/>
      <c r="BB927" s="93"/>
      <c r="BC927" s="93"/>
    </row>
    <row r="928">
      <c r="A928" s="89"/>
      <c r="B928" s="89"/>
      <c r="C928" s="89"/>
      <c r="D928" s="90"/>
      <c r="E928" s="82"/>
      <c r="F928" s="82"/>
      <c r="G928" s="82"/>
      <c r="H928" s="82"/>
      <c r="I928" s="82"/>
      <c r="J928" s="82"/>
      <c r="K928" s="82"/>
      <c r="L928" s="82"/>
      <c r="M928" s="91"/>
      <c r="N928" s="83"/>
      <c r="O928" s="83"/>
      <c r="P928" s="83"/>
      <c r="Q928" s="83"/>
      <c r="R928" s="83"/>
      <c r="S928" s="83"/>
      <c r="T928" s="83"/>
      <c r="U928" s="32"/>
      <c r="V928" s="32"/>
      <c r="W928" s="32"/>
      <c r="X928" s="32"/>
      <c r="Y928" s="32"/>
      <c r="Z928" s="18"/>
      <c r="AA928" s="18"/>
      <c r="AZ928" s="92"/>
      <c r="BA928" s="21"/>
      <c r="BB928" s="93"/>
      <c r="BC928" s="93"/>
    </row>
    <row r="929">
      <c r="A929" s="89"/>
      <c r="B929" s="89"/>
      <c r="C929" s="89"/>
      <c r="D929" s="90"/>
      <c r="E929" s="82"/>
      <c r="F929" s="82"/>
      <c r="G929" s="82"/>
      <c r="H929" s="82"/>
      <c r="I929" s="82"/>
      <c r="J929" s="82"/>
      <c r="K929" s="82"/>
      <c r="L929" s="82"/>
      <c r="M929" s="91"/>
      <c r="N929" s="83"/>
      <c r="O929" s="83"/>
      <c r="P929" s="83"/>
      <c r="Q929" s="83"/>
      <c r="R929" s="83"/>
      <c r="S929" s="83"/>
      <c r="T929" s="83"/>
      <c r="U929" s="32"/>
      <c r="V929" s="32"/>
      <c r="W929" s="32"/>
      <c r="X929" s="32"/>
      <c r="Y929" s="32"/>
      <c r="Z929" s="18"/>
      <c r="AA929" s="18"/>
      <c r="AZ929" s="92"/>
      <c r="BA929" s="21"/>
      <c r="BB929" s="93"/>
      <c r="BC929" s="93"/>
    </row>
    <row r="930">
      <c r="A930" s="89"/>
      <c r="B930" s="89"/>
      <c r="C930" s="89"/>
      <c r="D930" s="90"/>
      <c r="E930" s="82"/>
      <c r="F930" s="82"/>
      <c r="G930" s="82"/>
      <c r="H930" s="82"/>
      <c r="I930" s="82"/>
      <c r="J930" s="82"/>
      <c r="K930" s="82"/>
      <c r="L930" s="82"/>
      <c r="M930" s="91"/>
      <c r="N930" s="83"/>
      <c r="O930" s="83"/>
      <c r="P930" s="83"/>
      <c r="Q930" s="83"/>
      <c r="R930" s="83"/>
      <c r="S930" s="83"/>
      <c r="T930" s="83"/>
      <c r="U930" s="32"/>
      <c r="V930" s="32"/>
      <c r="W930" s="32"/>
      <c r="X930" s="32"/>
      <c r="Y930" s="32"/>
      <c r="Z930" s="18"/>
      <c r="AA930" s="18"/>
      <c r="AZ930" s="92"/>
      <c r="BA930" s="21"/>
      <c r="BB930" s="93"/>
      <c r="BC930" s="93"/>
    </row>
    <row r="931">
      <c r="A931" s="89"/>
      <c r="B931" s="89"/>
      <c r="C931" s="89"/>
      <c r="D931" s="90"/>
      <c r="E931" s="82"/>
      <c r="F931" s="82"/>
      <c r="G931" s="82"/>
      <c r="H931" s="82"/>
      <c r="I931" s="82"/>
      <c r="J931" s="82"/>
      <c r="K931" s="82"/>
      <c r="L931" s="82"/>
      <c r="M931" s="91"/>
      <c r="N931" s="83"/>
      <c r="O931" s="83"/>
      <c r="P931" s="83"/>
      <c r="Q931" s="83"/>
      <c r="R931" s="83"/>
      <c r="S931" s="83"/>
      <c r="T931" s="83"/>
      <c r="U931" s="32"/>
      <c r="V931" s="32"/>
      <c r="W931" s="32"/>
      <c r="X931" s="32"/>
      <c r="Y931" s="32"/>
      <c r="Z931" s="18"/>
      <c r="AA931" s="18"/>
      <c r="AZ931" s="92"/>
      <c r="BA931" s="21"/>
      <c r="BB931" s="93"/>
      <c r="BC931" s="93"/>
    </row>
    <row r="932">
      <c r="A932" s="89"/>
      <c r="B932" s="89"/>
      <c r="C932" s="89"/>
      <c r="D932" s="90"/>
      <c r="E932" s="82"/>
      <c r="F932" s="82"/>
      <c r="G932" s="82"/>
      <c r="H932" s="82"/>
      <c r="I932" s="82"/>
      <c r="J932" s="82"/>
      <c r="K932" s="82"/>
      <c r="L932" s="82"/>
      <c r="M932" s="91"/>
      <c r="N932" s="83"/>
      <c r="O932" s="83"/>
      <c r="P932" s="83"/>
      <c r="Q932" s="83"/>
      <c r="R932" s="83"/>
      <c r="S932" s="83"/>
      <c r="T932" s="83"/>
      <c r="U932" s="32"/>
      <c r="V932" s="32"/>
      <c r="W932" s="32"/>
      <c r="X932" s="32"/>
      <c r="Y932" s="32"/>
      <c r="Z932" s="18"/>
      <c r="AA932" s="18"/>
      <c r="AZ932" s="92"/>
      <c r="BA932" s="21"/>
      <c r="BB932" s="93"/>
      <c r="BC932" s="93"/>
    </row>
    <row r="933">
      <c r="A933" s="89"/>
      <c r="B933" s="89"/>
      <c r="C933" s="89"/>
      <c r="D933" s="90"/>
      <c r="E933" s="82"/>
      <c r="F933" s="82"/>
      <c r="G933" s="82"/>
      <c r="H933" s="82"/>
      <c r="I933" s="82"/>
      <c r="J933" s="82"/>
      <c r="K933" s="82"/>
      <c r="L933" s="82"/>
      <c r="M933" s="91"/>
      <c r="N933" s="83"/>
      <c r="O933" s="83"/>
      <c r="P933" s="83"/>
      <c r="Q933" s="83"/>
      <c r="R933" s="83"/>
      <c r="S933" s="83"/>
      <c r="T933" s="83"/>
      <c r="U933" s="32"/>
      <c r="V933" s="32"/>
      <c r="W933" s="32"/>
      <c r="X933" s="32"/>
      <c r="Y933" s="32"/>
      <c r="Z933" s="18"/>
      <c r="AA933" s="18"/>
      <c r="AZ933" s="92"/>
      <c r="BA933" s="21"/>
      <c r="BB933" s="93"/>
      <c r="BC933" s="93"/>
    </row>
    <row r="934">
      <c r="A934" s="89"/>
      <c r="B934" s="89"/>
      <c r="C934" s="89"/>
      <c r="D934" s="90"/>
      <c r="E934" s="82"/>
      <c r="F934" s="82"/>
      <c r="G934" s="82"/>
      <c r="H934" s="82"/>
      <c r="I934" s="82"/>
      <c r="J934" s="82"/>
      <c r="K934" s="82"/>
      <c r="L934" s="82"/>
      <c r="M934" s="91"/>
      <c r="N934" s="83"/>
      <c r="O934" s="83"/>
      <c r="P934" s="83"/>
      <c r="Q934" s="83"/>
      <c r="R934" s="83"/>
      <c r="S934" s="83"/>
      <c r="T934" s="83"/>
      <c r="U934" s="32"/>
      <c r="V934" s="32"/>
      <c r="W934" s="32"/>
      <c r="X934" s="32"/>
      <c r="Y934" s="32"/>
      <c r="Z934" s="18"/>
      <c r="AA934" s="18"/>
      <c r="AZ934" s="92"/>
      <c r="BA934" s="21"/>
      <c r="BB934" s="93"/>
      <c r="BC934" s="93"/>
    </row>
    <row r="935">
      <c r="A935" s="89"/>
      <c r="B935" s="89"/>
      <c r="C935" s="89"/>
      <c r="D935" s="90"/>
      <c r="E935" s="82"/>
      <c r="F935" s="82"/>
      <c r="G935" s="82"/>
      <c r="H935" s="82"/>
      <c r="I935" s="82"/>
      <c r="J935" s="82"/>
      <c r="K935" s="82"/>
      <c r="L935" s="82"/>
      <c r="M935" s="91"/>
      <c r="N935" s="83"/>
      <c r="O935" s="83"/>
      <c r="P935" s="83"/>
      <c r="Q935" s="83"/>
      <c r="R935" s="83"/>
      <c r="S935" s="83"/>
      <c r="T935" s="83"/>
      <c r="U935" s="32"/>
      <c r="V935" s="32"/>
      <c r="W935" s="32"/>
      <c r="X935" s="32"/>
      <c r="Y935" s="32"/>
      <c r="Z935" s="18"/>
      <c r="AA935" s="18"/>
      <c r="AZ935" s="92"/>
      <c r="BA935" s="21"/>
      <c r="BB935" s="93"/>
      <c r="BC935" s="93"/>
    </row>
    <row r="936">
      <c r="A936" s="89"/>
      <c r="B936" s="89"/>
      <c r="C936" s="89"/>
      <c r="D936" s="90"/>
      <c r="E936" s="82"/>
      <c r="F936" s="82"/>
      <c r="G936" s="82"/>
      <c r="H936" s="82"/>
      <c r="I936" s="82"/>
      <c r="J936" s="82"/>
      <c r="K936" s="82"/>
      <c r="L936" s="82"/>
      <c r="M936" s="91"/>
      <c r="N936" s="83"/>
      <c r="O936" s="83"/>
      <c r="P936" s="83"/>
      <c r="Q936" s="83"/>
      <c r="R936" s="83"/>
      <c r="S936" s="83"/>
      <c r="T936" s="83"/>
      <c r="U936" s="32"/>
      <c r="V936" s="32"/>
      <c r="W936" s="32"/>
      <c r="X936" s="32"/>
      <c r="Y936" s="32"/>
      <c r="Z936" s="18"/>
      <c r="AA936" s="18"/>
      <c r="AZ936" s="92"/>
      <c r="BA936" s="21"/>
      <c r="BB936" s="93"/>
      <c r="BC936" s="93"/>
    </row>
    <row r="937">
      <c r="A937" s="89"/>
      <c r="B937" s="89"/>
      <c r="C937" s="89"/>
      <c r="D937" s="90"/>
      <c r="E937" s="82"/>
      <c r="F937" s="82"/>
      <c r="G937" s="82"/>
      <c r="H937" s="82"/>
      <c r="I937" s="82"/>
      <c r="J937" s="82"/>
      <c r="K937" s="82"/>
      <c r="L937" s="82"/>
      <c r="M937" s="91"/>
      <c r="N937" s="83"/>
      <c r="O937" s="83"/>
      <c r="P937" s="83"/>
      <c r="Q937" s="83"/>
      <c r="R937" s="83"/>
      <c r="S937" s="83"/>
      <c r="T937" s="83"/>
      <c r="U937" s="32"/>
      <c r="V937" s="32"/>
      <c r="W937" s="32"/>
      <c r="X937" s="32"/>
      <c r="Y937" s="32"/>
      <c r="Z937" s="18"/>
      <c r="AA937" s="18"/>
      <c r="AZ937" s="92"/>
      <c r="BA937" s="21"/>
      <c r="BB937" s="93"/>
      <c r="BC937" s="93"/>
    </row>
    <row r="938">
      <c r="A938" s="89"/>
      <c r="B938" s="89"/>
      <c r="C938" s="89"/>
      <c r="D938" s="90"/>
      <c r="E938" s="82"/>
      <c r="F938" s="82"/>
      <c r="G938" s="82"/>
      <c r="H938" s="82"/>
      <c r="I938" s="82"/>
      <c r="J938" s="82"/>
      <c r="K938" s="82"/>
      <c r="L938" s="82"/>
      <c r="M938" s="91"/>
      <c r="N938" s="83"/>
      <c r="O938" s="83"/>
      <c r="P938" s="83"/>
      <c r="Q938" s="83"/>
      <c r="R938" s="83"/>
      <c r="S938" s="83"/>
      <c r="T938" s="83"/>
      <c r="U938" s="32"/>
      <c r="V938" s="32"/>
      <c r="W938" s="32"/>
      <c r="X938" s="32"/>
      <c r="Y938" s="32"/>
      <c r="Z938" s="18"/>
      <c r="AA938" s="18"/>
      <c r="AZ938" s="92"/>
      <c r="BA938" s="21"/>
      <c r="BB938" s="93"/>
      <c r="BC938" s="93"/>
    </row>
    <row r="939">
      <c r="A939" s="89"/>
      <c r="B939" s="89"/>
      <c r="C939" s="89"/>
      <c r="D939" s="90"/>
      <c r="E939" s="82"/>
      <c r="F939" s="82"/>
      <c r="G939" s="82"/>
      <c r="H939" s="82"/>
      <c r="I939" s="82"/>
      <c r="J939" s="82"/>
      <c r="K939" s="82"/>
      <c r="L939" s="82"/>
      <c r="M939" s="91"/>
      <c r="N939" s="83"/>
      <c r="O939" s="83"/>
      <c r="P939" s="83"/>
      <c r="Q939" s="83"/>
      <c r="R939" s="83"/>
      <c r="S939" s="83"/>
      <c r="T939" s="83"/>
      <c r="U939" s="32"/>
      <c r="V939" s="32"/>
      <c r="W939" s="32"/>
      <c r="X939" s="32"/>
      <c r="Y939" s="32"/>
      <c r="Z939" s="18"/>
      <c r="AA939" s="18"/>
      <c r="AZ939" s="92"/>
      <c r="BA939" s="21"/>
      <c r="BB939" s="93"/>
      <c r="BC939" s="93"/>
    </row>
    <row r="940">
      <c r="A940" s="89"/>
      <c r="B940" s="89"/>
      <c r="C940" s="89"/>
      <c r="D940" s="90"/>
      <c r="E940" s="82"/>
      <c r="F940" s="82"/>
      <c r="G940" s="82"/>
      <c r="H940" s="82"/>
      <c r="I940" s="82"/>
      <c r="J940" s="82"/>
      <c r="K940" s="82"/>
      <c r="L940" s="82"/>
      <c r="M940" s="91"/>
      <c r="N940" s="83"/>
      <c r="O940" s="83"/>
      <c r="P940" s="83"/>
      <c r="Q940" s="83"/>
      <c r="R940" s="83"/>
      <c r="S940" s="83"/>
      <c r="T940" s="83"/>
      <c r="U940" s="32"/>
      <c r="V940" s="32"/>
      <c r="W940" s="32"/>
      <c r="X940" s="32"/>
      <c r="Y940" s="32"/>
      <c r="Z940" s="18"/>
      <c r="AA940" s="18"/>
      <c r="AZ940" s="92"/>
      <c r="BA940" s="21"/>
      <c r="BB940" s="93"/>
      <c r="BC940" s="93"/>
    </row>
    <row r="941">
      <c r="A941" s="89"/>
      <c r="B941" s="89"/>
      <c r="C941" s="89"/>
      <c r="D941" s="90"/>
      <c r="E941" s="82"/>
      <c r="F941" s="82"/>
      <c r="G941" s="82"/>
      <c r="H941" s="82"/>
      <c r="I941" s="82"/>
      <c r="J941" s="82"/>
      <c r="K941" s="82"/>
      <c r="L941" s="82"/>
      <c r="M941" s="91"/>
      <c r="N941" s="83"/>
      <c r="O941" s="83"/>
      <c r="P941" s="83"/>
      <c r="Q941" s="83"/>
      <c r="R941" s="83"/>
      <c r="S941" s="83"/>
      <c r="T941" s="83"/>
      <c r="U941" s="32"/>
      <c r="V941" s="32"/>
      <c r="W941" s="32"/>
      <c r="X941" s="32"/>
      <c r="Y941" s="32"/>
      <c r="Z941" s="18"/>
      <c r="AA941" s="18"/>
      <c r="AZ941" s="92"/>
      <c r="BA941" s="21"/>
      <c r="BB941" s="93"/>
      <c r="BC941" s="93"/>
    </row>
    <row r="942">
      <c r="A942" s="89"/>
      <c r="B942" s="89"/>
      <c r="C942" s="89"/>
      <c r="D942" s="90"/>
      <c r="E942" s="82"/>
      <c r="F942" s="82"/>
      <c r="G942" s="82"/>
      <c r="H942" s="82"/>
      <c r="I942" s="82"/>
      <c r="J942" s="82"/>
      <c r="K942" s="82"/>
      <c r="L942" s="82"/>
      <c r="M942" s="91"/>
      <c r="N942" s="83"/>
      <c r="O942" s="83"/>
      <c r="P942" s="83"/>
      <c r="Q942" s="83"/>
      <c r="R942" s="83"/>
      <c r="S942" s="83"/>
      <c r="T942" s="83"/>
      <c r="U942" s="32"/>
      <c r="V942" s="32"/>
      <c r="W942" s="32"/>
      <c r="X942" s="32"/>
      <c r="Y942" s="32"/>
      <c r="Z942" s="18"/>
      <c r="AA942" s="18"/>
      <c r="AZ942" s="92"/>
      <c r="BA942" s="21"/>
      <c r="BB942" s="93"/>
      <c r="BC942" s="93"/>
    </row>
    <row r="943">
      <c r="A943" s="89"/>
      <c r="B943" s="89"/>
      <c r="C943" s="89"/>
      <c r="D943" s="90"/>
      <c r="E943" s="82"/>
      <c r="F943" s="82"/>
      <c r="G943" s="82"/>
      <c r="H943" s="82"/>
      <c r="I943" s="82"/>
      <c r="J943" s="82"/>
      <c r="K943" s="82"/>
      <c r="L943" s="82"/>
      <c r="M943" s="91"/>
      <c r="N943" s="83"/>
      <c r="O943" s="83"/>
      <c r="P943" s="83"/>
      <c r="Q943" s="83"/>
      <c r="R943" s="83"/>
      <c r="S943" s="83"/>
      <c r="T943" s="83"/>
      <c r="U943" s="32"/>
      <c r="V943" s="32"/>
      <c r="W943" s="32"/>
      <c r="X943" s="32"/>
      <c r="Y943" s="32"/>
      <c r="Z943" s="18"/>
      <c r="AA943" s="18"/>
      <c r="AZ943" s="92"/>
      <c r="BA943" s="21"/>
      <c r="BB943" s="93"/>
      <c r="BC943" s="93"/>
    </row>
    <row r="944">
      <c r="A944" s="89"/>
      <c r="B944" s="89"/>
      <c r="C944" s="89"/>
      <c r="D944" s="90"/>
      <c r="E944" s="82"/>
      <c r="F944" s="82"/>
      <c r="G944" s="82"/>
      <c r="H944" s="82"/>
      <c r="I944" s="82"/>
      <c r="J944" s="82"/>
      <c r="K944" s="82"/>
      <c r="L944" s="82"/>
      <c r="M944" s="91"/>
      <c r="N944" s="83"/>
      <c r="O944" s="83"/>
      <c r="P944" s="83"/>
      <c r="Q944" s="83"/>
      <c r="R944" s="83"/>
      <c r="S944" s="83"/>
      <c r="T944" s="83"/>
      <c r="U944" s="32"/>
      <c r="V944" s="32"/>
      <c r="W944" s="32"/>
      <c r="X944" s="32"/>
      <c r="Y944" s="32"/>
      <c r="Z944" s="18"/>
      <c r="AA944" s="18"/>
      <c r="AZ944" s="92"/>
      <c r="BA944" s="21"/>
      <c r="BB944" s="93"/>
      <c r="BC944" s="93"/>
    </row>
    <row r="945">
      <c r="A945" s="89"/>
      <c r="B945" s="89"/>
      <c r="C945" s="89"/>
      <c r="D945" s="90"/>
      <c r="E945" s="82"/>
      <c r="F945" s="82"/>
      <c r="G945" s="82"/>
      <c r="H945" s="82"/>
      <c r="I945" s="82"/>
      <c r="J945" s="82"/>
      <c r="K945" s="82"/>
      <c r="L945" s="82"/>
      <c r="M945" s="91"/>
      <c r="N945" s="83"/>
      <c r="O945" s="83"/>
      <c r="P945" s="83"/>
      <c r="Q945" s="83"/>
      <c r="R945" s="83"/>
      <c r="S945" s="83"/>
      <c r="T945" s="83"/>
      <c r="U945" s="32"/>
      <c r="V945" s="32"/>
      <c r="W945" s="32"/>
      <c r="X945" s="32"/>
      <c r="Y945" s="32"/>
      <c r="Z945" s="18"/>
      <c r="AA945" s="18"/>
      <c r="AZ945" s="92"/>
      <c r="BA945" s="21"/>
      <c r="BB945" s="93"/>
      <c r="BC945" s="93"/>
    </row>
    <row r="946">
      <c r="A946" s="89"/>
      <c r="B946" s="89"/>
      <c r="C946" s="89"/>
      <c r="D946" s="90"/>
      <c r="E946" s="82"/>
      <c r="F946" s="82"/>
      <c r="G946" s="82"/>
      <c r="H946" s="82"/>
      <c r="I946" s="82"/>
      <c r="J946" s="82"/>
      <c r="K946" s="82"/>
      <c r="L946" s="82"/>
      <c r="M946" s="91"/>
      <c r="N946" s="83"/>
      <c r="O946" s="83"/>
      <c r="P946" s="83"/>
      <c r="Q946" s="83"/>
      <c r="R946" s="83"/>
      <c r="S946" s="83"/>
      <c r="T946" s="83"/>
      <c r="U946" s="32"/>
      <c r="V946" s="32"/>
      <c r="W946" s="32"/>
      <c r="X946" s="32"/>
      <c r="Y946" s="32"/>
      <c r="Z946" s="18"/>
      <c r="AA946" s="18"/>
      <c r="AZ946" s="92"/>
      <c r="BA946" s="21"/>
      <c r="BB946" s="93"/>
      <c r="BC946" s="93"/>
    </row>
    <row r="947">
      <c r="A947" s="89"/>
      <c r="B947" s="89"/>
      <c r="C947" s="89"/>
      <c r="D947" s="90"/>
      <c r="E947" s="82"/>
      <c r="F947" s="82"/>
      <c r="G947" s="82"/>
      <c r="H947" s="82"/>
      <c r="I947" s="82"/>
      <c r="J947" s="82"/>
      <c r="K947" s="82"/>
      <c r="L947" s="82"/>
      <c r="M947" s="91"/>
      <c r="N947" s="83"/>
      <c r="O947" s="83"/>
      <c r="P947" s="83"/>
      <c r="Q947" s="83"/>
      <c r="R947" s="83"/>
      <c r="S947" s="83"/>
      <c r="T947" s="83"/>
      <c r="U947" s="32"/>
      <c r="V947" s="32"/>
      <c r="W947" s="32"/>
      <c r="X947" s="32"/>
      <c r="Y947" s="32"/>
      <c r="Z947" s="18"/>
      <c r="AA947" s="18"/>
      <c r="AZ947" s="92"/>
      <c r="BA947" s="21"/>
      <c r="BB947" s="93"/>
      <c r="BC947" s="93"/>
    </row>
    <row r="948">
      <c r="A948" s="89"/>
      <c r="B948" s="89"/>
      <c r="C948" s="89"/>
      <c r="D948" s="90"/>
      <c r="E948" s="82"/>
      <c r="F948" s="82"/>
      <c r="G948" s="82"/>
      <c r="H948" s="82"/>
      <c r="I948" s="82"/>
      <c r="J948" s="82"/>
      <c r="K948" s="82"/>
      <c r="L948" s="82"/>
      <c r="M948" s="91"/>
      <c r="N948" s="83"/>
      <c r="O948" s="83"/>
      <c r="P948" s="83"/>
      <c r="Q948" s="83"/>
      <c r="R948" s="83"/>
      <c r="S948" s="83"/>
      <c r="T948" s="83"/>
      <c r="U948" s="32"/>
      <c r="V948" s="32"/>
      <c r="W948" s="32"/>
      <c r="X948" s="32"/>
      <c r="Y948" s="32"/>
      <c r="Z948" s="18"/>
      <c r="AA948" s="18"/>
      <c r="AZ948" s="92"/>
      <c r="BA948" s="21"/>
      <c r="BB948" s="93"/>
      <c r="BC948" s="93"/>
    </row>
    <row r="949">
      <c r="A949" s="89"/>
      <c r="B949" s="89"/>
      <c r="C949" s="89"/>
      <c r="D949" s="90"/>
      <c r="E949" s="82"/>
      <c r="F949" s="82"/>
      <c r="G949" s="82"/>
      <c r="H949" s="82"/>
      <c r="I949" s="82"/>
      <c r="J949" s="82"/>
      <c r="K949" s="82"/>
      <c r="L949" s="82"/>
      <c r="M949" s="91"/>
      <c r="N949" s="83"/>
      <c r="O949" s="83"/>
      <c r="P949" s="83"/>
      <c r="Q949" s="83"/>
      <c r="R949" s="83"/>
      <c r="S949" s="83"/>
      <c r="T949" s="83"/>
      <c r="U949" s="32"/>
      <c r="V949" s="32"/>
      <c r="W949" s="32"/>
      <c r="X949" s="32"/>
      <c r="Y949" s="32"/>
      <c r="Z949" s="18"/>
      <c r="AA949" s="18"/>
      <c r="AZ949" s="92"/>
      <c r="BA949" s="21"/>
      <c r="BB949" s="93"/>
      <c r="BC949" s="93"/>
    </row>
    <row r="950">
      <c r="A950" s="89"/>
      <c r="B950" s="89"/>
      <c r="C950" s="89"/>
      <c r="D950" s="90"/>
      <c r="E950" s="82"/>
      <c r="F950" s="82"/>
      <c r="G950" s="82"/>
      <c r="H950" s="82"/>
      <c r="I950" s="82"/>
      <c r="J950" s="82"/>
      <c r="K950" s="82"/>
      <c r="L950" s="82"/>
      <c r="M950" s="91"/>
      <c r="N950" s="83"/>
      <c r="O950" s="83"/>
      <c r="P950" s="83"/>
      <c r="Q950" s="83"/>
      <c r="R950" s="83"/>
      <c r="S950" s="83"/>
      <c r="T950" s="83"/>
      <c r="U950" s="32"/>
      <c r="V950" s="32"/>
      <c r="W950" s="32"/>
      <c r="X950" s="32"/>
      <c r="Y950" s="32"/>
      <c r="Z950" s="18"/>
      <c r="AA950" s="18"/>
      <c r="AZ950" s="92"/>
      <c r="BA950" s="21"/>
      <c r="BB950" s="93"/>
      <c r="BC950" s="93"/>
    </row>
    <row r="951">
      <c r="A951" s="89"/>
      <c r="B951" s="89"/>
      <c r="C951" s="89"/>
      <c r="D951" s="90"/>
      <c r="E951" s="82"/>
      <c r="F951" s="82"/>
      <c r="G951" s="82"/>
      <c r="H951" s="82"/>
      <c r="I951" s="82"/>
      <c r="J951" s="82"/>
      <c r="K951" s="82"/>
      <c r="L951" s="82"/>
      <c r="M951" s="91"/>
      <c r="N951" s="83"/>
      <c r="O951" s="83"/>
      <c r="P951" s="83"/>
      <c r="Q951" s="83"/>
      <c r="R951" s="83"/>
      <c r="S951" s="83"/>
      <c r="T951" s="83"/>
      <c r="U951" s="32"/>
      <c r="V951" s="32"/>
      <c r="W951" s="32"/>
      <c r="X951" s="32"/>
      <c r="Y951" s="32"/>
      <c r="Z951" s="18"/>
      <c r="AA951" s="18"/>
      <c r="AZ951" s="92"/>
      <c r="BA951" s="21"/>
      <c r="BB951" s="93"/>
      <c r="BC951" s="93"/>
    </row>
    <row r="952">
      <c r="A952" s="89"/>
      <c r="B952" s="89"/>
      <c r="C952" s="89"/>
      <c r="D952" s="90"/>
      <c r="E952" s="82"/>
      <c r="F952" s="82"/>
      <c r="G952" s="82"/>
      <c r="H952" s="82"/>
      <c r="I952" s="82"/>
      <c r="J952" s="82"/>
      <c r="K952" s="82"/>
      <c r="L952" s="82"/>
      <c r="M952" s="91"/>
      <c r="N952" s="83"/>
      <c r="O952" s="83"/>
      <c r="P952" s="83"/>
      <c r="Q952" s="83"/>
      <c r="R952" s="83"/>
      <c r="S952" s="83"/>
      <c r="T952" s="83"/>
      <c r="U952" s="32"/>
      <c r="V952" s="32"/>
      <c r="W952" s="32"/>
      <c r="X952" s="32"/>
      <c r="Y952" s="32"/>
      <c r="Z952" s="18"/>
      <c r="AA952" s="18"/>
      <c r="AZ952" s="92"/>
      <c r="BA952" s="21"/>
      <c r="BB952" s="93"/>
      <c r="BC952" s="93"/>
    </row>
    <row r="953">
      <c r="A953" s="89"/>
      <c r="B953" s="89"/>
      <c r="C953" s="89"/>
      <c r="D953" s="90"/>
      <c r="E953" s="82"/>
      <c r="F953" s="82"/>
      <c r="G953" s="82"/>
      <c r="H953" s="82"/>
      <c r="I953" s="82"/>
      <c r="J953" s="82"/>
      <c r="K953" s="82"/>
      <c r="L953" s="82"/>
      <c r="M953" s="91"/>
      <c r="N953" s="83"/>
      <c r="O953" s="83"/>
      <c r="P953" s="83"/>
      <c r="Q953" s="83"/>
      <c r="R953" s="83"/>
      <c r="S953" s="83"/>
      <c r="T953" s="83"/>
      <c r="U953" s="32"/>
      <c r="V953" s="32"/>
      <c r="W953" s="32"/>
      <c r="X953" s="32"/>
      <c r="Y953" s="32"/>
      <c r="Z953" s="18"/>
      <c r="AA953" s="18"/>
      <c r="AZ953" s="92"/>
      <c r="BA953" s="21"/>
      <c r="BB953" s="93"/>
      <c r="BC953" s="93"/>
    </row>
    <row r="954">
      <c r="A954" s="89"/>
      <c r="B954" s="89"/>
      <c r="C954" s="89"/>
      <c r="D954" s="90"/>
      <c r="E954" s="82"/>
      <c r="F954" s="82"/>
      <c r="G954" s="82"/>
      <c r="H954" s="82"/>
      <c r="I954" s="82"/>
      <c r="J954" s="82"/>
      <c r="K954" s="82"/>
      <c r="L954" s="82"/>
      <c r="M954" s="91"/>
      <c r="N954" s="83"/>
      <c r="O954" s="83"/>
      <c r="P954" s="83"/>
      <c r="Q954" s="83"/>
      <c r="R954" s="83"/>
      <c r="S954" s="83"/>
      <c r="T954" s="83"/>
      <c r="U954" s="32"/>
      <c r="V954" s="32"/>
      <c r="W954" s="32"/>
      <c r="X954" s="32"/>
      <c r="Y954" s="32"/>
      <c r="Z954" s="18"/>
      <c r="AA954" s="18"/>
      <c r="AZ954" s="92"/>
      <c r="BA954" s="21"/>
      <c r="BB954" s="93"/>
      <c r="BC954" s="93"/>
    </row>
    <row r="955">
      <c r="A955" s="89"/>
      <c r="B955" s="89"/>
      <c r="C955" s="89"/>
      <c r="D955" s="90"/>
      <c r="E955" s="82"/>
      <c r="F955" s="82"/>
      <c r="G955" s="82"/>
      <c r="H955" s="82"/>
      <c r="I955" s="82"/>
      <c r="J955" s="82"/>
      <c r="K955" s="82"/>
      <c r="L955" s="82"/>
      <c r="M955" s="91"/>
      <c r="N955" s="83"/>
      <c r="O955" s="83"/>
      <c r="P955" s="83"/>
      <c r="Q955" s="83"/>
      <c r="R955" s="83"/>
      <c r="S955" s="83"/>
      <c r="T955" s="83"/>
      <c r="U955" s="32"/>
      <c r="V955" s="32"/>
      <c r="W955" s="32"/>
      <c r="X955" s="32"/>
      <c r="Y955" s="32"/>
      <c r="Z955" s="18"/>
      <c r="AA955" s="18"/>
      <c r="AZ955" s="92"/>
      <c r="BA955" s="21"/>
      <c r="BB955" s="93"/>
      <c r="BC955" s="93"/>
    </row>
    <row r="956">
      <c r="A956" s="89"/>
      <c r="B956" s="89"/>
      <c r="C956" s="89"/>
      <c r="D956" s="90"/>
      <c r="E956" s="82"/>
      <c r="F956" s="82"/>
      <c r="G956" s="82"/>
      <c r="H956" s="82"/>
      <c r="I956" s="82"/>
      <c r="J956" s="82"/>
      <c r="K956" s="82"/>
      <c r="L956" s="82"/>
      <c r="M956" s="91"/>
      <c r="N956" s="83"/>
      <c r="O956" s="83"/>
      <c r="P956" s="83"/>
      <c r="Q956" s="83"/>
      <c r="R956" s="83"/>
      <c r="S956" s="83"/>
      <c r="T956" s="83"/>
      <c r="U956" s="32"/>
      <c r="V956" s="32"/>
      <c r="W956" s="32"/>
      <c r="X956" s="32"/>
      <c r="Y956" s="32"/>
      <c r="Z956" s="18"/>
      <c r="AA956" s="18"/>
      <c r="AZ956" s="92"/>
      <c r="BA956" s="21"/>
      <c r="BB956" s="93"/>
      <c r="BC956" s="93"/>
    </row>
    <row r="957">
      <c r="A957" s="89"/>
      <c r="B957" s="89"/>
      <c r="C957" s="89"/>
      <c r="D957" s="90"/>
      <c r="E957" s="82"/>
      <c r="F957" s="82"/>
      <c r="G957" s="82"/>
      <c r="H957" s="82"/>
      <c r="I957" s="82"/>
      <c r="J957" s="82"/>
      <c r="K957" s="82"/>
      <c r="L957" s="82"/>
      <c r="M957" s="91"/>
      <c r="N957" s="83"/>
      <c r="O957" s="83"/>
      <c r="P957" s="83"/>
      <c r="Q957" s="83"/>
      <c r="R957" s="83"/>
      <c r="S957" s="83"/>
      <c r="T957" s="83"/>
      <c r="U957" s="32"/>
      <c r="V957" s="32"/>
      <c r="W957" s="32"/>
      <c r="X957" s="32"/>
      <c r="Y957" s="32"/>
      <c r="Z957" s="18"/>
      <c r="AA957" s="18"/>
      <c r="AZ957" s="92"/>
      <c r="BA957" s="21"/>
      <c r="BB957" s="93"/>
      <c r="BC957" s="93"/>
    </row>
    <row r="958">
      <c r="A958" s="89"/>
      <c r="B958" s="89"/>
      <c r="C958" s="89"/>
      <c r="D958" s="90"/>
      <c r="E958" s="82"/>
      <c r="F958" s="82"/>
      <c r="G958" s="82"/>
      <c r="H958" s="82"/>
      <c r="I958" s="82"/>
      <c r="J958" s="82"/>
      <c r="K958" s="82"/>
      <c r="L958" s="82"/>
      <c r="M958" s="91"/>
      <c r="N958" s="83"/>
      <c r="O958" s="83"/>
      <c r="P958" s="83"/>
      <c r="Q958" s="83"/>
      <c r="R958" s="83"/>
      <c r="S958" s="83"/>
      <c r="T958" s="83"/>
      <c r="U958" s="32"/>
      <c r="V958" s="32"/>
      <c r="W958" s="32"/>
      <c r="X958" s="32"/>
      <c r="Y958" s="32"/>
      <c r="Z958" s="18"/>
      <c r="AA958" s="18"/>
      <c r="AZ958" s="92"/>
      <c r="BA958" s="21"/>
      <c r="BB958" s="93"/>
      <c r="BC958" s="93"/>
    </row>
    <row r="959">
      <c r="A959" s="89"/>
      <c r="B959" s="89"/>
      <c r="C959" s="89"/>
      <c r="D959" s="90"/>
      <c r="E959" s="82"/>
      <c r="F959" s="82"/>
      <c r="G959" s="82"/>
      <c r="H959" s="82"/>
      <c r="I959" s="82"/>
      <c r="J959" s="82"/>
      <c r="K959" s="82"/>
      <c r="L959" s="82"/>
      <c r="M959" s="91"/>
      <c r="N959" s="83"/>
      <c r="O959" s="83"/>
      <c r="P959" s="83"/>
      <c r="Q959" s="83"/>
      <c r="R959" s="83"/>
      <c r="S959" s="83"/>
      <c r="T959" s="83"/>
      <c r="U959" s="32"/>
      <c r="V959" s="32"/>
      <c r="W959" s="32"/>
      <c r="X959" s="32"/>
      <c r="Y959" s="32"/>
      <c r="Z959" s="18"/>
      <c r="AA959" s="18"/>
      <c r="AZ959" s="92"/>
      <c r="BA959" s="21"/>
      <c r="BB959" s="93"/>
      <c r="BC959" s="93"/>
    </row>
    <row r="960">
      <c r="A960" s="89"/>
      <c r="B960" s="89"/>
      <c r="C960" s="89"/>
      <c r="D960" s="90"/>
      <c r="E960" s="82"/>
      <c r="F960" s="82"/>
      <c r="G960" s="82"/>
      <c r="H960" s="82"/>
      <c r="I960" s="82"/>
      <c r="J960" s="82"/>
      <c r="K960" s="82"/>
      <c r="L960" s="82"/>
      <c r="M960" s="91"/>
      <c r="N960" s="83"/>
      <c r="O960" s="83"/>
      <c r="P960" s="83"/>
      <c r="Q960" s="83"/>
      <c r="R960" s="83"/>
      <c r="S960" s="83"/>
      <c r="T960" s="83"/>
      <c r="U960" s="32"/>
      <c r="V960" s="32"/>
      <c r="W960" s="32"/>
      <c r="X960" s="32"/>
      <c r="Y960" s="32"/>
      <c r="Z960" s="18"/>
      <c r="AA960" s="18"/>
      <c r="AZ960" s="92"/>
      <c r="BA960" s="21"/>
      <c r="BB960" s="93"/>
      <c r="BC960" s="93"/>
    </row>
    <row r="961">
      <c r="A961" s="89"/>
      <c r="B961" s="89"/>
      <c r="C961" s="89"/>
      <c r="D961" s="90"/>
      <c r="E961" s="82"/>
      <c r="F961" s="82"/>
      <c r="G961" s="82"/>
      <c r="H961" s="82"/>
      <c r="I961" s="82"/>
      <c r="J961" s="82"/>
      <c r="K961" s="82"/>
      <c r="L961" s="82"/>
      <c r="M961" s="91"/>
      <c r="N961" s="83"/>
      <c r="O961" s="83"/>
      <c r="P961" s="83"/>
      <c r="Q961" s="83"/>
      <c r="R961" s="83"/>
      <c r="S961" s="83"/>
      <c r="T961" s="83"/>
      <c r="U961" s="32"/>
      <c r="V961" s="32"/>
      <c r="W961" s="32"/>
      <c r="X961" s="32"/>
      <c r="Y961" s="32"/>
      <c r="Z961" s="18"/>
      <c r="AA961" s="18"/>
      <c r="AZ961" s="92"/>
      <c r="BA961" s="21"/>
      <c r="BB961" s="93"/>
      <c r="BC961" s="93"/>
    </row>
    <row r="962">
      <c r="A962" s="89"/>
      <c r="B962" s="89"/>
      <c r="C962" s="89"/>
      <c r="D962" s="90"/>
      <c r="E962" s="82"/>
      <c r="F962" s="82"/>
      <c r="G962" s="82"/>
      <c r="H962" s="82"/>
      <c r="I962" s="82"/>
      <c r="J962" s="82"/>
      <c r="K962" s="82"/>
      <c r="L962" s="82"/>
      <c r="M962" s="91"/>
      <c r="N962" s="83"/>
      <c r="O962" s="83"/>
      <c r="P962" s="83"/>
      <c r="Q962" s="83"/>
      <c r="R962" s="83"/>
      <c r="S962" s="83"/>
      <c r="T962" s="83"/>
      <c r="U962" s="32"/>
      <c r="V962" s="32"/>
      <c r="W962" s="32"/>
      <c r="X962" s="32"/>
      <c r="Y962" s="32"/>
      <c r="Z962" s="18"/>
      <c r="AA962" s="18"/>
      <c r="AZ962" s="92"/>
      <c r="BA962" s="21"/>
      <c r="BB962" s="93"/>
      <c r="BC962" s="93"/>
    </row>
    <row r="963">
      <c r="A963" s="89"/>
      <c r="B963" s="89"/>
      <c r="C963" s="89"/>
      <c r="D963" s="90"/>
      <c r="E963" s="82"/>
      <c r="F963" s="82"/>
      <c r="G963" s="82"/>
      <c r="H963" s="82"/>
      <c r="I963" s="82"/>
      <c r="J963" s="82"/>
      <c r="K963" s="82"/>
      <c r="L963" s="82"/>
      <c r="M963" s="91"/>
      <c r="N963" s="83"/>
      <c r="O963" s="83"/>
      <c r="P963" s="83"/>
      <c r="Q963" s="83"/>
      <c r="R963" s="83"/>
      <c r="S963" s="83"/>
      <c r="T963" s="83"/>
      <c r="U963" s="32"/>
      <c r="V963" s="32"/>
      <c r="W963" s="32"/>
      <c r="X963" s="32"/>
      <c r="Y963" s="32"/>
      <c r="Z963" s="18"/>
      <c r="AA963" s="18"/>
      <c r="AZ963" s="92"/>
      <c r="BA963" s="21"/>
      <c r="BB963" s="93"/>
      <c r="BC963" s="93"/>
    </row>
    <row r="964">
      <c r="A964" s="89"/>
      <c r="B964" s="89"/>
      <c r="C964" s="89"/>
      <c r="D964" s="90"/>
      <c r="E964" s="82"/>
      <c r="F964" s="82"/>
      <c r="G964" s="82"/>
      <c r="H964" s="82"/>
      <c r="I964" s="82"/>
      <c r="J964" s="82"/>
      <c r="K964" s="82"/>
      <c r="L964" s="82"/>
      <c r="M964" s="91"/>
      <c r="N964" s="83"/>
      <c r="O964" s="83"/>
      <c r="P964" s="83"/>
      <c r="Q964" s="83"/>
      <c r="R964" s="83"/>
      <c r="S964" s="83"/>
      <c r="T964" s="83"/>
      <c r="U964" s="32"/>
      <c r="V964" s="32"/>
      <c r="W964" s="32"/>
      <c r="X964" s="32"/>
      <c r="Y964" s="32"/>
      <c r="Z964" s="18"/>
      <c r="AA964" s="18"/>
      <c r="AZ964" s="92"/>
      <c r="BA964" s="21"/>
      <c r="BB964" s="93"/>
      <c r="BC964" s="93"/>
    </row>
    <row r="965">
      <c r="A965" s="89"/>
      <c r="B965" s="89"/>
      <c r="C965" s="89"/>
      <c r="D965" s="90"/>
      <c r="E965" s="82"/>
      <c r="F965" s="82"/>
      <c r="G965" s="82"/>
      <c r="H965" s="82"/>
      <c r="I965" s="82"/>
      <c r="J965" s="82"/>
      <c r="K965" s="82"/>
      <c r="L965" s="82"/>
      <c r="M965" s="91"/>
      <c r="N965" s="83"/>
      <c r="O965" s="83"/>
      <c r="P965" s="83"/>
      <c r="Q965" s="83"/>
      <c r="R965" s="83"/>
      <c r="S965" s="83"/>
      <c r="T965" s="83"/>
      <c r="U965" s="32"/>
      <c r="V965" s="32"/>
      <c r="W965" s="32"/>
      <c r="X965" s="32"/>
      <c r="Y965" s="32"/>
      <c r="Z965" s="18"/>
      <c r="AA965" s="18"/>
      <c r="AZ965" s="92"/>
      <c r="BA965" s="21"/>
      <c r="BB965" s="93"/>
      <c r="BC965" s="93"/>
    </row>
    <row r="966">
      <c r="A966" s="89"/>
      <c r="B966" s="89"/>
      <c r="C966" s="89"/>
      <c r="D966" s="90"/>
      <c r="E966" s="82"/>
      <c r="F966" s="82"/>
      <c r="G966" s="82"/>
      <c r="H966" s="82"/>
      <c r="I966" s="82"/>
      <c r="J966" s="82"/>
      <c r="K966" s="82"/>
      <c r="L966" s="82"/>
      <c r="M966" s="91"/>
      <c r="N966" s="83"/>
      <c r="O966" s="83"/>
      <c r="P966" s="83"/>
      <c r="Q966" s="83"/>
      <c r="R966" s="83"/>
      <c r="S966" s="83"/>
      <c r="T966" s="83"/>
      <c r="U966" s="32"/>
      <c r="V966" s="32"/>
      <c r="W966" s="32"/>
      <c r="X966" s="32"/>
      <c r="Y966" s="32"/>
      <c r="Z966" s="18"/>
      <c r="AA966" s="18"/>
      <c r="AZ966" s="92"/>
      <c r="BA966" s="21"/>
      <c r="BB966" s="93"/>
      <c r="BC966" s="93"/>
    </row>
    <row r="967">
      <c r="A967" s="89"/>
      <c r="B967" s="89"/>
      <c r="C967" s="89"/>
      <c r="D967" s="90"/>
      <c r="E967" s="82"/>
      <c r="F967" s="82"/>
      <c r="G967" s="82"/>
      <c r="H967" s="82"/>
      <c r="I967" s="82"/>
      <c r="J967" s="82"/>
      <c r="K967" s="82"/>
      <c r="L967" s="82"/>
      <c r="M967" s="91"/>
      <c r="N967" s="83"/>
      <c r="O967" s="83"/>
      <c r="P967" s="83"/>
      <c r="Q967" s="83"/>
      <c r="R967" s="83"/>
      <c r="S967" s="83"/>
      <c r="T967" s="83"/>
      <c r="U967" s="32"/>
      <c r="V967" s="32"/>
      <c r="W967" s="32"/>
      <c r="X967" s="32"/>
      <c r="Y967" s="32"/>
      <c r="Z967" s="18"/>
      <c r="AA967" s="18"/>
      <c r="AZ967" s="92"/>
      <c r="BA967" s="21"/>
      <c r="BB967" s="93"/>
      <c r="BC967" s="93"/>
    </row>
    <row r="968">
      <c r="A968" s="89"/>
      <c r="B968" s="89"/>
      <c r="C968" s="89"/>
      <c r="D968" s="90"/>
      <c r="E968" s="82"/>
      <c r="F968" s="82"/>
      <c r="G968" s="82"/>
      <c r="H968" s="82"/>
      <c r="I968" s="82"/>
      <c r="J968" s="82"/>
      <c r="K968" s="82"/>
      <c r="L968" s="82"/>
      <c r="M968" s="91"/>
      <c r="N968" s="83"/>
      <c r="O968" s="83"/>
      <c r="P968" s="83"/>
      <c r="Q968" s="83"/>
      <c r="R968" s="83"/>
      <c r="S968" s="83"/>
      <c r="T968" s="83"/>
      <c r="U968" s="32"/>
      <c r="V968" s="32"/>
      <c r="W968" s="32"/>
      <c r="X968" s="32"/>
      <c r="Y968" s="32"/>
      <c r="Z968" s="18"/>
      <c r="AA968" s="18"/>
      <c r="AZ968" s="92"/>
      <c r="BA968" s="21"/>
      <c r="BB968" s="93"/>
      <c r="BC968" s="93"/>
    </row>
    <row r="969">
      <c r="A969" s="89"/>
      <c r="B969" s="89"/>
      <c r="C969" s="89"/>
      <c r="D969" s="90"/>
      <c r="E969" s="82"/>
      <c r="F969" s="82"/>
      <c r="G969" s="82"/>
      <c r="H969" s="82"/>
      <c r="I969" s="82"/>
      <c r="J969" s="82"/>
      <c r="K969" s="82"/>
      <c r="L969" s="82"/>
      <c r="M969" s="91"/>
      <c r="N969" s="83"/>
      <c r="O969" s="83"/>
      <c r="P969" s="83"/>
      <c r="Q969" s="83"/>
      <c r="R969" s="83"/>
      <c r="S969" s="83"/>
      <c r="T969" s="83"/>
      <c r="U969" s="32"/>
      <c r="V969" s="32"/>
      <c r="W969" s="32"/>
      <c r="X969" s="32"/>
      <c r="Y969" s="32"/>
      <c r="Z969" s="18"/>
      <c r="AA969" s="18"/>
      <c r="AZ969" s="92"/>
      <c r="BA969" s="21"/>
      <c r="BB969" s="93"/>
      <c r="BC969" s="93"/>
    </row>
    <row r="970">
      <c r="A970" s="89"/>
      <c r="B970" s="89"/>
      <c r="C970" s="89"/>
      <c r="D970" s="90"/>
      <c r="E970" s="82"/>
      <c r="F970" s="82"/>
      <c r="G970" s="82"/>
      <c r="H970" s="82"/>
      <c r="I970" s="82"/>
      <c r="J970" s="82"/>
      <c r="K970" s="82"/>
      <c r="L970" s="82"/>
      <c r="M970" s="91"/>
      <c r="N970" s="83"/>
      <c r="O970" s="83"/>
      <c r="P970" s="83"/>
      <c r="Q970" s="83"/>
      <c r="R970" s="83"/>
      <c r="S970" s="83"/>
      <c r="T970" s="83"/>
      <c r="U970" s="32"/>
      <c r="V970" s="32"/>
      <c r="W970" s="32"/>
      <c r="X970" s="32"/>
      <c r="Y970" s="32"/>
      <c r="Z970" s="18"/>
      <c r="AA970" s="18"/>
      <c r="AZ970" s="92"/>
      <c r="BA970" s="21"/>
      <c r="BB970" s="93"/>
      <c r="BC970" s="93"/>
    </row>
    <row r="971">
      <c r="A971" s="89"/>
      <c r="B971" s="89"/>
      <c r="C971" s="89"/>
      <c r="D971" s="90"/>
      <c r="E971" s="82"/>
      <c r="F971" s="82"/>
      <c r="G971" s="82"/>
      <c r="H971" s="82"/>
      <c r="I971" s="82"/>
      <c r="J971" s="82"/>
      <c r="K971" s="82"/>
      <c r="L971" s="82"/>
      <c r="M971" s="91"/>
      <c r="N971" s="83"/>
      <c r="O971" s="83"/>
      <c r="P971" s="83"/>
      <c r="Q971" s="83"/>
      <c r="R971" s="83"/>
      <c r="S971" s="83"/>
      <c r="T971" s="83"/>
      <c r="U971" s="32"/>
      <c r="V971" s="32"/>
      <c r="W971" s="32"/>
      <c r="X971" s="32"/>
      <c r="Y971" s="32"/>
      <c r="Z971" s="18"/>
      <c r="AA971" s="18"/>
      <c r="AZ971" s="92"/>
      <c r="BA971" s="21"/>
      <c r="BB971" s="93"/>
      <c r="BC971" s="93"/>
    </row>
    <row r="972">
      <c r="A972" s="89"/>
      <c r="B972" s="89"/>
      <c r="C972" s="89"/>
      <c r="D972" s="90"/>
      <c r="E972" s="82"/>
      <c r="F972" s="82"/>
      <c r="G972" s="82"/>
      <c r="H972" s="82"/>
      <c r="I972" s="82"/>
      <c r="J972" s="82"/>
      <c r="K972" s="82"/>
      <c r="L972" s="82"/>
      <c r="M972" s="91"/>
      <c r="N972" s="83"/>
      <c r="O972" s="83"/>
      <c r="P972" s="83"/>
      <c r="Q972" s="83"/>
      <c r="R972" s="83"/>
      <c r="S972" s="83"/>
      <c r="T972" s="83"/>
      <c r="U972" s="32"/>
      <c r="V972" s="32"/>
      <c r="W972" s="32"/>
      <c r="X972" s="32"/>
      <c r="Y972" s="32"/>
      <c r="Z972" s="18"/>
      <c r="AA972" s="18"/>
      <c r="AZ972" s="92"/>
      <c r="BA972" s="21"/>
      <c r="BB972" s="93"/>
      <c r="BC972" s="93"/>
    </row>
    <row r="973">
      <c r="A973" s="89"/>
      <c r="B973" s="89"/>
      <c r="C973" s="89"/>
      <c r="D973" s="90"/>
      <c r="E973" s="82"/>
      <c r="F973" s="82"/>
      <c r="G973" s="82"/>
      <c r="H973" s="82"/>
      <c r="I973" s="82"/>
      <c r="J973" s="82"/>
      <c r="K973" s="82"/>
      <c r="L973" s="82"/>
      <c r="M973" s="91"/>
      <c r="N973" s="83"/>
      <c r="O973" s="83"/>
      <c r="P973" s="83"/>
      <c r="Q973" s="83"/>
      <c r="R973" s="83"/>
      <c r="S973" s="83"/>
      <c r="T973" s="83"/>
      <c r="U973" s="32"/>
      <c r="V973" s="32"/>
      <c r="W973" s="32"/>
      <c r="X973" s="32"/>
      <c r="Y973" s="32"/>
      <c r="Z973" s="18"/>
      <c r="AA973" s="18"/>
      <c r="AZ973" s="92"/>
      <c r="BA973" s="21"/>
      <c r="BB973" s="93"/>
      <c r="BC973" s="93"/>
    </row>
    <row r="974">
      <c r="A974" s="89"/>
      <c r="B974" s="89"/>
      <c r="C974" s="89"/>
      <c r="D974" s="90"/>
      <c r="E974" s="82"/>
      <c r="F974" s="82"/>
      <c r="G974" s="82"/>
      <c r="H974" s="82"/>
      <c r="I974" s="82"/>
      <c r="J974" s="82"/>
      <c r="K974" s="82"/>
      <c r="L974" s="82"/>
      <c r="M974" s="91"/>
      <c r="N974" s="83"/>
      <c r="O974" s="83"/>
      <c r="P974" s="83"/>
      <c r="Q974" s="83"/>
      <c r="R974" s="83"/>
      <c r="S974" s="83"/>
      <c r="T974" s="83"/>
      <c r="U974" s="32"/>
      <c r="V974" s="32"/>
      <c r="W974" s="32"/>
      <c r="X974" s="32"/>
      <c r="Y974" s="32"/>
      <c r="Z974" s="18"/>
      <c r="AA974" s="18"/>
      <c r="AZ974" s="92"/>
      <c r="BA974" s="21"/>
      <c r="BB974" s="93"/>
      <c r="BC974" s="93"/>
    </row>
    <row r="975">
      <c r="A975" s="89"/>
      <c r="B975" s="89"/>
      <c r="C975" s="89"/>
      <c r="D975" s="90"/>
      <c r="E975" s="82"/>
      <c r="F975" s="82"/>
      <c r="G975" s="82"/>
      <c r="H975" s="82"/>
      <c r="I975" s="82"/>
      <c r="J975" s="82"/>
      <c r="K975" s="82"/>
      <c r="L975" s="82"/>
      <c r="M975" s="91"/>
      <c r="N975" s="83"/>
      <c r="O975" s="83"/>
      <c r="P975" s="83"/>
      <c r="Q975" s="83"/>
      <c r="R975" s="83"/>
      <c r="S975" s="83"/>
      <c r="T975" s="83"/>
      <c r="U975" s="32"/>
      <c r="V975" s="32"/>
      <c r="W975" s="32"/>
      <c r="X975" s="32"/>
      <c r="Y975" s="32"/>
      <c r="Z975" s="18"/>
      <c r="AA975" s="18"/>
      <c r="AZ975" s="92"/>
      <c r="BA975" s="21"/>
      <c r="BB975" s="93"/>
      <c r="BC975" s="93"/>
    </row>
    <row r="976">
      <c r="A976" s="89"/>
      <c r="B976" s="89"/>
      <c r="C976" s="89"/>
      <c r="D976" s="90"/>
      <c r="E976" s="82"/>
      <c r="F976" s="82"/>
      <c r="G976" s="82"/>
      <c r="H976" s="82"/>
      <c r="I976" s="82"/>
      <c r="J976" s="82"/>
      <c r="K976" s="82"/>
      <c r="L976" s="82"/>
      <c r="M976" s="91"/>
      <c r="N976" s="83"/>
      <c r="O976" s="83"/>
      <c r="P976" s="83"/>
      <c r="Q976" s="83"/>
      <c r="R976" s="83"/>
      <c r="S976" s="83"/>
      <c r="T976" s="83"/>
      <c r="U976" s="32"/>
      <c r="V976" s="32"/>
      <c r="W976" s="32"/>
      <c r="X976" s="32"/>
      <c r="Y976" s="32"/>
      <c r="Z976" s="18"/>
      <c r="AA976" s="18"/>
      <c r="AZ976" s="92"/>
      <c r="BA976" s="21"/>
      <c r="BB976" s="93"/>
      <c r="BC976" s="93"/>
    </row>
    <row r="977">
      <c r="A977" s="89"/>
      <c r="B977" s="89"/>
      <c r="C977" s="89"/>
      <c r="D977" s="90"/>
      <c r="E977" s="82"/>
      <c r="F977" s="82"/>
      <c r="G977" s="82"/>
      <c r="H977" s="82"/>
      <c r="I977" s="82"/>
      <c r="J977" s="82"/>
      <c r="K977" s="82"/>
      <c r="L977" s="82"/>
      <c r="M977" s="91"/>
      <c r="N977" s="83"/>
      <c r="O977" s="83"/>
      <c r="P977" s="83"/>
      <c r="Q977" s="83"/>
      <c r="R977" s="83"/>
      <c r="S977" s="83"/>
      <c r="T977" s="83"/>
      <c r="U977" s="32"/>
      <c r="V977" s="32"/>
      <c r="W977" s="32"/>
      <c r="X977" s="32"/>
      <c r="Y977" s="32"/>
      <c r="Z977" s="18"/>
      <c r="AA977" s="18"/>
      <c r="AZ977" s="92"/>
      <c r="BA977" s="21"/>
      <c r="BB977" s="93"/>
      <c r="BC977" s="93"/>
    </row>
    <row r="978">
      <c r="A978" s="89"/>
      <c r="B978" s="89"/>
      <c r="C978" s="89"/>
      <c r="D978" s="90"/>
      <c r="E978" s="82"/>
      <c r="F978" s="82"/>
      <c r="G978" s="82"/>
      <c r="H978" s="82"/>
      <c r="I978" s="82"/>
      <c r="J978" s="82"/>
      <c r="K978" s="82"/>
      <c r="L978" s="82"/>
      <c r="M978" s="91"/>
      <c r="N978" s="83"/>
      <c r="O978" s="83"/>
      <c r="P978" s="83"/>
      <c r="Q978" s="83"/>
      <c r="R978" s="83"/>
      <c r="S978" s="83"/>
      <c r="T978" s="83"/>
      <c r="U978" s="32"/>
      <c r="V978" s="32"/>
      <c r="W978" s="32"/>
      <c r="X978" s="32"/>
      <c r="Y978" s="32"/>
      <c r="Z978" s="18"/>
      <c r="AA978" s="18"/>
      <c r="AZ978" s="92"/>
      <c r="BA978" s="21"/>
      <c r="BB978" s="93"/>
      <c r="BC978" s="93"/>
    </row>
    <row r="979">
      <c r="A979" s="89"/>
      <c r="B979" s="89"/>
      <c r="C979" s="89"/>
      <c r="D979" s="90"/>
      <c r="E979" s="82"/>
      <c r="F979" s="82"/>
      <c r="G979" s="82"/>
      <c r="H979" s="82"/>
      <c r="I979" s="82"/>
      <c r="J979" s="82"/>
      <c r="K979" s="82"/>
      <c r="L979" s="82"/>
      <c r="M979" s="91"/>
      <c r="N979" s="83"/>
      <c r="O979" s="83"/>
      <c r="P979" s="83"/>
      <c r="Q979" s="83"/>
      <c r="R979" s="83"/>
      <c r="S979" s="83"/>
      <c r="T979" s="83"/>
      <c r="U979" s="32"/>
      <c r="V979" s="32"/>
      <c r="W979" s="32"/>
      <c r="X979" s="32"/>
      <c r="Y979" s="32"/>
      <c r="Z979" s="18"/>
      <c r="AA979" s="18"/>
      <c r="AZ979" s="92"/>
      <c r="BA979" s="21"/>
      <c r="BB979" s="93"/>
      <c r="BC979" s="93"/>
    </row>
    <row r="980">
      <c r="A980" s="89"/>
      <c r="B980" s="89"/>
      <c r="C980" s="89"/>
      <c r="D980" s="90"/>
      <c r="E980" s="82"/>
      <c r="F980" s="82"/>
      <c r="G980" s="82"/>
      <c r="H980" s="82"/>
      <c r="I980" s="82"/>
      <c r="J980" s="82"/>
      <c r="K980" s="82"/>
      <c r="L980" s="82"/>
      <c r="M980" s="91"/>
      <c r="N980" s="83"/>
      <c r="O980" s="83"/>
      <c r="P980" s="83"/>
      <c r="Q980" s="83"/>
      <c r="R980" s="83"/>
      <c r="S980" s="83"/>
      <c r="T980" s="83"/>
      <c r="U980" s="32"/>
      <c r="V980" s="32"/>
      <c r="W980" s="32"/>
      <c r="X980" s="32"/>
      <c r="Y980" s="32"/>
      <c r="Z980" s="18"/>
      <c r="AA980" s="18"/>
      <c r="AZ980" s="92"/>
      <c r="BA980" s="21"/>
      <c r="BB980" s="93"/>
      <c r="BC980" s="93"/>
    </row>
    <row r="981">
      <c r="A981" s="89"/>
      <c r="B981" s="89"/>
      <c r="C981" s="89"/>
      <c r="D981" s="90"/>
      <c r="E981" s="82"/>
      <c r="F981" s="82"/>
      <c r="G981" s="82"/>
      <c r="H981" s="82"/>
      <c r="I981" s="82"/>
      <c r="J981" s="82"/>
      <c r="K981" s="82"/>
      <c r="L981" s="82"/>
      <c r="M981" s="91"/>
      <c r="N981" s="83"/>
      <c r="O981" s="83"/>
      <c r="P981" s="83"/>
      <c r="Q981" s="83"/>
      <c r="R981" s="83"/>
      <c r="S981" s="83"/>
      <c r="T981" s="83"/>
      <c r="U981" s="32"/>
      <c r="V981" s="32"/>
      <c r="W981" s="32"/>
      <c r="X981" s="32"/>
      <c r="Y981" s="32"/>
      <c r="Z981" s="18"/>
      <c r="AA981" s="18"/>
      <c r="AZ981" s="92"/>
      <c r="BA981" s="21"/>
      <c r="BB981" s="93"/>
      <c r="BC981" s="93"/>
    </row>
    <row r="982">
      <c r="A982" s="89"/>
      <c r="B982" s="89"/>
      <c r="C982" s="89"/>
      <c r="D982" s="90"/>
      <c r="E982" s="82"/>
      <c r="F982" s="82"/>
      <c r="G982" s="82"/>
      <c r="H982" s="82"/>
      <c r="I982" s="82"/>
      <c r="J982" s="82"/>
      <c r="K982" s="82"/>
      <c r="L982" s="82"/>
      <c r="M982" s="91"/>
      <c r="N982" s="83"/>
      <c r="O982" s="83"/>
      <c r="P982" s="83"/>
      <c r="Q982" s="83"/>
      <c r="R982" s="83"/>
      <c r="S982" s="83"/>
      <c r="T982" s="83"/>
      <c r="U982" s="32"/>
      <c r="V982" s="32"/>
      <c r="W982" s="32"/>
      <c r="X982" s="32"/>
      <c r="Y982" s="32"/>
      <c r="Z982" s="18"/>
      <c r="AA982" s="18"/>
      <c r="AZ982" s="92"/>
      <c r="BA982" s="21"/>
      <c r="BB982" s="93"/>
      <c r="BC982" s="93"/>
    </row>
    <row r="983">
      <c r="A983" s="89"/>
      <c r="B983" s="89"/>
      <c r="C983" s="89"/>
      <c r="D983" s="90"/>
      <c r="E983" s="82"/>
      <c r="F983" s="82"/>
      <c r="G983" s="82"/>
      <c r="H983" s="82"/>
      <c r="I983" s="82"/>
      <c r="J983" s="82"/>
      <c r="K983" s="82"/>
      <c r="L983" s="82"/>
      <c r="M983" s="91"/>
      <c r="N983" s="83"/>
      <c r="O983" s="83"/>
      <c r="P983" s="83"/>
      <c r="Q983" s="83"/>
      <c r="R983" s="83"/>
      <c r="S983" s="83"/>
      <c r="T983" s="83"/>
      <c r="U983" s="32"/>
      <c r="V983" s="32"/>
      <c r="W983" s="32"/>
      <c r="X983" s="32"/>
      <c r="Y983" s="32"/>
      <c r="Z983" s="18"/>
      <c r="AA983" s="18"/>
      <c r="AZ983" s="92"/>
      <c r="BA983" s="21"/>
      <c r="BB983" s="93"/>
      <c r="BC983" s="93"/>
    </row>
    <row r="984">
      <c r="A984" s="89"/>
      <c r="B984" s="89"/>
      <c r="C984" s="89"/>
      <c r="D984" s="90"/>
      <c r="E984" s="82"/>
      <c r="F984" s="82"/>
      <c r="G984" s="82"/>
      <c r="H984" s="82"/>
      <c r="I984" s="82"/>
      <c r="J984" s="82"/>
      <c r="K984" s="82"/>
      <c r="L984" s="82"/>
      <c r="M984" s="91"/>
      <c r="N984" s="83"/>
      <c r="O984" s="83"/>
      <c r="P984" s="83"/>
      <c r="Q984" s="83"/>
      <c r="R984" s="83"/>
      <c r="S984" s="83"/>
      <c r="T984" s="83"/>
      <c r="U984" s="32"/>
      <c r="V984" s="32"/>
      <c r="W984" s="32"/>
      <c r="X984" s="32"/>
      <c r="Y984" s="32"/>
      <c r="Z984" s="18"/>
      <c r="AA984" s="18"/>
      <c r="AZ984" s="92"/>
      <c r="BA984" s="21"/>
      <c r="BB984" s="93"/>
      <c r="BC984" s="93"/>
    </row>
    <row r="985">
      <c r="A985" s="89"/>
      <c r="B985" s="89"/>
      <c r="C985" s="89"/>
      <c r="D985" s="90"/>
      <c r="E985" s="82"/>
      <c r="F985" s="82"/>
      <c r="G985" s="82"/>
      <c r="H985" s="82"/>
      <c r="I985" s="82"/>
      <c r="J985" s="82"/>
      <c r="K985" s="82"/>
      <c r="L985" s="82"/>
      <c r="M985" s="91"/>
      <c r="N985" s="83"/>
      <c r="O985" s="83"/>
      <c r="P985" s="83"/>
      <c r="Q985" s="83"/>
      <c r="R985" s="83"/>
      <c r="S985" s="83"/>
      <c r="T985" s="83"/>
      <c r="U985" s="32"/>
      <c r="V985" s="32"/>
      <c r="W985" s="32"/>
      <c r="X985" s="32"/>
      <c r="Y985" s="32"/>
      <c r="Z985" s="18"/>
      <c r="AA985" s="18"/>
      <c r="AZ985" s="92"/>
      <c r="BA985" s="21"/>
      <c r="BB985" s="93"/>
      <c r="BC985" s="93"/>
    </row>
    <row r="986">
      <c r="A986" s="89"/>
      <c r="B986" s="89"/>
      <c r="C986" s="89"/>
      <c r="D986" s="90"/>
      <c r="E986" s="82"/>
      <c r="F986" s="82"/>
      <c r="G986" s="82"/>
      <c r="H986" s="82"/>
      <c r="I986" s="82"/>
      <c r="J986" s="82"/>
      <c r="K986" s="82"/>
      <c r="L986" s="82"/>
      <c r="M986" s="91"/>
      <c r="N986" s="83"/>
      <c r="O986" s="83"/>
      <c r="P986" s="83"/>
      <c r="Q986" s="83"/>
      <c r="R986" s="83"/>
      <c r="S986" s="83"/>
      <c r="T986" s="83"/>
      <c r="U986" s="32"/>
      <c r="V986" s="32"/>
      <c r="W986" s="32"/>
      <c r="X986" s="32"/>
      <c r="Y986" s="32"/>
      <c r="Z986" s="18"/>
      <c r="AA986" s="18"/>
      <c r="AZ986" s="92"/>
      <c r="BA986" s="21"/>
      <c r="BB986" s="93"/>
      <c r="BC986" s="93"/>
    </row>
    <row r="987">
      <c r="A987" s="89"/>
      <c r="B987" s="89"/>
      <c r="C987" s="89"/>
      <c r="D987" s="90"/>
      <c r="E987" s="82"/>
      <c r="F987" s="82"/>
      <c r="G987" s="82"/>
      <c r="H987" s="82"/>
      <c r="I987" s="82"/>
      <c r="J987" s="82"/>
      <c r="K987" s="82"/>
      <c r="L987" s="82"/>
      <c r="M987" s="91"/>
      <c r="N987" s="83"/>
      <c r="O987" s="83"/>
      <c r="P987" s="83"/>
      <c r="Q987" s="83"/>
      <c r="R987" s="83"/>
      <c r="S987" s="83"/>
      <c r="T987" s="83"/>
      <c r="U987" s="32"/>
      <c r="V987" s="32"/>
      <c r="W987" s="32"/>
      <c r="X987" s="32"/>
      <c r="Y987" s="32"/>
      <c r="Z987" s="18"/>
      <c r="AA987" s="18"/>
      <c r="AZ987" s="92"/>
      <c r="BA987" s="21"/>
      <c r="BB987" s="93"/>
      <c r="BC987" s="93"/>
    </row>
    <row r="988">
      <c r="A988" s="89"/>
      <c r="B988" s="89"/>
      <c r="C988" s="89"/>
      <c r="D988" s="90"/>
      <c r="E988" s="82"/>
      <c r="F988" s="82"/>
      <c r="G988" s="82"/>
      <c r="H988" s="82"/>
      <c r="I988" s="82"/>
      <c r="J988" s="82"/>
      <c r="K988" s="82"/>
      <c r="L988" s="82"/>
      <c r="M988" s="91"/>
      <c r="N988" s="83"/>
      <c r="O988" s="83"/>
      <c r="P988" s="83"/>
      <c r="Q988" s="83"/>
      <c r="R988" s="83"/>
      <c r="S988" s="83"/>
      <c r="T988" s="83"/>
      <c r="U988" s="32"/>
      <c r="V988" s="32"/>
      <c r="W988" s="32"/>
      <c r="X988" s="32"/>
      <c r="Y988" s="32"/>
      <c r="Z988" s="18"/>
      <c r="AA988" s="18"/>
      <c r="AZ988" s="92"/>
      <c r="BA988" s="21"/>
      <c r="BB988" s="93"/>
      <c r="BC988" s="93"/>
    </row>
    <row r="989">
      <c r="A989" s="89"/>
      <c r="B989" s="89"/>
      <c r="C989" s="89"/>
      <c r="D989" s="90"/>
      <c r="E989" s="82"/>
      <c r="F989" s="82"/>
      <c r="G989" s="82"/>
      <c r="H989" s="82"/>
      <c r="I989" s="82"/>
      <c r="J989" s="82"/>
      <c r="K989" s="82"/>
      <c r="L989" s="82"/>
      <c r="M989" s="91"/>
      <c r="N989" s="83"/>
      <c r="O989" s="83"/>
      <c r="P989" s="83"/>
      <c r="Q989" s="83"/>
      <c r="R989" s="83"/>
      <c r="S989" s="83"/>
      <c r="T989" s="83"/>
      <c r="U989" s="32"/>
      <c r="V989" s="32"/>
      <c r="W989" s="32"/>
      <c r="X989" s="32"/>
      <c r="Y989" s="32"/>
      <c r="Z989" s="18"/>
      <c r="AA989" s="18"/>
      <c r="AZ989" s="92"/>
      <c r="BA989" s="21"/>
      <c r="BB989" s="93"/>
      <c r="BC989" s="93"/>
    </row>
    <row r="990">
      <c r="A990" s="89"/>
      <c r="B990" s="89"/>
      <c r="C990" s="89"/>
      <c r="D990" s="90"/>
      <c r="E990" s="82"/>
      <c r="F990" s="82"/>
      <c r="G990" s="82"/>
      <c r="H990" s="82"/>
      <c r="I990" s="82"/>
      <c r="J990" s="82"/>
      <c r="K990" s="82"/>
      <c r="L990" s="82"/>
      <c r="M990" s="91"/>
      <c r="N990" s="83"/>
      <c r="O990" s="83"/>
      <c r="P990" s="83"/>
      <c r="Q990" s="83"/>
      <c r="R990" s="83"/>
      <c r="S990" s="83"/>
      <c r="T990" s="83"/>
      <c r="U990" s="32"/>
      <c r="V990" s="32"/>
      <c r="W990" s="32"/>
      <c r="X990" s="32"/>
      <c r="Y990" s="32"/>
      <c r="Z990" s="18"/>
      <c r="AA990" s="18"/>
      <c r="AZ990" s="92"/>
      <c r="BA990" s="21"/>
      <c r="BB990" s="93"/>
      <c r="BC990" s="93"/>
    </row>
    <row r="991">
      <c r="A991" s="89"/>
      <c r="B991" s="89"/>
      <c r="C991" s="89"/>
      <c r="D991" s="90"/>
      <c r="E991" s="82"/>
      <c r="F991" s="82"/>
      <c r="G991" s="82"/>
      <c r="H991" s="82"/>
      <c r="I991" s="82"/>
      <c r="J991" s="82"/>
      <c r="K991" s="82"/>
      <c r="L991" s="82"/>
      <c r="M991" s="91"/>
      <c r="N991" s="83"/>
      <c r="O991" s="83"/>
      <c r="P991" s="83"/>
      <c r="Q991" s="83"/>
      <c r="R991" s="83"/>
      <c r="S991" s="83"/>
      <c r="T991" s="83"/>
      <c r="U991" s="32"/>
      <c r="V991" s="32"/>
      <c r="W991" s="32"/>
      <c r="X991" s="32"/>
      <c r="Y991" s="32"/>
      <c r="Z991" s="18"/>
      <c r="AA991" s="18"/>
      <c r="AZ991" s="92"/>
      <c r="BA991" s="21"/>
      <c r="BB991" s="93"/>
      <c r="BC991" s="93"/>
    </row>
    <row r="992">
      <c r="A992" s="89"/>
      <c r="B992" s="89"/>
      <c r="C992" s="89"/>
      <c r="D992" s="90"/>
      <c r="E992" s="82"/>
      <c r="F992" s="82"/>
      <c r="G992" s="82"/>
      <c r="H992" s="82"/>
      <c r="I992" s="82"/>
      <c r="J992" s="82"/>
      <c r="K992" s="82"/>
      <c r="L992" s="82"/>
      <c r="M992" s="91"/>
      <c r="N992" s="83"/>
      <c r="O992" s="83"/>
      <c r="P992" s="83"/>
      <c r="Q992" s="83"/>
      <c r="R992" s="83"/>
      <c r="S992" s="83"/>
      <c r="T992" s="83"/>
      <c r="U992" s="32"/>
      <c r="V992" s="32"/>
      <c r="W992" s="32"/>
      <c r="X992" s="32"/>
      <c r="Y992" s="32"/>
      <c r="Z992" s="18"/>
      <c r="AA992" s="18"/>
      <c r="AZ992" s="92"/>
      <c r="BA992" s="21"/>
      <c r="BB992" s="93"/>
      <c r="BC992" s="93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4.75"/>
    <col customWidth="1" min="2" max="2" width="7.0"/>
    <col customWidth="1" min="3" max="3" width="10.88"/>
    <col customWidth="1" min="4" max="4" width="15.88"/>
    <col customWidth="1" min="5" max="5" width="14.13"/>
    <col customWidth="1" min="6" max="6" width="13.75"/>
    <col customWidth="1" min="13" max="13" width="18.25"/>
    <col customWidth="1" min="14" max="14" width="15.0"/>
    <col customWidth="1" min="15" max="15" width="15.5"/>
    <col customWidth="1" min="16" max="16" width="15.25"/>
    <col customWidth="1" min="19" max="19" width="14.75"/>
    <col customWidth="1" min="20" max="21" width="14.25"/>
  </cols>
  <sheetData>
    <row r="1">
      <c r="A1" s="1" t="s">
        <v>0</v>
      </c>
      <c r="B1" s="1" t="s">
        <v>1</v>
      </c>
      <c r="C1" s="1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3" t="s">
        <v>190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8</v>
      </c>
      <c r="S1" s="3" t="s">
        <v>6</v>
      </c>
      <c r="T1" s="3" t="s">
        <v>7</v>
      </c>
      <c r="U1" s="6" t="s">
        <v>11</v>
      </c>
      <c r="V1" s="6" t="s">
        <v>8</v>
      </c>
      <c r="W1" s="6" t="s">
        <v>9</v>
      </c>
      <c r="X1" s="6" t="s">
        <v>14</v>
      </c>
    </row>
    <row r="2">
      <c r="A2" s="11">
        <v>2024.0</v>
      </c>
      <c r="B2" s="11" t="s">
        <v>135</v>
      </c>
      <c r="C2" s="12">
        <v>45439.0</v>
      </c>
      <c r="D2" s="94">
        <v>7.0</v>
      </c>
      <c r="E2" s="95">
        <v>558917.25</v>
      </c>
      <c r="F2" s="95">
        <v>34795.26</v>
      </c>
      <c r="G2" s="95">
        <v>3261.24</v>
      </c>
      <c r="H2" s="95">
        <v>966.0</v>
      </c>
      <c r="I2" s="95">
        <v>854.9</v>
      </c>
      <c r="J2" s="95">
        <v>3927.34</v>
      </c>
      <c r="K2" s="95">
        <v>15624.4</v>
      </c>
      <c r="L2" s="95">
        <v>10161.38</v>
      </c>
      <c r="M2" s="96">
        <v>3.0</v>
      </c>
      <c r="N2" s="97">
        <v>652000.0</v>
      </c>
      <c r="O2" s="97">
        <f t="shared" ref="O2:O6" si="1">N2*4%</f>
        <v>26080</v>
      </c>
      <c r="P2" s="97">
        <f t="shared" ref="P2:P6" si="2">N2*1.68%</f>
        <v>10953.6</v>
      </c>
      <c r="Q2" s="97">
        <f t="shared" ref="Q2:Q6" si="3">M2*(250+300)</f>
        <v>1650</v>
      </c>
      <c r="R2" s="97">
        <f t="shared" ref="R2:R6" si="4">M2*239.19</f>
        <v>717.57</v>
      </c>
      <c r="S2" s="98">
        <f t="shared" ref="S2:S6" si="5">M2*393.42</f>
        <v>1180.26</v>
      </c>
      <c r="T2" s="98">
        <f t="shared" ref="T2:T6" si="6">M2*138</f>
        <v>414</v>
      </c>
      <c r="U2" s="32"/>
      <c r="V2" s="18">
        <f t="shared" ref="V2:V6" si="7">R2+I2</f>
        <v>1572.47</v>
      </c>
      <c r="W2" s="18">
        <f t="shared" ref="W2:W6" si="8">J2</f>
        <v>3927.34</v>
      </c>
      <c r="X2" s="18">
        <f t="shared" ref="X2:X6" si="9">O2</f>
        <v>26080</v>
      </c>
    </row>
    <row r="3">
      <c r="A3" s="11">
        <v>2024.0</v>
      </c>
      <c r="B3" s="11" t="s">
        <v>135</v>
      </c>
      <c r="C3" s="12">
        <v>45440.0</v>
      </c>
      <c r="D3" s="94">
        <v>17.0</v>
      </c>
      <c r="E3" s="95">
        <v>1520167.74</v>
      </c>
      <c r="F3" s="95">
        <v>93972.5</v>
      </c>
      <c r="G3" s="95">
        <v>7663.77</v>
      </c>
      <c r="H3" s="95">
        <v>2070.0</v>
      </c>
      <c r="I3" s="95">
        <v>3070.14</v>
      </c>
      <c r="J3" s="95">
        <v>16395.15</v>
      </c>
      <c r="K3" s="95">
        <v>36983.19</v>
      </c>
      <c r="L3" s="95">
        <v>27790.25</v>
      </c>
      <c r="M3" s="96">
        <v>2.0</v>
      </c>
      <c r="N3" s="97">
        <v>250000.0</v>
      </c>
      <c r="O3" s="97">
        <f t="shared" si="1"/>
        <v>10000</v>
      </c>
      <c r="P3" s="97">
        <f t="shared" si="2"/>
        <v>4200</v>
      </c>
      <c r="Q3" s="97">
        <f t="shared" si="3"/>
        <v>1100</v>
      </c>
      <c r="R3" s="97">
        <f t="shared" si="4"/>
        <v>478.38</v>
      </c>
      <c r="S3" s="98">
        <f t="shared" si="5"/>
        <v>786.84</v>
      </c>
      <c r="T3" s="98">
        <f t="shared" si="6"/>
        <v>276</v>
      </c>
      <c r="U3" s="32"/>
      <c r="V3" s="18">
        <f t="shared" si="7"/>
        <v>3548.52</v>
      </c>
      <c r="W3" s="18">
        <f t="shared" si="8"/>
        <v>16395.15</v>
      </c>
      <c r="X3" s="18">
        <f t="shared" si="9"/>
        <v>10000</v>
      </c>
    </row>
    <row r="4">
      <c r="A4" s="11">
        <v>2024.0</v>
      </c>
      <c r="B4" s="11" t="s">
        <v>135</v>
      </c>
      <c r="C4" s="12">
        <v>45441.0</v>
      </c>
      <c r="D4" s="94">
        <v>13.0</v>
      </c>
      <c r="E4" s="95">
        <v>1131808.24</v>
      </c>
      <c r="F4" s="95">
        <v>53633.75</v>
      </c>
      <c r="G4" s="95">
        <v>6013.57</v>
      </c>
      <c r="H4" s="95">
        <v>1656.0</v>
      </c>
      <c r="I4" s="95">
        <v>1560.48</v>
      </c>
      <c r="J4" s="95">
        <v>3142.52</v>
      </c>
      <c r="K4" s="95">
        <v>15145.53</v>
      </c>
      <c r="L4" s="95">
        <v>26115.65</v>
      </c>
      <c r="M4" s="96">
        <v>1.0</v>
      </c>
      <c r="N4" s="97">
        <v>73000.0</v>
      </c>
      <c r="O4" s="97">
        <f t="shared" si="1"/>
        <v>2920</v>
      </c>
      <c r="P4" s="97">
        <f t="shared" si="2"/>
        <v>1226.4</v>
      </c>
      <c r="Q4" s="97">
        <f t="shared" si="3"/>
        <v>550</v>
      </c>
      <c r="R4" s="97">
        <f t="shared" si="4"/>
        <v>239.19</v>
      </c>
      <c r="S4" s="98">
        <f t="shared" si="5"/>
        <v>393.42</v>
      </c>
      <c r="T4" s="98">
        <f t="shared" si="6"/>
        <v>138</v>
      </c>
      <c r="U4" s="32"/>
      <c r="V4" s="18">
        <f t="shared" si="7"/>
        <v>1799.67</v>
      </c>
      <c r="W4" s="18">
        <f t="shared" si="8"/>
        <v>3142.52</v>
      </c>
      <c r="X4" s="18">
        <f t="shared" si="9"/>
        <v>2920</v>
      </c>
    </row>
    <row r="5">
      <c r="A5" s="11">
        <v>2024.0</v>
      </c>
      <c r="B5" s="11" t="s">
        <v>135</v>
      </c>
      <c r="C5" s="12">
        <v>45442.0</v>
      </c>
      <c r="D5" s="94">
        <v>130.0</v>
      </c>
      <c r="E5" s="95">
        <v>7947699.11</v>
      </c>
      <c r="F5" s="95">
        <v>413986.22</v>
      </c>
      <c r="G5" s="95">
        <v>38509.86</v>
      </c>
      <c r="H5" s="95">
        <v>15042.0</v>
      </c>
      <c r="I5" s="95">
        <v>20908.53</v>
      </c>
      <c r="J5" s="95">
        <v>16635.75</v>
      </c>
      <c r="K5" s="95">
        <v>184176.86</v>
      </c>
      <c r="L5" s="95">
        <v>135027.83</v>
      </c>
      <c r="M5" s="96">
        <v>0.0</v>
      </c>
      <c r="N5" s="97">
        <v>0.0</v>
      </c>
      <c r="O5" s="97">
        <f t="shared" si="1"/>
        <v>0</v>
      </c>
      <c r="P5" s="97">
        <f t="shared" si="2"/>
        <v>0</v>
      </c>
      <c r="Q5" s="97">
        <f t="shared" si="3"/>
        <v>0</v>
      </c>
      <c r="R5" s="97">
        <f t="shared" si="4"/>
        <v>0</v>
      </c>
      <c r="S5" s="98">
        <f t="shared" si="5"/>
        <v>0</v>
      </c>
      <c r="T5" s="98">
        <f t="shared" si="6"/>
        <v>0</v>
      </c>
      <c r="U5" s="32"/>
      <c r="V5" s="18">
        <f t="shared" si="7"/>
        <v>20908.53</v>
      </c>
      <c r="W5" s="18">
        <f t="shared" si="8"/>
        <v>16635.75</v>
      </c>
      <c r="X5" s="18">
        <f t="shared" si="9"/>
        <v>0</v>
      </c>
    </row>
    <row r="6">
      <c r="A6" s="11">
        <v>2024.0</v>
      </c>
      <c r="B6" s="11" t="s">
        <v>135</v>
      </c>
      <c r="C6" s="12">
        <v>45443.0</v>
      </c>
      <c r="D6" s="94">
        <v>8.0</v>
      </c>
      <c r="E6" s="95">
        <v>660138.62</v>
      </c>
      <c r="F6" s="95">
        <v>23307.2</v>
      </c>
      <c r="G6" s="95">
        <v>3062.21</v>
      </c>
      <c r="H6" s="95">
        <v>1104.0</v>
      </c>
      <c r="I6" s="95">
        <v>1619.84</v>
      </c>
      <c r="J6" s="95">
        <v>0.0</v>
      </c>
      <c r="K6" s="95">
        <v>6430.82</v>
      </c>
      <c r="L6" s="95">
        <v>11090.33</v>
      </c>
      <c r="M6" s="96">
        <v>0.0</v>
      </c>
      <c r="N6" s="97">
        <v>0.0</v>
      </c>
      <c r="O6" s="97">
        <f t="shared" si="1"/>
        <v>0</v>
      </c>
      <c r="P6" s="97">
        <f t="shared" si="2"/>
        <v>0</v>
      </c>
      <c r="Q6" s="97">
        <f t="shared" si="3"/>
        <v>0</v>
      </c>
      <c r="R6" s="97">
        <f t="shared" si="4"/>
        <v>0</v>
      </c>
      <c r="S6" s="98">
        <f t="shared" si="5"/>
        <v>0</v>
      </c>
      <c r="T6" s="98">
        <f t="shared" si="6"/>
        <v>0</v>
      </c>
      <c r="U6" s="32"/>
      <c r="V6" s="18">
        <f t="shared" si="7"/>
        <v>1619.84</v>
      </c>
      <c r="W6" s="18">
        <f t="shared" si="8"/>
        <v>0</v>
      </c>
      <c r="X6" s="18">
        <f t="shared" si="9"/>
        <v>0</v>
      </c>
    </row>
    <row r="7">
      <c r="A7" s="1">
        <v>2024.0</v>
      </c>
      <c r="B7" s="1" t="s">
        <v>135</v>
      </c>
      <c r="C7" s="99"/>
      <c r="D7" s="35">
        <f t="shared" ref="D7:X7" si="10">SUM(D2:D6)</f>
        <v>175</v>
      </c>
      <c r="E7" s="100">
        <f t="shared" si="10"/>
        <v>11818730.96</v>
      </c>
      <c r="F7" s="100">
        <f t="shared" si="10"/>
        <v>619694.93</v>
      </c>
      <c r="G7" s="100">
        <f t="shared" si="10"/>
        <v>58510.65</v>
      </c>
      <c r="H7" s="100">
        <f t="shared" si="10"/>
        <v>20838</v>
      </c>
      <c r="I7" s="100">
        <f t="shared" si="10"/>
        <v>28013.89</v>
      </c>
      <c r="J7" s="100">
        <f t="shared" si="10"/>
        <v>40100.76</v>
      </c>
      <c r="K7" s="100">
        <f t="shared" si="10"/>
        <v>258360.8</v>
      </c>
      <c r="L7" s="100">
        <f t="shared" si="10"/>
        <v>210185.44</v>
      </c>
      <c r="M7" s="101">
        <f t="shared" si="10"/>
        <v>6</v>
      </c>
      <c r="N7" s="102">
        <f t="shared" si="10"/>
        <v>975000</v>
      </c>
      <c r="O7" s="102">
        <f t="shared" si="10"/>
        <v>39000</v>
      </c>
      <c r="P7" s="102">
        <f t="shared" si="10"/>
        <v>16380</v>
      </c>
      <c r="Q7" s="102">
        <f t="shared" si="10"/>
        <v>3300</v>
      </c>
      <c r="R7" s="102">
        <f t="shared" si="10"/>
        <v>1435.14</v>
      </c>
      <c r="S7" s="102">
        <f t="shared" si="10"/>
        <v>2360.52</v>
      </c>
      <c r="T7" s="102">
        <f t="shared" si="10"/>
        <v>828</v>
      </c>
      <c r="U7" s="103">
        <f t="shared" si="10"/>
        <v>0</v>
      </c>
      <c r="V7" s="103">
        <f t="shared" si="10"/>
        <v>29449.03</v>
      </c>
      <c r="W7" s="103">
        <f t="shared" si="10"/>
        <v>40100.76</v>
      </c>
      <c r="X7" s="103">
        <f t="shared" si="10"/>
        <v>39000</v>
      </c>
    </row>
    <row r="8">
      <c r="A8" s="89"/>
      <c r="B8" s="89"/>
      <c r="C8" s="89"/>
      <c r="D8" s="91"/>
      <c r="E8" s="83"/>
      <c r="F8" s="83"/>
      <c r="G8" s="83"/>
      <c r="H8" s="83"/>
      <c r="I8" s="83"/>
      <c r="J8" s="83"/>
      <c r="K8" s="83"/>
      <c r="L8" s="83"/>
      <c r="M8" s="82"/>
      <c r="N8" s="82"/>
      <c r="O8" s="82"/>
      <c r="P8" s="82"/>
      <c r="Q8" s="82"/>
      <c r="R8" s="82"/>
      <c r="S8" s="82"/>
      <c r="T8" s="82"/>
      <c r="U8" s="32"/>
      <c r="V8" s="32"/>
      <c r="W8" s="32"/>
      <c r="X8" s="32"/>
    </row>
    <row r="9">
      <c r="A9" s="89"/>
      <c r="B9" s="89"/>
      <c r="C9" s="89"/>
      <c r="D9" s="91"/>
      <c r="E9" s="83"/>
      <c r="F9" s="83"/>
      <c r="G9" s="83"/>
      <c r="H9" s="83"/>
      <c r="I9" s="83"/>
      <c r="J9" s="83"/>
      <c r="K9" s="83"/>
      <c r="L9" s="83"/>
      <c r="M9" s="82"/>
      <c r="N9" s="82"/>
      <c r="O9" s="82"/>
      <c r="P9" s="82"/>
      <c r="Q9" s="82"/>
      <c r="R9" s="82"/>
      <c r="S9" s="82"/>
      <c r="T9" s="82"/>
      <c r="U9" s="32"/>
      <c r="V9" s="32"/>
      <c r="W9" s="32"/>
      <c r="X9" s="32"/>
    </row>
    <row r="10">
      <c r="A10" s="89"/>
      <c r="B10" s="89"/>
      <c r="C10" s="89"/>
      <c r="D10" s="91"/>
      <c r="E10" s="83"/>
      <c r="F10" s="83"/>
      <c r="G10" s="83"/>
      <c r="H10" s="83"/>
      <c r="I10" s="83"/>
      <c r="J10" s="83"/>
      <c r="K10" s="83"/>
      <c r="L10" s="83"/>
      <c r="M10" s="82"/>
      <c r="N10" s="82"/>
      <c r="O10" s="82"/>
      <c r="P10" s="82"/>
      <c r="Q10" s="82"/>
      <c r="R10" s="82"/>
      <c r="S10" s="82"/>
      <c r="T10" s="82"/>
      <c r="U10" s="32"/>
      <c r="V10" s="32"/>
      <c r="W10" s="32"/>
      <c r="X10" s="32"/>
    </row>
    <row r="11">
      <c r="A11" s="89"/>
      <c r="B11" s="89"/>
      <c r="C11" s="89"/>
      <c r="D11" s="91"/>
      <c r="E11" s="83"/>
      <c r="F11" s="83"/>
      <c r="G11" s="83"/>
      <c r="H11" s="83"/>
      <c r="I11" s="83"/>
      <c r="J11" s="83"/>
      <c r="K11" s="83"/>
      <c r="L11" s="83"/>
      <c r="M11" s="82"/>
      <c r="N11" s="82"/>
      <c r="O11" s="82"/>
      <c r="P11" s="82"/>
      <c r="Q11" s="82"/>
      <c r="R11" s="82"/>
      <c r="S11" s="82"/>
      <c r="T11" s="82"/>
      <c r="U11" s="32"/>
      <c r="V11" s="32"/>
      <c r="W11" s="32"/>
      <c r="X11" s="32"/>
    </row>
    <row r="12">
      <c r="A12" s="89"/>
      <c r="B12" s="89"/>
      <c r="C12" s="89"/>
      <c r="D12" s="91"/>
      <c r="E12" s="83"/>
      <c r="F12" s="83"/>
      <c r="G12" s="83"/>
      <c r="H12" s="83"/>
      <c r="I12" s="83"/>
      <c r="J12" s="83"/>
      <c r="K12" s="83"/>
      <c r="L12" s="83"/>
      <c r="M12" s="82"/>
      <c r="N12" s="82"/>
      <c r="O12" s="82"/>
      <c r="P12" s="82"/>
      <c r="Q12" s="82"/>
      <c r="R12" s="82"/>
      <c r="S12" s="82"/>
      <c r="T12" s="82"/>
      <c r="U12" s="32"/>
      <c r="V12" s="32"/>
      <c r="W12" s="32"/>
      <c r="X12" s="32"/>
    </row>
    <row r="13">
      <c r="A13" s="89"/>
      <c r="B13" s="89"/>
      <c r="C13" s="89"/>
      <c r="D13" s="91"/>
      <c r="E13" s="83"/>
      <c r="F13" s="83"/>
      <c r="G13" s="83"/>
      <c r="H13" s="83"/>
      <c r="I13" s="83"/>
      <c r="J13" s="83"/>
      <c r="K13" s="83"/>
      <c r="L13" s="83"/>
      <c r="M13" s="82"/>
      <c r="N13" s="82"/>
      <c r="O13" s="82"/>
      <c r="P13" s="82"/>
      <c r="Q13" s="82"/>
      <c r="R13" s="82"/>
      <c r="S13" s="82"/>
      <c r="T13" s="82"/>
      <c r="U13" s="32"/>
      <c r="V13" s="32"/>
      <c r="W13" s="32"/>
      <c r="X13" s="32"/>
    </row>
    <row r="14">
      <c r="A14" s="89"/>
      <c r="B14" s="89"/>
      <c r="C14" s="89"/>
      <c r="D14" s="91"/>
      <c r="E14" s="83"/>
      <c r="F14" s="83"/>
      <c r="G14" s="83"/>
      <c r="H14" s="83"/>
      <c r="I14" s="83"/>
      <c r="J14" s="83"/>
      <c r="K14" s="83"/>
      <c r="L14" s="83"/>
      <c r="M14" s="82"/>
      <c r="N14" s="82"/>
      <c r="O14" s="82"/>
      <c r="P14" s="82"/>
      <c r="Q14" s="82"/>
      <c r="R14" s="82"/>
      <c r="S14" s="82"/>
      <c r="T14" s="82"/>
      <c r="U14" s="32"/>
      <c r="V14" s="32"/>
      <c r="W14" s="32"/>
      <c r="X14" s="32"/>
    </row>
    <row r="15">
      <c r="A15" s="89"/>
      <c r="B15" s="89"/>
      <c r="C15" s="89"/>
      <c r="D15" s="91"/>
      <c r="E15" s="83"/>
      <c r="F15" s="83"/>
      <c r="G15" s="83"/>
      <c r="H15" s="83"/>
      <c r="I15" s="83"/>
      <c r="J15" s="83"/>
      <c r="K15" s="83"/>
      <c r="L15" s="83"/>
      <c r="M15" s="82"/>
      <c r="N15" s="82"/>
      <c r="O15" s="82"/>
      <c r="P15" s="82"/>
      <c r="Q15" s="82"/>
      <c r="R15" s="82"/>
      <c r="S15" s="82"/>
      <c r="T15" s="82"/>
      <c r="U15" s="32"/>
      <c r="V15" s="32"/>
      <c r="W15" s="32"/>
      <c r="X15" s="32"/>
    </row>
    <row r="16">
      <c r="A16" s="89"/>
      <c r="B16" s="89"/>
      <c r="C16" s="89"/>
      <c r="D16" s="91"/>
      <c r="E16" s="83"/>
      <c r="F16" s="83"/>
      <c r="G16" s="83"/>
      <c r="H16" s="83"/>
      <c r="I16" s="83"/>
      <c r="J16" s="83"/>
      <c r="K16" s="83"/>
      <c r="L16" s="83"/>
      <c r="M16" s="82"/>
      <c r="N16" s="82"/>
      <c r="O16" s="82"/>
      <c r="P16" s="82"/>
      <c r="Q16" s="82"/>
      <c r="R16" s="82"/>
      <c r="S16" s="82"/>
      <c r="T16" s="82"/>
      <c r="U16" s="32"/>
      <c r="V16" s="32"/>
      <c r="W16" s="32"/>
      <c r="X16" s="32"/>
    </row>
    <row r="17">
      <c r="A17" s="89"/>
      <c r="B17" s="89"/>
      <c r="C17" s="89"/>
      <c r="D17" s="91"/>
      <c r="E17" s="83"/>
      <c r="F17" s="83"/>
      <c r="G17" s="83"/>
      <c r="H17" s="83"/>
      <c r="I17" s="83"/>
      <c r="J17" s="83"/>
      <c r="K17" s="83"/>
      <c r="L17" s="83"/>
      <c r="M17" s="82"/>
      <c r="N17" s="82"/>
      <c r="O17" s="82"/>
      <c r="P17" s="82"/>
      <c r="Q17" s="82"/>
      <c r="R17" s="82"/>
      <c r="S17" s="82"/>
      <c r="T17" s="82"/>
      <c r="U17" s="32"/>
      <c r="V17" s="32"/>
      <c r="W17" s="32"/>
      <c r="X17" s="32"/>
    </row>
    <row r="18">
      <c r="A18" s="89"/>
      <c r="B18" s="89"/>
      <c r="C18" s="89"/>
      <c r="D18" s="91"/>
      <c r="E18" s="83"/>
      <c r="F18" s="83"/>
      <c r="G18" s="83"/>
      <c r="H18" s="83"/>
      <c r="I18" s="83"/>
      <c r="J18" s="83"/>
      <c r="K18" s="83"/>
      <c r="L18" s="83"/>
      <c r="M18" s="82"/>
      <c r="N18" s="82"/>
      <c r="O18" s="82"/>
      <c r="P18" s="82"/>
      <c r="Q18" s="82"/>
      <c r="R18" s="82"/>
      <c r="S18" s="82"/>
      <c r="T18" s="82"/>
      <c r="U18" s="32"/>
      <c r="V18" s="32"/>
      <c r="W18" s="32"/>
      <c r="X18" s="32"/>
    </row>
    <row r="19">
      <c r="A19" s="89"/>
      <c r="B19" s="89"/>
      <c r="C19" s="89"/>
      <c r="D19" s="91"/>
      <c r="E19" s="83"/>
      <c r="F19" s="83"/>
      <c r="G19" s="83"/>
      <c r="H19" s="83"/>
      <c r="I19" s="83"/>
      <c r="J19" s="83"/>
      <c r="K19" s="83"/>
      <c r="L19" s="83"/>
      <c r="M19" s="82"/>
      <c r="N19" s="82"/>
      <c r="O19" s="82"/>
      <c r="P19" s="82"/>
      <c r="Q19" s="82"/>
      <c r="R19" s="82"/>
      <c r="S19" s="82"/>
      <c r="T19" s="82"/>
      <c r="U19" s="32"/>
      <c r="V19" s="32"/>
      <c r="W19" s="32"/>
      <c r="X19" s="32"/>
    </row>
    <row r="20">
      <c r="A20" s="89"/>
      <c r="B20" s="89"/>
      <c r="C20" s="89"/>
      <c r="D20" s="91"/>
      <c r="E20" s="83"/>
      <c r="F20" s="83"/>
      <c r="G20" s="83"/>
      <c r="H20" s="83"/>
      <c r="I20" s="83"/>
      <c r="J20" s="83"/>
      <c r="K20" s="83"/>
      <c r="L20" s="83"/>
      <c r="M20" s="82"/>
      <c r="N20" s="82"/>
      <c r="O20" s="82"/>
      <c r="P20" s="82"/>
      <c r="Q20" s="82"/>
      <c r="R20" s="82"/>
      <c r="S20" s="82"/>
      <c r="T20" s="82"/>
      <c r="U20" s="32"/>
      <c r="V20" s="32"/>
      <c r="W20" s="32"/>
      <c r="X20" s="32"/>
    </row>
    <row r="21">
      <c r="A21" s="89"/>
      <c r="B21" s="89"/>
      <c r="C21" s="89"/>
      <c r="D21" s="91"/>
      <c r="E21" s="83"/>
      <c r="F21" s="83"/>
      <c r="G21" s="83"/>
      <c r="H21" s="83"/>
      <c r="I21" s="83"/>
      <c r="J21" s="83"/>
      <c r="K21" s="83"/>
      <c r="L21" s="83"/>
      <c r="M21" s="82"/>
      <c r="N21" s="82"/>
      <c r="O21" s="82"/>
      <c r="P21" s="82"/>
      <c r="Q21" s="82"/>
      <c r="R21" s="82"/>
      <c r="S21" s="82"/>
      <c r="T21" s="82"/>
      <c r="U21" s="32"/>
      <c r="V21" s="32"/>
      <c r="W21" s="32"/>
      <c r="X21" s="32"/>
    </row>
    <row r="22">
      <c r="A22" s="89"/>
      <c r="B22" s="89"/>
      <c r="C22" s="89"/>
      <c r="D22" s="91"/>
      <c r="E22" s="83"/>
      <c r="F22" s="83"/>
      <c r="G22" s="83"/>
      <c r="H22" s="83"/>
      <c r="I22" s="83"/>
      <c r="J22" s="83"/>
      <c r="K22" s="83"/>
      <c r="L22" s="83"/>
      <c r="M22" s="82"/>
      <c r="N22" s="82"/>
      <c r="O22" s="82"/>
      <c r="P22" s="82"/>
      <c r="Q22" s="82"/>
      <c r="R22" s="82"/>
      <c r="S22" s="82"/>
      <c r="T22" s="82"/>
      <c r="U22" s="32"/>
      <c r="V22" s="32"/>
      <c r="W22" s="32"/>
      <c r="X22" s="32"/>
    </row>
    <row r="23">
      <c r="A23" s="89"/>
      <c r="B23" s="89"/>
      <c r="C23" s="89"/>
      <c r="D23" s="91"/>
      <c r="E23" s="83"/>
      <c r="F23" s="83"/>
      <c r="G23" s="83"/>
      <c r="H23" s="83"/>
      <c r="I23" s="83"/>
      <c r="J23" s="83"/>
      <c r="K23" s="83"/>
      <c r="L23" s="83"/>
      <c r="M23" s="82"/>
      <c r="N23" s="82"/>
      <c r="O23" s="82"/>
      <c r="P23" s="82"/>
      <c r="Q23" s="82"/>
      <c r="R23" s="82"/>
      <c r="S23" s="82"/>
      <c r="T23" s="82"/>
      <c r="U23" s="32"/>
      <c r="V23" s="32"/>
      <c r="W23" s="32"/>
      <c r="X23" s="32"/>
    </row>
    <row r="24">
      <c r="A24" s="89"/>
      <c r="B24" s="89"/>
      <c r="C24" s="89"/>
      <c r="D24" s="91"/>
      <c r="E24" s="83"/>
      <c r="F24" s="83"/>
      <c r="G24" s="83"/>
      <c r="H24" s="83"/>
      <c r="I24" s="83"/>
      <c r="J24" s="83"/>
      <c r="K24" s="83"/>
      <c r="L24" s="83"/>
      <c r="M24" s="82"/>
      <c r="N24" s="82"/>
      <c r="O24" s="82"/>
      <c r="P24" s="82"/>
      <c r="Q24" s="82"/>
      <c r="R24" s="82"/>
      <c r="S24" s="82"/>
      <c r="T24" s="82"/>
      <c r="U24" s="32"/>
      <c r="V24" s="32"/>
      <c r="W24" s="32"/>
      <c r="X24" s="32"/>
    </row>
    <row r="25">
      <c r="A25" s="89"/>
      <c r="B25" s="89"/>
      <c r="C25" s="89"/>
      <c r="D25" s="91"/>
      <c r="E25" s="83"/>
      <c r="F25" s="83"/>
      <c r="G25" s="83"/>
      <c r="H25" s="83"/>
      <c r="I25" s="83"/>
      <c r="J25" s="83"/>
      <c r="K25" s="83"/>
      <c r="L25" s="83"/>
      <c r="M25" s="82"/>
      <c r="N25" s="82"/>
      <c r="O25" s="82"/>
      <c r="P25" s="82"/>
      <c r="Q25" s="82"/>
      <c r="R25" s="82"/>
      <c r="S25" s="82"/>
      <c r="T25" s="82"/>
      <c r="U25" s="32"/>
      <c r="V25" s="32"/>
      <c r="W25" s="32"/>
      <c r="X25" s="32"/>
    </row>
    <row r="26">
      <c r="A26" s="89"/>
      <c r="B26" s="89"/>
      <c r="C26" s="89"/>
      <c r="D26" s="91"/>
      <c r="E26" s="83"/>
      <c r="F26" s="83"/>
      <c r="G26" s="83"/>
      <c r="H26" s="83"/>
      <c r="I26" s="83"/>
      <c r="J26" s="83"/>
      <c r="K26" s="83"/>
      <c r="L26" s="83"/>
      <c r="M26" s="82"/>
      <c r="N26" s="82"/>
      <c r="O26" s="82"/>
      <c r="P26" s="82"/>
      <c r="Q26" s="82"/>
      <c r="R26" s="82"/>
      <c r="S26" s="82"/>
      <c r="T26" s="82"/>
      <c r="U26" s="32"/>
      <c r="V26" s="32"/>
      <c r="W26" s="32"/>
      <c r="X26" s="32"/>
    </row>
    <row r="27">
      <c r="A27" s="89"/>
      <c r="B27" s="89"/>
      <c r="C27" s="89"/>
      <c r="D27" s="91"/>
      <c r="E27" s="83"/>
      <c r="F27" s="83"/>
      <c r="G27" s="83"/>
      <c r="H27" s="83"/>
      <c r="I27" s="83"/>
      <c r="J27" s="83"/>
      <c r="K27" s="83"/>
      <c r="L27" s="83"/>
      <c r="M27" s="82"/>
      <c r="N27" s="82"/>
      <c r="O27" s="82"/>
      <c r="P27" s="82"/>
      <c r="Q27" s="82"/>
      <c r="R27" s="82"/>
      <c r="S27" s="82"/>
      <c r="T27" s="82"/>
      <c r="U27" s="32"/>
      <c r="V27" s="32"/>
      <c r="W27" s="32"/>
      <c r="X27" s="32"/>
    </row>
    <row r="28">
      <c r="A28" s="89"/>
      <c r="B28" s="89"/>
      <c r="C28" s="89"/>
      <c r="D28" s="91"/>
      <c r="E28" s="83"/>
      <c r="F28" s="83"/>
      <c r="G28" s="83"/>
      <c r="H28" s="83"/>
      <c r="I28" s="83"/>
      <c r="J28" s="83"/>
      <c r="K28" s="83"/>
      <c r="L28" s="83"/>
      <c r="M28" s="82"/>
      <c r="N28" s="82"/>
      <c r="O28" s="82"/>
      <c r="P28" s="82"/>
      <c r="Q28" s="82"/>
      <c r="R28" s="82"/>
      <c r="S28" s="82"/>
      <c r="T28" s="82"/>
      <c r="U28" s="32"/>
      <c r="V28" s="32"/>
      <c r="W28" s="32"/>
      <c r="X28" s="32"/>
    </row>
    <row r="29">
      <c r="A29" s="89"/>
      <c r="B29" s="89"/>
      <c r="C29" s="89"/>
      <c r="D29" s="91"/>
      <c r="E29" s="83"/>
      <c r="F29" s="83"/>
      <c r="G29" s="83"/>
      <c r="H29" s="83"/>
      <c r="I29" s="83"/>
      <c r="J29" s="83"/>
      <c r="K29" s="83"/>
      <c r="L29" s="83"/>
      <c r="M29" s="82"/>
      <c r="N29" s="82"/>
      <c r="O29" s="82"/>
      <c r="P29" s="82"/>
      <c r="Q29" s="82"/>
      <c r="R29" s="82"/>
      <c r="S29" s="82"/>
      <c r="T29" s="82"/>
      <c r="U29" s="32"/>
      <c r="V29" s="32"/>
      <c r="W29" s="32"/>
      <c r="X29" s="32"/>
    </row>
    <row r="30">
      <c r="A30" s="89"/>
      <c r="B30" s="89"/>
      <c r="C30" s="89"/>
      <c r="D30" s="91"/>
      <c r="E30" s="83"/>
      <c r="F30" s="83"/>
      <c r="G30" s="83"/>
      <c r="H30" s="83"/>
      <c r="I30" s="83"/>
      <c r="J30" s="83"/>
      <c r="K30" s="83"/>
      <c r="L30" s="83"/>
      <c r="M30" s="82"/>
      <c r="N30" s="82"/>
      <c r="O30" s="82"/>
      <c r="P30" s="82"/>
      <c r="Q30" s="82"/>
      <c r="R30" s="82"/>
      <c r="S30" s="82"/>
      <c r="T30" s="82"/>
      <c r="U30" s="32"/>
      <c r="V30" s="32"/>
      <c r="W30" s="32"/>
      <c r="X30" s="32"/>
    </row>
    <row r="31">
      <c r="A31" s="89"/>
      <c r="B31" s="89"/>
      <c r="C31" s="89"/>
      <c r="D31" s="91"/>
      <c r="E31" s="83"/>
      <c r="F31" s="83"/>
      <c r="G31" s="83"/>
      <c r="H31" s="83"/>
      <c r="I31" s="83"/>
      <c r="J31" s="83"/>
      <c r="K31" s="83"/>
      <c r="L31" s="83"/>
      <c r="M31" s="82"/>
      <c r="N31" s="82"/>
      <c r="O31" s="82"/>
      <c r="P31" s="82"/>
      <c r="Q31" s="82"/>
      <c r="R31" s="82"/>
      <c r="S31" s="82"/>
      <c r="T31" s="82"/>
      <c r="U31" s="32"/>
      <c r="V31" s="32"/>
      <c r="W31" s="32"/>
      <c r="X31" s="32"/>
    </row>
    <row r="32">
      <c r="A32" s="89"/>
      <c r="B32" s="89"/>
      <c r="C32" s="89"/>
      <c r="D32" s="91"/>
      <c r="E32" s="83"/>
      <c r="F32" s="83"/>
      <c r="G32" s="83"/>
      <c r="H32" s="83"/>
      <c r="I32" s="83"/>
      <c r="J32" s="83"/>
      <c r="K32" s="83"/>
      <c r="L32" s="83"/>
      <c r="M32" s="82"/>
      <c r="N32" s="82"/>
      <c r="O32" s="82"/>
      <c r="P32" s="82"/>
      <c r="Q32" s="82"/>
      <c r="R32" s="82"/>
      <c r="S32" s="82"/>
      <c r="T32" s="82"/>
      <c r="U32" s="32"/>
      <c r="V32" s="32"/>
      <c r="W32" s="32"/>
      <c r="X32" s="32"/>
    </row>
    <row r="33">
      <c r="A33" s="89"/>
      <c r="B33" s="89"/>
      <c r="C33" s="89"/>
      <c r="D33" s="91"/>
      <c r="E33" s="83"/>
      <c r="F33" s="83"/>
      <c r="G33" s="83"/>
      <c r="H33" s="83"/>
      <c r="I33" s="83"/>
      <c r="J33" s="83"/>
      <c r="K33" s="83"/>
      <c r="L33" s="83"/>
      <c r="M33" s="82"/>
      <c r="N33" s="82"/>
      <c r="O33" s="82"/>
      <c r="P33" s="82"/>
      <c r="Q33" s="82"/>
      <c r="R33" s="82"/>
      <c r="S33" s="82"/>
      <c r="T33" s="82"/>
      <c r="U33" s="32"/>
      <c r="V33" s="32"/>
      <c r="W33" s="32"/>
      <c r="X33" s="32"/>
    </row>
    <row r="34">
      <c r="A34" s="89"/>
      <c r="B34" s="89"/>
      <c r="C34" s="89"/>
      <c r="D34" s="91"/>
      <c r="E34" s="83"/>
      <c r="F34" s="83"/>
      <c r="G34" s="83"/>
      <c r="H34" s="83"/>
      <c r="I34" s="83"/>
      <c r="J34" s="83"/>
      <c r="K34" s="83"/>
      <c r="L34" s="83"/>
      <c r="M34" s="82"/>
      <c r="N34" s="82"/>
      <c r="O34" s="82"/>
      <c r="P34" s="82"/>
      <c r="Q34" s="82"/>
      <c r="R34" s="82"/>
      <c r="S34" s="82"/>
      <c r="T34" s="82"/>
      <c r="U34" s="32"/>
      <c r="V34" s="32"/>
      <c r="W34" s="32"/>
      <c r="X34" s="32"/>
    </row>
    <row r="35">
      <c r="A35" s="89"/>
      <c r="B35" s="89"/>
      <c r="C35" s="89"/>
      <c r="D35" s="91"/>
      <c r="E35" s="83"/>
      <c r="F35" s="83"/>
      <c r="G35" s="83"/>
      <c r="H35" s="83"/>
      <c r="I35" s="83"/>
      <c r="J35" s="83"/>
      <c r="K35" s="83"/>
      <c r="L35" s="83"/>
      <c r="M35" s="82"/>
      <c r="N35" s="82"/>
      <c r="O35" s="82"/>
      <c r="P35" s="82"/>
      <c r="Q35" s="82"/>
      <c r="R35" s="82"/>
      <c r="S35" s="82"/>
      <c r="T35" s="82"/>
      <c r="U35" s="32"/>
      <c r="V35" s="32"/>
      <c r="W35" s="32"/>
      <c r="X35" s="32"/>
    </row>
    <row r="36">
      <c r="A36" s="89"/>
      <c r="B36" s="89"/>
      <c r="C36" s="89"/>
      <c r="D36" s="91"/>
      <c r="E36" s="83"/>
      <c r="F36" s="83"/>
      <c r="G36" s="83"/>
      <c r="H36" s="83"/>
      <c r="I36" s="83"/>
      <c r="J36" s="83"/>
      <c r="K36" s="83"/>
      <c r="L36" s="83"/>
      <c r="M36" s="82"/>
      <c r="N36" s="82"/>
      <c r="O36" s="82"/>
      <c r="P36" s="82"/>
      <c r="Q36" s="82"/>
      <c r="R36" s="82"/>
      <c r="S36" s="82"/>
      <c r="T36" s="82"/>
      <c r="U36" s="32"/>
      <c r="V36" s="32"/>
      <c r="W36" s="32"/>
      <c r="X36" s="32"/>
    </row>
    <row r="37">
      <c r="A37" s="89"/>
      <c r="B37" s="89"/>
      <c r="C37" s="89"/>
      <c r="D37" s="91"/>
      <c r="E37" s="83"/>
      <c r="F37" s="83"/>
      <c r="G37" s="83"/>
      <c r="H37" s="83"/>
      <c r="I37" s="83"/>
      <c r="J37" s="83"/>
      <c r="K37" s="83"/>
      <c r="L37" s="83"/>
      <c r="M37" s="82"/>
      <c r="N37" s="82"/>
      <c r="O37" s="82"/>
      <c r="P37" s="82"/>
      <c r="Q37" s="82"/>
      <c r="R37" s="82"/>
      <c r="S37" s="82"/>
      <c r="T37" s="82"/>
      <c r="U37" s="32"/>
      <c r="V37" s="32"/>
      <c r="W37" s="32"/>
      <c r="X37" s="32"/>
    </row>
    <row r="38">
      <c r="A38" s="89"/>
      <c r="B38" s="89"/>
      <c r="C38" s="89"/>
      <c r="D38" s="91"/>
      <c r="E38" s="83"/>
      <c r="F38" s="83"/>
      <c r="G38" s="83"/>
      <c r="H38" s="83"/>
      <c r="I38" s="83"/>
      <c r="J38" s="83"/>
      <c r="K38" s="83"/>
      <c r="L38" s="83"/>
      <c r="M38" s="82"/>
      <c r="N38" s="82"/>
      <c r="O38" s="82"/>
      <c r="P38" s="82"/>
      <c r="Q38" s="82"/>
      <c r="R38" s="82"/>
      <c r="S38" s="82"/>
      <c r="T38" s="82"/>
      <c r="U38" s="32"/>
      <c r="V38" s="32"/>
      <c r="W38" s="32"/>
      <c r="X38" s="32"/>
    </row>
    <row r="39">
      <c r="A39" s="89"/>
      <c r="B39" s="89"/>
      <c r="C39" s="89"/>
      <c r="D39" s="91"/>
      <c r="E39" s="83"/>
      <c r="F39" s="83"/>
      <c r="G39" s="83"/>
      <c r="H39" s="83"/>
      <c r="I39" s="83"/>
      <c r="J39" s="83"/>
      <c r="K39" s="83"/>
      <c r="L39" s="83"/>
      <c r="M39" s="82"/>
      <c r="N39" s="82"/>
      <c r="O39" s="82"/>
      <c r="P39" s="82"/>
      <c r="Q39" s="82"/>
      <c r="R39" s="82"/>
      <c r="S39" s="82"/>
      <c r="T39" s="82"/>
      <c r="U39" s="32"/>
      <c r="V39" s="32"/>
      <c r="W39" s="32"/>
      <c r="X39" s="32"/>
    </row>
    <row r="40">
      <c r="A40" s="89"/>
      <c r="B40" s="89"/>
      <c r="C40" s="89"/>
      <c r="D40" s="91"/>
      <c r="E40" s="83"/>
      <c r="F40" s="83"/>
      <c r="G40" s="83"/>
      <c r="H40" s="83"/>
      <c r="I40" s="83"/>
      <c r="J40" s="83"/>
      <c r="K40" s="83"/>
      <c r="L40" s="83"/>
      <c r="M40" s="82"/>
      <c r="N40" s="82"/>
      <c r="O40" s="82"/>
      <c r="P40" s="82"/>
      <c r="Q40" s="82"/>
      <c r="R40" s="82"/>
      <c r="S40" s="82"/>
      <c r="T40" s="82"/>
      <c r="U40" s="32"/>
      <c r="V40" s="32"/>
      <c r="W40" s="32"/>
      <c r="X40" s="32"/>
    </row>
    <row r="41">
      <c r="A41" s="89"/>
      <c r="B41" s="89"/>
      <c r="C41" s="89"/>
      <c r="D41" s="91"/>
      <c r="E41" s="83"/>
      <c r="F41" s="83"/>
      <c r="G41" s="83"/>
      <c r="H41" s="83"/>
      <c r="I41" s="83"/>
      <c r="J41" s="83"/>
      <c r="K41" s="83"/>
      <c r="L41" s="83"/>
      <c r="M41" s="82"/>
      <c r="N41" s="82"/>
      <c r="O41" s="82"/>
      <c r="P41" s="82"/>
      <c r="Q41" s="82"/>
      <c r="R41" s="82"/>
      <c r="S41" s="82"/>
      <c r="T41" s="82"/>
      <c r="U41" s="32"/>
      <c r="V41" s="32"/>
      <c r="W41" s="32"/>
      <c r="X41" s="32"/>
    </row>
    <row r="42">
      <c r="A42" s="89"/>
      <c r="B42" s="89"/>
      <c r="C42" s="89"/>
      <c r="D42" s="91"/>
      <c r="E42" s="83"/>
      <c r="F42" s="83"/>
      <c r="G42" s="83"/>
      <c r="H42" s="83"/>
      <c r="I42" s="83"/>
      <c r="J42" s="83"/>
      <c r="K42" s="83"/>
      <c r="L42" s="83"/>
      <c r="M42" s="82"/>
      <c r="N42" s="82"/>
      <c r="O42" s="82"/>
      <c r="P42" s="82"/>
      <c r="Q42" s="82"/>
      <c r="R42" s="82"/>
      <c r="S42" s="82"/>
      <c r="T42" s="82"/>
      <c r="U42" s="32"/>
      <c r="V42" s="32"/>
      <c r="W42" s="32"/>
      <c r="X42" s="32"/>
    </row>
    <row r="43">
      <c r="A43" s="89"/>
      <c r="B43" s="89"/>
      <c r="C43" s="89"/>
      <c r="D43" s="91"/>
      <c r="E43" s="83"/>
      <c r="F43" s="83"/>
      <c r="G43" s="83"/>
      <c r="H43" s="83"/>
      <c r="I43" s="83"/>
      <c r="J43" s="83"/>
      <c r="K43" s="83"/>
      <c r="L43" s="83"/>
      <c r="M43" s="82"/>
      <c r="N43" s="82"/>
      <c r="O43" s="82"/>
      <c r="P43" s="82"/>
      <c r="Q43" s="82"/>
      <c r="R43" s="82"/>
      <c r="S43" s="82"/>
      <c r="T43" s="82"/>
      <c r="U43" s="32"/>
      <c r="V43" s="32"/>
      <c r="W43" s="32"/>
      <c r="X43" s="32"/>
    </row>
    <row r="44">
      <c r="A44" s="89"/>
      <c r="B44" s="89"/>
      <c r="C44" s="89"/>
      <c r="D44" s="91"/>
      <c r="E44" s="83"/>
      <c r="F44" s="83"/>
      <c r="G44" s="83"/>
      <c r="H44" s="83"/>
      <c r="I44" s="83"/>
      <c r="J44" s="83"/>
      <c r="K44" s="83"/>
      <c r="L44" s="83"/>
      <c r="M44" s="82"/>
      <c r="N44" s="82"/>
      <c r="O44" s="82"/>
      <c r="P44" s="82"/>
      <c r="Q44" s="82"/>
      <c r="R44" s="82"/>
      <c r="S44" s="82"/>
      <c r="T44" s="82"/>
      <c r="U44" s="32"/>
      <c r="V44" s="32"/>
      <c r="W44" s="32"/>
      <c r="X44" s="32"/>
    </row>
    <row r="45">
      <c r="A45" s="89"/>
      <c r="B45" s="89"/>
      <c r="C45" s="89"/>
      <c r="D45" s="91"/>
      <c r="E45" s="83"/>
      <c r="F45" s="83"/>
      <c r="G45" s="83"/>
      <c r="H45" s="83"/>
      <c r="I45" s="83"/>
      <c r="J45" s="83"/>
      <c r="K45" s="83"/>
      <c r="L45" s="83"/>
      <c r="M45" s="82"/>
      <c r="N45" s="82"/>
      <c r="O45" s="82"/>
      <c r="P45" s="82"/>
      <c r="Q45" s="82"/>
      <c r="R45" s="82"/>
      <c r="S45" s="82"/>
      <c r="T45" s="82"/>
      <c r="U45" s="32"/>
      <c r="V45" s="32"/>
      <c r="W45" s="32"/>
      <c r="X45" s="32"/>
    </row>
    <row r="46">
      <c r="A46" s="89"/>
      <c r="B46" s="89"/>
      <c r="C46" s="89"/>
      <c r="D46" s="91"/>
      <c r="E46" s="83"/>
      <c r="F46" s="83"/>
      <c r="G46" s="83"/>
      <c r="H46" s="83"/>
      <c r="I46" s="83"/>
      <c r="J46" s="83"/>
      <c r="K46" s="83"/>
      <c r="L46" s="83"/>
      <c r="M46" s="82"/>
      <c r="N46" s="82"/>
      <c r="O46" s="82"/>
      <c r="P46" s="82"/>
      <c r="Q46" s="82"/>
      <c r="R46" s="82"/>
      <c r="S46" s="82"/>
      <c r="T46" s="82"/>
      <c r="U46" s="32"/>
      <c r="V46" s="32"/>
      <c r="W46" s="32"/>
      <c r="X46" s="32"/>
    </row>
    <row r="47">
      <c r="A47" s="89"/>
      <c r="B47" s="89"/>
      <c r="C47" s="89"/>
      <c r="D47" s="91"/>
      <c r="E47" s="83"/>
      <c r="F47" s="83"/>
      <c r="G47" s="83"/>
      <c r="H47" s="83"/>
      <c r="I47" s="83"/>
      <c r="J47" s="83"/>
      <c r="K47" s="83"/>
      <c r="L47" s="83"/>
      <c r="M47" s="82"/>
      <c r="N47" s="82"/>
      <c r="O47" s="82"/>
      <c r="P47" s="82"/>
      <c r="Q47" s="82"/>
      <c r="R47" s="82"/>
      <c r="S47" s="82"/>
      <c r="T47" s="82"/>
      <c r="U47" s="32"/>
      <c r="V47" s="32"/>
      <c r="W47" s="32"/>
      <c r="X47" s="32"/>
    </row>
    <row r="48">
      <c r="A48" s="89"/>
      <c r="B48" s="89"/>
      <c r="C48" s="89"/>
      <c r="D48" s="91"/>
      <c r="E48" s="83"/>
      <c r="F48" s="83"/>
      <c r="G48" s="83"/>
      <c r="H48" s="83"/>
      <c r="I48" s="83"/>
      <c r="J48" s="83"/>
      <c r="K48" s="83"/>
      <c r="L48" s="83"/>
      <c r="M48" s="82"/>
      <c r="N48" s="82"/>
      <c r="O48" s="82"/>
      <c r="P48" s="82"/>
      <c r="Q48" s="82"/>
      <c r="R48" s="82"/>
      <c r="S48" s="82"/>
      <c r="T48" s="82"/>
      <c r="U48" s="32"/>
      <c r="V48" s="32"/>
      <c r="W48" s="32"/>
      <c r="X48" s="32"/>
    </row>
    <row r="49">
      <c r="A49" s="89"/>
      <c r="B49" s="89"/>
      <c r="C49" s="89"/>
      <c r="D49" s="91"/>
      <c r="E49" s="83"/>
      <c r="F49" s="83"/>
      <c r="G49" s="83"/>
      <c r="H49" s="83"/>
      <c r="I49" s="83"/>
      <c r="J49" s="83"/>
      <c r="K49" s="83"/>
      <c r="L49" s="83"/>
      <c r="M49" s="82"/>
      <c r="N49" s="82"/>
      <c r="O49" s="82"/>
      <c r="P49" s="82"/>
      <c r="Q49" s="82"/>
      <c r="R49" s="82"/>
      <c r="S49" s="82"/>
      <c r="T49" s="82"/>
      <c r="U49" s="32"/>
      <c r="V49" s="32"/>
      <c r="W49" s="32"/>
      <c r="X49" s="32"/>
    </row>
    <row r="50">
      <c r="A50" s="89"/>
      <c r="B50" s="89"/>
      <c r="C50" s="89"/>
      <c r="D50" s="91"/>
      <c r="E50" s="83"/>
      <c r="F50" s="83"/>
      <c r="G50" s="83"/>
      <c r="H50" s="83"/>
      <c r="I50" s="83"/>
      <c r="J50" s="83"/>
      <c r="K50" s="83"/>
      <c r="L50" s="83"/>
      <c r="M50" s="82"/>
      <c r="N50" s="82"/>
      <c r="O50" s="82"/>
      <c r="P50" s="82"/>
      <c r="Q50" s="82"/>
      <c r="R50" s="82"/>
      <c r="S50" s="82"/>
      <c r="T50" s="82"/>
      <c r="U50" s="32"/>
      <c r="V50" s="32"/>
      <c r="W50" s="32"/>
      <c r="X50" s="32"/>
    </row>
    <row r="51">
      <c r="A51" s="89"/>
      <c r="B51" s="89"/>
      <c r="C51" s="89"/>
      <c r="D51" s="91"/>
      <c r="E51" s="83"/>
      <c r="F51" s="83"/>
      <c r="G51" s="83"/>
      <c r="H51" s="83"/>
      <c r="I51" s="83"/>
      <c r="J51" s="83"/>
      <c r="K51" s="83"/>
      <c r="L51" s="83"/>
      <c r="M51" s="82"/>
      <c r="N51" s="82"/>
      <c r="O51" s="82"/>
      <c r="P51" s="82"/>
      <c r="Q51" s="82"/>
      <c r="R51" s="82"/>
      <c r="S51" s="82"/>
      <c r="T51" s="82"/>
      <c r="U51" s="32"/>
      <c r="V51" s="32"/>
      <c r="W51" s="32"/>
      <c r="X51" s="32"/>
    </row>
    <row r="52">
      <c r="A52" s="89"/>
      <c r="B52" s="89"/>
      <c r="C52" s="89"/>
      <c r="D52" s="91"/>
      <c r="E52" s="83"/>
      <c r="F52" s="83"/>
      <c r="G52" s="83"/>
      <c r="H52" s="83"/>
      <c r="I52" s="83"/>
      <c r="J52" s="83"/>
      <c r="K52" s="83"/>
      <c r="L52" s="83"/>
      <c r="M52" s="82"/>
      <c r="N52" s="82"/>
      <c r="O52" s="82"/>
      <c r="P52" s="82"/>
      <c r="Q52" s="82"/>
      <c r="R52" s="82"/>
      <c r="S52" s="82"/>
      <c r="T52" s="82"/>
      <c r="U52" s="32"/>
      <c r="V52" s="32"/>
      <c r="W52" s="32"/>
      <c r="X52" s="32"/>
    </row>
    <row r="53">
      <c r="A53" s="89"/>
      <c r="B53" s="89"/>
      <c r="C53" s="89"/>
      <c r="D53" s="91"/>
      <c r="E53" s="83"/>
      <c r="F53" s="83"/>
      <c r="G53" s="83"/>
      <c r="H53" s="83"/>
      <c r="I53" s="83"/>
      <c r="J53" s="83"/>
      <c r="K53" s="83"/>
      <c r="L53" s="83"/>
      <c r="M53" s="82"/>
      <c r="N53" s="82"/>
      <c r="O53" s="82"/>
      <c r="P53" s="82"/>
      <c r="Q53" s="82"/>
      <c r="R53" s="82"/>
      <c r="S53" s="82"/>
      <c r="T53" s="82"/>
      <c r="U53" s="32"/>
      <c r="V53" s="32"/>
      <c r="W53" s="32"/>
      <c r="X53" s="32"/>
    </row>
    <row r="54">
      <c r="A54" s="89"/>
      <c r="B54" s="89"/>
      <c r="C54" s="89"/>
      <c r="D54" s="91"/>
      <c r="E54" s="83"/>
      <c r="F54" s="83"/>
      <c r="G54" s="83"/>
      <c r="H54" s="83"/>
      <c r="I54" s="83"/>
      <c r="J54" s="83"/>
      <c r="K54" s="83"/>
      <c r="L54" s="83"/>
      <c r="M54" s="82"/>
      <c r="N54" s="82"/>
      <c r="O54" s="82"/>
      <c r="P54" s="82"/>
      <c r="Q54" s="82"/>
      <c r="R54" s="82"/>
      <c r="S54" s="82"/>
      <c r="T54" s="82"/>
      <c r="U54" s="32"/>
      <c r="V54" s="32"/>
      <c r="W54" s="32"/>
      <c r="X54" s="32"/>
    </row>
    <row r="55">
      <c r="A55" s="89"/>
      <c r="B55" s="89"/>
      <c r="C55" s="89"/>
      <c r="D55" s="91"/>
      <c r="E55" s="83"/>
      <c r="F55" s="83"/>
      <c r="G55" s="83"/>
      <c r="H55" s="83"/>
      <c r="I55" s="83"/>
      <c r="J55" s="83"/>
      <c r="K55" s="83"/>
      <c r="L55" s="83"/>
      <c r="M55" s="82"/>
      <c r="N55" s="82"/>
      <c r="O55" s="82"/>
      <c r="P55" s="82"/>
      <c r="Q55" s="82"/>
      <c r="R55" s="82"/>
      <c r="S55" s="82"/>
      <c r="T55" s="82"/>
      <c r="U55" s="32"/>
      <c r="V55" s="32"/>
      <c r="W55" s="32"/>
      <c r="X55" s="32"/>
    </row>
    <row r="56">
      <c r="A56" s="89"/>
      <c r="B56" s="89"/>
      <c r="C56" s="89"/>
      <c r="D56" s="91"/>
      <c r="E56" s="83"/>
      <c r="F56" s="83"/>
      <c r="G56" s="83"/>
      <c r="H56" s="83"/>
      <c r="I56" s="83"/>
      <c r="J56" s="83"/>
      <c r="K56" s="83"/>
      <c r="L56" s="83"/>
      <c r="M56" s="82"/>
      <c r="N56" s="82"/>
      <c r="O56" s="82"/>
      <c r="P56" s="82"/>
      <c r="Q56" s="82"/>
      <c r="R56" s="82"/>
      <c r="S56" s="82"/>
      <c r="T56" s="82"/>
      <c r="U56" s="32"/>
      <c r="V56" s="32"/>
      <c r="W56" s="32"/>
      <c r="X56" s="32"/>
    </row>
    <row r="57">
      <c r="A57" s="89"/>
      <c r="B57" s="89"/>
      <c r="C57" s="89"/>
      <c r="D57" s="91"/>
      <c r="E57" s="83"/>
      <c r="F57" s="83"/>
      <c r="G57" s="83"/>
      <c r="H57" s="83"/>
      <c r="I57" s="83"/>
      <c r="J57" s="83"/>
      <c r="K57" s="83"/>
      <c r="L57" s="83"/>
      <c r="M57" s="82"/>
      <c r="N57" s="82"/>
      <c r="O57" s="82"/>
      <c r="P57" s="82"/>
      <c r="Q57" s="82"/>
      <c r="R57" s="82"/>
      <c r="S57" s="82"/>
      <c r="T57" s="82"/>
      <c r="U57" s="32"/>
      <c r="V57" s="32"/>
      <c r="W57" s="32"/>
      <c r="X57" s="32"/>
    </row>
    <row r="58">
      <c r="A58" s="89"/>
      <c r="B58" s="89"/>
      <c r="C58" s="89"/>
      <c r="D58" s="91"/>
      <c r="E58" s="83"/>
      <c r="F58" s="83"/>
      <c r="G58" s="83"/>
      <c r="H58" s="83"/>
      <c r="I58" s="83"/>
      <c r="J58" s="83"/>
      <c r="K58" s="83"/>
      <c r="L58" s="83"/>
      <c r="M58" s="82"/>
      <c r="N58" s="82"/>
      <c r="O58" s="82"/>
      <c r="P58" s="82"/>
      <c r="Q58" s="82"/>
      <c r="R58" s="82"/>
      <c r="S58" s="82"/>
      <c r="T58" s="82"/>
      <c r="U58" s="32"/>
      <c r="V58" s="32"/>
      <c r="W58" s="32"/>
      <c r="X58" s="32"/>
    </row>
    <row r="59">
      <c r="A59" s="89"/>
      <c r="B59" s="89"/>
      <c r="C59" s="89"/>
      <c r="D59" s="91"/>
      <c r="E59" s="83"/>
      <c r="F59" s="83"/>
      <c r="G59" s="83"/>
      <c r="H59" s="83"/>
      <c r="I59" s="83"/>
      <c r="J59" s="83"/>
      <c r="K59" s="83"/>
      <c r="L59" s="83"/>
      <c r="M59" s="82"/>
      <c r="N59" s="82"/>
      <c r="O59" s="82"/>
      <c r="P59" s="82"/>
      <c r="Q59" s="82"/>
      <c r="R59" s="82"/>
      <c r="S59" s="82"/>
      <c r="T59" s="82"/>
      <c r="U59" s="32"/>
      <c r="V59" s="32"/>
      <c r="W59" s="32"/>
      <c r="X59" s="32"/>
    </row>
    <row r="60">
      <c r="A60" s="89"/>
      <c r="B60" s="89"/>
      <c r="C60" s="89"/>
      <c r="D60" s="91"/>
      <c r="E60" s="83"/>
      <c r="F60" s="83"/>
      <c r="G60" s="83"/>
      <c r="H60" s="83"/>
      <c r="I60" s="83"/>
      <c r="J60" s="83"/>
      <c r="K60" s="83"/>
      <c r="L60" s="83"/>
      <c r="M60" s="82"/>
      <c r="N60" s="82"/>
      <c r="O60" s="82"/>
      <c r="P60" s="82"/>
      <c r="Q60" s="82"/>
      <c r="R60" s="82"/>
      <c r="S60" s="82"/>
      <c r="T60" s="82"/>
      <c r="U60" s="32"/>
      <c r="V60" s="32"/>
      <c r="W60" s="32"/>
      <c r="X60" s="32"/>
    </row>
    <row r="61">
      <c r="A61" s="89"/>
      <c r="B61" s="89"/>
      <c r="C61" s="89"/>
      <c r="D61" s="91"/>
      <c r="E61" s="83"/>
      <c r="F61" s="83"/>
      <c r="G61" s="83"/>
      <c r="H61" s="83"/>
      <c r="I61" s="83"/>
      <c r="J61" s="83"/>
      <c r="K61" s="83"/>
      <c r="L61" s="83"/>
      <c r="M61" s="82"/>
      <c r="N61" s="82"/>
      <c r="O61" s="82"/>
      <c r="P61" s="82"/>
      <c r="Q61" s="82"/>
      <c r="R61" s="82"/>
      <c r="S61" s="82"/>
      <c r="T61" s="82"/>
      <c r="U61" s="32"/>
      <c r="V61" s="32"/>
      <c r="W61" s="32"/>
      <c r="X61" s="32"/>
    </row>
    <row r="62">
      <c r="A62" s="89"/>
      <c r="B62" s="89"/>
      <c r="C62" s="89"/>
      <c r="D62" s="91"/>
      <c r="E62" s="83"/>
      <c r="F62" s="83"/>
      <c r="G62" s="83"/>
      <c r="H62" s="83"/>
      <c r="I62" s="83"/>
      <c r="J62" s="83"/>
      <c r="K62" s="83"/>
      <c r="L62" s="83"/>
      <c r="M62" s="82"/>
      <c r="N62" s="82"/>
      <c r="O62" s="82"/>
      <c r="P62" s="82"/>
      <c r="Q62" s="82"/>
      <c r="R62" s="82"/>
      <c r="S62" s="82"/>
      <c r="T62" s="82"/>
      <c r="U62" s="32"/>
      <c r="V62" s="32"/>
      <c r="W62" s="32"/>
      <c r="X62" s="32"/>
    </row>
    <row r="63">
      <c r="A63" s="89"/>
      <c r="B63" s="89"/>
      <c r="C63" s="89"/>
      <c r="D63" s="91"/>
      <c r="E63" s="83"/>
      <c r="F63" s="83"/>
      <c r="G63" s="83"/>
      <c r="H63" s="83"/>
      <c r="I63" s="83"/>
      <c r="J63" s="83"/>
      <c r="K63" s="83"/>
      <c r="L63" s="83"/>
      <c r="M63" s="82"/>
      <c r="N63" s="82"/>
      <c r="O63" s="82"/>
      <c r="P63" s="82"/>
      <c r="Q63" s="82"/>
      <c r="R63" s="82"/>
      <c r="S63" s="82"/>
      <c r="T63" s="82"/>
      <c r="U63" s="32"/>
      <c r="V63" s="32"/>
      <c r="W63" s="32"/>
      <c r="X63" s="32"/>
    </row>
    <row r="64">
      <c r="A64" s="89"/>
      <c r="B64" s="89"/>
      <c r="C64" s="89"/>
      <c r="D64" s="91"/>
      <c r="E64" s="83"/>
      <c r="F64" s="83"/>
      <c r="G64" s="83"/>
      <c r="H64" s="83"/>
      <c r="I64" s="83"/>
      <c r="J64" s="83"/>
      <c r="K64" s="83"/>
      <c r="L64" s="83"/>
      <c r="M64" s="82"/>
      <c r="N64" s="82"/>
      <c r="O64" s="82"/>
      <c r="P64" s="82"/>
      <c r="Q64" s="82"/>
      <c r="R64" s="82"/>
      <c r="S64" s="82"/>
      <c r="T64" s="82"/>
      <c r="U64" s="32"/>
      <c r="V64" s="32"/>
      <c r="W64" s="32"/>
      <c r="X64" s="32"/>
    </row>
    <row r="65">
      <c r="A65" s="89"/>
      <c r="B65" s="89"/>
      <c r="C65" s="89"/>
      <c r="D65" s="91"/>
      <c r="E65" s="83"/>
      <c r="F65" s="83"/>
      <c r="G65" s="83"/>
      <c r="H65" s="83"/>
      <c r="I65" s="83"/>
      <c r="J65" s="83"/>
      <c r="K65" s="83"/>
      <c r="L65" s="83"/>
      <c r="M65" s="82"/>
      <c r="N65" s="82"/>
      <c r="O65" s="82"/>
      <c r="P65" s="82"/>
      <c r="Q65" s="82"/>
      <c r="R65" s="82"/>
      <c r="S65" s="82"/>
      <c r="T65" s="82"/>
      <c r="U65" s="32"/>
      <c r="V65" s="32"/>
      <c r="W65" s="32"/>
      <c r="X65" s="32"/>
    </row>
    <row r="66">
      <c r="A66" s="89"/>
      <c r="B66" s="89"/>
      <c r="C66" s="89"/>
      <c r="D66" s="91"/>
      <c r="E66" s="83"/>
      <c r="F66" s="83"/>
      <c r="G66" s="83"/>
      <c r="H66" s="83"/>
      <c r="I66" s="83"/>
      <c r="J66" s="83"/>
      <c r="K66" s="83"/>
      <c r="L66" s="83"/>
      <c r="M66" s="82"/>
      <c r="N66" s="82"/>
      <c r="O66" s="82"/>
      <c r="P66" s="82"/>
      <c r="Q66" s="82"/>
      <c r="R66" s="82"/>
      <c r="S66" s="82"/>
      <c r="T66" s="82"/>
      <c r="U66" s="32"/>
      <c r="V66" s="32"/>
      <c r="W66" s="32"/>
      <c r="X66" s="32"/>
    </row>
    <row r="67">
      <c r="A67" s="89"/>
      <c r="B67" s="89"/>
      <c r="C67" s="89"/>
      <c r="D67" s="91"/>
      <c r="E67" s="83"/>
      <c r="F67" s="83"/>
      <c r="G67" s="83"/>
      <c r="H67" s="83"/>
      <c r="I67" s="83"/>
      <c r="J67" s="83"/>
      <c r="K67" s="83"/>
      <c r="L67" s="83"/>
      <c r="M67" s="82"/>
      <c r="N67" s="82"/>
      <c r="O67" s="82"/>
      <c r="P67" s="82"/>
      <c r="Q67" s="82"/>
      <c r="R67" s="82"/>
      <c r="S67" s="82"/>
      <c r="T67" s="82"/>
      <c r="U67" s="32"/>
      <c r="V67" s="32"/>
      <c r="W67" s="32"/>
      <c r="X67" s="32"/>
    </row>
    <row r="68">
      <c r="A68" s="89"/>
      <c r="B68" s="89"/>
      <c r="C68" s="89"/>
      <c r="D68" s="91"/>
      <c r="E68" s="83"/>
      <c r="F68" s="83"/>
      <c r="G68" s="83"/>
      <c r="H68" s="83"/>
      <c r="I68" s="83"/>
      <c r="J68" s="83"/>
      <c r="K68" s="83"/>
      <c r="L68" s="83"/>
      <c r="M68" s="82"/>
      <c r="N68" s="82"/>
      <c r="O68" s="82"/>
      <c r="P68" s="82"/>
      <c r="Q68" s="82"/>
      <c r="R68" s="82"/>
      <c r="S68" s="82"/>
      <c r="T68" s="82"/>
      <c r="U68" s="32"/>
      <c r="V68" s="32"/>
      <c r="W68" s="32"/>
      <c r="X68" s="32"/>
    </row>
    <row r="69">
      <c r="A69" s="89"/>
      <c r="B69" s="89"/>
      <c r="C69" s="89"/>
      <c r="D69" s="91"/>
      <c r="E69" s="83"/>
      <c r="F69" s="83"/>
      <c r="G69" s="83"/>
      <c r="H69" s="83"/>
      <c r="I69" s="83"/>
      <c r="J69" s="83"/>
      <c r="K69" s="83"/>
      <c r="L69" s="83"/>
      <c r="M69" s="82"/>
      <c r="N69" s="82"/>
      <c r="O69" s="82"/>
      <c r="P69" s="82"/>
      <c r="Q69" s="82"/>
      <c r="R69" s="82"/>
      <c r="S69" s="82"/>
      <c r="T69" s="82"/>
      <c r="U69" s="32"/>
      <c r="V69" s="32"/>
      <c r="W69" s="32"/>
      <c r="X69" s="32"/>
    </row>
    <row r="70">
      <c r="A70" s="89"/>
      <c r="B70" s="89"/>
      <c r="C70" s="89"/>
      <c r="D70" s="91"/>
      <c r="E70" s="83"/>
      <c r="F70" s="83"/>
      <c r="G70" s="83"/>
      <c r="H70" s="83"/>
      <c r="I70" s="83"/>
      <c r="J70" s="83"/>
      <c r="K70" s="83"/>
      <c r="L70" s="83"/>
      <c r="M70" s="82"/>
      <c r="N70" s="82"/>
      <c r="O70" s="82"/>
      <c r="P70" s="82"/>
      <c r="Q70" s="82"/>
      <c r="R70" s="82"/>
      <c r="S70" s="82"/>
      <c r="T70" s="82"/>
      <c r="U70" s="32"/>
      <c r="V70" s="32"/>
      <c r="W70" s="32"/>
      <c r="X70" s="32"/>
    </row>
    <row r="71">
      <c r="A71" s="89"/>
      <c r="B71" s="89"/>
      <c r="C71" s="89"/>
      <c r="D71" s="91"/>
      <c r="E71" s="83"/>
      <c r="F71" s="83"/>
      <c r="G71" s="83"/>
      <c r="H71" s="83"/>
      <c r="I71" s="83"/>
      <c r="J71" s="83"/>
      <c r="K71" s="83"/>
      <c r="L71" s="83"/>
      <c r="M71" s="82"/>
      <c r="N71" s="82"/>
      <c r="O71" s="82"/>
      <c r="P71" s="82"/>
      <c r="Q71" s="82"/>
      <c r="R71" s="82"/>
      <c r="S71" s="82"/>
      <c r="T71" s="82"/>
      <c r="U71" s="32"/>
      <c r="V71" s="32"/>
      <c r="W71" s="32"/>
      <c r="X71" s="32"/>
    </row>
    <row r="72">
      <c r="A72" s="89"/>
      <c r="B72" s="89"/>
      <c r="C72" s="89"/>
      <c r="D72" s="91"/>
      <c r="E72" s="83"/>
      <c r="F72" s="83"/>
      <c r="G72" s="83"/>
      <c r="H72" s="83"/>
      <c r="I72" s="83"/>
      <c r="J72" s="83"/>
      <c r="K72" s="83"/>
      <c r="L72" s="83"/>
      <c r="M72" s="82"/>
      <c r="N72" s="82"/>
      <c r="O72" s="82"/>
      <c r="P72" s="82"/>
      <c r="Q72" s="82"/>
      <c r="R72" s="82"/>
      <c r="S72" s="82"/>
      <c r="T72" s="82"/>
      <c r="U72" s="32"/>
      <c r="V72" s="32"/>
      <c r="W72" s="32"/>
      <c r="X72" s="32"/>
    </row>
    <row r="73">
      <c r="A73" s="89"/>
      <c r="B73" s="89"/>
      <c r="C73" s="89"/>
      <c r="D73" s="91"/>
      <c r="E73" s="83"/>
      <c r="F73" s="83"/>
      <c r="G73" s="83"/>
      <c r="H73" s="83"/>
      <c r="I73" s="83"/>
      <c r="J73" s="83"/>
      <c r="K73" s="83"/>
      <c r="L73" s="83"/>
      <c r="M73" s="82"/>
      <c r="N73" s="82"/>
      <c r="O73" s="82"/>
      <c r="P73" s="82"/>
      <c r="Q73" s="82"/>
      <c r="R73" s="82"/>
      <c r="S73" s="82"/>
      <c r="T73" s="82"/>
      <c r="U73" s="32"/>
      <c r="V73" s="32"/>
      <c r="W73" s="32"/>
      <c r="X73" s="32"/>
    </row>
    <row r="74">
      <c r="A74" s="89"/>
      <c r="B74" s="89"/>
      <c r="C74" s="89"/>
      <c r="D74" s="91"/>
      <c r="E74" s="83"/>
      <c r="F74" s="83"/>
      <c r="G74" s="83"/>
      <c r="H74" s="83"/>
      <c r="I74" s="83"/>
      <c r="J74" s="83"/>
      <c r="K74" s="83"/>
      <c r="L74" s="83"/>
      <c r="M74" s="82"/>
      <c r="N74" s="82"/>
      <c r="O74" s="82"/>
      <c r="P74" s="82"/>
      <c r="Q74" s="82"/>
      <c r="R74" s="82"/>
      <c r="S74" s="82"/>
      <c r="T74" s="82"/>
      <c r="U74" s="32"/>
      <c r="V74" s="32"/>
      <c r="W74" s="32"/>
      <c r="X74" s="32"/>
    </row>
    <row r="75">
      <c r="A75" s="89"/>
      <c r="B75" s="89"/>
      <c r="C75" s="89"/>
      <c r="D75" s="91"/>
      <c r="E75" s="83"/>
      <c r="F75" s="83"/>
      <c r="G75" s="83"/>
      <c r="H75" s="83"/>
      <c r="I75" s="83"/>
      <c r="J75" s="83"/>
      <c r="K75" s="83"/>
      <c r="L75" s="83"/>
      <c r="M75" s="82"/>
      <c r="N75" s="82"/>
      <c r="O75" s="82"/>
      <c r="P75" s="82"/>
      <c r="Q75" s="82"/>
      <c r="R75" s="82"/>
      <c r="S75" s="82"/>
      <c r="T75" s="82"/>
      <c r="U75" s="32"/>
      <c r="V75" s="32"/>
      <c r="W75" s="32"/>
      <c r="X75" s="32"/>
    </row>
    <row r="76">
      <c r="A76" s="89"/>
      <c r="B76" s="89"/>
      <c r="C76" s="89"/>
      <c r="D76" s="91"/>
      <c r="E76" s="83"/>
      <c r="F76" s="83"/>
      <c r="G76" s="83"/>
      <c r="H76" s="83"/>
      <c r="I76" s="83"/>
      <c r="J76" s="83"/>
      <c r="K76" s="83"/>
      <c r="L76" s="83"/>
      <c r="M76" s="82"/>
      <c r="N76" s="82"/>
      <c r="O76" s="82"/>
      <c r="P76" s="82"/>
      <c r="Q76" s="82"/>
      <c r="R76" s="82"/>
      <c r="S76" s="82"/>
      <c r="T76" s="82"/>
      <c r="U76" s="32"/>
      <c r="V76" s="32"/>
      <c r="W76" s="32"/>
      <c r="X76" s="32"/>
    </row>
    <row r="77">
      <c r="A77" s="89"/>
      <c r="B77" s="89"/>
      <c r="C77" s="89"/>
      <c r="D77" s="91"/>
      <c r="E77" s="83"/>
      <c r="F77" s="83"/>
      <c r="G77" s="83"/>
      <c r="H77" s="83"/>
      <c r="I77" s="83"/>
      <c r="J77" s="83"/>
      <c r="K77" s="83"/>
      <c r="L77" s="83"/>
      <c r="M77" s="82"/>
      <c r="N77" s="82"/>
      <c r="O77" s="82"/>
      <c r="P77" s="82"/>
      <c r="Q77" s="82"/>
      <c r="R77" s="82"/>
      <c r="S77" s="82"/>
      <c r="T77" s="82"/>
      <c r="U77" s="32"/>
      <c r="V77" s="32"/>
      <c r="W77" s="32"/>
      <c r="X77" s="32"/>
    </row>
    <row r="78">
      <c r="A78" s="89"/>
      <c r="B78" s="89"/>
      <c r="C78" s="89"/>
      <c r="D78" s="91"/>
      <c r="E78" s="83"/>
      <c r="F78" s="83"/>
      <c r="G78" s="83"/>
      <c r="H78" s="83"/>
      <c r="I78" s="83"/>
      <c r="J78" s="83"/>
      <c r="K78" s="83"/>
      <c r="L78" s="83"/>
      <c r="M78" s="82"/>
      <c r="N78" s="82"/>
      <c r="O78" s="82"/>
      <c r="P78" s="82"/>
      <c r="Q78" s="82"/>
      <c r="R78" s="82"/>
      <c r="S78" s="82"/>
      <c r="T78" s="82"/>
      <c r="U78" s="32"/>
      <c r="V78" s="32"/>
      <c r="W78" s="32"/>
      <c r="X78" s="32"/>
    </row>
    <row r="79">
      <c r="A79" s="89"/>
      <c r="B79" s="89"/>
      <c r="C79" s="89"/>
      <c r="D79" s="91"/>
      <c r="E79" s="83"/>
      <c r="F79" s="83"/>
      <c r="G79" s="83"/>
      <c r="H79" s="83"/>
      <c r="I79" s="83"/>
      <c r="J79" s="83"/>
      <c r="K79" s="83"/>
      <c r="L79" s="83"/>
      <c r="M79" s="82"/>
      <c r="N79" s="82"/>
      <c r="O79" s="82"/>
      <c r="P79" s="82"/>
      <c r="Q79" s="82"/>
      <c r="R79" s="82"/>
      <c r="S79" s="82"/>
      <c r="T79" s="82"/>
      <c r="U79" s="32"/>
      <c r="V79" s="32"/>
      <c r="W79" s="32"/>
      <c r="X79" s="32"/>
    </row>
    <row r="80">
      <c r="A80" s="89"/>
      <c r="B80" s="89"/>
      <c r="C80" s="89"/>
      <c r="D80" s="91"/>
      <c r="E80" s="83"/>
      <c r="F80" s="83"/>
      <c r="G80" s="83"/>
      <c r="H80" s="83"/>
      <c r="I80" s="83"/>
      <c r="J80" s="83"/>
      <c r="K80" s="83"/>
      <c r="L80" s="83"/>
      <c r="M80" s="82"/>
      <c r="N80" s="82"/>
      <c r="O80" s="82"/>
      <c r="P80" s="82"/>
      <c r="Q80" s="82"/>
      <c r="R80" s="82"/>
      <c r="S80" s="82"/>
      <c r="T80" s="82"/>
      <c r="U80" s="32"/>
      <c r="V80" s="32"/>
      <c r="W80" s="32"/>
      <c r="X80" s="32"/>
    </row>
    <row r="81">
      <c r="A81" s="89"/>
      <c r="B81" s="89"/>
      <c r="C81" s="89"/>
      <c r="D81" s="91"/>
      <c r="E81" s="83"/>
      <c r="F81" s="83"/>
      <c r="G81" s="83"/>
      <c r="H81" s="83"/>
      <c r="I81" s="83"/>
      <c r="J81" s="83"/>
      <c r="K81" s="83"/>
      <c r="L81" s="83"/>
      <c r="M81" s="82"/>
      <c r="N81" s="82"/>
      <c r="O81" s="82"/>
      <c r="P81" s="82"/>
      <c r="Q81" s="82"/>
      <c r="R81" s="82"/>
      <c r="S81" s="82"/>
      <c r="T81" s="82"/>
      <c r="U81" s="32"/>
      <c r="V81" s="32"/>
      <c r="W81" s="32"/>
      <c r="X81" s="32"/>
    </row>
    <row r="82">
      <c r="A82" s="89"/>
      <c r="B82" s="89"/>
      <c r="C82" s="89"/>
      <c r="D82" s="91"/>
      <c r="E82" s="83"/>
      <c r="F82" s="83"/>
      <c r="G82" s="83"/>
      <c r="H82" s="83"/>
      <c r="I82" s="83"/>
      <c r="J82" s="83"/>
      <c r="K82" s="83"/>
      <c r="L82" s="83"/>
      <c r="M82" s="82"/>
      <c r="N82" s="82"/>
      <c r="O82" s="82"/>
      <c r="P82" s="82"/>
      <c r="Q82" s="82"/>
      <c r="R82" s="82"/>
      <c r="S82" s="82"/>
      <c r="T82" s="82"/>
      <c r="U82" s="32"/>
      <c r="V82" s="32"/>
      <c r="W82" s="32"/>
      <c r="X82" s="32"/>
    </row>
    <row r="83">
      <c r="A83" s="89"/>
      <c r="B83" s="89"/>
      <c r="C83" s="89"/>
      <c r="D83" s="91"/>
      <c r="E83" s="83"/>
      <c r="F83" s="83"/>
      <c r="G83" s="83"/>
      <c r="H83" s="83"/>
      <c r="I83" s="83"/>
      <c r="J83" s="83"/>
      <c r="K83" s="83"/>
      <c r="L83" s="83"/>
      <c r="M83" s="82"/>
      <c r="N83" s="82"/>
      <c r="O83" s="82"/>
      <c r="P83" s="82"/>
      <c r="Q83" s="82"/>
      <c r="R83" s="82"/>
      <c r="S83" s="82"/>
      <c r="T83" s="82"/>
      <c r="U83" s="32"/>
      <c r="V83" s="32"/>
      <c r="W83" s="32"/>
      <c r="X83" s="32"/>
    </row>
    <row r="84">
      <c r="A84" s="89"/>
      <c r="B84" s="89"/>
      <c r="C84" s="89"/>
      <c r="D84" s="91"/>
      <c r="E84" s="83"/>
      <c r="F84" s="83"/>
      <c r="G84" s="83"/>
      <c r="H84" s="83"/>
      <c r="I84" s="83"/>
      <c r="J84" s="83"/>
      <c r="K84" s="83"/>
      <c r="L84" s="83"/>
      <c r="M84" s="82"/>
      <c r="N84" s="82"/>
      <c r="O84" s="82"/>
      <c r="P84" s="82"/>
      <c r="Q84" s="82"/>
      <c r="R84" s="82"/>
      <c r="S84" s="82"/>
      <c r="T84" s="82"/>
      <c r="U84" s="32"/>
      <c r="V84" s="32"/>
      <c r="W84" s="32"/>
      <c r="X84" s="32"/>
    </row>
    <row r="85">
      <c r="A85" s="89"/>
      <c r="B85" s="89"/>
      <c r="C85" s="89"/>
      <c r="D85" s="91"/>
      <c r="E85" s="83"/>
      <c r="F85" s="83"/>
      <c r="G85" s="83"/>
      <c r="H85" s="83"/>
      <c r="I85" s="83"/>
      <c r="J85" s="83"/>
      <c r="K85" s="83"/>
      <c r="L85" s="83"/>
      <c r="M85" s="82"/>
      <c r="N85" s="82"/>
      <c r="O85" s="82"/>
      <c r="P85" s="82"/>
      <c r="Q85" s="82"/>
      <c r="R85" s="82"/>
      <c r="S85" s="82"/>
      <c r="T85" s="82"/>
      <c r="U85" s="32"/>
      <c r="V85" s="32"/>
      <c r="W85" s="32"/>
      <c r="X85" s="32"/>
    </row>
    <row r="86">
      <c r="A86" s="89"/>
      <c r="B86" s="89"/>
      <c r="C86" s="89"/>
      <c r="D86" s="91"/>
      <c r="E86" s="83"/>
      <c r="F86" s="83"/>
      <c r="G86" s="83"/>
      <c r="H86" s="83"/>
      <c r="I86" s="83"/>
      <c r="J86" s="83"/>
      <c r="K86" s="83"/>
      <c r="L86" s="83"/>
      <c r="M86" s="82"/>
      <c r="N86" s="82"/>
      <c r="O86" s="82"/>
      <c r="P86" s="82"/>
      <c r="Q86" s="82"/>
      <c r="R86" s="82"/>
      <c r="S86" s="82"/>
      <c r="T86" s="82"/>
      <c r="U86" s="32"/>
      <c r="V86" s="32"/>
      <c r="W86" s="32"/>
      <c r="X86" s="32"/>
    </row>
    <row r="87">
      <c r="A87" s="89"/>
      <c r="B87" s="89"/>
      <c r="C87" s="89"/>
      <c r="D87" s="91"/>
      <c r="E87" s="83"/>
      <c r="F87" s="83"/>
      <c r="G87" s="83"/>
      <c r="H87" s="83"/>
      <c r="I87" s="83"/>
      <c r="J87" s="83"/>
      <c r="K87" s="83"/>
      <c r="L87" s="83"/>
      <c r="M87" s="82"/>
      <c r="N87" s="82"/>
      <c r="O87" s="82"/>
      <c r="P87" s="82"/>
      <c r="Q87" s="82"/>
      <c r="R87" s="82"/>
      <c r="S87" s="82"/>
      <c r="T87" s="82"/>
      <c r="U87" s="32"/>
      <c r="V87" s="32"/>
      <c r="W87" s="32"/>
      <c r="X87" s="32"/>
    </row>
    <row r="88">
      <c r="A88" s="89"/>
      <c r="B88" s="89"/>
      <c r="C88" s="89"/>
      <c r="D88" s="91"/>
      <c r="E88" s="83"/>
      <c r="F88" s="83"/>
      <c r="G88" s="83"/>
      <c r="H88" s="83"/>
      <c r="I88" s="83"/>
      <c r="J88" s="83"/>
      <c r="K88" s="83"/>
      <c r="L88" s="83"/>
      <c r="M88" s="82"/>
      <c r="N88" s="82"/>
      <c r="O88" s="82"/>
      <c r="P88" s="82"/>
      <c r="Q88" s="82"/>
      <c r="R88" s="82"/>
      <c r="S88" s="82"/>
      <c r="T88" s="82"/>
      <c r="U88" s="32"/>
      <c r="V88" s="32"/>
      <c r="W88" s="32"/>
      <c r="X88" s="32"/>
    </row>
    <row r="89">
      <c r="A89" s="89"/>
      <c r="B89" s="89"/>
      <c r="C89" s="89"/>
      <c r="D89" s="91"/>
      <c r="E89" s="83"/>
      <c r="F89" s="83"/>
      <c r="G89" s="83"/>
      <c r="H89" s="83"/>
      <c r="I89" s="83"/>
      <c r="J89" s="83"/>
      <c r="K89" s="83"/>
      <c r="L89" s="83"/>
      <c r="M89" s="82"/>
      <c r="N89" s="82"/>
      <c r="O89" s="82"/>
      <c r="P89" s="82"/>
      <c r="Q89" s="82"/>
      <c r="R89" s="82"/>
      <c r="S89" s="82"/>
      <c r="T89" s="82"/>
      <c r="U89" s="32"/>
      <c r="V89" s="32"/>
      <c r="W89" s="32"/>
      <c r="X89" s="32"/>
    </row>
    <row r="90">
      <c r="A90" s="89"/>
      <c r="B90" s="89"/>
      <c r="C90" s="89"/>
      <c r="D90" s="91"/>
      <c r="E90" s="83"/>
      <c r="F90" s="83"/>
      <c r="G90" s="83"/>
      <c r="H90" s="83"/>
      <c r="I90" s="83"/>
      <c r="J90" s="83"/>
      <c r="K90" s="83"/>
      <c r="L90" s="83"/>
      <c r="M90" s="82"/>
      <c r="N90" s="82"/>
      <c r="O90" s="82"/>
      <c r="P90" s="82"/>
      <c r="Q90" s="82"/>
      <c r="R90" s="82"/>
      <c r="S90" s="82"/>
      <c r="T90" s="82"/>
      <c r="U90" s="32"/>
      <c r="V90" s="32"/>
      <c r="W90" s="32"/>
      <c r="X90" s="32"/>
    </row>
    <row r="91">
      <c r="A91" s="89"/>
      <c r="B91" s="89"/>
      <c r="C91" s="89"/>
      <c r="D91" s="91"/>
      <c r="E91" s="83"/>
      <c r="F91" s="83"/>
      <c r="G91" s="83"/>
      <c r="H91" s="83"/>
      <c r="I91" s="83"/>
      <c r="J91" s="83"/>
      <c r="K91" s="83"/>
      <c r="L91" s="83"/>
      <c r="M91" s="82"/>
      <c r="N91" s="82"/>
      <c r="O91" s="82"/>
      <c r="P91" s="82"/>
      <c r="Q91" s="82"/>
      <c r="R91" s="82"/>
      <c r="S91" s="82"/>
      <c r="T91" s="82"/>
      <c r="U91" s="32"/>
      <c r="V91" s="32"/>
      <c r="W91" s="32"/>
      <c r="X91" s="32"/>
    </row>
    <row r="92">
      <c r="A92" s="89"/>
      <c r="B92" s="89"/>
      <c r="C92" s="89"/>
      <c r="D92" s="91"/>
      <c r="E92" s="83"/>
      <c r="F92" s="83"/>
      <c r="G92" s="83"/>
      <c r="H92" s="83"/>
      <c r="I92" s="83"/>
      <c r="J92" s="83"/>
      <c r="K92" s="83"/>
      <c r="L92" s="83"/>
      <c r="M92" s="82"/>
      <c r="N92" s="82"/>
      <c r="O92" s="82"/>
      <c r="P92" s="82"/>
      <c r="Q92" s="82"/>
      <c r="R92" s="82"/>
      <c r="S92" s="82"/>
      <c r="T92" s="82"/>
      <c r="U92" s="32"/>
      <c r="V92" s="32"/>
      <c r="W92" s="32"/>
      <c r="X92" s="32"/>
    </row>
    <row r="93">
      <c r="A93" s="89"/>
      <c r="B93" s="89"/>
      <c r="C93" s="89"/>
      <c r="D93" s="91"/>
      <c r="E93" s="83"/>
      <c r="F93" s="83"/>
      <c r="G93" s="83"/>
      <c r="H93" s="83"/>
      <c r="I93" s="83"/>
      <c r="J93" s="83"/>
      <c r="K93" s="83"/>
      <c r="L93" s="83"/>
      <c r="M93" s="82"/>
      <c r="N93" s="82"/>
      <c r="O93" s="82"/>
      <c r="P93" s="82"/>
      <c r="Q93" s="82"/>
      <c r="R93" s="82"/>
      <c r="S93" s="82"/>
      <c r="T93" s="82"/>
      <c r="U93" s="32"/>
      <c r="V93" s="32"/>
      <c r="W93" s="32"/>
      <c r="X93" s="32"/>
    </row>
    <row r="94">
      <c r="A94" s="89"/>
      <c r="B94" s="89"/>
      <c r="C94" s="89"/>
      <c r="D94" s="91"/>
      <c r="E94" s="83"/>
      <c r="F94" s="83"/>
      <c r="G94" s="83"/>
      <c r="H94" s="83"/>
      <c r="I94" s="83"/>
      <c r="J94" s="83"/>
      <c r="K94" s="83"/>
      <c r="L94" s="83"/>
      <c r="M94" s="82"/>
      <c r="N94" s="82"/>
      <c r="O94" s="82"/>
      <c r="P94" s="82"/>
      <c r="Q94" s="82"/>
      <c r="R94" s="82"/>
      <c r="S94" s="82"/>
      <c r="T94" s="82"/>
      <c r="U94" s="32"/>
      <c r="V94" s="32"/>
      <c r="W94" s="32"/>
      <c r="X94" s="32"/>
    </row>
    <row r="95">
      <c r="A95" s="89"/>
      <c r="B95" s="89"/>
      <c r="C95" s="89"/>
      <c r="D95" s="91"/>
      <c r="E95" s="83"/>
      <c r="F95" s="83"/>
      <c r="G95" s="83"/>
      <c r="H95" s="83"/>
      <c r="I95" s="83"/>
      <c r="J95" s="83"/>
      <c r="K95" s="83"/>
      <c r="L95" s="83"/>
      <c r="M95" s="82"/>
      <c r="N95" s="82"/>
      <c r="O95" s="82"/>
      <c r="P95" s="82"/>
      <c r="Q95" s="82"/>
      <c r="R95" s="82"/>
      <c r="S95" s="82"/>
      <c r="T95" s="82"/>
      <c r="U95" s="32"/>
      <c r="V95" s="32"/>
      <c r="W95" s="32"/>
      <c r="X95" s="32"/>
    </row>
    <row r="96">
      <c r="A96" s="89"/>
      <c r="B96" s="89"/>
      <c r="C96" s="89"/>
      <c r="D96" s="91"/>
      <c r="E96" s="83"/>
      <c r="F96" s="83"/>
      <c r="G96" s="83"/>
      <c r="H96" s="83"/>
      <c r="I96" s="83"/>
      <c r="J96" s="83"/>
      <c r="K96" s="83"/>
      <c r="L96" s="83"/>
      <c r="M96" s="82"/>
      <c r="N96" s="82"/>
      <c r="O96" s="82"/>
      <c r="P96" s="82"/>
      <c r="Q96" s="82"/>
      <c r="R96" s="82"/>
      <c r="S96" s="82"/>
      <c r="T96" s="82"/>
      <c r="U96" s="32"/>
      <c r="V96" s="32"/>
      <c r="W96" s="32"/>
      <c r="X96" s="32"/>
    </row>
    <row r="97">
      <c r="A97" s="89"/>
      <c r="B97" s="89"/>
      <c r="C97" s="89"/>
      <c r="D97" s="91"/>
      <c r="E97" s="83"/>
      <c r="F97" s="83"/>
      <c r="G97" s="83"/>
      <c r="H97" s="83"/>
      <c r="I97" s="83"/>
      <c r="J97" s="83"/>
      <c r="K97" s="83"/>
      <c r="L97" s="83"/>
      <c r="M97" s="82"/>
      <c r="N97" s="82"/>
      <c r="O97" s="82"/>
      <c r="P97" s="82"/>
      <c r="Q97" s="82"/>
      <c r="R97" s="82"/>
      <c r="S97" s="82"/>
      <c r="T97" s="82"/>
      <c r="U97" s="32"/>
      <c r="V97" s="32"/>
      <c r="W97" s="32"/>
      <c r="X97" s="32"/>
    </row>
    <row r="98">
      <c r="A98" s="89"/>
      <c r="B98" s="89"/>
      <c r="C98" s="89"/>
      <c r="D98" s="91"/>
      <c r="E98" s="83"/>
      <c r="F98" s="83"/>
      <c r="G98" s="83"/>
      <c r="H98" s="83"/>
      <c r="I98" s="83"/>
      <c r="J98" s="83"/>
      <c r="K98" s="83"/>
      <c r="L98" s="83"/>
      <c r="M98" s="82"/>
      <c r="N98" s="82"/>
      <c r="O98" s="82"/>
      <c r="P98" s="82"/>
      <c r="Q98" s="82"/>
      <c r="R98" s="82"/>
      <c r="S98" s="82"/>
      <c r="T98" s="82"/>
      <c r="U98" s="32"/>
      <c r="V98" s="32"/>
      <c r="W98" s="32"/>
      <c r="X98" s="32"/>
    </row>
    <row r="99">
      <c r="A99" s="89"/>
      <c r="B99" s="89"/>
      <c r="C99" s="89"/>
      <c r="D99" s="91"/>
      <c r="E99" s="83"/>
      <c r="F99" s="83"/>
      <c r="G99" s="83"/>
      <c r="H99" s="83"/>
      <c r="I99" s="83"/>
      <c r="J99" s="83"/>
      <c r="K99" s="83"/>
      <c r="L99" s="83"/>
      <c r="M99" s="82"/>
      <c r="N99" s="82"/>
      <c r="O99" s="82"/>
      <c r="P99" s="82"/>
      <c r="Q99" s="82"/>
      <c r="R99" s="82"/>
      <c r="S99" s="82"/>
      <c r="T99" s="82"/>
      <c r="U99" s="32"/>
      <c r="V99" s="32"/>
      <c r="W99" s="32"/>
      <c r="X99" s="32"/>
    </row>
    <row r="100">
      <c r="A100" s="89"/>
      <c r="B100" s="89"/>
      <c r="C100" s="89"/>
      <c r="D100" s="91"/>
      <c r="E100" s="83"/>
      <c r="F100" s="83"/>
      <c r="G100" s="83"/>
      <c r="H100" s="83"/>
      <c r="I100" s="83"/>
      <c r="J100" s="83"/>
      <c r="K100" s="83"/>
      <c r="L100" s="83"/>
      <c r="M100" s="82"/>
      <c r="N100" s="82"/>
      <c r="O100" s="82"/>
      <c r="P100" s="82"/>
      <c r="Q100" s="82"/>
      <c r="R100" s="82"/>
      <c r="S100" s="82"/>
      <c r="T100" s="82"/>
      <c r="U100" s="32"/>
      <c r="V100" s="32"/>
      <c r="W100" s="32"/>
      <c r="X100" s="32"/>
    </row>
    <row r="101">
      <c r="A101" s="89"/>
      <c r="B101" s="89"/>
      <c r="C101" s="89"/>
      <c r="D101" s="91"/>
      <c r="E101" s="83"/>
      <c r="F101" s="83"/>
      <c r="G101" s="83"/>
      <c r="H101" s="83"/>
      <c r="I101" s="83"/>
      <c r="J101" s="83"/>
      <c r="K101" s="83"/>
      <c r="L101" s="83"/>
      <c r="M101" s="82"/>
      <c r="N101" s="82"/>
      <c r="O101" s="82"/>
      <c r="P101" s="82"/>
      <c r="Q101" s="82"/>
      <c r="R101" s="82"/>
      <c r="S101" s="82"/>
      <c r="T101" s="82"/>
      <c r="U101" s="32"/>
      <c r="V101" s="32"/>
      <c r="W101" s="32"/>
      <c r="X101" s="32"/>
    </row>
    <row r="102">
      <c r="A102" s="89"/>
      <c r="B102" s="89"/>
      <c r="C102" s="89"/>
      <c r="D102" s="91"/>
      <c r="E102" s="83"/>
      <c r="F102" s="83"/>
      <c r="G102" s="83"/>
      <c r="H102" s="83"/>
      <c r="I102" s="83"/>
      <c r="J102" s="83"/>
      <c r="K102" s="83"/>
      <c r="L102" s="83"/>
      <c r="M102" s="82"/>
      <c r="N102" s="82"/>
      <c r="O102" s="82"/>
      <c r="P102" s="82"/>
      <c r="Q102" s="82"/>
      <c r="R102" s="82"/>
      <c r="S102" s="82"/>
      <c r="T102" s="82"/>
      <c r="U102" s="32"/>
      <c r="V102" s="32"/>
      <c r="W102" s="32"/>
      <c r="X102" s="32"/>
    </row>
    <row r="103">
      <c r="A103" s="89"/>
      <c r="B103" s="89"/>
      <c r="C103" s="89"/>
      <c r="D103" s="91"/>
      <c r="E103" s="83"/>
      <c r="F103" s="83"/>
      <c r="G103" s="83"/>
      <c r="H103" s="83"/>
      <c r="I103" s="83"/>
      <c r="J103" s="83"/>
      <c r="K103" s="83"/>
      <c r="L103" s="83"/>
      <c r="M103" s="82"/>
      <c r="N103" s="82"/>
      <c r="O103" s="82"/>
      <c r="P103" s="82"/>
      <c r="Q103" s="82"/>
      <c r="R103" s="82"/>
      <c r="S103" s="82"/>
      <c r="T103" s="82"/>
      <c r="U103" s="32"/>
      <c r="V103" s="32"/>
      <c r="W103" s="32"/>
      <c r="X103" s="32"/>
    </row>
    <row r="104">
      <c r="A104" s="89"/>
      <c r="B104" s="89"/>
      <c r="C104" s="89"/>
      <c r="D104" s="91"/>
      <c r="E104" s="83"/>
      <c r="F104" s="83"/>
      <c r="G104" s="83"/>
      <c r="H104" s="83"/>
      <c r="I104" s="83"/>
      <c r="J104" s="83"/>
      <c r="K104" s="83"/>
      <c r="L104" s="83"/>
      <c r="M104" s="82"/>
      <c r="N104" s="82"/>
      <c r="O104" s="82"/>
      <c r="P104" s="82"/>
      <c r="Q104" s="82"/>
      <c r="R104" s="82"/>
      <c r="S104" s="82"/>
      <c r="T104" s="82"/>
      <c r="U104" s="32"/>
      <c r="V104" s="32"/>
      <c r="W104" s="32"/>
      <c r="X104" s="32"/>
    </row>
    <row r="105">
      <c r="A105" s="89"/>
      <c r="B105" s="89"/>
      <c r="C105" s="89"/>
      <c r="D105" s="91"/>
      <c r="E105" s="83"/>
      <c r="F105" s="83"/>
      <c r="G105" s="83"/>
      <c r="H105" s="83"/>
      <c r="I105" s="83"/>
      <c r="J105" s="83"/>
      <c r="K105" s="83"/>
      <c r="L105" s="83"/>
      <c r="M105" s="82"/>
      <c r="N105" s="82"/>
      <c r="O105" s="82"/>
      <c r="P105" s="82"/>
      <c r="Q105" s="82"/>
      <c r="R105" s="82"/>
      <c r="S105" s="82"/>
      <c r="T105" s="82"/>
      <c r="U105" s="32"/>
      <c r="V105" s="32"/>
      <c r="W105" s="32"/>
      <c r="X105" s="32"/>
    </row>
    <row r="106">
      <c r="A106" s="89"/>
      <c r="B106" s="89"/>
      <c r="C106" s="89"/>
      <c r="D106" s="91"/>
      <c r="E106" s="83"/>
      <c r="F106" s="83"/>
      <c r="G106" s="83"/>
      <c r="H106" s="83"/>
      <c r="I106" s="83"/>
      <c r="J106" s="83"/>
      <c r="K106" s="83"/>
      <c r="L106" s="83"/>
      <c r="M106" s="82"/>
      <c r="N106" s="82"/>
      <c r="O106" s="82"/>
      <c r="P106" s="82"/>
      <c r="Q106" s="82"/>
      <c r="R106" s="82"/>
      <c r="S106" s="82"/>
      <c r="T106" s="82"/>
      <c r="U106" s="32"/>
      <c r="V106" s="32"/>
      <c r="W106" s="32"/>
      <c r="X106" s="32"/>
    </row>
    <row r="107">
      <c r="A107" s="89"/>
      <c r="B107" s="89"/>
      <c r="C107" s="89"/>
      <c r="D107" s="91"/>
      <c r="E107" s="83"/>
      <c r="F107" s="83"/>
      <c r="G107" s="83"/>
      <c r="H107" s="83"/>
      <c r="I107" s="83"/>
      <c r="J107" s="83"/>
      <c r="K107" s="83"/>
      <c r="L107" s="83"/>
      <c r="M107" s="82"/>
      <c r="N107" s="82"/>
      <c r="O107" s="82"/>
      <c r="P107" s="82"/>
      <c r="Q107" s="82"/>
      <c r="R107" s="82"/>
      <c r="S107" s="82"/>
      <c r="T107" s="82"/>
      <c r="U107" s="32"/>
      <c r="V107" s="32"/>
      <c r="W107" s="32"/>
      <c r="X107" s="32"/>
    </row>
    <row r="108">
      <c r="A108" s="89"/>
      <c r="B108" s="89"/>
      <c r="C108" s="89"/>
      <c r="D108" s="91"/>
      <c r="E108" s="83"/>
      <c r="F108" s="83"/>
      <c r="G108" s="83"/>
      <c r="H108" s="83"/>
      <c r="I108" s="83"/>
      <c r="J108" s="83"/>
      <c r="K108" s="83"/>
      <c r="L108" s="83"/>
      <c r="M108" s="82"/>
      <c r="N108" s="82"/>
      <c r="O108" s="82"/>
      <c r="P108" s="82"/>
      <c r="Q108" s="82"/>
      <c r="R108" s="82"/>
      <c r="S108" s="82"/>
      <c r="T108" s="82"/>
      <c r="U108" s="32"/>
      <c r="V108" s="32"/>
      <c r="W108" s="32"/>
      <c r="X108" s="32"/>
    </row>
    <row r="109">
      <c r="A109" s="89"/>
      <c r="B109" s="89"/>
      <c r="C109" s="89"/>
      <c r="D109" s="91"/>
      <c r="E109" s="83"/>
      <c r="F109" s="83"/>
      <c r="G109" s="83"/>
      <c r="H109" s="83"/>
      <c r="I109" s="83"/>
      <c r="J109" s="83"/>
      <c r="K109" s="83"/>
      <c r="L109" s="83"/>
      <c r="M109" s="82"/>
      <c r="N109" s="82"/>
      <c r="O109" s="82"/>
      <c r="P109" s="82"/>
      <c r="Q109" s="82"/>
      <c r="R109" s="82"/>
      <c r="S109" s="82"/>
      <c r="T109" s="82"/>
      <c r="U109" s="32"/>
      <c r="V109" s="32"/>
      <c r="W109" s="32"/>
      <c r="X109" s="32"/>
    </row>
    <row r="110">
      <c r="A110" s="89"/>
      <c r="B110" s="89"/>
      <c r="C110" s="89"/>
      <c r="D110" s="91"/>
      <c r="E110" s="83"/>
      <c r="F110" s="83"/>
      <c r="G110" s="83"/>
      <c r="H110" s="83"/>
      <c r="I110" s="83"/>
      <c r="J110" s="83"/>
      <c r="K110" s="83"/>
      <c r="L110" s="83"/>
      <c r="M110" s="82"/>
      <c r="N110" s="82"/>
      <c r="O110" s="82"/>
      <c r="P110" s="82"/>
      <c r="Q110" s="82"/>
      <c r="R110" s="82"/>
      <c r="S110" s="82"/>
      <c r="T110" s="82"/>
      <c r="U110" s="32"/>
      <c r="V110" s="32"/>
      <c r="W110" s="32"/>
      <c r="X110" s="32"/>
    </row>
    <row r="111">
      <c r="A111" s="89"/>
      <c r="B111" s="89"/>
      <c r="C111" s="89"/>
      <c r="D111" s="91"/>
      <c r="E111" s="83"/>
      <c r="F111" s="83"/>
      <c r="G111" s="83"/>
      <c r="H111" s="83"/>
      <c r="I111" s="83"/>
      <c r="J111" s="83"/>
      <c r="K111" s="83"/>
      <c r="L111" s="83"/>
      <c r="M111" s="82"/>
      <c r="N111" s="82"/>
      <c r="O111" s="82"/>
      <c r="P111" s="82"/>
      <c r="Q111" s="82"/>
      <c r="R111" s="82"/>
      <c r="S111" s="82"/>
      <c r="T111" s="82"/>
      <c r="U111" s="32"/>
      <c r="V111" s="32"/>
      <c r="W111" s="32"/>
      <c r="X111" s="32"/>
    </row>
    <row r="112">
      <c r="A112" s="89"/>
      <c r="B112" s="89"/>
      <c r="C112" s="89"/>
      <c r="D112" s="91"/>
      <c r="E112" s="83"/>
      <c r="F112" s="83"/>
      <c r="G112" s="83"/>
      <c r="H112" s="83"/>
      <c r="I112" s="83"/>
      <c r="J112" s="83"/>
      <c r="K112" s="83"/>
      <c r="L112" s="83"/>
      <c r="M112" s="82"/>
      <c r="N112" s="82"/>
      <c r="O112" s="82"/>
      <c r="P112" s="82"/>
      <c r="Q112" s="82"/>
      <c r="R112" s="82"/>
      <c r="S112" s="82"/>
      <c r="T112" s="82"/>
      <c r="U112" s="32"/>
      <c r="V112" s="32"/>
      <c r="W112" s="32"/>
      <c r="X112" s="32"/>
    </row>
    <row r="113">
      <c r="A113" s="89"/>
      <c r="B113" s="89"/>
      <c r="C113" s="89"/>
      <c r="D113" s="91"/>
      <c r="E113" s="83"/>
      <c r="F113" s="83"/>
      <c r="G113" s="83"/>
      <c r="H113" s="83"/>
      <c r="I113" s="83"/>
      <c r="J113" s="83"/>
      <c r="K113" s="83"/>
      <c r="L113" s="83"/>
      <c r="M113" s="82"/>
      <c r="N113" s="82"/>
      <c r="O113" s="82"/>
      <c r="P113" s="82"/>
      <c r="Q113" s="82"/>
      <c r="R113" s="82"/>
      <c r="S113" s="82"/>
      <c r="T113" s="82"/>
      <c r="U113" s="32"/>
      <c r="V113" s="32"/>
      <c r="W113" s="32"/>
      <c r="X113" s="32"/>
    </row>
    <row r="114">
      <c r="A114" s="89"/>
      <c r="B114" s="89"/>
      <c r="C114" s="89"/>
      <c r="D114" s="91"/>
      <c r="E114" s="83"/>
      <c r="F114" s="83"/>
      <c r="G114" s="83"/>
      <c r="H114" s="83"/>
      <c r="I114" s="83"/>
      <c r="J114" s="83"/>
      <c r="K114" s="83"/>
      <c r="L114" s="83"/>
      <c r="M114" s="82"/>
      <c r="N114" s="82"/>
      <c r="O114" s="82"/>
      <c r="P114" s="82"/>
      <c r="Q114" s="82"/>
      <c r="R114" s="82"/>
      <c r="S114" s="82"/>
      <c r="T114" s="82"/>
      <c r="U114" s="32"/>
      <c r="V114" s="32"/>
      <c r="W114" s="32"/>
      <c r="X114" s="32"/>
    </row>
    <row r="115">
      <c r="A115" s="89"/>
      <c r="B115" s="89"/>
      <c r="C115" s="89"/>
      <c r="D115" s="91"/>
      <c r="E115" s="83"/>
      <c r="F115" s="83"/>
      <c r="G115" s="83"/>
      <c r="H115" s="83"/>
      <c r="I115" s="83"/>
      <c r="J115" s="83"/>
      <c r="K115" s="83"/>
      <c r="L115" s="83"/>
      <c r="M115" s="82"/>
      <c r="N115" s="82"/>
      <c r="O115" s="82"/>
      <c r="P115" s="82"/>
      <c r="Q115" s="82"/>
      <c r="R115" s="82"/>
      <c r="S115" s="82"/>
      <c r="T115" s="82"/>
      <c r="U115" s="32"/>
      <c r="V115" s="32"/>
      <c r="W115" s="32"/>
      <c r="X115" s="32"/>
    </row>
    <row r="116">
      <c r="A116" s="89"/>
      <c r="B116" s="89"/>
      <c r="C116" s="89"/>
      <c r="D116" s="91"/>
      <c r="E116" s="83"/>
      <c r="F116" s="83"/>
      <c r="G116" s="83"/>
      <c r="H116" s="83"/>
      <c r="I116" s="83"/>
      <c r="J116" s="83"/>
      <c r="K116" s="83"/>
      <c r="L116" s="83"/>
      <c r="M116" s="82"/>
      <c r="N116" s="82"/>
      <c r="O116" s="82"/>
      <c r="P116" s="82"/>
      <c r="Q116" s="82"/>
      <c r="R116" s="82"/>
      <c r="S116" s="82"/>
      <c r="T116" s="82"/>
      <c r="U116" s="32"/>
      <c r="V116" s="32"/>
      <c r="W116" s="32"/>
      <c r="X116" s="32"/>
    </row>
    <row r="117">
      <c r="A117" s="89"/>
      <c r="B117" s="89"/>
      <c r="C117" s="89"/>
      <c r="D117" s="91"/>
      <c r="E117" s="83"/>
      <c r="F117" s="83"/>
      <c r="G117" s="83"/>
      <c r="H117" s="83"/>
      <c r="I117" s="83"/>
      <c r="J117" s="83"/>
      <c r="K117" s="83"/>
      <c r="L117" s="83"/>
      <c r="M117" s="82"/>
      <c r="N117" s="82"/>
      <c r="O117" s="82"/>
      <c r="P117" s="82"/>
      <c r="Q117" s="82"/>
      <c r="R117" s="82"/>
      <c r="S117" s="82"/>
      <c r="T117" s="82"/>
      <c r="U117" s="32"/>
      <c r="V117" s="32"/>
      <c r="W117" s="32"/>
      <c r="X117" s="32"/>
    </row>
    <row r="118">
      <c r="A118" s="89"/>
      <c r="B118" s="89"/>
      <c r="C118" s="89"/>
      <c r="D118" s="91"/>
      <c r="E118" s="83"/>
      <c r="F118" s="83"/>
      <c r="G118" s="83"/>
      <c r="H118" s="83"/>
      <c r="I118" s="83"/>
      <c r="J118" s="83"/>
      <c r="K118" s="83"/>
      <c r="L118" s="83"/>
      <c r="M118" s="82"/>
      <c r="N118" s="82"/>
      <c r="O118" s="82"/>
      <c r="P118" s="82"/>
      <c r="Q118" s="82"/>
      <c r="R118" s="82"/>
      <c r="S118" s="82"/>
      <c r="T118" s="82"/>
      <c r="U118" s="32"/>
      <c r="V118" s="32"/>
      <c r="W118" s="32"/>
      <c r="X118" s="32"/>
    </row>
    <row r="119">
      <c r="A119" s="89"/>
      <c r="B119" s="89"/>
      <c r="C119" s="89"/>
      <c r="D119" s="91"/>
      <c r="E119" s="83"/>
      <c r="F119" s="83"/>
      <c r="G119" s="83"/>
      <c r="H119" s="83"/>
      <c r="I119" s="83"/>
      <c r="J119" s="83"/>
      <c r="K119" s="83"/>
      <c r="L119" s="83"/>
      <c r="M119" s="82"/>
      <c r="N119" s="82"/>
      <c r="O119" s="82"/>
      <c r="P119" s="82"/>
      <c r="Q119" s="82"/>
      <c r="R119" s="82"/>
      <c r="S119" s="82"/>
      <c r="T119" s="82"/>
      <c r="U119" s="32"/>
      <c r="V119" s="32"/>
      <c r="W119" s="32"/>
      <c r="X119" s="32"/>
    </row>
    <row r="120">
      <c r="A120" s="89"/>
      <c r="B120" s="89"/>
      <c r="C120" s="89"/>
      <c r="D120" s="91"/>
      <c r="E120" s="83"/>
      <c r="F120" s="83"/>
      <c r="G120" s="83"/>
      <c r="H120" s="83"/>
      <c r="I120" s="83"/>
      <c r="J120" s="83"/>
      <c r="K120" s="83"/>
      <c r="L120" s="83"/>
      <c r="M120" s="82"/>
      <c r="N120" s="82"/>
      <c r="O120" s="82"/>
      <c r="P120" s="82"/>
      <c r="Q120" s="82"/>
      <c r="R120" s="82"/>
      <c r="S120" s="82"/>
      <c r="T120" s="82"/>
      <c r="U120" s="32"/>
      <c r="V120" s="32"/>
      <c r="W120" s="32"/>
      <c r="X120" s="32"/>
    </row>
    <row r="121">
      <c r="A121" s="89"/>
      <c r="B121" s="89"/>
      <c r="C121" s="89"/>
      <c r="D121" s="91"/>
      <c r="E121" s="83"/>
      <c r="F121" s="83"/>
      <c r="G121" s="83"/>
      <c r="H121" s="83"/>
      <c r="I121" s="83"/>
      <c r="J121" s="83"/>
      <c r="K121" s="83"/>
      <c r="L121" s="83"/>
      <c r="M121" s="82"/>
      <c r="N121" s="82"/>
      <c r="O121" s="82"/>
      <c r="P121" s="82"/>
      <c r="Q121" s="82"/>
      <c r="R121" s="82"/>
      <c r="S121" s="82"/>
      <c r="T121" s="82"/>
      <c r="U121" s="32"/>
      <c r="V121" s="32"/>
      <c r="W121" s="32"/>
      <c r="X121" s="32"/>
    </row>
    <row r="122">
      <c r="A122" s="89"/>
      <c r="B122" s="89"/>
      <c r="C122" s="89"/>
      <c r="D122" s="91"/>
      <c r="E122" s="83"/>
      <c r="F122" s="83"/>
      <c r="G122" s="83"/>
      <c r="H122" s="83"/>
      <c r="I122" s="83"/>
      <c r="J122" s="83"/>
      <c r="K122" s="83"/>
      <c r="L122" s="83"/>
      <c r="M122" s="82"/>
      <c r="N122" s="82"/>
      <c r="O122" s="82"/>
      <c r="P122" s="82"/>
      <c r="Q122" s="82"/>
      <c r="R122" s="82"/>
      <c r="S122" s="82"/>
      <c r="T122" s="82"/>
      <c r="U122" s="32"/>
      <c r="V122" s="32"/>
      <c r="W122" s="32"/>
      <c r="X122" s="32"/>
    </row>
    <row r="123">
      <c r="A123" s="89"/>
      <c r="B123" s="89"/>
      <c r="C123" s="89"/>
      <c r="D123" s="91"/>
      <c r="E123" s="83"/>
      <c r="F123" s="83"/>
      <c r="G123" s="83"/>
      <c r="H123" s="83"/>
      <c r="I123" s="83"/>
      <c r="J123" s="83"/>
      <c r="K123" s="83"/>
      <c r="L123" s="83"/>
      <c r="M123" s="82"/>
      <c r="N123" s="82"/>
      <c r="O123" s="82"/>
      <c r="P123" s="82"/>
      <c r="Q123" s="82"/>
      <c r="R123" s="82"/>
      <c r="S123" s="82"/>
      <c r="T123" s="82"/>
      <c r="U123" s="32"/>
      <c r="V123" s="32"/>
      <c r="W123" s="32"/>
      <c r="X123" s="32"/>
    </row>
    <row r="124">
      <c r="A124" s="89"/>
      <c r="B124" s="89"/>
      <c r="C124" s="89"/>
      <c r="D124" s="91"/>
      <c r="E124" s="83"/>
      <c r="F124" s="83"/>
      <c r="G124" s="83"/>
      <c r="H124" s="83"/>
      <c r="I124" s="83"/>
      <c r="J124" s="83"/>
      <c r="K124" s="83"/>
      <c r="L124" s="83"/>
      <c r="M124" s="82"/>
      <c r="N124" s="82"/>
      <c r="O124" s="82"/>
      <c r="P124" s="82"/>
      <c r="Q124" s="82"/>
      <c r="R124" s="82"/>
      <c r="S124" s="82"/>
      <c r="T124" s="82"/>
      <c r="U124" s="32"/>
      <c r="V124" s="32"/>
      <c r="W124" s="32"/>
      <c r="X124" s="32"/>
    </row>
    <row r="125">
      <c r="A125" s="89"/>
      <c r="B125" s="89"/>
      <c r="C125" s="89"/>
      <c r="D125" s="91"/>
      <c r="E125" s="83"/>
      <c r="F125" s="83"/>
      <c r="G125" s="83"/>
      <c r="H125" s="83"/>
      <c r="I125" s="83"/>
      <c r="J125" s="83"/>
      <c r="K125" s="83"/>
      <c r="L125" s="83"/>
      <c r="M125" s="82"/>
      <c r="N125" s="82"/>
      <c r="O125" s="82"/>
      <c r="P125" s="82"/>
      <c r="Q125" s="82"/>
      <c r="R125" s="82"/>
      <c r="S125" s="82"/>
      <c r="T125" s="82"/>
      <c r="U125" s="32"/>
      <c r="V125" s="32"/>
      <c r="W125" s="32"/>
      <c r="X125" s="32"/>
    </row>
    <row r="126">
      <c r="A126" s="89"/>
      <c r="B126" s="89"/>
      <c r="C126" s="89"/>
      <c r="D126" s="91"/>
      <c r="E126" s="83"/>
      <c r="F126" s="83"/>
      <c r="G126" s="83"/>
      <c r="H126" s="83"/>
      <c r="I126" s="83"/>
      <c r="J126" s="83"/>
      <c r="K126" s="83"/>
      <c r="L126" s="83"/>
      <c r="M126" s="82"/>
      <c r="N126" s="82"/>
      <c r="O126" s="82"/>
      <c r="P126" s="82"/>
      <c r="Q126" s="82"/>
      <c r="R126" s="82"/>
      <c r="S126" s="82"/>
      <c r="T126" s="82"/>
      <c r="U126" s="32"/>
      <c r="V126" s="32"/>
      <c r="W126" s="32"/>
      <c r="X126" s="32"/>
    </row>
    <row r="127">
      <c r="A127" s="89"/>
      <c r="B127" s="89"/>
      <c r="C127" s="89"/>
      <c r="D127" s="91"/>
      <c r="E127" s="83"/>
      <c r="F127" s="83"/>
      <c r="G127" s="83"/>
      <c r="H127" s="83"/>
      <c r="I127" s="83"/>
      <c r="J127" s="83"/>
      <c r="K127" s="83"/>
      <c r="L127" s="83"/>
      <c r="M127" s="82"/>
      <c r="N127" s="82"/>
      <c r="O127" s="82"/>
      <c r="P127" s="82"/>
      <c r="Q127" s="82"/>
      <c r="R127" s="82"/>
      <c r="S127" s="82"/>
      <c r="T127" s="82"/>
      <c r="U127" s="32"/>
      <c r="V127" s="32"/>
      <c r="W127" s="32"/>
      <c r="X127" s="32"/>
    </row>
    <row r="128">
      <c r="A128" s="89"/>
      <c r="B128" s="89"/>
      <c r="C128" s="89"/>
      <c r="D128" s="91"/>
      <c r="E128" s="83"/>
      <c r="F128" s="83"/>
      <c r="G128" s="83"/>
      <c r="H128" s="83"/>
      <c r="I128" s="83"/>
      <c r="J128" s="83"/>
      <c r="K128" s="83"/>
      <c r="L128" s="83"/>
      <c r="M128" s="82"/>
      <c r="N128" s="82"/>
      <c r="O128" s="82"/>
      <c r="P128" s="82"/>
      <c r="Q128" s="82"/>
      <c r="R128" s="82"/>
      <c r="S128" s="82"/>
      <c r="T128" s="82"/>
      <c r="U128" s="32"/>
      <c r="V128" s="32"/>
      <c r="W128" s="32"/>
      <c r="X128" s="32"/>
    </row>
    <row r="129">
      <c r="A129" s="89"/>
      <c r="B129" s="89"/>
      <c r="C129" s="89"/>
      <c r="D129" s="91"/>
      <c r="E129" s="83"/>
      <c r="F129" s="83"/>
      <c r="G129" s="83"/>
      <c r="H129" s="83"/>
      <c r="I129" s="83"/>
      <c r="J129" s="83"/>
      <c r="K129" s="83"/>
      <c r="L129" s="83"/>
      <c r="M129" s="82"/>
      <c r="N129" s="82"/>
      <c r="O129" s="82"/>
      <c r="P129" s="82"/>
      <c r="Q129" s="82"/>
      <c r="R129" s="82"/>
      <c r="S129" s="82"/>
      <c r="T129" s="82"/>
      <c r="U129" s="32"/>
      <c r="V129" s="32"/>
      <c r="W129" s="32"/>
      <c r="X129" s="32"/>
    </row>
    <row r="130">
      <c r="A130" s="89"/>
      <c r="B130" s="89"/>
      <c r="C130" s="89"/>
      <c r="D130" s="91"/>
      <c r="E130" s="83"/>
      <c r="F130" s="83"/>
      <c r="G130" s="83"/>
      <c r="H130" s="83"/>
      <c r="I130" s="83"/>
      <c r="J130" s="83"/>
      <c r="K130" s="83"/>
      <c r="L130" s="83"/>
      <c r="M130" s="82"/>
      <c r="N130" s="82"/>
      <c r="O130" s="82"/>
      <c r="P130" s="82"/>
      <c r="Q130" s="82"/>
      <c r="R130" s="82"/>
      <c r="S130" s="82"/>
      <c r="T130" s="82"/>
      <c r="U130" s="32"/>
      <c r="V130" s="32"/>
      <c r="W130" s="32"/>
      <c r="X130" s="32"/>
    </row>
    <row r="131">
      <c r="A131" s="89"/>
      <c r="B131" s="89"/>
      <c r="C131" s="89"/>
      <c r="D131" s="91"/>
      <c r="E131" s="83"/>
      <c r="F131" s="83"/>
      <c r="G131" s="83"/>
      <c r="H131" s="83"/>
      <c r="I131" s="83"/>
      <c r="J131" s="83"/>
      <c r="K131" s="83"/>
      <c r="L131" s="83"/>
      <c r="M131" s="82"/>
      <c r="N131" s="82"/>
      <c r="O131" s="82"/>
      <c r="P131" s="82"/>
      <c r="Q131" s="82"/>
      <c r="R131" s="82"/>
      <c r="S131" s="82"/>
      <c r="T131" s="82"/>
      <c r="U131" s="32"/>
      <c r="V131" s="32"/>
      <c r="W131" s="32"/>
      <c r="X131" s="32"/>
    </row>
    <row r="132">
      <c r="A132" s="89"/>
      <c r="B132" s="89"/>
      <c r="C132" s="89"/>
      <c r="D132" s="91"/>
      <c r="E132" s="83"/>
      <c r="F132" s="83"/>
      <c r="G132" s="83"/>
      <c r="H132" s="83"/>
      <c r="I132" s="83"/>
      <c r="J132" s="83"/>
      <c r="K132" s="83"/>
      <c r="L132" s="83"/>
      <c r="M132" s="82"/>
      <c r="N132" s="82"/>
      <c r="O132" s="82"/>
      <c r="P132" s="82"/>
      <c r="Q132" s="82"/>
      <c r="R132" s="82"/>
      <c r="S132" s="82"/>
      <c r="T132" s="82"/>
      <c r="U132" s="32"/>
      <c r="V132" s="32"/>
      <c r="W132" s="32"/>
      <c r="X132" s="32"/>
    </row>
    <row r="133">
      <c r="A133" s="89"/>
      <c r="B133" s="89"/>
      <c r="C133" s="89"/>
      <c r="D133" s="91"/>
      <c r="E133" s="83"/>
      <c r="F133" s="83"/>
      <c r="G133" s="83"/>
      <c r="H133" s="83"/>
      <c r="I133" s="83"/>
      <c r="J133" s="83"/>
      <c r="K133" s="83"/>
      <c r="L133" s="83"/>
      <c r="M133" s="82"/>
      <c r="N133" s="82"/>
      <c r="O133" s="82"/>
      <c r="P133" s="82"/>
      <c r="Q133" s="82"/>
      <c r="R133" s="82"/>
      <c r="S133" s="82"/>
      <c r="T133" s="82"/>
      <c r="U133" s="32"/>
      <c r="V133" s="32"/>
      <c r="W133" s="32"/>
      <c r="X133" s="32"/>
    </row>
    <row r="134">
      <c r="A134" s="89"/>
      <c r="B134" s="89"/>
      <c r="C134" s="89"/>
      <c r="D134" s="91"/>
      <c r="E134" s="83"/>
      <c r="F134" s="83"/>
      <c r="G134" s="83"/>
      <c r="H134" s="83"/>
      <c r="I134" s="83"/>
      <c r="J134" s="83"/>
      <c r="K134" s="83"/>
      <c r="L134" s="83"/>
      <c r="M134" s="82"/>
      <c r="N134" s="82"/>
      <c r="O134" s="82"/>
      <c r="P134" s="82"/>
      <c r="Q134" s="82"/>
      <c r="R134" s="82"/>
      <c r="S134" s="82"/>
      <c r="T134" s="82"/>
      <c r="U134" s="32"/>
      <c r="V134" s="32"/>
      <c r="W134" s="32"/>
      <c r="X134" s="32"/>
    </row>
    <row r="135">
      <c r="A135" s="89"/>
      <c r="B135" s="89"/>
      <c r="C135" s="89"/>
      <c r="D135" s="91"/>
      <c r="E135" s="83"/>
      <c r="F135" s="83"/>
      <c r="G135" s="83"/>
      <c r="H135" s="83"/>
      <c r="I135" s="83"/>
      <c r="J135" s="83"/>
      <c r="K135" s="83"/>
      <c r="L135" s="83"/>
      <c r="M135" s="82"/>
      <c r="N135" s="82"/>
      <c r="O135" s="82"/>
      <c r="P135" s="82"/>
      <c r="Q135" s="82"/>
      <c r="R135" s="82"/>
      <c r="S135" s="82"/>
      <c r="T135" s="82"/>
      <c r="U135" s="32"/>
      <c r="V135" s="32"/>
      <c r="W135" s="32"/>
      <c r="X135" s="32"/>
    </row>
    <row r="136">
      <c r="A136" s="89"/>
      <c r="B136" s="89"/>
      <c r="C136" s="89"/>
      <c r="D136" s="91"/>
      <c r="E136" s="83"/>
      <c r="F136" s="83"/>
      <c r="G136" s="83"/>
      <c r="H136" s="83"/>
      <c r="I136" s="83"/>
      <c r="J136" s="83"/>
      <c r="K136" s="83"/>
      <c r="L136" s="83"/>
      <c r="M136" s="82"/>
      <c r="N136" s="82"/>
      <c r="O136" s="82"/>
      <c r="P136" s="82"/>
      <c r="Q136" s="82"/>
      <c r="R136" s="82"/>
      <c r="S136" s="82"/>
      <c r="T136" s="82"/>
      <c r="U136" s="32"/>
      <c r="V136" s="32"/>
      <c r="W136" s="32"/>
      <c r="X136" s="32"/>
    </row>
    <row r="137">
      <c r="A137" s="89"/>
      <c r="B137" s="89"/>
      <c r="C137" s="89"/>
      <c r="D137" s="91"/>
      <c r="E137" s="83"/>
      <c r="F137" s="83"/>
      <c r="G137" s="83"/>
      <c r="H137" s="83"/>
      <c r="I137" s="83"/>
      <c r="J137" s="83"/>
      <c r="K137" s="83"/>
      <c r="L137" s="83"/>
      <c r="M137" s="82"/>
      <c r="N137" s="82"/>
      <c r="O137" s="82"/>
      <c r="P137" s="82"/>
      <c r="Q137" s="82"/>
      <c r="R137" s="82"/>
      <c r="S137" s="82"/>
      <c r="T137" s="82"/>
      <c r="U137" s="32"/>
      <c r="V137" s="32"/>
      <c r="W137" s="32"/>
      <c r="X137" s="32"/>
    </row>
    <row r="138">
      <c r="A138" s="89"/>
      <c r="B138" s="89"/>
      <c r="C138" s="89"/>
      <c r="D138" s="91"/>
      <c r="E138" s="83"/>
      <c r="F138" s="83"/>
      <c r="G138" s="83"/>
      <c r="H138" s="83"/>
      <c r="I138" s="83"/>
      <c r="J138" s="83"/>
      <c r="K138" s="83"/>
      <c r="L138" s="83"/>
      <c r="M138" s="82"/>
      <c r="N138" s="82"/>
      <c r="O138" s="82"/>
      <c r="P138" s="82"/>
      <c r="Q138" s="82"/>
      <c r="R138" s="82"/>
      <c r="S138" s="82"/>
      <c r="T138" s="82"/>
      <c r="U138" s="32"/>
      <c r="V138" s="32"/>
      <c r="W138" s="32"/>
      <c r="X138" s="32"/>
    </row>
    <row r="139">
      <c r="A139" s="89"/>
      <c r="B139" s="89"/>
      <c r="C139" s="89"/>
      <c r="D139" s="91"/>
      <c r="E139" s="83"/>
      <c r="F139" s="83"/>
      <c r="G139" s="83"/>
      <c r="H139" s="83"/>
      <c r="I139" s="83"/>
      <c r="J139" s="83"/>
      <c r="K139" s="83"/>
      <c r="L139" s="83"/>
      <c r="M139" s="82"/>
      <c r="N139" s="82"/>
      <c r="O139" s="82"/>
      <c r="P139" s="82"/>
      <c r="Q139" s="82"/>
      <c r="R139" s="82"/>
      <c r="S139" s="82"/>
      <c r="T139" s="82"/>
      <c r="U139" s="32"/>
      <c r="V139" s="32"/>
      <c r="W139" s="32"/>
      <c r="X139" s="32"/>
    </row>
    <row r="140">
      <c r="A140" s="89"/>
      <c r="B140" s="89"/>
      <c r="C140" s="89"/>
      <c r="D140" s="91"/>
      <c r="E140" s="83"/>
      <c r="F140" s="83"/>
      <c r="G140" s="83"/>
      <c r="H140" s="83"/>
      <c r="I140" s="83"/>
      <c r="J140" s="83"/>
      <c r="K140" s="83"/>
      <c r="L140" s="83"/>
      <c r="M140" s="82"/>
      <c r="N140" s="82"/>
      <c r="O140" s="82"/>
      <c r="P140" s="82"/>
      <c r="Q140" s="82"/>
      <c r="R140" s="82"/>
      <c r="S140" s="82"/>
      <c r="T140" s="82"/>
      <c r="U140" s="32"/>
      <c r="V140" s="32"/>
      <c r="W140" s="32"/>
      <c r="X140" s="32"/>
    </row>
    <row r="141">
      <c r="A141" s="89"/>
      <c r="B141" s="89"/>
      <c r="C141" s="89"/>
      <c r="D141" s="91"/>
      <c r="E141" s="83"/>
      <c r="F141" s="83"/>
      <c r="G141" s="83"/>
      <c r="H141" s="83"/>
      <c r="I141" s="83"/>
      <c r="J141" s="83"/>
      <c r="K141" s="83"/>
      <c r="L141" s="83"/>
      <c r="M141" s="82"/>
      <c r="N141" s="82"/>
      <c r="O141" s="82"/>
      <c r="P141" s="82"/>
      <c r="Q141" s="82"/>
      <c r="R141" s="82"/>
      <c r="S141" s="82"/>
      <c r="T141" s="82"/>
      <c r="U141" s="32"/>
      <c r="V141" s="32"/>
      <c r="W141" s="32"/>
      <c r="X141" s="32"/>
    </row>
    <row r="142">
      <c r="A142" s="89"/>
      <c r="B142" s="89"/>
      <c r="C142" s="89"/>
      <c r="D142" s="91"/>
      <c r="E142" s="83"/>
      <c r="F142" s="83"/>
      <c r="G142" s="83"/>
      <c r="H142" s="83"/>
      <c r="I142" s="83"/>
      <c r="J142" s="83"/>
      <c r="K142" s="83"/>
      <c r="L142" s="83"/>
      <c r="M142" s="82"/>
      <c r="N142" s="82"/>
      <c r="O142" s="82"/>
      <c r="P142" s="82"/>
      <c r="Q142" s="82"/>
      <c r="R142" s="82"/>
      <c r="S142" s="82"/>
      <c r="T142" s="82"/>
      <c r="U142" s="32"/>
      <c r="V142" s="32"/>
      <c r="W142" s="32"/>
      <c r="X142" s="32"/>
    </row>
    <row r="143">
      <c r="A143" s="89"/>
      <c r="B143" s="89"/>
      <c r="C143" s="89"/>
      <c r="D143" s="91"/>
      <c r="E143" s="83"/>
      <c r="F143" s="83"/>
      <c r="G143" s="83"/>
      <c r="H143" s="83"/>
      <c r="I143" s="83"/>
      <c r="J143" s="83"/>
      <c r="K143" s="83"/>
      <c r="L143" s="83"/>
      <c r="M143" s="82"/>
      <c r="N143" s="82"/>
      <c r="O143" s="82"/>
      <c r="P143" s="82"/>
      <c r="Q143" s="82"/>
      <c r="R143" s="82"/>
      <c r="S143" s="82"/>
      <c r="T143" s="82"/>
      <c r="U143" s="32"/>
      <c r="V143" s="32"/>
      <c r="W143" s="32"/>
      <c r="X143" s="32"/>
    </row>
    <row r="144">
      <c r="A144" s="89"/>
      <c r="B144" s="89"/>
      <c r="C144" s="89"/>
      <c r="D144" s="91"/>
      <c r="E144" s="83"/>
      <c r="F144" s="83"/>
      <c r="G144" s="83"/>
      <c r="H144" s="83"/>
      <c r="I144" s="83"/>
      <c r="J144" s="83"/>
      <c r="K144" s="83"/>
      <c r="L144" s="83"/>
      <c r="M144" s="82"/>
      <c r="N144" s="82"/>
      <c r="O144" s="82"/>
      <c r="P144" s="82"/>
      <c r="Q144" s="82"/>
      <c r="R144" s="82"/>
      <c r="S144" s="82"/>
      <c r="T144" s="82"/>
      <c r="U144" s="32"/>
      <c r="V144" s="32"/>
      <c r="W144" s="32"/>
      <c r="X144" s="32"/>
    </row>
    <row r="145">
      <c r="A145" s="89"/>
      <c r="B145" s="89"/>
      <c r="C145" s="89"/>
      <c r="D145" s="91"/>
      <c r="E145" s="83"/>
      <c r="F145" s="83"/>
      <c r="G145" s="83"/>
      <c r="H145" s="83"/>
      <c r="I145" s="83"/>
      <c r="J145" s="83"/>
      <c r="K145" s="83"/>
      <c r="L145" s="83"/>
      <c r="M145" s="82"/>
      <c r="N145" s="82"/>
      <c r="O145" s="82"/>
      <c r="P145" s="82"/>
      <c r="Q145" s="82"/>
      <c r="R145" s="82"/>
      <c r="S145" s="82"/>
      <c r="T145" s="82"/>
      <c r="U145" s="32"/>
      <c r="V145" s="32"/>
      <c r="W145" s="32"/>
      <c r="X145" s="32"/>
    </row>
    <row r="146">
      <c r="A146" s="89"/>
      <c r="B146" s="89"/>
      <c r="C146" s="89"/>
      <c r="D146" s="91"/>
      <c r="E146" s="83"/>
      <c r="F146" s="83"/>
      <c r="G146" s="83"/>
      <c r="H146" s="83"/>
      <c r="I146" s="83"/>
      <c r="J146" s="83"/>
      <c r="K146" s="83"/>
      <c r="L146" s="83"/>
      <c r="M146" s="82"/>
      <c r="N146" s="82"/>
      <c r="O146" s="82"/>
      <c r="P146" s="82"/>
      <c r="Q146" s="82"/>
      <c r="R146" s="82"/>
      <c r="S146" s="82"/>
      <c r="T146" s="82"/>
      <c r="U146" s="32"/>
      <c r="V146" s="32"/>
      <c r="W146" s="32"/>
      <c r="X146" s="32"/>
    </row>
    <row r="147">
      <c r="A147" s="89"/>
      <c r="B147" s="89"/>
      <c r="C147" s="89"/>
      <c r="D147" s="91"/>
      <c r="E147" s="83"/>
      <c r="F147" s="83"/>
      <c r="G147" s="83"/>
      <c r="H147" s="83"/>
      <c r="I147" s="83"/>
      <c r="J147" s="83"/>
      <c r="K147" s="83"/>
      <c r="L147" s="83"/>
      <c r="M147" s="82"/>
      <c r="N147" s="82"/>
      <c r="O147" s="82"/>
      <c r="P147" s="82"/>
      <c r="Q147" s="82"/>
      <c r="R147" s="82"/>
      <c r="S147" s="82"/>
      <c r="T147" s="82"/>
      <c r="U147" s="32"/>
      <c r="V147" s="32"/>
      <c r="W147" s="32"/>
      <c r="X147" s="32"/>
    </row>
    <row r="148">
      <c r="A148" s="89"/>
      <c r="B148" s="89"/>
      <c r="C148" s="89"/>
      <c r="D148" s="91"/>
      <c r="E148" s="83"/>
      <c r="F148" s="83"/>
      <c r="G148" s="83"/>
      <c r="H148" s="83"/>
      <c r="I148" s="83"/>
      <c r="J148" s="83"/>
      <c r="K148" s="83"/>
      <c r="L148" s="83"/>
      <c r="M148" s="82"/>
      <c r="N148" s="82"/>
      <c r="O148" s="82"/>
      <c r="P148" s="82"/>
      <c r="Q148" s="82"/>
      <c r="R148" s="82"/>
      <c r="S148" s="82"/>
      <c r="T148" s="82"/>
      <c r="U148" s="32"/>
      <c r="V148" s="32"/>
      <c r="W148" s="32"/>
      <c r="X148" s="32"/>
    </row>
    <row r="149">
      <c r="A149" s="89"/>
      <c r="B149" s="89"/>
      <c r="C149" s="89"/>
      <c r="D149" s="91"/>
      <c r="E149" s="83"/>
      <c r="F149" s="83"/>
      <c r="G149" s="83"/>
      <c r="H149" s="83"/>
      <c r="I149" s="83"/>
      <c r="J149" s="83"/>
      <c r="K149" s="83"/>
      <c r="L149" s="83"/>
      <c r="M149" s="82"/>
      <c r="N149" s="82"/>
      <c r="O149" s="82"/>
      <c r="P149" s="82"/>
      <c r="Q149" s="82"/>
      <c r="R149" s="82"/>
      <c r="S149" s="82"/>
      <c r="T149" s="82"/>
      <c r="U149" s="32"/>
      <c r="V149" s="32"/>
      <c r="W149" s="32"/>
      <c r="X149" s="32"/>
    </row>
    <row r="150">
      <c r="A150" s="89"/>
      <c r="B150" s="89"/>
      <c r="C150" s="89"/>
      <c r="D150" s="91"/>
      <c r="E150" s="83"/>
      <c r="F150" s="83"/>
      <c r="G150" s="83"/>
      <c r="H150" s="83"/>
      <c r="I150" s="83"/>
      <c r="J150" s="83"/>
      <c r="K150" s="83"/>
      <c r="L150" s="83"/>
      <c r="M150" s="82"/>
      <c r="N150" s="82"/>
      <c r="O150" s="82"/>
      <c r="P150" s="82"/>
      <c r="Q150" s="82"/>
      <c r="R150" s="82"/>
      <c r="S150" s="82"/>
      <c r="T150" s="82"/>
      <c r="U150" s="32"/>
      <c r="V150" s="32"/>
      <c r="W150" s="32"/>
      <c r="X150" s="32"/>
    </row>
    <row r="151">
      <c r="A151" s="89"/>
      <c r="B151" s="89"/>
      <c r="C151" s="89"/>
      <c r="D151" s="91"/>
      <c r="E151" s="83"/>
      <c r="F151" s="83"/>
      <c r="G151" s="83"/>
      <c r="H151" s="83"/>
      <c r="I151" s="83"/>
      <c r="J151" s="83"/>
      <c r="K151" s="83"/>
      <c r="L151" s="83"/>
      <c r="M151" s="82"/>
      <c r="N151" s="82"/>
      <c r="O151" s="82"/>
      <c r="P151" s="82"/>
      <c r="Q151" s="82"/>
      <c r="R151" s="82"/>
      <c r="S151" s="82"/>
      <c r="T151" s="82"/>
      <c r="U151" s="32"/>
      <c r="V151" s="32"/>
      <c r="W151" s="32"/>
      <c r="X151" s="32"/>
    </row>
    <row r="152">
      <c r="A152" s="89"/>
      <c r="B152" s="89"/>
      <c r="C152" s="89"/>
      <c r="D152" s="91"/>
      <c r="E152" s="83"/>
      <c r="F152" s="83"/>
      <c r="G152" s="83"/>
      <c r="H152" s="83"/>
      <c r="I152" s="83"/>
      <c r="J152" s="83"/>
      <c r="K152" s="83"/>
      <c r="L152" s="83"/>
      <c r="M152" s="82"/>
      <c r="N152" s="82"/>
      <c r="O152" s="82"/>
      <c r="P152" s="82"/>
      <c r="Q152" s="82"/>
      <c r="R152" s="82"/>
      <c r="S152" s="82"/>
      <c r="T152" s="82"/>
      <c r="U152" s="32"/>
      <c r="V152" s="32"/>
      <c r="W152" s="32"/>
      <c r="X152" s="32"/>
    </row>
    <row r="153">
      <c r="A153" s="89"/>
      <c r="B153" s="89"/>
      <c r="C153" s="89"/>
      <c r="D153" s="91"/>
      <c r="E153" s="83"/>
      <c r="F153" s="83"/>
      <c r="G153" s="83"/>
      <c r="H153" s="83"/>
      <c r="I153" s="83"/>
      <c r="J153" s="83"/>
      <c r="K153" s="83"/>
      <c r="L153" s="83"/>
      <c r="M153" s="82"/>
      <c r="N153" s="82"/>
      <c r="O153" s="82"/>
      <c r="P153" s="82"/>
      <c r="Q153" s="82"/>
      <c r="R153" s="82"/>
      <c r="S153" s="82"/>
      <c r="T153" s="82"/>
      <c r="U153" s="32"/>
      <c r="V153" s="32"/>
      <c r="W153" s="32"/>
      <c r="X153" s="32"/>
    </row>
    <row r="154">
      <c r="A154" s="89"/>
      <c r="B154" s="89"/>
      <c r="C154" s="89"/>
      <c r="D154" s="91"/>
      <c r="E154" s="83"/>
      <c r="F154" s="83"/>
      <c r="G154" s="83"/>
      <c r="H154" s="83"/>
      <c r="I154" s="83"/>
      <c r="J154" s="83"/>
      <c r="K154" s="83"/>
      <c r="L154" s="83"/>
      <c r="M154" s="82"/>
      <c r="N154" s="82"/>
      <c r="O154" s="82"/>
      <c r="P154" s="82"/>
      <c r="Q154" s="82"/>
      <c r="R154" s="82"/>
      <c r="S154" s="82"/>
      <c r="T154" s="82"/>
      <c r="U154" s="32"/>
      <c r="V154" s="32"/>
      <c r="W154" s="32"/>
      <c r="X154" s="32"/>
    </row>
    <row r="155">
      <c r="A155" s="89"/>
      <c r="B155" s="89"/>
      <c r="C155" s="89"/>
      <c r="D155" s="91"/>
      <c r="E155" s="83"/>
      <c r="F155" s="83"/>
      <c r="G155" s="83"/>
      <c r="H155" s="83"/>
      <c r="I155" s="83"/>
      <c r="J155" s="83"/>
      <c r="K155" s="83"/>
      <c r="L155" s="83"/>
      <c r="M155" s="82"/>
      <c r="N155" s="82"/>
      <c r="O155" s="82"/>
      <c r="P155" s="82"/>
      <c r="Q155" s="82"/>
      <c r="R155" s="82"/>
      <c r="S155" s="82"/>
      <c r="T155" s="82"/>
      <c r="U155" s="32"/>
      <c r="V155" s="32"/>
      <c r="W155" s="32"/>
      <c r="X155" s="32"/>
    </row>
    <row r="156">
      <c r="A156" s="89"/>
      <c r="B156" s="89"/>
      <c r="C156" s="89"/>
      <c r="D156" s="91"/>
      <c r="E156" s="83"/>
      <c r="F156" s="83"/>
      <c r="G156" s="83"/>
      <c r="H156" s="83"/>
      <c r="I156" s="83"/>
      <c r="J156" s="83"/>
      <c r="K156" s="83"/>
      <c r="L156" s="83"/>
      <c r="M156" s="82"/>
      <c r="N156" s="82"/>
      <c r="O156" s="82"/>
      <c r="P156" s="82"/>
      <c r="Q156" s="82"/>
      <c r="R156" s="82"/>
      <c r="S156" s="82"/>
      <c r="T156" s="82"/>
      <c r="U156" s="32"/>
      <c r="V156" s="32"/>
      <c r="W156" s="32"/>
      <c r="X156" s="32"/>
    </row>
    <row r="157">
      <c r="A157" s="89"/>
      <c r="B157" s="89"/>
      <c r="C157" s="89"/>
      <c r="D157" s="91"/>
      <c r="E157" s="83"/>
      <c r="F157" s="83"/>
      <c r="G157" s="83"/>
      <c r="H157" s="83"/>
      <c r="I157" s="83"/>
      <c r="J157" s="83"/>
      <c r="K157" s="83"/>
      <c r="L157" s="83"/>
      <c r="M157" s="82"/>
      <c r="N157" s="82"/>
      <c r="O157" s="82"/>
      <c r="P157" s="82"/>
      <c r="Q157" s="82"/>
      <c r="R157" s="82"/>
      <c r="S157" s="82"/>
      <c r="T157" s="82"/>
      <c r="U157" s="32"/>
      <c r="V157" s="32"/>
      <c r="W157" s="32"/>
      <c r="X157" s="32"/>
    </row>
    <row r="158">
      <c r="A158" s="89"/>
      <c r="B158" s="89"/>
      <c r="C158" s="89"/>
      <c r="D158" s="91"/>
      <c r="E158" s="83"/>
      <c r="F158" s="83"/>
      <c r="G158" s="83"/>
      <c r="H158" s="83"/>
      <c r="I158" s="83"/>
      <c r="J158" s="83"/>
      <c r="K158" s="83"/>
      <c r="L158" s="83"/>
      <c r="M158" s="82"/>
      <c r="N158" s="82"/>
      <c r="O158" s="82"/>
      <c r="P158" s="82"/>
      <c r="Q158" s="82"/>
      <c r="R158" s="82"/>
      <c r="S158" s="82"/>
      <c r="T158" s="82"/>
      <c r="U158" s="32"/>
      <c r="V158" s="32"/>
      <c r="W158" s="32"/>
      <c r="X158" s="32"/>
    </row>
    <row r="159">
      <c r="A159" s="89"/>
      <c r="B159" s="89"/>
      <c r="C159" s="89"/>
      <c r="D159" s="91"/>
      <c r="E159" s="83"/>
      <c r="F159" s="83"/>
      <c r="G159" s="83"/>
      <c r="H159" s="83"/>
      <c r="I159" s="83"/>
      <c r="J159" s="83"/>
      <c r="K159" s="83"/>
      <c r="L159" s="83"/>
      <c r="M159" s="82"/>
      <c r="N159" s="82"/>
      <c r="O159" s="82"/>
      <c r="P159" s="82"/>
      <c r="Q159" s="82"/>
      <c r="R159" s="82"/>
      <c r="S159" s="82"/>
      <c r="T159" s="82"/>
      <c r="U159" s="32"/>
      <c r="V159" s="32"/>
      <c r="W159" s="32"/>
      <c r="X159" s="32"/>
    </row>
    <row r="160">
      <c r="A160" s="89"/>
      <c r="B160" s="89"/>
      <c r="C160" s="89"/>
      <c r="D160" s="91"/>
      <c r="E160" s="83"/>
      <c r="F160" s="83"/>
      <c r="G160" s="83"/>
      <c r="H160" s="83"/>
      <c r="I160" s="83"/>
      <c r="J160" s="83"/>
      <c r="K160" s="83"/>
      <c r="L160" s="83"/>
      <c r="M160" s="82"/>
      <c r="N160" s="82"/>
      <c r="O160" s="82"/>
      <c r="P160" s="82"/>
      <c r="Q160" s="82"/>
      <c r="R160" s="82"/>
      <c r="S160" s="82"/>
      <c r="T160" s="82"/>
      <c r="U160" s="32"/>
      <c r="V160" s="32"/>
      <c r="W160" s="32"/>
      <c r="X160" s="32"/>
    </row>
    <row r="161">
      <c r="A161" s="89"/>
      <c r="B161" s="89"/>
      <c r="C161" s="89"/>
      <c r="D161" s="91"/>
      <c r="E161" s="83"/>
      <c r="F161" s="83"/>
      <c r="G161" s="83"/>
      <c r="H161" s="83"/>
      <c r="I161" s="83"/>
      <c r="J161" s="83"/>
      <c r="K161" s="83"/>
      <c r="L161" s="83"/>
      <c r="M161" s="82"/>
      <c r="N161" s="82"/>
      <c r="O161" s="82"/>
      <c r="P161" s="82"/>
      <c r="Q161" s="82"/>
      <c r="R161" s="82"/>
      <c r="S161" s="82"/>
      <c r="T161" s="82"/>
      <c r="U161" s="32"/>
      <c r="V161" s="32"/>
      <c r="W161" s="32"/>
      <c r="X161" s="32"/>
    </row>
    <row r="162">
      <c r="A162" s="89"/>
      <c r="B162" s="89"/>
      <c r="C162" s="89"/>
      <c r="D162" s="91"/>
      <c r="E162" s="83"/>
      <c r="F162" s="83"/>
      <c r="G162" s="83"/>
      <c r="H162" s="83"/>
      <c r="I162" s="83"/>
      <c r="J162" s="83"/>
      <c r="K162" s="83"/>
      <c r="L162" s="83"/>
      <c r="M162" s="82"/>
      <c r="N162" s="82"/>
      <c r="O162" s="82"/>
      <c r="P162" s="82"/>
      <c r="Q162" s="82"/>
      <c r="R162" s="82"/>
      <c r="S162" s="82"/>
      <c r="T162" s="82"/>
      <c r="U162" s="32"/>
      <c r="V162" s="32"/>
      <c r="W162" s="32"/>
      <c r="X162" s="32"/>
    </row>
    <row r="163">
      <c r="A163" s="89"/>
      <c r="B163" s="89"/>
      <c r="C163" s="89"/>
      <c r="D163" s="91"/>
      <c r="E163" s="83"/>
      <c r="F163" s="83"/>
      <c r="G163" s="83"/>
      <c r="H163" s="83"/>
      <c r="I163" s="83"/>
      <c r="J163" s="83"/>
      <c r="K163" s="83"/>
      <c r="L163" s="83"/>
      <c r="M163" s="82"/>
      <c r="N163" s="82"/>
      <c r="O163" s="82"/>
      <c r="P163" s="82"/>
      <c r="Q163" s="82"/>
      <c r="R163" s="82"/>
      <c r="S163" s="82"/>
      <c r="T163" s="82"/>
      <c r="U163" s="32"/>
      <c r="V163" s="32"/>
      <c r="W163" s="32"/>
      <c r="X163" s="32"/>
    </row>
    <row r="164">
      <c r="A164" s="89"/>
      <c r="B164" s="89"/>
      <c r="C164" s="89"/>
      <c r="D164" s="91"/>
      <c r="E164" s="83"/>
      <c r="F164" s="83"/>
      <c r="G164" s="83"/>
      <c r="H164" s="83"/>
      <c r="I164" s="83"/>
      <c r="J164" s="83"/>
      <c r="K164" s="83"/>
      <c r="L164" s="83"/>
      <c r="M164" s="82"/>
      <c r="N164" s="82"/>
      <c r="O164" s="82"/>
      <c r="P164" s="82"/>
      <c r="Q164" s="82"/>
      <c r="R164" s="82"/>
      <c r="S164" s="82"/>
      <c r="T164" s="82"/>
      <c r="U164" s="32"/>
      <c r="V164" s="32"/>
      <c r="W164" s="32"/>
      <c r="X164" s="32"/>
    </row>
    <row r="165">
      <c r="A165" s="89"/>
      <c r="B165" s="89"/>
      <c r="C165" s="89"/>
      <c r="D165" s="91"/>
      <c r="E165" s="83"/>
      <c r="F165" s="83"/>
      <c r="G165" s="83"/>
      <c r="H165" s="83"/>
      <c r="I165" s="83"/>
      <c r="J165" s="83"/>
      <c r="K165" s="83"/>
      <c r="L165" s="83"/>
      <c r="M165" s="82"/>
      <c r="N165" s="82"/>
      <c r="O165" s="82"/>
      <c r="P165" s="82"/>
      <c r="Q165" s="82"/>
      <c r="R165" s="82"/>
      <c r="S165" s="82"/>
      <c r="T165" s="82"/>
      <c r="U165" s="32"/>
      <c r="V165" s="32"/>
      <c r="W165" s="32"/>
      <c r="X165" s="32"/>
    </row>
    <row r="166">
      <c r="A166" s="89"/>
      <c r="B166" s="89"/>
      <c r="C166" s="89"/>
      <c r="D166" s="91"/>
      <c r="E166" s="83"/>
      <c r="F166" s="83"/>
      <c r="G166" s="83"/>
      <c r="H166" s="83"/>
      <c r="I166" s="83"/>
      <c r="J166" s="83"/>
      <c r="K166" s="83"/>
      <c r="L166" s="83"/>
      <c r="M166" s="82"/>
      <c r="N166" s="82"/>
      <c r="O166" s="82"/>
      <c r="P166" s="82"/>
      <c r="Q166" s="82"/>
      <c r="R166" s="82"/>
      <c r="S166" s="82"/>
      <c r="T166" s="82"/>
      <c r="U166" s="32"/>
      <c r="V166" s="32"/>
      <c r="W166" s="32"/>
      <c r="X166" s="32"/>
    </row>
    <row r="167">
      <c r="A167" s="89"/>
      <c r="B167" s="89"/>
      <c r="C167" s="89"/>
      <c r="D167" s="91"/>
      <c r="E167" s="83"/>
      <c r="F167" s="83"/>
      <c r="G167" s="83"/>
      <c r="H167" s="83"/>
      <c r="I167" s="83"/>
      <c r="J167" s="83"/>
      <c r="K167" s="83"/>
      <c r="L167" s="83"/>
      <c r="M167" s="82"/>
      <c r="N167" s="82"/>
      <c r="O167" s="82"/>
      <c r="P167" s="82"/>
      <c r="Q167" s="82"/>
      <c r="R167" s="82"/>
      <c r="S167" s="82"/>
      <c r="T167" s="82"/>
      <c r="U167" s="32"/>
      <c r="V167" s="32"/>
      <c r="W167" s="32"/>
      <c r="X167" s="32"/>
    </row>
    <row r="168">
      <c r="A168" s="89"/>
      <c r="B168" s="89"/>
      <c r="C168" s="89"/>
      <c r="D168" s="91"/>
      <c r="E168" s="83"/>
      <c r="F168" s="83"/>
      <c r="G168" s="83"/>
      <c r="H168" s="83"/>
      <c r="I168" s="83"/>
      <c r="J168" s="83"/>
      <c r="K168" s="83"/>
      <c r="L168" s="83"/>
      <c r="M168" s="82"/>
      <c r="N168" s="82"/>
      <c r="O168" s="82"/>
      <c r="P168" s="82"/>
      <c r="Q168" s="82"/>
      <c r="R168" s="82"/>
      <c r="S168" s="82"/>
      <c r="T168" s="82"/>
      <c r="U168" s="32"/>
      <c r="V168" s="32"/>
      <c r="W168" s="32"/>
      <c r="X168" s="32"/>
    </row>
    <row r="169">
      <c r="A169" s="89"/>
      <c r="B169" s="89"/>
      <c r="C169" s="89"/>
      <c r="D169" s="91"/>
      <c r="E169" s="83"/>
      <c r="F169" s="83"/>
      <c r="G169" s="83"/>
      <c r="H169" s="83"/>
      <c r="I169" s="83"/>
      <c r="J169" s="83"/>
      <c r="K169" s="83"/>
      <c r="L169" s="83"/>
      <c r="M169" s="82"/>
      <c r="N169" s="82"/>
      <c r="O169" s="82"/>
      <c r="P169" s="82"/>
      <c r="Q169" s="82"/>
      <c r="R169" s="82"/>
      <c r="S169" s="82"/>
      <c r="T169" s="82"/>
      <c r="U169" s="32"/>
      <c r="V169" s="32"/>
      <c r="W169" s="32"/>
      <c r="X169" s="32"/>
    </row>
    <row r="170">
      <c r="A170" s="89"/>
      <c r="B170" s="89"/>
      <c r="C170" s="89"/>
      <c r="D170" s="91"/>
      <c r="E170" s="83"/>
      <c r="F170" s="83"/>
      <c r="G170" s="83"/>
      <c r="H170" s="83"/>
      <c r="I170" s="83"/>
      <c r="J170" s="83"/>
      <c r="K170" s="83"/>
      <c r="L170" s="83"/>
      <c r="M170" s="82"/>
      <c r="N170" s="82"/>
      <c r="O170" s="82"/>
      <c r="P170" s="82"/>
      <c r="Q170" s="82"/>
      <c r="R170" s="82"/>
      <c r="S170" s="82"/>
      <c r="T170" s="82"/>
      <c r="U170" s="32"/>
      <c r="V170" s="32"/>
      <c r="W170" s="32"/>
      <c r="X170" s="32"/>
    </row>
    <row r="171">
      <c r="A171" s="89"/>
      <c r="B171" s="89"/>
      <c r="C171" s="89"/>
      <c r="D171" s="91"/>
      <c r="E171" s="83"/>
      <c r="F171" s="83"/>
      <c r="G171" s="83"/>
      <c r="H171" s="83"/>
      <c r="I171" s="83"/>
      <c r="J171" s="83"/>
      <c r="K171" s="83"/>
      <c r="L171" s="83"/>
      <c r="M171" s="82"/>
      <c r="N171" s="82"/>
      <c r="O171" s="82"/>
      <c r="P171" s="82"/>
      <c r="Q171" s="82"/>
      <c r="R171" s="82"/>
      <c r="S171" s="82"/>
      <c r="T171" s="82"/>
      <c r="U171" s="32"/>
      <c r="V171" s="32"/>
      <c r="W171" s="32"/>
      <c r="X171" s="32"/>
    </row>
    <row r="172">
      <c r="A172" s="89"/>
      <c r="B172" s="89"/>
      <c r="C172" s="89"/>
      <c r="D172" s="91"/>
      <c r="E172" s="83"/>
      <c r="F172" s="83"/>
      <c r="G172" s="83"/>
      <c r="H172" s="83"/>
      <c r="I172" s="83"/>
      <c r="J172" s="83"/>
      <c r="K172" s="83"/>
      <c r="L172" s="83"/>
      <c r="M172" s="82"/>
      <c r="N172" s="82"/>
      <c r="O172" s="82"/>
      <c r="P172" s="82"/>
      <c r="Q172" s="82"/>
      <c r="R172" s="82"/>
      <c r="S172" s="82"/>
      <c r="T172" s="82"/>
      <c r="U172" s="32"/>
      <c r="V172" s="32"/>
      <c r="W172" s="32"/>
      <c r="X172" s="32"/>
    </row>
    <row r="173">
      <c r="A173" s="89"/>
      <c r="B173" s="89"/>
      <c r="C173" s="89"/>
      <c r="D173" s="91"/>
      <c r="E173" s="83"/>
      <c r="F173" s="83"/>
      <c r="G173" s="83"/>
      <c r="H173" s="83"/>
      <c r="I173" s="83"/>
      <c r="J173" s="83"/>
      <c r="K173" s="83"/>
      <c r="L173" s="83"/>
      <c r="M173" s="82"/>
      <c r="N173" s="82"/>
      <c r="O173" s="82"/>
      <c r="P173" s="82"/>
      <c r="Q173" s="82"/>
      <c r="R173" s="82"/>
      <c r="S173" s="82"/>
      <c r="T173" s="82"/>
      <c r="U173" s="32"/>
      <c r="V173" s="32"/>
      <c r="W173" s="32"/>
      <c r="X173" s="32"/>
    </row>
    <row r="174">
      <c r="A174" s="89"/>
      <c r="B174" s="89"/>
      <c r="C174" s="89"/>
      <c r="D174" s="91"/>
      <c r="E174" s="83"/>
      <c r="F174" s="83"/>
      <c r="G174" s="83"/>
      <c r="H174" s="83"/>
      <c r="I174" s="83"/>
      <c r="J174" s="83"/>
      <c r="K174" s="83"/>
      <c r="L174" s="83"/>
      <c r="M174" s="82"/>
      <c r="N174" s="82"/>
      <c r="O174" s="82"/>
      <c r="P174" s="82"/>
      <c r="Q174" s="82"/>
      <c r="R174" s="82"/>
      <c r="S174" s="82"/>
      <c r="T174" s="82"/>
      <c r="U174" s="32"/>
      <c r="V174" s="32"/>
      <c r="W174" s="32"/>
      <c r="X174" s="32"/>
    </row>
    <row r="175">
      <c r="A175" s="89"/>
      <c r="B175" s="89"/>
      <c r="C175" s="89"/>
      <c r="D175" s="91"/>
      <c r="E175" s="83"/>
      <c r="F175" s="83"/>
      <c r="G175" s="83"/>
      <c r="H175" s="83"/>
      <c r="I175" s="83"/>
      <c r="J175" s="83"/>
      <c r="K175" s="83"/>
      <c r="L175" s="83"/>
      <c r="M175" s="82"/>
      <c r="N175" s="82"/>
      <c r="O175" s="82"/>
      <c r="P175" s="82"/>
      <c r="Q175" s="82"/>
      <c r="R175" s="82"/>
      <c r="S175" s="82"/>
      <c r="T175" s="82"/>
      <c r="U175" s="32"/>
      <c r="V175" s="32"/>
      <c r="W175" s="32"/>
      <c r="X175" s="32"/>
    </row>
    <row r="176">
      <c r="A176" s="89"/>
      <c r="B176" s="89"/>
      <c r="C176" s="89"/>
      <c r="D176" s="91"/>
      <c r="E176" s="83"/>
      <c r="F176" s="83"/>
      <c r="G176" s="83"/>
      <c r="H176" s="83"/>
      <c r="I176" s="83"/>
      <c r="J176" s="83"/>
      <c r="K176" s="83"/>
      <c r="L176" s="83"/>
      <c r="M176" s="82"/>
      <c r="N176" s="82"/>
      <c r="O176" s="82"/>
      <c r="P176" s="82"/>
      <c r="Q176" s="82"/>
      <c r="R176" s="82"/>
      <c r="S176" s="82"/>
      <c r="T176" s="82"/>
      <c r="U176" s="32"/>
      <c r="V176" s="32"/>
      <c r="W176" s="32"/>
      <c r="X176" s="32"/>
    </row>
    <row r="177">
      <c r="A177" s="89"/>
      <c r="B177" s="89"/>
      <c r="C177" s="89"/>
      <c r="D177" s="91"/>
      <c r="E177" s="83"/>
      <c r="F177" s="83"/>
      <c r="G177" s="83"/>
      <c r="H177" s="83"/>
      <c r="I177" s="83"/>
      <c r="J177" s="83"/>
      <c r="K177" s="83"/>
      <c r="L177" s="83"/>
      <c r="M177" s="82"/>
      <c r="N177" s="82"/>
      <c r="O177" s="82"/>
      <c r="P177" s="82"/>
      <c r="Q177" s="82"/>
      <c r="R177" s="82"/>
      <c r="S177" s="82"/>
      <c r="T177" s="82"/>
      <c r="U177" s="32"/>
      <c r="V177" s="32"/>
      <c r="W177" s="32"/>
      <c r="X177" s="32"/>
    </row>
    <row r="178">
      <c r="A178" s="89"/>
      <c r="B178" s="89"/>
      <c r="C178" s="89"/>
      <c r="D178" s="91"/>
      <c r="E178" s="83"/>
      <c r="F178" s="83"/>
      <c r="G178" s="83"/>
      <c r="H178" s="83"/>
      <c r="I178" s="83"/>
      <c r="J178" s="83"/>
      <c r="K178" s="83"/>
      <c r="L178" s="83"/>
      <c r="M178" s="82"/>
      <c r="N178" s="82"/>
      <c r="O178" s="82"/>
      <c r="P178" s="82"/>
      <c r="Q178" s="82"/>
      <c r="R178" s="82"/>
      <c r="S178" s="82"/>
      <c r="T178" s="82"/>
      <c r="U178" s="32"/>
      <c r="V178" s="32"/>
      <c r="W178" s="32"/>
      <c r="X178" s="32"/>
    </row>
    <row r="179">
      <c r="A179" s="89"/>
      <c r="B179" s="89"/>
      <c r="C179" s="89"/>
      <c r="D179" s="91"/>
      <c r="E179" s="83"/>
      <c r="F179" s="83"/>
      <c r="G179" s="83"/>
      <c r="H179" s="83"/>
      <c r="I179" s="83"/>
      <c r="J179" s="83"/>
      <c r="K179" s="83"/>
      <c r="L179" s="83"/>
      <c r="M179" s="82"/>
      <c r="N179" s="82"/>
      <c r="O179" s="82"/>
      <c r="P179" s="82"/>
      <c r="Q179" s="82"/>
      <c r="R179" s="82"/>
      <c r="S179" s="82"/>
      <c r="T179" s="82"/>
      <c r="U179" s="32"/>
      <c r="V179" s="32"/>
      <c r="W179" s="32"/>
      <c r="X179" s="32"/>
    </row>
    <row r="180">
      <c r="A180" s="89"/>
      <c r="B180" s="89"/>
      <c r="C180" s="89"/>
      <c r="D180" s="91"/>
      <c r="E180" s="83"/>
      <c r="F180" s="83"/>
      <c r="G180" s="83"/>
      <c r="H180" s="83"/>
      <c r="I180" s="83"/>
      <c r="J180" s="83"/>
      <c r="K180" s="83"/>
      <c r="L180" s="83"/>
      <c r="M180" s="82"/>
      <c r="N180" s="82"/>
      <c r="O180" s="82"/>
      <c r="P180" s="82"/>
      <c r="Q180" s="82"/>
      <c r="R180" s="82"/>
      <c r="S180" s="82"/>
      <c r="T180" s="82"/>
      <c r="U180" s="32"/>
      <c r="V180" s="32"/>
      <c r="W180" s="32"/>
      <c r="X180" s="32"/>
    </row>
    <row r="181">
      <c r="A181" s="89"/>
      <c r="B181" s="89"/>
      <c r="C181" s="89"/>
      <c r="D181" s="91"/>
      <c r="E181" s="83"/>
      <c r="F181" s="83"/>
      <c r="G181" s="83"/>
      <c r="H181" s="83"/>
      <c r="I181" s="83"/>
      <c r="J181" s="83"/>
      <c r="K181" s="83"/>
      <c r="L181" s="83"/>
      <c r="M181" s="82"/>
      <c r="N181" s="82"/>
      <c r="O181" s="82"/>
      <c r="P181" s="82"/>
      <c r="Q181" s="82"/>
      <c r="R181" s="82"/>
      <c r="S181" s="82"/>
      <c r="T181" s="82"/>
      <c r="U181" s="32"/>
      <c r="V181" s="32"/>
      <c r="W181" s="32"/>
      <c r="X181" s="32"/>
    </row>
    <row r="182">
      <c r="A182" s="89"/>
      <c r="B182" s="89"/>
      <c r="C182" s="89"/>
      <c r="D182" s="91"/>
      <c r="E182" s="83"/>
      <c r="F182" s="83"/>
      <c r="G182" s="83"/>
      <c r="H182" s="83"/>
      <c r="I182" s="83"/>
      <c r="J182" s="83"/>
      <c r="K182" s="83"/>
      <c r="L182" s="83"/>
      <c r="M182" s="82"/>
      <c r="N182" s="82"/>
      <c r="O182" s="82"/>
      <c r="P182" s="82"/>
      <c r="Q182" s="82"/>
      <c r="R182" s="82"/>
      <c r="S182" s="82"/>
      <c r="T182" s="82"/>
      <c r="U182" s="32"/>
      <c r="V182" s="32"/>
      <c r="W182" s="32"/>
      <c r="X182" s="32"/>
    </row>
    <row r="183">
      <c r="A183" s="89"/>
      <c r="B183" s="89"/>
      <c r="C183" s="89"/>
      <c r="D183" s="91"/>
      <c r="E183" s="83"/>
      <c r="F183" s="83"/>
      <c r="G183" s="83"/>
      <c r="H183" s="83"/>
      <c r="I183" s="83"/>
      <c r="J183" s="83"/>
      <c r="K183" s="83"/>
      <c r="L183" s="83"/>
      <c r="M183" s="82"/>
      <c r="N183" s="82"/>
      <c r="O183" s="82"/>
      <c r="P183" s="82"/>
      <c r="Q183" s="82"/>
      <c r="R183" s="82"/>
      <c r="S183" s="82"/>
      <c r="T183" s="82"/>
      <c r="U183" s="32"/>
      <c r="V183" s="32"/>
      <c r="W183" s="32"/>
      <c r="X183" s="32"/>
    </row>
    <row r="184">
      <c r="A184" s="89"/>
      <c r="B184" s="89"/>
      <c r="C184" s="89"/>
      <c r="D184" s="91"/>
      <c r="E184" s="83"/>
      <c r="F184" s="83"/>
      <c r="G184" s="83"/>
      <c r="H184" s="83"/>
      <c r="I184" s="83"/>
      <c r="J184" s="83"/>
      <c r="K184" s="83"/>
      <c r="L184" s="83"/>
      <c r="M184" s="82"/>
      <c r="N184" s="82"/>
      <c r="O184" s="82"/>
      <c r="P184" s="82"/>
      <c r="Q184" s="82"/>
      <c r="R184" s="82"/>
      <c r="S184" s="82"/>
      <c r="T184" s="82"/>
      <c r="U184" s="32"/>
      <c r="V184" s="32"/>
      <c r="W184" s="32"/>
      <c r="X184" s="32"/>
    </row>
    <row r="185">
      <c r="A185" s="89"/>
      <c r="B185" s="89"/>
      <c r="C185" s="89"/>
      <c r="D185" s="91"/>
      <c r="E185" s="83"/>
      <c r="F185" s="83"/>
      <c r="G185" s="83"/>
      <c r="H185" s="83"/>
      <c r="I185" s="83"/>
      <c r="J185" s="83"/>
      <c r="K185" s="83"/>
      <c r="L185" s="83"/>
      <c r="M185" s="82"/>
      <c r="N185" s="82"/>
      <c r="O185" s="82"/>
      <c r="P185" s="82"/>
      <c r="Q185" s="82"/>
      <c r="R185" s="82"/>
      <c r="S185" s="82"/>
      <c r="T185" s="82"/>
      <c r="U185" s="32"/>
      <c r="V185" s="32"/>
      <c r="W185" s="32"/>
      <c r="X185" s="32"/>
    </row>
    <row r="186">
      <c r="A186" s="89"/>
      <c r="B186" s="89"/>
      <c r="C186" s="89"/>
      <c r="D186" s="91"/>
      <c r="E186" s="83"/>
      <c r="F186" s="83"/>
      <c r="G186" s="83"/>
      <c r="H186" s="83"/>
      <c r="I186" s="83"/>
      <c r="J186" s="83"/>
      <c r="K186" s="83"/>
      <c r="L186" s="83"/>
      <c r="M186" s="82"/>
      <c r="N186" s="82"/>
      <c r="O186" s="82"/>
      <c r="P186" s="82"/>
      <c r="Q186" s="82"/>
      <c r="R186" s="82"/>
      <c r="S186" s="82"/>
      <c r="T186" s="82"/>
      <c r="U186" s="32"/>
      <c r="V186" s="32"/>
      <c r="W186" s="32"/>
      <c r="X186" s="32"/>
    </row>
    <row r="187">
      <c r="A187" s="89"/>
      <c r="B187" s="89"/>
      <c r="C187" s="89"/>
      <c r="D187" s="91"/>
      <c r="E187" s="83"/>
      <c r="F187" s="83"/>
      <c r="G187" s="83"/>
      <c r="H187" s="83"/>
      <c r="I187" s="83"/>
      <c r="J187" s="83"/>
      <c r="K187" s="83"/>
      <c r="L187" s="83"/>
      <c r="M187" s="82"/>
      <c r="N187" s="82"/>
      <c r="O187" s="82"/>
      <c r="P187" s="82"/>
      <c r="Q187" s="82"/>
      <c r="R187" s="82"/>
      <c r="S187" s="82"/>
      <c r="T187" s="82"/>
      <c r="U187" s="32"/>
      <c r="V187" s="32"/>
      <c r="W187" s="32"/>
      <c r="X187" s="32"/>
    </row>
    <row r="188">
      <c r="A188" s="89"/>
      <c r="B188" s="89"/>
      <c r="C188" s="89"/>
      <c r="D188" s="91"/>
      <c r="E188" s="83"/>
      <c r="F188" s="83"/>
      <c r="G188" s="83"/>
      <c r="H188" s="83"/>
      <c r="I188" s="83"/>
      <c r="J188" s="83"/>
      <c r="K188" s="83"/>
      <c r="L188" s="83"/>
      <c r="M188" s="82"/>
      <c r="N188" s="82"/>
      <c r="O188" s="82"/>
      <c r="P188" s="82"/>
      <c r="Q188" s="82"/>
      <c r="R188" s="82"/>
      <c r="S188" s="82"/>
      <c r="T188" s="82"/>
      <c r="U188" s="32"/>
      <c r="V188" s="32"/>
      <c r="W188" s="32"/>
      <c r="X188" s="32"/>
    </row>
    <row r="189">
      <c r="A189" s="89"/>
      <c r="B189" s="89"/>
      <c r="C189" s="89"/>
      <c r="D189" s="91"/>
      <c r="E189" s="83"/>
      <c r="F189" s="83"/>
      <c r="G189" s="83"/>
      <c r="H189" s="83"/>
      <c r="I189" s="83"/>
      <c r="J189" s="83"/>
      <c r="K189" s="83"/>
      <c r="L189" s="83"/>
      <c r="M189" s="82"/>
      <c r="N189" s="82"/>
      <c r="O189" s="82"/>
      <c r="P189" s="82"/>
      <c r="Q189" s="82"/>
      <c r="R189" s="82"/>
      <c r="S189" s="82"/>
      <c r="T189" s="82"/>
      <c r="U189" s="32"/>
      <c r="V189" s="32"/>
      <c r="W189" s="32"/>
      <c r="X189" s="32"/>
    </row>
    <row r="190">
      <c r="A190" s="89"/>
      <c r="B190" s="89"/>
      <c r="C190" s="89"/>
      <c r="D190" s="91"/>
      <c r="E190" s="83"/>
      <c r="F190" s="83"/>
      <c r="G190" s="83"/>
      <c r="H190" s="83"/>
      <c r="I190" s="83"/>
      <c r="J190" s="83"/>
      <c r="K190" s="83"/>
      <c r="L190" s="83"/>
      <c r="M190" s="82"/>
      <c r="N190" s="82"/>
      <c r="O190" s="82"/>
      <c r="P190" s="82"/>
      <c r="Q190" s="82"/>
      <c r="R190" s="82"/>
      <c r="S190" s="82"/>
      <c r="T190" s="82"/>
      <c r="U190" s="32"/>
      <c r="V190" s="32"/>
      <c r="W190" s="32"/>
      <c r="X190" s="32"/>
    </row>
    <row r="191">
      <c r="A191" s="89"/>
      <c r="B191" s="89"/>
      <c r="C191" s="89"/>
      <c r="D191" s="91"/>
      <c r="E191" s="83"/>
      <c r="F191" s="83"/>
      <c r="G191" s="83"/>
      <c r="H191" s="83"/>
      <c r="I191" s="83"/>
      <c r="J191" s="83"/>
      <c r="K191" s="83"/>
      <c r="L191" s="83"/>
      <c r="M191" s="82"/>
      <c r="N191" s="82"/>
      <c r="O191" s="82"/>
      <c r="P191" s="82"/>
      <c r="Q191" s="82"/>
      <c r="R191" s="82"/>
      <c r="S191" s="82"/>
      <c r="T191" s="82"/>
      <c r="U191" s="32"/>
      <c r="V191" s="32"/>
      <c r="W191" s="32"/>
      <c r="X191" s="32"/>
    </row>
    <row r="192">
      <c r="A192" s="89"/>
      <c r="B192" s="89"/>
      <c r="C192" s="89"/>
      <c r="D192" s="91"/>
      <c r="E192" s="83"/>
      <c r="F192" s="83"/>
      <c r="G192" s="83"/>
      <c r="H192" s="83"/>
      <c r="I192" s="83"/>
      <c r="J192" s="83"/>
      <c r="K192" s="83"/>
      <c r="L192" s="83"/>
      <c r="M192" s="82"/>
      <c r="N192" s="82"/>
      <c r="O192" s="82"/>
      <c r="P192" s="82"/>
      <c r="Q192" s="82"/>
      <c r="R192" s="82"/>
      <c r="S192" s="82"/>
      <c r="T192" s="82"/>
      <c r="U192" s="32"/>
      <c r="V192" s="32"/>
      <c r="W192" s="32"/>
      <c r="X192" s="32"/>
    </row>
    <row r="193">
      <c r="A193" s="89"/>
      <c r="B193" s="89"/>
      <c r="C193" s="89"/>
      <c r="D193" s="91"/>
      <c r="E193" s="83"/>
      <c r="F193" s="83"/>
      <c r="G193" s="83"/>
      <c r="H193" s="83"/>
      <c r="I193" s="83"/>
      <c r="J193" s="83"/>
      <c r="K193" s="83"/>
      <c r="L193" s="83"/>
      <c r="M193" s="82"/>
      <c r="N193" s="82"/>
      <c r="O193" s="82"/>
      <c r="P193" s="82"/>
      <c r="Q193" s="82"/>
      <c r="R193" s="82"/>
      <c r="S193" s="82"/>
      <c r="T193" s="82"/>
      <c r="U193" s="32"/>
      <c r="V193" s="32"/>
      <c r="W193" s="32"/>
      <c r="X193" s="32"/>
    </row>
    <row r="194">
      <c r="A194" s="89"/>
      <c r="B194" s="89"/>
      <c r="C194" s="89"/>
      <c r="D194" s="91"/>
      <c r="E194" s="83"/>
      <c r="F194" s="83"/>
      <c r="G194" s="83"/>
      <c r="H194" s="83"/>
      <c r="I194" s="83"/>
      <c r="J194" s="83"/>
      <c r="K194" s="83"/>
      <c r="L194" s="83"/>
      <c r="M194" s="82"/>
      <c r="N194" s="82"/>
      <c r="O194" s="82"/>
      <c r="P194" s="82"/>
      <c r="Q194" s="82"/>
      <c r="R194" s="82"/>
      <c r="S194" s="82"/>
      <c r="T194" s="82"/>
      <c r="U194" s="32"/>
      <c r="V194" s="32"/>
      <c r="W194" s="32"/>
      <c r="X194" s="32"/>
    </row>
    <row r="195">
      <c r="A195" s="89"/>
      <c r="B195" s="89"/>
      <c r="C195" s="89"/>
      <c r="D195" s="91"/>
      <c r="E195" s="83"/>
      <c r="F195" s="83"/>
      <c r="G195" s="83"/>
      <c r="H195" s="83"/>
      <c r="I195" s="83"/>
      <c r="J195" s="83"/>
      <c r="K195" s="83"/>
      <c r="L195" s="83"/>
      <c r="M195" s="82"/>
      <c r="N195" s="82"/>
      <c r="O195" s="82"/>
      <c r="P195" s="82"/>
      <c r="Q195" s="82"/>
      <c r="R195" s="82"/>
      <c r="S195" s="82"/>
      <c r="T195" s="82"/>
      <c r="U195" s="32"/>
      <c r="V195" s="32"/>
      <c r="W195" s="32"/>
      <c r="X195" s="32"/>
    </row>
    <row r="196">
      <c r="A196" s="89"/>
      <c r="B196" s="89"/>
      <c r="C196" s="89"/>
      <c r="D196" s="91"/>
      <c r="E196" s="83"/>
      <c r="F196" s="83"/>
      <c r="G196" s="83"/>
      <c r="H196" s="83"/>
      <c r="I196" s="83"/>
      <c r="J196" s="83"/>
      <c r="K196" s="83"/>
      <c r="L196" s="83"/>
      <c r="M196" s="82"/>
      <c r="N196" s="82"/>
      <c r="O196" s="82"/>
      <c r="P196" s="82"/>
      <c r="Q196" s="82"/>
      <c r="R196" s="82"/>
      <c r="S196" s="82"/>
      <c r="T196" s="82"/>
      <c r="U196" s="32"/>
      <c r="V196" s="32"/>
      <c r="W196" s="32"/>
      <c r="X196" s="32"/>
    </row>
    <row r="197">
      <c r="A197" s="89"/>
      <c r="B197" s="89"/>
      <c r="C197" s="89"/>
      <c r="D197" s="91"/>
      <c r="E197" s="83"/>
      <c r="F197" s="83"/>
      <c r="G197" s="83"/>
      <c r="H197" s="83"/>
      <c r="I197" s="83"/>
      <c r="J197" s="83"/>
      <c r="K197" s="83"/>
      <c r="L197" s="83"/>
      <c r="M197" s="82"/>
      <c r="N197" s="82"/>
      <c r="O197" s="82"/>
      <c r="P197" s="82"/>
      <c r="Q197" s="82"/>
      <c r="R197" s="82"/>
      <c r="S197" s="82"/>
      <c r="T197" s="82"/>
      <c r="U197" s="32"/>
      <c r="V197" s="32"/>
      <c r="W197" s="32"/>
      <c r="X197" s="32"/>
    </row>
    <row r="198">
      <c r="A198" s="89"/>
      <c r="B198" s="89"/>
      <c r="C198" s="89"/>
      <c r="D198" s="91"/>
      <c r="E198" s="83"/>
      <c r="F198" s="83"/>
      <c r="G198" s="83"/>
      <c r="H198" s="83"/>
      <c r="I198" s="83"/>
      <c r="J198" s="83"/>
      <c r="K198" s="83"/>
      <c r="L198" s="83"/>
      <c r="M198" s="82"/>
      <c r="N198" s="82"/>
      <c r="O198" s="82"/>
      <c r="P198" s="82"/>
      <c r="Q198" s="82"/>
      <c r="R198" s="82"/>
      <c r="S198" s="82"/>
      <c r="T198" s="82"/>
      <c r="U198" s="32"/>
      <c r="V198" s="32"/>
      <c r="W198" s="32"/>
      <c r="X198" s="32"/>
    </row>
    <row r="199">
      <c r="A199" s="89"/>
      <c r="B199" s="89"/>
      <c r="C199" s="89"/>
      <c r="D199" s="91"/>
      <c r="E199" s="83"/>
      <c r="F199" s="83"/>
      <c r="G199" s="83"/>
      <c r="H199" s="83"/>
      <c r="I199" s="83"/>
      <c r="J199" s="83"/>
      <c r="K199" s="83"/>
      <c r="L199" s="83"/>
      <c r="M199" s="82"/>
      <c r="N199" s="82"/>
      <c r="O199" s="82"/>
      <c r="P199" s="82"/>
      <c r="Q199" s="82"/>
      <c r="R199" s="82"/>
      <c r="S199" s="82"/>
      <c r="T199" s="82"/>
      <c r="U199" s="32"/>
      <c r="V199" s="32"/>
      <c r="W199" s="32"/>
      <c r="X199" s="32"/>
    </row>
    <row r="200">
      <c r="A200" s="89"/>
      <c r="B200" s="89"/>
      <c r="C200" s="89"/>
      <c r="D200" s="91"/>
      <c r="E200" s="83"/>
      <c r="F200" s="83"/>
      <c r="G200" s="83"/>
      <c r="H200" s="83"/>
      <c r="I200" s="83"/>
      <c r="J200" s="83"/>
      <c r="K200" s="83"/>
      <c r="L200" s="83"/>
      <c r="M200" s="82"/>
      <c r="N200" s="82"/>
      <c r="O200" s="82"/>
      <c r="P200" s="82"/>
      <c r="Q200" s="82"/>
      <c r="R200" s="82"/>
      <c r="S200" s="82"/>
      <c r="T200" s="82"/>
      <c r="U200" s="32"/>
      <c r="V200" s="32"/>
      <c r="W200" s="32"/>
      <c r="X200" s="32"/>
    </row>
    <row r="201">
      <c r="A201" s="89"/>
      <c r="B201" s="89"/>
      <c r="C201" s="89"/>
      <c r="D201" s="91"/>
      <c r="E201" s="83"/>
      <c r="F201" s="83"/>
      <c r="G201" s="83"/>
      <c r="H201" s="83"/>
      <c r="I201" s="83"/>
      <c r="J201" s="83"/>
      <c r="K201" s="83"/>
      <c r="L201" s="83"/>
      <c r="M201" s="82"/>
      <c r="N201" s="82"/>
      <c r="O201" s="82"/>
      <c r="P201" s="82"/>
      <c r="Q201" s="82"/>
      <c r="R201" s="82"/>
      <c r="S201" s="82"/>
      <c r="T201" s="82"/>
      <c r="U201" s="32"/>
      <c r="V201" s="32"/>
      <c r="W201" s="32"/>
      <c r="X201" s="32"/>
    </row>
    <row r="202">
      <c r="A202" s="89"/>
      <c r="B202" s="89"/>
      <c r="C202" s="89"/>
      <c r="D202" s="91"/>
      <c r="E202" s="83"/>
      <c r="F202" s="83"/>
      <c r="G202" s="83"/>
      <c r="H202" s="83"/>
      <c r="I202" s="83"/>
      <c r="J202" s="83"/>
      <c r="K202" s="83"/>
      <c r="L202" s="83"/>
      <c r="M202" s="82"/>
      <c r="N202" s="82"/>
      <c r="O202" s="82"/>
      <c r="P202" s="82"/>
      <c r="Q202" s="82"/>
      <c r="R202" s="82"/>
      <c r="S202" s="82"/>
      <c r="T202" s="82"/>
      <c r="U202" s="32"/>
      <c r="V202" s="32"/>
      <c r="W202" s="32"/>
      <c r="X202" s="32"/>
    </row>
    <row r="203">
      <c r="A203" s="89"/>
      <c r="B203" s="89"/>
      <c r="C203" s="89"/>
      <c r="D203" s="91"/>
      <c r="E203" s="83"/>
      <c r="F203" s="83"/>
      <c r="G203" s="83"/>
      <c r="H203" s="83"/>
      <c r="I203" s="83"/>
      <c r="J203" s="83"/>
      <c r="K203" s="83"/>
      <c r="L203" s="83"/>
      <c r="M203" s="82"/>
      <c r="N203" s="82"/>
      <c r="O203" s="82"/>
      <c r="P203" s="82"/>
      <c r="Q203" s="82"/>
      <c r="R203" s="82"/>
      <c r="S203" s="82"/>
      <c r="T203" s="82"/>
      <c r="U203" s="32"/>
      <c r="V203" s="32"/>
      <c r="W203" s="32"/>
      <c r="X203" s="32"/>
    </row>
    <row r="204">
      <c r="A204" s="89"/>
      <c r="B204" s="89"/>
      <c r="C204" s="89"/>
      <c r="D204" s="91"/>
      <c r="E204" s="83"/>
      <c r="F204" s="83"/>
      <c r="G204" s="83"/>
      <c r="H204" s="83"/>
      <c r="I204" s="83"/>
      <c r="J204" s="83"/>
      <c r="K204" s="83"/>
      <c r="L204" s="83"/>
      <c r="M204" s="82"/>
      <c r="N204" s="82"/>
      <c r="O204" s="82"/>
      <c r="P204" s="82"/>
      <c r="Q204" s="82"/>
      <c r="R204" s="82"/>
      <c r="S204" s="82"/>
      <c r="T204" s="82"/>
      <c r="U204" s="32"/>
      <c r="V204" s="32"/>
      <c r="W204" s="32"/>
      <c r="X204" s="32"/>
    </row>
    <row r="205">
      <c r="A205" s="89"/>
      <c r="B205" s="89"/>
      <c r="C205" s="89"/>
      <c r="D205" s="91"/>
      <c r="E205" s="83"/>
      <c r="F205" s="83"/>
      <c r="G205" s="83"/>
      <c r="H205" s="83"/>
      <c r="I205" s="83"/>
      <c r="J205" s="83"/>
      <c r="K205" s="83"/>
      <c r="L205" s="83"/>
      <c r="M205" s="82"/>
      <c r="N205" s="82"/>
      <c r="O205" s="82"/>
      <c r="P205" s="82"/>
      <c r="Q205" s="82"/>
      <c r="R205" s="82"/>
      <c r="S205" s="82"/>
      <c r="T205" s="82"/>
      <c r="U205" s="32"/>
      <c r="V205" s="32"/>
      <c r="W205" s="32"/>
      <c r="X205" s="32"/>
    </row>
    <row r="206">
      <c r="A206" s="89"/>
      <c r="B206" s="89"/>
      <c r="C206" s="89"/>
      <c r="D206" s="91"/>
      <c r="E206" s="83"/>
      <c r="F206" s="83"/>
      <c r="G206" s="83"/>
      <c r="H206" s="83"/>
      <c r="I206" s="83"/>
      <c r="J206" s="83"/>
      <c r="K206" s="83"/>
      <c r="L206" s="83"/>
      <c r="M206" s="82"/>
      <c r="N206" s="82"/>
      <c r="O206" s="82"/>
      <c r="P206" s="82"/>
      <c r="Q206" s="82"/>
      <c r="R206" s="82"/>
      <c r="S206" s="82"/>
      <c r="T206" s="82"/>
      <c r="U206" s="32"/>
      <c r="V206" s="32"/>
      <c r="W206" s="32"/>
      <c r="X206" s="32"/>
    </row>
    <row r="207">
      <c r="A207" s="89"/>
      <c r="B207" s="89"/>
      <c r="C207" s="89"/>
      <c r="D207" s="91"/>
      <c r="E207" s="83"/>
      <c r="F207" s="83"/>
      <c r="G207" s="83"/>
      <c r="H207" s="83"/>
      <c r="I207" s="83"/>
      <c r="J207" s="83"/>
      <c r="K207" s="83"/>
      <c r="L207" s="83"/>
      <c r="M207" s="82"/>
      <c r="N207" s="82"/>
      <c r="O207" s="82"/>
      <c r="P207" s="82"/>
      <c r="Q207" s="82"/>
      <c r="R207" s="82"/>
      <c r="S207" s="82"/>
      <c r="T207" s="82"/>
      <c r="U207" s="32"/>
      <c r="V207" s="32"/>
      <c r="W207" s="32"/>
      <c r="X207" s="32"/>
    </row>
    <row r="208">
      <c r="A208" s="89"/>
      <c r="B208" s="89"/>
      <c r="C208" s="89"/>
      <c r="D208" s="91"/>
      <c r="E208" s="83"/>
      <c r="F208" s="83"/>
      <c r="G208" s="83"/>
      <c r="H208" s="83"/>
      <c r="I208" s="83"/>
      <c r="J208" s="83"/>
      <c r="K208" s="83"/>
      <c r="L208" s="83"/>
      <c r="M208" s="82"/>
      <c r="N208" s="82"/>
      <c r="O208" s="82"/>
      <c r="P208" s="82"/>
      <c r="Q208" s="82"/>
      <c r="R208" s="82"/>
      <c r="S208" s="82"/>
      <c r="T208" s="82"/>
      <c r="U208" s="32"/>
      <c r="V208" s="32"/>
      <c r="W208" s="32"/>
      <c r="X208" s="32"/>
    </row>
    <row r="209">
      <c r="A209" s="89"/>
      <c r="B209" s="89"/>
      <c r="C209" s="89"/>
      <c r="D209" s="91"/>
      <c r="E209" s="83"/>
      <c r="F209" s="83"/>
      <c r="G209" s="83"/>
      <c r="H209" s="83"/>
      <c r="I209" s="83"/>
      <c r="J209" s="83"/>
      <c r="K209" s="83"/>
      <c r="L209" s="83"/>
      <c r="M209" s="82"/>
      <c r="N209" s="82"/>
      <c r="O209" s="82"/>
      <c r="P209" s="82"/>
      <c r="Q209" s="82"/>
      <c r="R209" s="82"/>
      <c r="S209" s="82"/>
      <c r="T209" s="82"/>
      <c r="U209" s="32"/>
      <c r="V209" s="32"/>
      <c r="W209" s="32"/>
      <c r="X209" s="32"/>
    </row>
    <row r="210">
      <c r="A210" s="89"/>
      <c r="B210" s="89"/>
      <c r="C210" s="89"/>
      <c r="D210" s="91"/>
      <c r="E210" s="83"/>
      <c r="F210" s="83"/>
      <c r="G210" s="83"/>
      <c r="H210" s="83"/>
      <c r="I210" s="83"/>
      <c r="J210" s="83"/>
      <c r="K210" s="83"/>
      <c r="L210" s="83"/>
      <c r="M210" s="82"/>
      <c r="N210" s="82"/>
      <c r="O210" s="82"/>
      <c r="P210" s="82"/>
      <c r="Q210" s="82"/>
      <c r="R210" s="82"/>
      <c r="S210" s="82"/>
      <c r="T210" s="82"/>
      <c r="U210" s="32"/>
      <c r="V210" s="32"/>
      <c r="W210" s="32"/>
      <c r="X210" s="32"/>
    </row>
    <row r="211">
      <c r="A211" s="89"/>
      <c r="B211" s="89"/>
      <c r="C211" s="89"/>
      <c r="D211" s="91"/>
      <c r="E211" s="83"/>
      <c r="F211" s="83"/>
      <c r="G211" s="83"/>
      <c r="H211" s="83"/>
      <c r="I211" s="83"/>
      <c r="J211" s="83"/>
      <c r="K211" s="83"/>
      <c r="L211" s="83"/>
      <c r="M211" s="82"/>
      <c r="N211" s="82"/>
      <c r="O211" s="82"/>
      <c r="P211" s="82"/>
      <c r="Q211" s="82"/>
      <c r="R211" s="82"/>
      <c r="S211" s="82"/>
      <c r="T211" s="82"/>
      <c r="U211" s="32"/>
      <c r="V211" s="32"/>
      <c r="W211" s="32"/>
      <c r="X211" s="32"/>
    </row>
    <row r="212">
      <c r="A212" s="89"/>
      <c r="B212" s="89"/>
      <c r="C212" s="89"/>
      <c r="D212" s="91"/>
      <c r="E212" s="83"/>
      <c r="F212" s="83"/>
      <c r="G212" s="83"/>
      <c r="H212" s="83"/>
      <c r="I212" s="83"/>
      <c r="J212" s="83"/>
      <c r="K212" s="83"/>
      <c r="L212" s="83"/>
      <c r="M212" s="82"/>
      <c r="N212" s="82"/>
      <c r="O212" s="82"/>
      <c r="P212" s="82"/>
      <c r="Q212" s="82"/>
      <c r="R212" s="82"/>
      <c r="S212" s="82"/>
      <c r="T212" s="82"/>
      <c r="U212" s="32"/>
      <c r="V212" s="32"/>
      <c r="W212" s="32"/>
      <c r="X212" s="32"/>
    </row>
    <row r="213">
      <c r="A213" s="89"/>
      <c r="B213" s="89"/>
      <c r="C213" s="89"/>
      <c r="D213" s="91"/>
      <c r="E213" s="83"/>
      <c r="F213" s="83"/>
      <c r="G213" s="83"/>
      <c r="H213" s="83"/>
      <c r="I213" s="83"/>
      <c r="J213" s="83"/>
      <c r="K213" s="83"/>
      <c r="L213" s="83"/>
      <c r="M213" s="82"/>
      <c r="N213" s="82"/>
      <c r="O213" s="82"/>
      <c r="P213" s="82"/>
      <c r="Q213" s="82"/>
      <c r="R213" s="82"/>
      <c r="S213" s="82"/>
      <c r="T213" s="82"/>
      <c r="U213" s="32"/>
      <c r="V213" s="32"/>
      <c r="W213" s="32"/>
      <c r="X213" s="32"/>
    </row>
    <row r="214">
      <c r="A214" s="89"/>
      <c r="B214" s="89"/>
      <c r="C214" s="89"/>
      <c r="D214" s="91"/>
      <c r="E214" s="83"/>
      <c r="F214" s="83"/>
      <c r="G214" s="83"/>
      <c r="H214" s="83"/>
      <c r="I214" s="83"/>
      <c r="J214" s="83"/>
      <c r="K214" s="83"/>
      <c r="L214" s="83"/>
      <c r="M214" s="82"/>
      <c r="N214" s="82"/>
      <c r="O214" s="82"/>
      <c r="P214" s="82"/>
      <c r="Q214" s="82"/>
      <c r="R214" s="82"/>
      <c r="S214" s="82"/>
      <c r="T214" s="82"/>
      <c r="U214" s="32"/>
      <c r="V214" s="32"/>
      <c r="W214" s="32"/>
      <c r="X214" s="32"/>
    </row>
    <row r="215">
      <c r="A215" s="89"/>
      <c r="B215" s="89"/>
      <c r="C215" s="89"/>
      <c r="D215" s="91"/>
      <c r="E215" s="83"/>
      <c r="F215" s="83"/>
      <c r="G215" s="83"/>
      <c r="H215" s="83"/>
      <c r="I215" s="83"/>
      <c r="J215" s="83"/>
      <c r="K215" s="83"/>
      <c r="L215" s="83"/>
      <c r="M215" s="82"/>
      <c r="N215" s="82"/>
      <c r="O215" s="82"/>
      <c r="P215" s="82"/>
      <c r="Q215" s="82"/>
      <c r="R215" s="82"/>
      <c r="S215" s="82"/>
      <c r="T215" s="82"/>
      <c r="U215" s="32"/>
      <c r="V215" s="32"/>
      <c r="W215" s="32"/>
      <c r="X215" s="32"/>
    </row>
    <row r="216">
      <c r="A216" s="89"/>
      <c r="B216" s="89"/>
      <c r="C216" s="89"/>
      <c r="D216" s="91"/>
      <c r="E216" s="83"/>
      <c r="F216" s="83"/>
      <c r="G216" s="83"/>
      <c r="H216" s="83"/>
      <c r="I216" s="83"/>
      <c r="J216" s="83"/>
      <c r="K216" s="83"/>
      <c r="L216" s="83"/>
      <c r="M216" s="82"/>
      <c r="N216" s="82"/>
      <c r="O216" s="82"/>
      <c r="P216" s="82"/>
      <c r="Q216" s="82"/>
      <c r="R216" s="82"/>
      <c r="S216" s="82"/>
      <c r="T216" s="82"/>
      <c r="U216" s="32"/>
      <c r="V216" s="32"/>
      <c r="W216" s="32"/>
      <c r="X216" s="32"/>
    </row>
    <row r="217">
      <c r="A217" s="89"/>
      <c r="B217" s="89"/>
      <c r="C217" s="89"/>
      <c r="D217" s="91"/>
      <c r="E217" s="83"/>
      <c r="F217" s="83"/>
      <c r="G217" s="83"/>
      <c r="H217" s="83"/>
      <c r="I217" s="83"/>
      <c r="J217" s="83"/>
      <c r="K217" s="83"/>
      <c r="L217" s="83"/>
      <c r="M217" s="82"/>
      <c r="N217" s="82"/>
      <c r="O217" s="82"/>
      <c r="P217" s="82"/>
      <c r="Q217" s="82"/>
      <c r="R217" s="82"/>
      <c r="S217" s="82"/>
      <c r="T217" s="82"/>
      <c r="U217" s="32"/>
      <c r="V217" s="32"/>
      <c r="W217" s="32"/>
      <c r="X217" s="32"/>
    </row>
    <row r="218">
      <c r="A218" s="89"/>
      <c r="B218" s="89"/>
      <c r="C218" s="89"/>
      <c r="D218" s="91"/>
      <c r="E218" s="83"/>
      <c r="F218" s="83"/>
      <c r="G218" s="83"/>
      <c r="H218" s="83"/>
      <c r="I218" s="83"/>
      <c r="J218" s="83"/>
      <c r="K218" s="83"/>
      <c r="L218" s="83"/>
      <c r="M218" s="82"/>
      <c r="N218" s="82"/>
      <c r="O218" s="82"/>
      <c r="P218" s="82"/>
      <c r="Q218" s="82"/>
      <c r="R218" s="82"/>
      <c r="S218" s="82"/>
      <c r="T218" s="82"/>
      <c r="U218" s="32"/>
      <c r="V218" s="32"/>
      <c r="W218" s="32"/>
      <c r="X218" s="32"/>
    </row>
    <row r="219">
      <c r="A219" s="89"/>
      <c r="B219" s="89"/>
      <c r="C219" s="89"/>
      <c r="D219" s="91"/>
      <c r="E219" s="83"/>
      <c r="F219" s="83"/>
      <c r="G219" s="83"/>
      <c r="H219" s="83"/>
      <c r="I219" s="83"/>
      <c r="J219" s="83"/>
      <c r="K219" s="83"/>
      <c r="L219" s="83"/>
      <c r="M219" s="82"/>
      <c r="N219" s="82"/>
      <c r="O219" s="82"/>
      <c r="P219" s="82"/>
      <c r="Q219" s="82"/>
      <c r="R219" s="82"/>
      <c r="S219" s="82"/>
      <c r="T219" s="82"/>
      <c r="U219" s="32"/>
      <c r="V219" s="32"/>
      <c r="W219" s="32"/>
      <c r="X219" s="32"/>
    </row>
    <row r="220">
      <c r="A220" s="89"/>
      <c r="B220" s="89"/>
      <c r="C220" s="89"/>
      <c r="D220" s="91"/>
      <c r="E220" s="83"/>
      <c r="F220" s="83"/>
      <c r="G220" s="83"/>
      <c r="H220" s="83"/>
      <c r="I220" s="83"/>
      <c r="J220" s="83"/>
      <c r="K220" s="83"/>
      <c r="L220" s="83"/>
      <c r="M220" s="82"/>
      <c r="N220" s="82"/>
      <c r="O220" s="82"/>
      <c r="P220" s="82"/>
      <c r="Q220" s="82"/>
      <c r="R220" s="82"/>
      <c r="S220" s="82"/>
      <c r="T220" s="82"/>
      <c r="U220" s="32"/>
      <c r="V220" s="32"/>
      <c r="W220" s="32"/>
      <c r="X220" s="32"/>
    </row>
    <row r="221">
      <c r="A221" s="89"/>
      <c r="B221" s="89"/>
      <c r="C221" s="89"/>
      <c r="D221" s="91"/>
      <c r="E221" s="83"/>
      <c r="F221" s="83"/>
      <c r="G221" s="83"/>
      <c r="H221" s="83"/>
      <c r="I221" s="83"/>
      <c r="J221" s="83"/>
      <c r="K221" s="83"/>
      <c r="L221" s="83"/>
      <c r="M221" s="82"/>
      <c r="N221" s="82"/>
      <c r="O221" s="82"/>
      <c r="P221" s="82"/>
      <c r="Q221" s="82"/>
      <c r="R221" s="82"/>
      <c r="S221" s="82"/>
      <c r="T221" s="82"/>
      <c r="U221" s="32"/>
      <c r="V221" s="32"/>
      <c r="W221" s="32"/>
      <c r="X221" s="32"/>
    </row>
    <row r="222">
      <c r="A222" s="89"/>
      <c r="B222" s="89"/>
      <c r="C222" s="89"/>
      <c r="D222" s="91"/>
      <c r="E222" s="83"/>
      <c r="F222" s="83"/>
      <c r="G222" s="83"/>
      <c r="H222" s="83"/>
      <c r="I222" s="83"/>
      <c r="J222" s="83"/>
      <c r="K222" s="83"/>
      <c r="L222" s="83"/>
      <c r="M222" s="82"/>
      <c r="N222" s="82"/>
      <c r="O222" s="82"/>
      <c r="P222" s="82"/>
      <c r="Q222" s="82"/>
      <c r="R222" s="82"/>
      <c r="S222" s="82"/>
      <c r="T222" s="82"/>
      <c r="U222" s="32"/>
      <c r="V222" s="32"/>
      <c r="W222" s="32"/>
      <c r="X222" s="32"/>
    </row>
    <row r="223">
      <c r="A223" s="89"/>
      <c r="B223" s="89"/>
      <c r="C223" s="89"/>
      <c r="D223" s="91"/>
      <c r="E223" s="83"/>
      <c r="F223" s="83"/>
      <c r="G223" s="83"/>
      <c r="H223" s="83"/>
      <c r="I223" s="83"/>
      <c r="J223" s="83"/>
      <c r="K223" s="83"/>
      <c r="L223" s="83"/>
      <c r="M223" s="82"/>
      <c r="N223" s="82"/>
      <c r="O223" s="82"/>
      <c r="P223" s="82"/>
      <c r="Q223" s="82"/>
      <c r="R223" s="82"/>
      <c r="S223" s="82"/>
      <c r="T223" s="82"/>
      <c r="U223" s="32"/>
      <c r="V223" s="32"/>
      <c r="W223" s="32"/>
      <c r="X223" s="32"/>
    </row>
    <row r="224">
      <c r="A224" s="89"/>
      <c r="B224" s="89"/>
      <c r="C224" s="89"/>
      <c r="D224" s="91"/>
      <c r="E224" s="83"/>
      <c r="F224" s="83"/>
      <c r="G224" s="83"/>
      <c r="H224" s="83"/>
      <c r="I224" s="83"/>
      <c r="J224" s="83"/>
      <c r="K224" s="83"/>
      <c r="L224" s="83"/>
      <c r="M224" s="82"/>
      <c r="N224" s="82"/>
      <c r="O224" s="82"/>
      <c r="P224" s="82"/>
      <c r="Q224" s="82"/>
      <c r="R224" s="82"/>
      <c r="S224" s="82"/>
      <c r="T224" s="82"/>
      <c r="U224" s="32"/>
      <c r="V224" s="32"/>
      <c r="W224" s="32"/>
      <c r="X224" s="32"/>
    </row>
    <row r="225">
      <c r="A225" s="89"/>
      <c r="B225" s="89"/>
      <c r="C225" s="89"/>
      <c r="D225" s="91"/>
      <c r="E225" s="83"/>
      <c r="F225" s="83"/>
      <c r="G225" s="83"/>
      <c r="H225" s="83"/>
      <c r="I225" s="83"/>
      <c r="J225" s="83"/>
      <c r="K225" s="83"/>
      <c r="L225" s="83"/>
      <c r="M225" s="82"/>
      <c r="N225" s="82"/>
      <c r="O225" s="82"/>
      <c r="P225" s="82"/>
      <c r="Q225" s="82"/>
      <c r="R225" s="82"/>
      <c r="S225" s="82"/>
      <c r="T225" s="82"/>
      <c r="U225" s="32"/>
      <c r="V225" s="32"/>
      <c r="W225" s="32"/>
      <c r="X225" s="32"/>
    </row>
    <row r="226">
      <c r="A226" s="89"/>
      <c r="B226" s="89"/>
      <c r="C226" s="89"/>
      <c r="D226" s="91"/>
      <c r="E226" s="83"/>
      <c r="F226" s="83"/>
      <c r="G226" s="83"/>
      <c r="H226" s="83"/>
      <c r="I226" s="83"/>
      <c r="J226" s="83"/>
      <c r="K226" s="83"/>
      <c r="L226" s="83"/>
      <c r="M226" s="82"/>
      <c r="N226" s="82"/>
      <c r="O226" s="82"/>
      <c r="P226" s="82"/>
      <c r="Q226" s="82"/>
      <c r="R226" s="82"/>
      <c r="S226" s="82"/>
      <c r="T226" s="82"/>
      <c r="U226" s="32"/>
      <c r="V226" s="32"/>
      <c r="W226" s="32"/>
      <c r="X226" s="32"/>
    </row>
    <row r="227">
      <c r="A227" s="89"/>
      <c r="B227" s="89"/>
      <c r="C227" s="89"/>
      <c r="D227" s="91"/>
      <c r="E227" s="83"/>
      <c r="F227" s="83"/>
      <c r="G227" s="83"/>
      <c r="H227" s="83"/>
      <c r="I227" s="83"/>
      <c r="J227" s="83"/>
      <c r="K227" s="83"/>
      <c r="L227" s="83"/>
      <c r="M227" s="82"/>
      <c r="N227" s="82"/>
      <c r="O227" s="82"/>
      <c r="P227" s="82"/>
      <c r="Q227" s="82"/>
      <c r="R227" s="82"/>
      <c r="S227" s="82"/>
      <c r="T227" s="82"/>
      <c r="U227" s="32"/>
      <c r="V227" s="32"/>
      <c r="W227" s="32"/>
      <c r="X227" s="32"/>
    </row>
    <row r="228">
      <c r="A228" s="89"/>
      <c r="B228" s="89"/>
      <c r="C228" s="89"/>
      <c r="D228" s="91"/>
      <c r="E228" s="83"/>
      <c r="F228" s="83"/>
      <c r="G228" s="83"/>
      <c r="H228" s="83"/>
      <c r="I228" s="83"/>
      <c r="J228" s="83"/>
      <c r="K228" s="83"/>
      <c r="L228" s="83"/>
      <c r="M228" s="82"/>
      <c r="N228" s="82"/>
      <c r="O228" s="82"/>
      <c r="P228" s="82"/>
      <c r="Q228" s="82"/>
      <c r="R228" s="82"/>
      <c r="S228" s="82"/>
      <c r="T228" s="82"/>
      <c r="U228" s="32"/>
      <c r="V228" s="32"/>
      <c r="W228" s="32"/>
      <c r="X228" s="32"/>
    </row>
    <row r="229">
      <c r="A229" s="89"/>
      <c r="B229" s="89"/>
      <c r="C229" s="89"/>
      <c r="D229" s="91"/>
      <c r="E229" s="83"/>
      <c r="F229" s="83"/>
      <c r="G229" s="83"/>
      <c r="H229" s="83"/>
      <c r="I229" s="83"/>
      <c r="J229" s="83"/>
      <c r="K229" s="83"/>
      <c r="L229" s="83"/>
      <c r="M229" s="82"/>
      <c r="N229" s="82"/>
      <c r="O229" s="82"/>
      <c r="P229" s="82"/>
      <c r="Q229" s="82"/>
      <c r="R229" s="82"/>
      <c r="S229" s="82"/>
      <c r="T229" s="82"/>
      <c r="U229" s="32"/>
      <c r="V229" s="32"/>
      <c r="W229" s="32"/>
      <c r="X229" s="32"/>
    </row>
    <row r="230">
      <c r="A230" s="89"/>
      <c r="B230" s="89"/>
      <c r="C230" s="89"/>
      <c r="D230" s="91"/>
      <c r="E230" s="83"/>
      <c r="F230" s="83"/>
      <c r="G230" s="83"/>
      <c r="H230" s="83"/>
      <c r="I230" s="83"/>
      <c r="J230" s="83"/>
      <c r="K230" s="83"/>
      <c r="L230" s="83"/>
      <c r="M230" s="82"/>
      <c r="N230" s="82"/>
      <c r="O230" s="82"/>
      <c r="P230" s="82"/>
      <c r="Q230" s="82"/>
      <c r="R230" s="82"/>
      <c r="S230" s="82"/>
      <c r="T230" s="82"/>
      <c r="U230" s="32"/>
      <c r="V230" s="32"/>
      <c r="W230" s="32"/>
      <c r="X230" s="32"/>
    </row>
    <row r="231">
      <c r="A231" s="89"/>
      <c r="B231" s="89"/>
      <c r="C231" s="89"/>
      <c r="D231" s="91"/>
      <c r="E231" s="83"/>
      <c r="F231" s="83"/>
      <c r="G231" s="83"/>
      <c r="H231" s="83"/>
      <c r="I231" s="83"/>
      <c r="J231" s="83"/>
      <c r="K231" s="83"/>
      <c r="L231" s="83"/>
      <c r="M231" s="82"/>
      <c r="N231" s="82"/>
      <c r="O231" s="82"/>
      <c r="P231" s="82"/>
      <c r="Q231" s="82"/>
      <c r="R231" s="82"/>
      <c r="S231" s="82"/>
      <c r="T231" s="82"/>
      <c r="U231" s="32"/>
      <c r="V231" s="32"/>
      <c r="W231" s="32"/>
      <c r="X231" s="32"/>
    </row>
    <row r="232">
      <c r="A232" s="89"/>
      <c r="B232" s="89"/>
      <c r="C232" s="89"/>
      <c r="D232" s="91"/>
      <c r="E232" s="83"/>
      <c r="F232" s="83"/>
      <c r="G232" s="83"/>
      <c r="H232" s="83"/>
      <c r="I232" s="83"/>
      <c r="J232" s="83"/>
      <c r="K232" s="83"/>
      <c r="L232" s="83"/>
      <c r="M232" s="82"/>
      <c r="N232" s="82"/>
      <c r="O232" s="82"/>
      <c r="P232" s="82"/>
      <c r="Q232" s="82"/>
      <c r="R232" s="82"/>
      <c r="S232" s="82"/>
      <c r="T232" s="82"/>
      <c r="U232" s="32"/>
      <c r="V232" s="32"/>
      <c r="W232" s="32"/>
      <c r="X232" s="32"/>
    </row>
    <row r="233">
      <c r="A233" s="89"/>
      <c r="B233" s="89"/>
      <c r="C233" s="89"/>
      <c r="D233" s="91"/>
      <c r="E233" s="83"/>
      <c r="F233" s="83"/>
      <c r="G233" s="83"/>
      <c r="H233" s="83"/>
      <c r="I233" s="83"/>
      <c r="J233" s="83"/>
      <c r="K233" s="83"/>
      <c r="L233" s="83"/>
      <c r="M233" s="82"/>
      <c r="N233" s="82"/>
      <c r="O233" s="82"/>
      <c r="P233" s="82"/>
      <c r="Q233" s="82"/>
      <c r="R233" s="82"/>
      <c r="S233" s="82"/>
      <c r="T233" s="82"/>
      <c r="U233" s="32"/>
      <c r="V233" s="32"/>
      <c r="W233" s="32"/>
      <c r="X233" s="32"/>
    </row>
    <row r="234">
      <c r="A234" s="89"/>
      <c r="B234" s="89"/>
      <c r="C234" s="89"/>
      <c r="D234" s="91"/>
      <c r="E234" s="83"/>
      <c r="F234" s="83"/>
      <c r="G234" s="83"/>
      <c r="H234" s="83"/>
      <c r="I234" s="83"/>
      <c r="J234" s="83"/>
      <c r="K234" s="83"/>
      <c r="L234" s="83"/>
      <c r="M234" s="82"/>
      <c r="N234" s="82"/>
      <c r="O234" s="82"/>
      <c r="P234" s="82"/>
      <c r="Q234" s="82"/>
      <c r="R234" s="82"/>
      <c r="S234" s="82"/>
      <c r="T234" s="82"/>
      <c r="U234" s="32"/>
      <c r="V234" s="32"/>
      <c r="W234" s="32"/>
      <c r="X234" s="32"/>
    </row>
    <row r="235">
      <c r="A235" s="89"/>
      <c r="B235" s="89"/>
      <c r="C235" s="89"/>
      <c r="D235" s="91"/>
      <c r="E235" s="83"/>
      <c r="F235" s="83"/>
      <c r="G235" s="83"/>
      <c r="H235" s="83"/>
      <c r="I235" s="83"/>
      <c r="J235" s="83"/>
      <c r="K235" s="83"/>
      <c r="L235" s="83"/>
      <c r="M235" s="82"/>
      <c r="N235" s="82"/>
      <c r="O235" s="82"/>
      <c r="P235" s="82"/>
      <c r="Q235" s="82"/>
      <c r="R235" s="82"/>
      <c r="S235" s="82"/>
      <c r="T235" s="82"/>
      <c r="U235" s="32"/>
      <c r="V235" s="32"/>
      <c r="W235" s="32"/>
      <c r="X235" s="32"/>
    </row>
    <row r="236">
      <c r="A236" s="89"/>
      <c r="B236" s="89"/>
      <c r="C236" s="89"/>
      <c r="D236" s="91"/>
      <c r="E236" s="83"/>
      <c r="F236" s="83"/>
      <c r="G236" s="83"/>
      <c r="H236" s="83"/>
      <c r="I236" s="83"/>
      <c r="J236" s="83"/>
      <c r="K236" s="83"/>
      <c r="L236" s="83"/>
      <c r="M236" s="82"/>
      <c r="N236" s="82"/>
      <c r="O236" s="82"/>
      <c r="P236" s="82"/>
      <c r="Q236" s="82"/>
      <c r="R236" s="82"/>
      <c r="S236" s="82"/>
      <c r="T236" s="82"/>
      <c r="U236" s="32"/>
      <c r="V236" s="32"/>
      <c r="W236" s="32"/>
      <c r="X236" s="32"/>
    </row>
    <row r="237">
      <c r="A237" s="89"/>
      <c r="B237" s="89"/>
      <c r="C237" s="89"/>
      <c r="D237" s="91"/>
      <c r="E237" s="83"/>
      <c r="F237" s="83"/>
      <c r="G237" s="83"/>
      <c r="H237" s="83"/>
      <c r="I237" s="83"/>
      <c r="J237" s="83"/>
      <c r="K237" s="83"/>
      <c r="L237" s="83"/>
      <c r="M237" s="82"/>
      <c r="N237" s="82"/>
      <c r="O237" s="82"/>
      <c r="P237" s="82"/>
      <c r="Q237" s="82"/>
      <c r="R237" s="82"/>
      <c r="S237" s="82"/>
      <c r="T237" s="82"/>
      <c r="U237" s="32"/>
      <c r="V237" s="32"/>
      <c r="W237" s="32"/>
      <c r="X237" s="32"/>
    </row>
    <row r="238">
      <c r="A238" s="89"/>
      <c r="B238" s="89"/>
      <c r="C238" s="89"/>
      <c r="D238" s="91"/>
      <c r="E238" s="83"/>
      <c r="F238" s="83"/>
      <c r="G238" s="83"/>
      <c r="H238" s="83"/>
      <c r="I238" s="83"/>
      <c r="J238" s="83"/>
      <c r="K238" s="83"/>
      <c r="L238" s="83"/>
      <c r="M238" s="82"/>
      <c r="N238" s="82"/>
      <c r="O238" s="82"/>
      <c r="P238" s="82"/>
      <c r="Q238" s="82"/>
      <c r="R238" s="82"/>
      <c r="S238" s="82"/>
      <c r="T238" s="82"/>
      <c r="U238" s="32"/>
      <c r="V238" s="32"/>
      <c r="W238" s="32"/>
      <c r="X238" s="32"/>
    </row>
    <row r="239">
      <c r="A239" s="89"/>
      <c r="B239" s="89"/>
      <c r="C239" s="89"/>
      <c r="D239" s="91"/>
      <c r="E239" s="83"/>
      <c r="F239" s="83"/>
      <c r="G239" s="83"/>
      <c r="H239" s="83"/>
      <c r="I239" s="83"/>
      <c r="J239" s="83"/>
      <c r="K239" s="83"/>
      <c r="L239" s="83"/>
      <c r="M239" s="82"/>
      <c r="N239" s="82"/>
      <c r="O239" s="82"/>
      <c r="P239" s="82"/>
      <c r="Q239" s="82"/>
      <c r="R239" s="82"/>
      <c r="S239" s="82"/>
      <c r="T239" s="82"/>
      <c r="U239" s="32"/>
      <c r="V239" s="32"/>
      <c r="W239" s="32"/>
      <c r="X239" s="32"/>
    </row>
    <row r="240">
      <c r="A240" s="89"/>
      <c r="B240" s="89"/>
      <c r="C240" s="89"/>
      <c r="D240" s="91"/>
      <c r="E240" s="83"/>
      <c r="F240" s="83"/>
      <c r="G240" s="83"/>
      <c r="H240" s="83"/>
      <c r="I240" s="83"/>
      <c r="J240" s="83"/>
      <c r="K240" s="83"/>
      <c r="L240" s="83"/>
      <c r="M240" s="82"/>
      <c r="N240" s="82"/>
      <c r="O240" s="82"/>
      <c r="P240" s="82"/>
      <c r="Q240" s="82"/>
      <c r="R240" s="82"/>
      <c r="S240" s="82"/>
      <c r="T240" s="82"/>
      <c r="U240" s="32"/>
      <c r="V240" s="32"/>
      <c r="W240" s="32"/>
      <c r="X240" s="32"/>
    </row>
    <row r="241">
      <c r="A241" s="89"/>
      <c r="B241" s="89"/>
      <c r="C241" s="89"/>
      <c r="D241" s="91"/>
      <c r="E241" s="83"/>
      <c r="F241" s="83"/>
      <c r="G241" s="83"/>
      <c r="H241" s="83"/>
      <c r="I241" s="83"/>
      <c r="J241" s="83"/>
      <c r="K241" s="83"/>
      <c r="L241" s="83"/>
      <c r="M241" s="82"/>
      <c r="N241" s="82"/>
      <c r="O241" s="82"/>
      <c r="P241" s="82"/>
      <c r="Q241" s="82"/>
      <c r="R241" s="82"/>
      <c r="S241" s="82"/>
      <c r="T241" s="82"/>
      <c r="U241" s="32"/>
      <c r="V241" s="32"/>
      <c r="W241" s="32"/>
      <c r="X241" s="32"/>
    </row>
    <row r="242">
      <c r="A242" s="89"/>
      <c r="B242" s="89"/>
      <c r="C242" s="89"/>
      <c r="D242" s="91"/>
      <c r="E242" s="83"/>
      <c r="F242" s="83"/>
      <c r="G242" s="83"/>
      <c r="H242" s="83"/>
      <c r="I242" s="83"/>
      <c r="J242" s="83"/>
      <c r="K242" s="83"/>
      <c r="L242" s="83"/>
      <c r="M242" s="82"/>
      <c r="N242" s="82"/>
      <c r="O242" s="82"/>
      <c r="P242" s="82"/>
      <c r="Q242" s="82"/>
      <c r="R242" s="82"/>
      <c r="S242" s="82"/>
      <c r="T242" s="82"/>
      <c r="U242" s="32"/>
      <c r="V242" s="32"/>
      <c r="W242" s="32"/>
      <c r="X242" s="32"/>
    </row>
    <row r="243">
      <c r="A243" s="89"/>
      <c r="B243" s="89"/>
      <c r="C243" s="89"/>
      <c r="D243" s="91"/>
      <c r="E243" s="83"/>
      <c r="F243" s="83"/>
      <c r="G243" s="83"/>
      <c r="H243" s="83"/>
      <c r="I243" s="83"/>
      <c r="J243" s="83"/>
      <c r="K243" s="83"/>
      <c r="L243" s="83"/>
      <c r="M243" s="82"/>
      <c r="N243" s="82"/>
      <c r="O243" s="82"/>
      <c r="P243" s="82"/>
      <c r="Q243" s="82"/>
      <c r="R243" s="82"/>
      <c r="S243" s="82"/>
      <c r="T243" s="82"/>
      <c r="U243" s="32"/>
      <c r="V243" s="32"/>
      <c r="W243" s="32"/>
      <c r="X243" s="32"/>
    </row>
    <row r="244">
      <c r="A244" s="89"/>
      <c r="B244" s="89"/>
      <c r="C244" s="89"/>
      <c r="D244" s="91"/>
      <c r="E244" s="83"/>
      <c r="F244" s="83"/>
      <c r="G244" s="83"/>
      <c r="H244" s="83"/>
      <c r="I244" s="83"/>
      <c r="J244" s="83"/>
      <c r="K244" s="83"/>
      <c r="L244" s="83"/>
      <c r="M244" s="82"/>
      <c r="N244" s="82"/>
      <c r="O244" s="82"/>
      <c r="P244" s="82"/>
      <c r="Q244" s="82"/>
      <c r="R244" s="82"/>
      <c r="S244" s="82"/>
      <c r="T244" s="82"/>
      <c r="U244" s="32"/>
      <c r="V244" s="32"/>
      <c r="W244" s="32"/>
      <c r="X244" s="32"/>
    </row>
    <row r="245">
      <c r="A245" s="89"/>
      <c r="B245" s="89"/>
      <c r="C245" s="89"/>
      <c r="D245" s="91"/>
      <c r="E245" s="83"/>
      <c r="F245" s="83"/>
      <c r="G245" s="83"/>
      <c r="H245" s="83"/>
      <c r="I245" s="83"/>
      <c r="J245" s="83"/>
      <c r="K245" s="83"/>
      <c r="L245" s="83"/>
      <c r="M245" s="82"/>
      <c r="N245" s="82"/>
      <c r="O245" s="82"/>
      <c r="P245" s="82"/>
      <c r="Q245" s="82"/>
      <c r="R245" s="82"/>
      <c r="S245" s="82"/>
      <c r="T245" s="82"/>
      <c r="U245" s="32"/>
      <c r="V245" s="32"/>
      <c r="W245" s="32"/>
      <c r="X245" s="32"/>
    </row>
    <row r="246">
      <c r="A246" s="89"/>
      <c r="B246" s="89"/>
      <c r="C246" s="89"/>
      <c r="D246" s="91"/>
      <c r="E246" s="83"/>
      <c r="F246" s="83"/>
      <c r="G246" s="83"/>
      <c r="H246" s="83"/>
      <c r="I246" s="83"/>
      <c r="J246" s="83"/>
      <c r="K246" s="83"/>
      <c r="L246" s="83"/>
      <c r="M246" s="82"/>
      <c r="N246" s="82"/>
      <c r="O246" s="82"/>
      <c r="P246" s="82"/>
      <c r="Q246" s="82"/>
      <c r="R246" s="82"/>
      <c r="S246" s="82"/>
      <c r="T246" s="82"/>
      <c r="U246" s="32"/>
      <c r="V246" s="32"/>
      <c r="W246" s="32"/>
      <c r="X246" s="32"/>
    </row>
    <row r="247">
      <c r="A247" s="89"/>
      <c r="B247" s="89"/>
      <c r="C247" s="89"/>
      <c r="D247" s="91"/>
      <c r="E247" s="83"/>
      <c r="F247" s="83"/>
      <c r="G247" s="83"/>
      <c r="H247" s="83"/>
      <c r="I247" s="83"/>
      <c r="J247" s="83"/>
      <c r="K247" s="83"/>
      <c r="L247" s="83"/>
      <c r="M247" s="82"/>
      <c r="N247" s="82"/>
      <c r="O247" s="82"/>
      <c r="P247" s="82"/>
      <c r="Q247" s="82"/>
      <c r="R247" s="82"/>
      <c r="S247" s="82"/>
      <c r="T247" s="82"/>
      <c r="U247" s="32"/>
      <c r="V247" s="32"/>
      <c r="W247" s="32"/>
      <c r="X247" s="32"/>
    </row>
    <row r="248">
      <c r="A248" s="89"/>
      <c r="B248" s="89"/>
      <c r="C248" s="89"/>
      <c r="D248" s="91"/>
      <c r="E248" s="83"/>
      <c r="F248" s="83"/>
      <c r="G248" s="83"/>
      <c r="H248" s="83"/>
      <c r="I248" s="83"/>
      <c r="J248" s="83"/>
      <c r="K248" s="83"/>
      <c r="L248" s="83"/>
      <c r="M248" s="82"/>
      <c r="N248" s="82"/>
      <c r="O248" s="82"/>
      <c r="P248" s="82"/>
      <c r="Q248" s="82"/>
      <c r="R248" s="82"/>
      <c r="S248" s="82"/>
      <c r="T248" s="82"/>
      <c r="U248" s="32"/>
      <c r="V248" s="32"/>
      <c r="W248" s="32"/>
      <c r="X248" s="32"/>
    </row>
    <row r="249">
      <c r="A249" s="89"/>
      <c r="B249" s="89"/>
      <c r="C249" s="89"/>
      <c r="D249" s="91"/>
      <c r="E249" s="83"/>
      <c r="F249" s="83"/>
      <c r="G249" s="83"/>
      <c r="H249" s="83"/>
      <c r="I249" s="83"/>
      <c r="J249" s="83"/>
      <c r="K249" s="83"/>
      <c r="L249" s="83"/>
      <c r="M249" s="82"/>
      <c r="N249" s="82"/>
      <c r="O249" s="82"/>
      <c r="P249" s="82"/>
      <c r="Q249" s="82"/>
      <c r="R249" s="82"/>
      <c r="S249" s="82"/>
      <c r="T249" s="82"/>
      <c r="U249" s="32"/>
      <c r="V249" s="32"/>
      <c r="W249" s="32"/>
      <c r="X249" s="32"/>
    </row>
    <row r="250">
      <c r="A250" s="89"/>
      <c r="B250" s="89"/>
      <c r="C250" s="89"/>
      <c r="D250" s="91"/>
      <c r="E250" s="83"/>
      <c r="F250" s="83"/>
      <c r="G250" s="83"/>
      <c r="H250" s="83"/>
      <c r="I250" s="83"/>
      <c r="J250" s="83"/>
      <c r="K250" s="83"/>
      <c r="L250" s="83"/>
      <c r="M250" s="82"/>
      <c r="N250" s="82"/>
      <c r="O250" s="82"/>
      <c r="P250" s="82"/>
      <c r="Q250" s="82"/>
      <c r="R250" s="82"/>
      <c r="S250" s="82"/>
      <c r="T250" s="82"/>
      <c r="U250" s="32"/>
      <c r="V250" s="32"/>
      <c r="W250" s="32"/>
      <c r="X250" s="32"/>
    </row>
    <row r="251">
      <c r="A251" s="89"/>
      <c r="B251" s="89"/>
      <c r="C251" s="89"/>
      <c r="D251" s="91"/>
      <c r="E251" s="83"/>
      <c r="F251" s="83"/>
      <c r="G251" s="83"/>
      <c r="H251" s="83"/>
      <c r="I251" s="83"/>
      <c r="J251" s="83"/>
      <c r="K251" s="83"/>
      <c r="L251" s="83"/>
      <c r="M251" s="82"/>
      <c r="N251" s="82"/>
      <c r="O251" s="82"/>
      <c r="P251" s="82"/>
      <c r="Q251" s="82"/>
      <c r="R251" s="82"/>
      <c r="S251" s="82"/>
      <c r="T251" s="82"/>
      <c r="U251" s="32"/>
      <c r="V251" s="32"/>
      <c r="W251" s="32"/>
      <c r="X251" s="32"/>
    </row>
    <row r="252">
      <c r="A252" s="89"/>
      <c r="B252" s="89"/>
      <c r="C252" s="89"/>
      <c r="D252" s="91"/>
      <c r="E252" s="83"/>
      <c r="F252" s="83"/>
      <c r="G252" s="83"/>
      <c r="H252" s="83"/>
      <c r="I252" s="83"/>
      <c r="J252" s="83"/>
      <c r="K252" s="83"/>
      <c r="L252" s="83"/>
      <c r="M252" s="82"/>
      <c r="N252" s="82"/>
      <c r="O252" s="82"/>
      <c r="P252" s="82"/>
      <c r="Q252" s="82"/>
      <c r="R252" s="82"/>
      <c r="S252" s="82"/>
      <c r="T252" s="82"/>
      <c r="U252" s="32"/>
      <c r="V252" s="32"/>
      <c r="W252" s="32"/>
      <c r="X252" s="32"/>
    </row>
    <row r="253">
      <c r="A253" s="89"/>
      <c r="B253" s="89"/>
      <c r="C253" s="89"/>
      <c r="D253" s="91"/>
      <c r="E253" s="83"/>
      <c r="F253" s="83"/>
      <c r="G253" s="83"/>
      <c r="H253" s="83"/>
      <c r="I253" s="83"/>
      <c r="J253" s="83"/>
      <c r="K253" s="83"/>
      <c r="L253" s="83"/>
      <c r="M253" s="82"/>
      <c r="N253" s="82"/>
      <c r="O253" s="82"/>
      <c r="P253" s="82"/>
      <c r="Q253" s="82"/>
      <c r="R253" s="82"/>
      <c r="S253" s="82"/>
      <c r="T253" s="82"/>
      <c r="U253" s="32"/>
      <c r="V253" s="32"/>
      <c r="W253" s="32"/>
      <c r="X253" s="32"/>
    </row>
    <row r="254">
      <c r="A254" s="89"/>
      <c r="B254" s="89"/>
      <c r="C254" s="89"/>
      <c r="D254" s="91"/>
      <c r="E254" s="83"/>
      <c r="F254" s="83"/>
      <c r="G254" s="83"/>
      <c r="H254" s="83"/>
      <c r="I254" s="83"/>
      <c r="J254" s="83"/>
      <c r="K254" s="83"/>
      <c r="L254" s="83"/>
      <c r="M254" s="82"/>
      <c r="N254" s="82"/>
      <c r="O254" s="82"/>
      <c r="P254" s="82"/>
      <c r="Q254" s="82"/>
      <c r="R254" s="82"/>
      <c r="S254" s="82"/>
      <c r="T254" s="82"/>
      <c r="U254" s="32"/>
      <c r="V254" s="32"/>
      <c r="W254" s="32"/>
      <c r="X254" s="32"/>
    </row>
    <row r="255">
      <c r="A255" s="89"/>
      <c r="B255" s="89"/>
      <c r="C255" s="89"/>
      <c r="D255" s="91"/>
      <c r="E255" s="83"/>
      <c r="F255" s="83"/>
      <c r="G255" s="83"/>
      <c r="H255" s="83"/>
      <c r="I255" s="83"/>
      <c r="J255" s="83"/>
      <c r="K255" s="83"/>
      <c r="L255" s="83"/>
      <c r="M255" s="82"/>
      <c r="N255" s="82"/>
      <c r="O255" s="82"/>
      <c r="P255" s="82"/>
      <c r="Q255" s="82"/>
      <c r="R255" s="82"/>
      <c r="S255" s="82"/>
      <c r="T255" s="82"/>
      <c r="U255" s="32"/>
      <c r="V255" s="32"/>
      <c r="W255" s="32"/>
      <c r="X255" s="32"/>
    </row>
    <row r="256">
      <c r="A256" s="89"/>
      <c r="B256" s="89"/>
      <c r="C256" s="89"/>
      <c r="D256" s="91"/>
      <c r="E256" s="83"/>
      <c r="F256" s="83"/>
      <c r="G256" s="83"/>
      <c r="H256" s="83"/>
      <c r="I256" s="83"/>
      <c r="J256" s="83"/>
      <c r="K256" s="83"/>
      <c r="L256" s="83"/>
      <c r="M256" s="82"/>
      <c r="N256" s="82"/>
      <c r="O256" s="82"/>
      <c r="P256" s="82"/>
      <c r="Q256" s="82"/>
      <c r="R256" s="82"/>
      <c r="S256" s="82"/>
      <c r="T256" s="82"/>
      <c r="U256" s="32"/>
      <c r="V256" s="32"/>
      <c r="W256" s="32"/>
      <c r="X256" s="32"/>
    </row>
    <row r="257">
      <c r="A257" s="89"/>
      <c r="B257" s="89"/>
      <c r="C257" s="89"/>
      <c r="D257" s="91"/>
      <c r="E257" s="83"/>
      <c r="F257" s="83"/>
      <c r="G257" s="83"/>
      <c r="H257" s="83"/>
      <c r="I257" s="83"/>
      <c r="J257" s="83"/>
      <c r="K257" s="83"/>
      <c r="L257" s="83"/>
      <c r="M257" s="82"/>
      <c r="N257" s="82"/>
      <c r="O257" s="82"/>
      <c r="P257" s="82"/>
      <c r="Q257" s="82"/>
      <c r="R257" s="82"/>
      <c r="S257" s="82"/>
      <c r="T257" s="82"/>
      <c r="U257" s="32"/>
      <c r="V257" s="32"/>
      <c r="W257" s="32"/>
      <c r="X257" s="32"/>
    </row>
    <row r="258">
      <c r="A258" s="89"/>
      <c r="B258" s="89"/>
      <c r="C258" s="89"/>
      <c r="D258" s="91"/>
      <c r="E258" s="83"/>
      <c r="F258" s="83"/>
      <c r="G258" s="83"/>
      <c r="H258" s="83"/>
      <c r="I258" s="83"/>
      <c r="J258" s="83"/>
      <c r="K258" s="83"/>
      <c r="L258" s="83"/>
      <c r="M258" s="82"/>
      <c r="N258" s="82"/>
      <c r="O258" s="82"/>
      <c r="P258" s="82"/>
      <c r="Q258" s="82"/>
      <c r="R258" s="82"/>
      <c r="S258" s="82"/>
      <c r="T258" s="82"/>
      <c r="U258" s="32"/>
      <c r="V258" s="32"/>
      <c r="W258" s="32"/>
      <c r="X258" s="32"/>
    </row>
    <row r="259">
      <c r="A259" s="89"/>
      <c r="B259" s="89"/>
      <c r="C259" s="89"/>
      <c r="D259" s="91"/>
      <c r="E259" s="83"/>
      <c r="F259" s="83"/>
      <c r="G259" s="83"/>
      <c r="H259" s="83"/>
      <c r="I259" s="83"/>
      <c r="J259" s="83"/>
      <c r="K259" s="83"/>
      <c r="L259" s="83"/>
      <c r="M259" s="82"/>
      <c r="N259" s="82"/>
      <c r="O259" s="82"/>
      <c r="P259" s="82"/>
      <c r="Q259" s="82"/>
      <c r="R259" s="82"/>
      <c r="S259" s="82"/>
      <c r="T259" s="82"/>
      <c r="U259" s="32"/>
      <c r="V259" s="32"/>
      <c r="W259" s="32"/>
      <c r="X259" s="32"/>
    </row>
    <row r="260">
      <c r="A260" s="89"/>
      <c r="B260" s="89"/>
      <c r="C260" s="89"/>
      <c r="D260" s="91"/>
      <c r="E260" s="83"/>
      <c r="F260" s="83"/>
      <c r="G260" s="83"/>
      <c r="H260" s="83"/>
      <c r="I260" s="83"/>
      <c r="J260" s="83"/>
      <c r="K260" s="83"/>
      <c r="L260" s="83"/>
      <c r="M260" s="82"/>
      <c r="N260" s="82"/>
      <c r="O260" s="82"/>
      <c r="P260" s="82"/>
      <c r="Q260" s="82"/>
      <c r="R260" s="82"/>
      <c r="S260" s="82"/>
      <c r="T260" s="82"/>
      <c r="U260" s="32"/>
      <c r="V260" s="32"/>
      <c r="W260" s="32"/>
      <c r="X260" s="32"/>
    </row>
    <row r="261">
      <c r="A261" s="89"/>
      <c r="B261" s="89"/>
      <c r="C261" s="89"/>
      <c r="D261" s="91"/>
      <c r="E261" s="83"/>
      <c r="F261" s="83"/>
      <c r="G261" s="83"/>
      <c r="H261" s="83"/>
      <c r="I261" s="83"/>
      <c r="J261" s="83"/>
      <c r="K261" s="83"/>
      <c r="L261" s="83"/>
      <c r="M261" s="82"/>
      <c r="N261" s="82"/>
      <c r="O261" s="82"/>
      <c r="P261" s="82"/>
      <c r="Q261" s="82"/>
      <c r="R261" s="82"/>
      <c r="S261" s="82"/>
      <c r="T261" s="82"/>
      <c r="U261" s="32"/>
      <c r="V261" s="32"/>
      <c r="W261" s="32"/>
      <c r="X261" s="32"/>
    </row>
    <row r="262">
      <c r="A262" s="89"/>
      <c r="B262" s="89"/>
      <c r="C262" s="89"/>
      <c r="D262" s="91"/>
      <c r="E262" s="83"/>
      <c r="F262" s="83"/>
      <c r="G262" s="83"/>
      <c r="H262" s="83"/>
      <c r="I262" s="83"/>
      <c r="J262" s="83"/>
      <c r="K262" s="83"/>
      <c r="L262" s="83"/>
      <c r="M262" s="82"/>
      <c r="N262" s="82"/>
      <c r="O262" s="82"/>
      <c r="P262" s="82"/>
      <c r="Q262" s="82"/>
      <c r="R262" s="82"/>
      <c r="S262" s="82"/>
      <c r="T262" s="82"/>
      <c r="U262" s="32"/>
      <c r="V262" s="32"/>
      <c r="W262" s="32"/>
      <c r="X262" s="32"/>
    </row>
    <row r="263">
      <c r="A263" s="89"/>
      <c r="B263" s="89"/>
      <c r="C263" s="89"/>
      <c r="D263" s="91"/>
      <c r="E263" s="83"/>
      <c r="F263" s="83"/>
      <c r="G263" s="83"/>
      <c r="H263" s="83"/>
      <c r="I263" s="83"/>
      <c r="J263" s="83"/>
      <c r="K263" s="83"/>
      <c r="L263" s="83"/>
      <c r="M263" s="82"/>
      <c r="N263" s="82"/>
      <c r="O263" s="82"/>
      <c r="P263" s="82"/>
      <c r="Q263" s="82"/>
      <c r="R263" s="82"/>
      <c r="S263" s="82"/>
      <c r="T263" s="82"/>
      <c r="U263" s="32"/>
      <c r="V263" s="32"/>
      <c r="W263" s="32"/>
      <c r="X263" s="32"/>
    </row>
    <row r="264">
      <c r="A264" s="89"/>
      <c r="B264" s="89"/>
      <c r="C264" s="89"/>
      <c r="D264" s="91"/>
      <c r="E264" s="83"/>
      <c r="F264" s="83"/>
      <c r="G264" s="83"/>
      <c r="H264" s="83"/>
      <c r="I264" s="83"/>
      <c r="J264" s="83"/>
      <c r="K264" s="83"/>
      <c r="L264" s="83"/>
      <c r="M264" s="82"/>
      <c r="N264" s="82"/>
      <c r="O264" s="82"/>
      <c r="P264" s="82"/>
      <c r="Q264" s="82"/>
      <c r="R264" s="82"/>
      <c r="S264" s="82"/>
      <c r="T264" s="82"/>
      <c r="U264" s="32"/>
      <c r="V264" s="32"/>
      <c r="W264" s="32"/>
      <c r="X264" s="32"/>
    </row>
    <row r="265">
      <c r="A265" s="89"/>
      <c r="B265" s="89"/>
      <c r="C265" s="89"/>
      <c r="D265" s="91"/>
      <c r="E265" s="83"/>
      <c r="F265" s="83"/>
      <c r="G265" s="83"/>
      <c r="H265" s="83"/>
      <c r="I265" s="83"/>
      <c r="J265" s="83"/>
      <c r="K265" s="83"/>
      <c r="L265" s="83"/>
      <c r="M265" s="82"/>
      <c r="N265" s="82"/>
      <c r="O265" s="82"/>
      <c r="P265" s="82"/>
      <c r="Q265" s="82"/>
      <c r="R265" s="82"/>
      <c r="S265" s="82"/>
      <c r="T265" s="82"/>
      <c r="U265" s="32"/>
      <c r="V265" s="32"/>
      <c r="W265" s="32"/>
      <c r="X265" s="32"/>
    </row>
    <row r="266">
      <c r="A266" s="89"/>
      <c r="B266" s="89"/>
      <c r="C266" s="89"/>
      <c r="D266" s="91"/>
      <c r="E266" s="83"/>
      <c r="F266" s="83"/>
      <c r="G266" s="83"/>
      <c r="H266" s="83"/>
      <c r="I266" s="83"/>
      <c r="J266" s="83"/>
      <c r="K266" s="83"/>
      <c r="L266" s="83"/>
      <c r="M266" s="82"/>
      <c r="N266" s="82"/>
      <c r="O266" s="82"/>
      <c r="P266" s="82"/>
      <c r="Q266" s="82"/>
      <c r="R266" s="82"/>
      <c r="S266" s="82"/>
      <c r="T266" s="82"/>
      <c r="U266" s="32"/>
      <c r="V266" s="32"/>
      <c r="W266" s="32"/>
      <c r="X266" s="32"/>
    </row>
    <row r="267">
      <c r="A267" s="89"/>
      <c r="B267" s="89"/>
      <c r="C267" s="89"/>
      <c r="D267" s="91"/>
      <c r="E267" s="83"/>
      <c r="F267" s="83"/>
      <c r="G267" s="83"/>
      <c r="H267" s="83"/>
      <c r="I267" s="83"/>
      <c r="J267" s="83"/>
      <c r="K267" s="83"/>
      <c r="L267" s="83"/>
      <c r="M267" s="82"/>
      <c r="N267" s="82"/>
      <c r="O267" s="82"/>
      <c r="P267" s="82"/>
      <c r="Q267" s="82"/>
      <c r="R267" s="82"/>
      <c r="S267" s="82"/>
      <c r="T267" s="82"/>
      <c r="U267" s="32"/>
      <c r="V267" s="32"/>
      <c r="W267" s="32"/>
      <c r="X267" s="32"/>
    </row>
    <row r="268">
      <c r="A268" s="89"/>
      <c r="B268" s="89"/>
      <c r="C268" s="89"/>
      <c r="D268" s="91"/>
      <c r="E268" s="83"/>
      <c r="F268" s="83"/>
      <c r="G268" s="83"/>
      <c r="H268" s="83"/>
      <c r="I268" s="83"/>
      <c r="J268" s="83"/>
      <c r="K268" s="83"/>
      <c r="L268" s="83"/>
      <c r="M268" s="82"/>
      <c r="N268" s="82"/>
      <c r="O268" s="82"/>
      <c r="P268" s="82"/>
      <c r="Q268" s="82"/>
      <c r="R268" s="82"/>
      <c r="S268" s="82"/>
      <c r="T268" s="82"/>
      <c r="U268" s="32"/>
      <c r="V268" s="32"/>
      <c r="W268" s="32"/>
      <c r="X268" s="32"/>
    </row>
    <row r="269">
      <c r="A269" s="89"/>
      <c r="B269" s="89"/>
      <c r="C269" s="89"/>
      <c r="D269" s="91"/>
      <c r="E269" s="83"/>
      <c r="F269" s="83"/>
      <c r="G269" s="83"/>
      <c r="H269" s="83"/>
      <c r="I269" s="83"/>
      <c r="J269" s="83"/>
      <c r="K269" s="83"/>
      <c r="L269" s="83"/>
      <c r="M269" s="82"/>
      <c r="N269" s="82"/>
      <c r="O269" s="82"/>
      <c r="P269" s="82"/>
      <c r="Q269" s="82"/>
      <c r="R269" s="82"/>
      <c r="S269" s="82"/>
      <c r="T269" s="82"/>
      <c r="U269" s="32"/>
      <c r="V269" s="32"/>
      <c r="W269" s="32"/>
      <c r="X269" s="32"/>
    </row>
    <row r="270">
      <c r="A270" s="89"/>
      <c r="B270" s="89"/>
      <c r="C270" s="89"/>
      <c r="D270" s="91"/>
      <c r="E270" s="83"/>
      <c r="F270" s="83"/>
      <c r="G270" s="83"/>
      <c r="H270" s="83"/>
      <c r="I270" s="83"/>
      <c r="J270" s="83"/>
      <c r="K270" s="83"/>
      <c r="L270" s="83"/>
      <c r="M270" s="82"/>
      <c r="N270" s="82"/>
      <c r="O270" s="82"/>
      <c r="P270" s="82"/>
      <c r="Q270" s="82"/>
      <c r="R270" s="82"/>
      <c r="S270" s="82"/>
      <c r="T270" s="82"/>
      <c r="U270" s="32"/>
      <c r="V270" s="32"/>
      <c r="W270" s="32"/>
      <c r="X270" s="32"/>
    </row>
    <row r="271">
      <c r="A271" s="89"/>
      <c r="B271" s="89"/>
      <c r="C271" s="89"/>
      <c r="D271" s="91"/>
      <c r="E271" s="83"/>
      <c r="F271" s="83"/>
      <c r="G271" s="83"/>
      <c r="H271" s="83"/>
      <c r="I271" s="83"/>
      <c r="J271" s="83"/>
      <c r="K271" s="83"/>
      <c r="L271" s="83"/>
      <c r="M271" s="82"/>
      <c r="N271" s="82"/>
      <c r="O271" s="82"/>
      <c r="P271" s="82"/>
      <c r="Q271" s="82"/>
      <c r="R271" s="82"/>
      <c r="S271" s="82"/>
      <c r="T271" s="82"/>
      <c r="U271" s="32"/>
      <c r="V271" s="32"/>
      <c r="W271" s="32"/>
      <c r="X271" s="32"/>
    </row>
    <row r="272">
      <c r="A272" s="89"/>
      <c r="B272" s="89"/>
      <c r="C272" s="89"/>
      <c r="D272" s="91"/>
      <c r="E272" s="83"/>
      <c r="F272" s="83"/>
      <c r="G272" s="83"/>
      <c r="H272" s="83"/>
      <c r="I272" s="83"/>
      <c r="J272" s="83"/>
      <c r="K272" s="83"/>
      <c r="L272" s="83"/>
      <c r="M272" s="82"/>
      <c r="N272" s="82"/>
      <c r="O272" s="82"/>
      <c r="P272" s="82"/>
      <c r="Q272" s="82"/>
      <c r="R272" s="82"/>
      <c r="S272" s="82"/>
      <c r="T272" s="82"/>
      <c r="U272" s="32"/>
      <c r="V272" s="32"/>
      <c r="W272" s="32"/>
      <c r="X272" s="32"/>
    </row>
    <row r="273">
      <c r="A273" s="89"/>
      <c r="B273" s="89"/>
      <c r="C273" s="89"/>
      <c r="D273" s="91"/>
      <c r="E273" s="83"/>
      <c r="F273" s="83"/>
      <c r="G273" s="83"/>
      <c r="H273" s="83"/>
      <c r="I273" s="83"/>
      <c r="J273" s="83"/>
      <c r="K273" s="83"/>
      <c r="L273" s="83"/>
      <c r="M273" s="82"/>
      <c r="N273" s="82"/>
      <c r="O273" s="82"/>
      <c r="P273" s="82"/>
      <c r="Q273" s="82"/>
      <c r="R273" s="82"/>
      <c r="S273" s="82"/>
      <c r="T273" s="82"/>
      <c r="U273" s="32"/>
      <c r="V273" s="32"/>
      <c r="W273" s="32"/>
      <c r="X273" s="32"/>
    </row>
    <row r="274">
      <c r="A274" s="89"/>
      <c r="B274" s="89"/>
      <c r="C274" s="89"/>
      <c r="D274" s="91"/>
      <c r="E274" s="83"/>
      <c r="F274" s="83"/>
      <c r="G274" s="83"/>
      <c r="H274" s="83"/>
      <c r="I274" s="83"/>
      <c r="J274" s="83"/>
      <c r="K274" s="83"/>
      <c r="L274" s="83"/>
      <c r="M274" s="82"/>
      <c r="N274" s="82"/>
      <c r="O274" s="82"/>
      <c r="P274" s="82"/>
      <c r="Q274" s="82"/>
      <c r="R274" s="82"/>
      <c r="S274" s="82"/>
      <c r="T274" s="82"/>
      <c r="U274" s="32"/>
      <c r="V274" s="32"/>
      <c r="W274" s="32"/>
      <c r="X274" s="32"/>
    </row>
    <row r="275">
      <c r="A275" s="89"/>
      <c r="B275" s="89"/>
      <c r="C275" s="89"/>
      <c r="D275" s="91"/>
      <c r="E275" s="83"/>
      <c r="F275" s="83"/>
      <c r="G275" s="83"/>
      <c r="H275" s="83"/>
      <c r="I275" s="83"/>
      <c r="J275" s="83"/>
      <c r="K275" s="83"/>
      <c r="L275" s="83"/>
      <c r="M275" s="82"/>
      <c r="N275" s="82"/>
      <c r="O275" s="82"/>
      <c r="P275" s="82"/>
      <c r="Q275" s="82"/>
      <c r="R275" s="82"/>
      <c r="S275" s="82"/>
      <c r="T275" s="82"/>
      <c r="U275" s="32"/>
      <c r="V275" s="32"/>
      <c r="W275" s="32"/>
      <c r="X275" s="32"/>
    </row>
    <row r="276">
      <c r="A276" s="89"/>
      <c r="B276" s="89"/>
      <c r="C276" s="89"/>
      <c r="D276" s="91"/>
      <c r="E276" s="83"/>
      <c r="F276" s="83"/>
      <c r="G276" s="83"/>
      <c r="H276" s="83"/>
      <c r="I276" s="83"/>
      <c r="J276" s="83"/>
      <c r="K276" s="83"/>
      <c r="L276" s="83"/>
      <c r="M276" s="82"/>
      <c r="N276" s="82"/>
      <c r="O276" s="82"/>
      <c r="P276" s="82"/>
      <c r="Q276" s="82"/>
      <c r="R276" s="82"/>
      <c r="S276" s="82"/>
      <c r="T276" s="82"/>
      <c r="U276" s="32"/>
      <c r="V276" s="32"/>
      <c r="W276" s="32"/>
      <c r="X276" s="32"/>
    </row>
    <row r="277">
      <c r="A277" s="89"/>
      <c r="B277" s="89"/>
      <c r="C277" s="89"/>
      <c r="D277" s="91"/>
      <c r="E277" s="83"/>
      <c r="F277" s="83"/>
      <c r="G277" s="83"/>
      <c r="H277" s="83"/>
      <c r="I277" s="83"/>
      <c r="J277" s="83"/>
      <c r="K277" s="83"/>
      <c r="L277" s="83"/>
      <c r="M277" s="82"/>
      <c r="N277" s="82"/>
      <c r="O277" s="82"/>
      <c r="P277" s="82"/>
      <c r="Q277" s="82"/>
      <c r="R277" s="82"/>
      <c r="S277" s="82"/>
      <c r="T277" s="82"/>
      <c r="U277" s="32"/>
      <c r="V277" s="32"/>
      <c r="W277" s="32"/>
      <c r="X277" s="32"/>
    </row>
    <row r="278">
      <c r="A278" s="89"/>
      <c r="B278" s="89"/>
      <c r="C278" s="89"/>
      <c r="D278" s="91"/>
      <c r="E278" s="83"/>
      <c r="F278" s="83"/>
      <c r="G278" s="83"/>
      <c r="H278" s="83"/>
      <c r="I278" s="83"/>
      <c r="J278" s="83"/>
      <c r="K278" s="83"/>
      <c r="L278" s="83"/>
      <c r="M278" s="82"/>
      <c r="N278" s="82"/>
      <c r="O278" s="82"/>
      <c r="P278" s="82"/>
      <c r="Q278" s="82"/>
      <c r="R278" s="82"/>
      <c r="S278" s="82"/>
      <c r="T278" s="82"/>
      <c r="U278" s="32"/>
      <c r="V278" s="32"/>
      <c r="W278" s="32"/>
      <c r="X278" s="32"/>
    </row>
    <row r="279">
      <c r="A279" s="89"/>
      <c r="B279" s="89"/>
      <c r="C279" s="89"/>
      <c r="D279" s="91"/>
      <c r="E279" s="83"/>
      <c r="F279" s="83"/>
      <c r="G279" s="83"/>
      <c r="H279" s="83"/>
      <c r="I279" s="83"/>
      <c r="J279" s="83"/>
      <c r="K279" s="83"/>
      <c r="L279" s="83"/>
      <c r="M279" s="82"/>
      <c r="N279" s="82"/>
      <c r="O279" s="82"/>
      <c r="P279" s="82"/>
      <c r="Q279" s="82"/>
      <c r="R279" s="82"/>
      <c r="S279" s="82"/>
      <c r="T279" s="82"/>
      <c r="U279" s="32"/>
      <c r="V279" s="32"/>
      <c r="W279" s="32"/>
      <c r="X279" s="32"/>
    </row>
    <row r="280">
      <c r="A280" s="89"/>
      <c r="B280" s="89"/>
      <c r="C280" s="89"/>
      <c r="D280" s="91"/>
      <c r="E280" s="83"/>
      <c r="F280" s="83"/>
      <c r="G280" s="83"/>
      <c r="H280" s="83"/>
      <c r="I280" s="83"/>
      <c r="J280" s="83"/>
      <c r="K280" s="83"/>
      <c r="L280" s="83"/>
      <c r="M280" s="82"/>
      <c r="N280" s="82"/>
      <c r="O280" s="82"/>
      <c r="P280" s="82"/>
      <c r="Q280" s="82"/>
      <c r="R280" s="82"/>
      <c r="S280" s="82"/>
      <c r="T280" s="82"/>
      <c r="U280" s="32"/>
      <c r="V280" s="32"/>
      <c r="W280" s="32"/>
      <c r="X280" s="32"/>
    </row>
    <row r="281">
      <c r="A281" s="89"/>
      <c r="B281" s="89"/>
      <c r="C281" s="89"/>
      <c r="D281" s="91"/>
      <c r="E281" s="83"/>
      <c r="F281" s="83"/>
      <c r="G281" s="83"/>
      <c r="H281" s="83"/>
      <c r="I281" s="83"/>
      <c r="J281" s="83"/>
      <c r="K281" s="83"/>
      <c r="L281" s="83"/>
      <c r="M281" s="82"/>
      <c r="N281" s="82"/>
      <c r="O281" s="82"/>
      <c r="P281" s="82"/>
      <c r="Q281" s="82"/>
      <c r="R281" s="82"/>
      <c r="S281" s="82"/>
      <c r="T281" s="82"/>
      <c r="U281" s="32"/>
      <c r="V281" s="32"/>
      <c r="W281" s="32"/>
      <c r="X281" s="32"/>
    </row>
    <row r="282">
      <c r="A282" s="89"/>
      <c r="B282" s="89"/>
      <c r="C282" s="89"/>
      <c r="D282" s="91"/>
      <c r="E282" s="83"/>
      <c r="F282" s="83"/>
      <c r="G282" s="83"/>
      <c r="H282" s="83"/>
      <c r="I282" s="83"/>
      <c r="J282" s="83"/>
      <c r="K282" s="83"/>
      <c r="L282" s="83"/>
      <c r="M282" s="82"/>
      <c r="N282" s="82"/>
      <c r="O282" s="82"/>
      <c r="P282" s="82"/>
      <c r="Q282" s="82"/>
      <c r="R282" s="82"/>
      <c r="S282" s="82"/>
      <c r="T282" s="82"/>
      <c r="U282" s="32"/>
      <c r="V282" s="32"/>
      <c r="W282" s="32"/>
      <c r="X282" s="32"/>
    </row>
    <row r="283">
      <c r="A283" s="89"/>
      <c r="B283" s="89"/>
      <c r="C283" s="89"/>
      <c r="D283" s="91"/>
      <c r="E283" s="83"/>
      <c r="F283" s="83"/>
      <c r="G283" s="83"/>
      <c r="H283" s="83"/>
      <c r="I283" s="83"/>
      <c r="J283" s="83"/>
      <c r="K283" s="83"/>
      <c r="L283" s="83"/>
      <c r="M283" s="82"/>
      <c r="N283" s="82"/>
      <c r="O283" s="82"/>
      <c r="P283" s="82"/>
      <c r="Q283" s="82"/>
      <c r="R283" s="82"/>
      <c r="S283" s="82"/>
      <c r="T283" s="82"/>
      <c r="U283" s="32"/>
      <c r="V283" s="32"/>
      <c r="W283" s="32"/>
      <c r="X283" s="32"/>
    </row>
    <row r="284">
      <c r="A284" s="89"/>
      <c r="B284" s="89"/>
      <c r="C284" s="89"/>
      <c r="D284" s="91"/>
      <c r="E284" s="83"/>
      <c r="F284" s="83"/>
      <c r="G284" s="83"/>
      <c r="H284" s="83"/>
      <c r="I284" s="83"/>
      <c r="J284" s="83"/>
      <c r="K284" s="83"/>
      <c r="L284" s="83"/>
      <c r="M284" s="82"/>
      <c r="N284" s="82"/>
      <c r="O284" s="82"/>
      <c r="P284" s="82"/>
      <c r="Q284" s="82"/>
      <c r="R284" s="82"/>
      <c r="S284" s="82"/>
      <c r="T284" s="82"/>
      <c r="U284" s="32"/>
      <c r="V284" s="32"/>
      <c r="W284" s="32"/>
      <c r="X284" s="32"/>
    </row>
    <row r="285">
      <c r="A285" s="89"/>
      <c r="B285" s="89"/>
      <c r="C285" s="89"/>
      <c r="D285" s="91"/>
      <c r="E285" s="83"/>
      <c r="F285" s="83"/>
      <c r="G285" s="83"/>
      <c r="H285" s="83"/>
      <c r="I285" s="83"/>
      <c r="J285" s="83"/>
      <c r="K285" s="83"/>
      <c r="L285" s="83"/>
      <c r="M285" s="82"/>
      <c r="N285" s="82"/>
      <c r="O285" s="82"/>
      <c r="P285" s="82"/>
      <c r="Q285" s="82"/>
      <c r="R285" s="82"/>
      <c r="S285" s="82"/>
      <c r="T285" s="82"/>
      <c r="U285" s="32"/>
      <c r="V285" s="32"/>
      <c r="W285" s="32"/>
      <c r="X285" s="32"/>
    </row>
    <row r="286">
      <c r="A286" s="89"/>
      <c r="B286" s="89"/>
      <c r="C286" s="89"/>
      <c r="D286" s="91"/>
      <c r="E286" s="83"/>
      <c r="F286" s="83"/>
      <c r="G286" s="83"/>
      <c r="H286" s="83"/>
      <c r="I286" s="83"/>
      <c r="J286" s="83"/>
      <c r="K286" s="83"/>
      <c r="L286" s="83"/>
      <c r="M286" s="82"/>
      <c r="N286" s="82"/>
      <c r="O286" s="82"/>
      <c r="P286" s="82"/>
      <c r="Q286" s="82"/>
      <c r="R286" s="82"/>
      <c r="S286" s="82"/>
      <c r="T286" s="82"/>
      <c r="U286" s="32"/>
      <c r="V286" s="32"/>
      <c r="W286" s="32"/>
      <c r="X286" s="32"/>
    </row>
    <row r="287">
      <c r="A287" s="89"/>
      <c r="B287" s="89"/>
      <c r="C287" s="89"/>
      <c r="D287" s="91"/>
      <c r="E287" s="83"/>
      <c r="F287" s="83"/>
      <c r="G287" s="83"/>
      <c r="H287" s="83"/>
      <c r="I287" s="83"/>
      <c r="J287" s="83"/>
      <c r="K287" s="83"/>
      <c r="L287" s="83"/>
      <c r="M287" s="82"/>
      <c r="N287" s="82"/>
      <c r="O287" s="82"/>
      <c r="P287" s="82"/>
      <c r="Q287" s="82"/>
      <c r="R287" s="82"/>
      <c r="S287" s="82"/>
      <c r="T287" s="82"/>
      <c r="U287" s="32"/>
      <c r="V287" s="32"/>
      <c r="W287" s="32"/>
      <c r="X287" s="32"/>
    </row>
    <row r="288">
      <c r="A288" s="89"/>
      <c r="B288" s="89"/>
      <c r="C288" s="89"/>
      <c r="D288" s="91"/>
      <c r="E288" s="83"/>
      <c r="F288" s="83"/>
      <c r="G288" s="83"/>
      <c r="H288" s="83"/>
      <c r="I288" s="83"/>
      <c r="J288" s="83"/>
      <c r="K288" s="83"/>
      <c r="L288" s="83"/>
      <c r="M288" s="82"/>
      <c r="N288" s="82"/>
      <c r="O288" s="82"/>
      <c r="P288" s="82"/>
      <c r="Q288" s="82"/>
      <c r="R288" s="82"/>
      <c r="S288" s="82"/>
      <c r="T288" s="82"/>
      <c r="U288" s="32"/>
      <c r="V288" s="32"/>
      <c r="W288" s="32"/>
      <c r="X288" s="32"/>
    </row>
    <row r="289">
      <c r="A289" s="89"/>
      <c r="B289" s="89"/>
      <c r="C289" s="89"/>
      <c r="D289" s="91"/>
      <c r="E289" s="83"/>
      <c r="F289" s="83"/>
      <c r="G289" s="83"/>
      <c r="H289" s="83"/>
      <c r="I289" s="83"/>
      <c r="J289" s="83"/>
      <c r="K289" s="83"/>
      <c r="L289" s="83"/>
      <c r="M289" s="82"/>
      <c r="N289" s="82"/>
      <c r="O289" s="82"/>
      <c r="P289" s="82"/>
      <c r="Q289" s="82"/>
      <c r="R289" s="82"/>
      <c r="S289" s="82"/>
      <c r="T289" s="82"/>
      <c r="U289" s="32"/>
      <c r="V289" s="32"/>
      <c r="W289" s="32"/>
      <c r="X289" s="32"/>
    </row>
    <row r="290">
      <c r="A290" s="89"/>
      <c r="B290" s="89"/>
      <c r="C290" s="89"/>
      <c r="D290" s="91"/>
      <c r="E290" s="83"/>
      <c r="F290" s="83"/>
      <c r="G290" s="83"/>
      <c r="H290" s="83"/>
      <c r="I290" s="83"/>
      <c r="J290" s="83"/>
      <c r="K290" s="83"/>
      <c r="L290" s="83"/>
      <c r="M290" s="82"/>
      <c r="N290" s="82"/>
      <c r="O290" s="82"/>
      <c r="P290" s="82"/>
      <c r="Q290" s="82"/>
      <c r="R290" s="82"/>
      <c r="S290" s="82"/>
      <c r="T290" s="82"/>
      <c r="U290" s="32"/>
      <c r="V290" s="32"/>
      <c r="W290" s="32"/>
      <c r="X290" s="32"/>
    </row>
    <row r="291">
      <c r="A291" s="89"/>
      <c r="B291" s="89"/>
      <c r="C291" s="89"/>
      <c r="D291" s="91"/>
      <c r="E291" s="83"/>
      <c r="F291" s="83"/>
      <c r="G291" s="83"/>
      <c r="H291" s="83"/>
      <c r="I291" s="83"/>
      <c r="J291" s="83"/>
      <c r="K291" s="83"/>
      <c r="L291" s="83"/>
      <c r="M291" s="82"/>
      <c r="N291" s="82"/>
      <c r="O291" s="82"/>
      <c r="P291" s="82"/>
      <c r="Q291" s="82"/>
      <c r="R291" s="82"/>
      <c r="S291" s="82"/>
      <c r="T291" s="82"/>
      <c r="U291" s="32"/>
      <c r="V291" s="32"/>
      <c r="W291" s="32"/>
      <c r="X291" s="32"/>
    </row>
    <row r="292">
      <c r="A292" s="89"/>
      <c r="B292" s="89"/>
      <c r="C292" s="89"/>
      <c r="D292" s="91"/>
      <c r="E292" s="83"/>
      <c r="F292" s="83"/>
      <c r="G292" s="83"/>
      <c r="H292" s="83"/>
      <c r="I292" s="83"/>
      <c r="J292" s="83"/>
      <c r="K292" s="83"/>
      <c r="L292" s="83"/>
      <c r="M292" s="82"/>
      <c r="N292" s="82"/>
      <c r="O292" s="82"/>
      <c r="P292" s="82"/>
      <c r="Q292" s="82"/>
      <c r="R292" s="82"/>
      <c r="S292" s="82"/>
      <c r="T292" s="82"/>
      <c r="U292" s="32"/>
      <c r="V292" s="32"/>
      <c r="W292" s="32"/>
      <c r="X292" s="32"/>
    </row>
    <row r="293">
      <c r="A293" s="89"/>
      <c r="B293" s="89"/>
      <c r="C293" s="89"/>
      <c r="D293" s="91"/>
      <c r="E293" s="83"/>
      <c r="F293" s="83"/>
      <c r="G293" s="83"/>
      <c r="H293" s="83"/>
      <c r="I293" s="83"/>
      <c r="J293" s="83"/>
      <c r="K293" s="83"/>
      <c r="L293" s="83"/>
      <c r="M293" s="82"/>
      <c r="N293" s="82"/>
      <c r="O293" s="82"/>
      <c r="P293" s="82"/>
      <c r="Q293" s="82"/>
      <c r="R293" s="82"/>
      <c r="S293" s="82"/>
      <c r="T293" s="82"/>
      <c r="U293" s="32"/>
      <c r="V293" s="32"/>
      <c r="W293" s="32"/>
      <c r="X293" s="32"/>
    </row>
    <row r="294">
      <c r="A294" s="89"/>
      <c r="B294" s="89"/>
      <c r="C294" s="89"/>
      <c r="D294" s="91"/>
      <c r="E294" s="83"/>
      <c r="F294" s="83"/>
      <c r="G294" s="83"/>
      <c r="H294" s="83"/>
      <c r="I294" s="83"/>
      <c r="J294" s="83"/>
      <c r="K294" s="83"/>
      <c r="L294" s="83"/>
      <c r="M294" s="82"/>
      <c r="N294" s="82"/>
      <c r="O294" s="82"/>
      <c r="P294" s="82"/>
      <c r="Q294" s="82"/>
      <c r="R294" s="82"/>
      <c r="S294" s="82"/>
      <c r="T294" s="82"/>
      <c r="U294" s="32"/>
      <c r="V294" s="32"/>
      <c r="W294" s="32"/>
      <c r="X294" s="32"/>
    </row>
    <row r="295">
      <c r="A295" s="89"/>
      <c r="B295" s="89"/>
      <c r="C295" s="89"/>
      <c r="D295" s="91"/>
      <c r="E295" s="83"/>
      <c r="F295" s="83"/>
      <c r="G295" s="83"/>
      <c r="H295" s="83"/>
      <c r="I295" s="83"/>
      <c r="J295" s="83"/>
      <c r="K295" s="83"/>
      <c r="L295" s="83"/>
      <c r="M295" s="82"/>
      <c r="N295" s="82"/>
      <c r="O295" s="82"/>
      <c r="P295" s="82"/>
      <c r="Q295" s="82"/>
      <c r="R295" s="82"/>
      <c r="S295" s="82"/>
      <c r="T295" s="82"/>
      <c r="U295" s="32"/>
      <c r="V295" s="32"/>
      <c r="W295" s="32"/>
      <c r="X295" s="32"/>
    </row>
    <row r="296">
      <c r="A296" s="89"/>
      <c r="B296" s="89"/>
      <c r="C296" s="89"/>
      <c r="D296" s="91"/>
      <c r="E296" s="83"/>
      <c r="F296" s="83"/>
      <c r="G296" s="83"/>
      <c r="H296" s="83"/>
      <c r="I296" s="83"/>
      <c r="J296" s="83"/>
      <c r="K296" s="83"/>
      <c r="L296" s="83"/>
      <c r="M296" s="82"/>
      <c r="N296" s="82"/>
      <c r="O296" s="82"/>
      <c r="P296" s="82"/>
      <c r="Q296" s="82"/>
      <c r="R296" s="82"/>
      <c r="S296" s="82"/>
      <c r="T296" s="82"/>
      <c r="U296" s="32"/>
      <c r="V296" s="32"/>
      <c r="W296" s="32"/>
      <c r="X296" s="32"/>
    </row>
    <row r="297">
      <c r="A297" s="89"/>
      <c r="B297" s="89"/>
      <c r="C297" s="89"/>
      <c r="D297" s="91"/>
      <c r="E297" s="83"/>
      <c r="F297" s="83"/>
      <c r="G297" s="83"/>
      <c r="H297" s="83"/>
      <c r="I297" s="83"/>
      <c r="J297" s="83"/>
      <c r="K297" s="83"/>
      <c r="L297" s="83"/>
      <c r="M297" s="82"/>
      <c r="N297" s="82"/>
      <c r="O297" s="82"/>
      <c r="P297" s="82"/>
      <c r="Q297" s="82"/>
      <c r="R297" s="82"/>
      <c r="S297" s="82"/>
      <c r="T297" s="82"/>
      <c r="U297" s="32"/>
      <c r="V297" s="32"/>
      <c r="W297" s="32"/>
      <c r="X297" s="32"/>
    </row>
    <row r="298">
      <c r="A298" s="89"/>
      <c r="B298" s="89"/>
      <c r="C298" s="89"/>
      <c r="D298" s="91"/>
      <c r="E298" s="83"/>
      <c r="F298" s="83"/>
      <c r="G298" s="83"/>
      <c r="H298" s="83"/>
      <c r="I298" s="83"/>
      <c r="J298" s="83"/>
      <c r="K298" s="83"/>
      <c r="L298" s="83"/>
      <c r="M298" s="82"/>
      <c r="N298" s="82"/>
      <c r="O298" s="82"/>
      <c r="P298" s="82"/>
      <c r="Q298" s="82"/>
      <c r="R298" s="82"/>
      <c r="S298" s="82"/>
      <c r="T298" s="82"/>
      <c r="U298" s="32"/>
      <c r="V298" s="32"/>
      <c r="W298" s="32"/>
      <c r="X298" s="32"/>
    </row>
    <row r="299">
      <c r="A299" s="89"/>
      <c r="B299" s="89"/>
      <c r="C299" s="89"/>
      <c r="D299" s="91"/>
      <c r="E299" s="83"/>
      <c r="F299" s="83"/>
      <c r="G299" s="83"/>
      <c r="H299" s="83"/>
      <c r="I299" s="83"/>
      <c r="J299" s="83"/>
      <c r="K299" s="83"/>
      <c r="L299" s="83"/>
      <c r="M299" s="82"/>
      <c r="N299" s="82"/>
      <c r="O299" s="82"/>
      <c r="P299" s="82"/>
      <c r="Q299" s="82"/>
      <c r="R299" s="82"/>
      <c r="S299" s="82"/>
      <c r="T299" s="82"/>
      <c r="U299" s="32"/>
      <c r="V299" s="32"/>
      <c r="W299" s="32"/>
      <c r="X299" s="32"/>
    </row>
    <row r="300">
      <c r="A300" s="89"/>
      <c r="B300" s="89"/>
      <c r="C300" s="89"/>
      <c r="D300" s="91"/>
      <c r="E300" s="83"/>
      <c r="F300" s="83"/>
      <c r="G300" s="83"/>
      <c r="H300" s="83"/>
      <c r="I300" s="83"/>
      <c r="J300" s="83"/>
      <c r="K300" s="83"/>
      <c r="L300" s="83"/>
      <c r="M300" s="82"/>
      <c r="N300" s="82"/>
      <c r="O300" s="82"/>
      <c r="P300" s="82"/>
      <c r="Q300" s="82"/>
      <c r="R300" s="82"/>
      <c r="S300" s="82"/>
      <c r="T300" s="82"/>
      <c r="U300" s="32"/>
      <c r="V300" s="32"/>
      <c r="W300" s="32"/>
      <c r="X300" s="32"/>
    </row>
    <row r="301">
      <c r="A301" s="89"/>
      <c r="B301" s="89"/>
      <c r="C301" s="89"/>
      <c r="D301" s="91"/>
      <c r="E301" s="83"/>
      <c r="F301" s="83"/>
      <c r="G301" s="83"/>
      <c r="H301" s="83"/>
      <c r="I301" s="83"/>
      <c r="J301" s="83"/>
      <c r="K301" s="83"/>
      <c r="L301" s="83"/>
      <c r="M301" s="82"/>
      <c r="N301" s="82"/>
      <c r="O301" s="82"/>
      <c r="P301" s="82"/>
      <c r="Q301" s="82"/>
      <c r="R301" s="82"/>
      <c r="S301" s="82"/>
      <c r="T301" s="82"/>
      <c r="U301" s="32"/>
      <c r="V301" s="32"/>
      <c r="W301" s="32"/>
      <c r="X301" s="32"/>
    </row>
    <row r="302">
      <c r="A302" s="89"/>
      <c r="B302" s="89"/>
      <c r="C302" s="89"/>
      <c r="D302" s="91"/>
      <c r="E302" s="83"/>
      <c r="F302" s="83"/>
      <c r="G302" s="83"/>
      <c r="H302" s="83"/>
      <c r="I302" s="83"/>
      <c r="J302" s="83"/>
      <c r="K302" s="83"/>
      <c r="L302" s="83"/>
      <c r="M302" s="82"/>
      <c r="N302" s="82"/>
      <c r="O302" s="82"/>
      <c r="P302" s="82"/>
      <c r="Q302" s="82"/>
      <c r="R302" s="82"/>
      <c r="S302" s="82"/>
      <c r="T302" s="82"/>
      <c r="U302" s="32"/>
      <c r="V302" s="32"/>
      <c r="W302" s="32"/>
      <c r="X302" s="32"/>
    </row>
    <row r="303">
      <c r="A303" s="89"/>
      <c r="B303" s="89"/>
      <c r="C303" s="89"/>
      <c r="D303" s="91"/>
      <c r="E303" s="83"/>
      <c r="F303" s="83"/>
      <c r="G303" s="83"/>
      <c r="H303" s="83"/>
      <c r="I303" s="83"/>
      <c r="J303" s="83"/>
      <c r="K303" s="83"/>
      <c r="L303" s="83"/>
      <c r="M303" s="82"/>
      <c r="N303" s="82"/>
      <c r="O303" s="82"/>
      <c r="P303" s="82"/>
      <c r="Q303" s="82"/>
      <c r="R303" s="82"/>
      <c r="S303" s="82"/>
      <c r="T303" s="82"/>
      <c r="U303" s="32"/>
      <c r="V303" s="32"/>
      <c r="W303" s="32"/>
      <c r="X303" s="32"/>
    </row>
    <row r="304">
      <c r="A304" s="89"/>
      <c r="B304" s="89"/>
      <c r="C304" s="89"/>
      <c r="D304" s="91"/>
      <c r="E304" s="83"/>
      <c r="F304" s="83"/>
      <c r="G304" s="83"/>
      <c r="H304" s="83"/>
      <c r="I304" s="83"/>
      <c r="J304" s="83"/>
      <c r="K304" s="83"/>
      <c r="L304" s="83"/>
      <c r="M304" s="82"/>
      <c r="N304" s="82"/>
      <c r="O304" s="82"/>
      <c r="P304" s="82"/>
      <c r="Q304" s="82"/>
      <c r="R304" s="82"/>
      <c r="S304" s="82"/>
      <c r="T304" s="82"/>
      <c r="U304" s="32"/>
      <c r="V304" s="32"/>
      <c r="W304" s="32"/>
      <c r="X304" s="32"/>
    </row>
    <row r="305">
      <c r="A305" s="89"/>
      <c r="B305" s="89"/>
      <c r="C305" s="89"/>
      <c r="D305" s="91"/>
      <c r="E305" s="83"/>
      <c r="F305" s="83"/>
      <c r="G305" s="83"/>
      <c r="H305" s="83"/>
      <c r="I305" s="83"/>
      <c r="J305" s="83"/>
      <c r="K305" s="83"/>
      <c r="L305" s="83"/>
      <c r="M305" s="82"/>
      <c r="N305" s="82"/>
      <c r="O305" s="82"/>
      <c r="P305" s="82"/>
      <c r="Q305" s="82"/>
      <c r="R305" s="82"/>
      <c r="S305" s="82"/>
      <c r="T305" s="82"/>
      <c r="U305" s="32"/>
      <c r="V305" s="32"/>
      <c r="W305" s="32"/>
      <c r="X305" s="32"/>
    </row>
    <row r="306">
      <c r="A306" s="89"/>
      <c r="B306" s="89"/>
      <c r="C306" s="89"/>
      <c r="D306" s="91"/>
      <c r="E306" s="83"/>
      <c r="F306" s="83"/>
      <c r="G306" s="83"/>
      <c r="H306" s="83"/>
      <c r="I306" s="83"/>
      <c r="J306" s="83"/>
      <c r="K306" s="83"/>
      <c r="L306" s="83"/>
      <c r="M306" s="82"/>
      <c r="N306" s="82"/>
      <c r="O306" s="82"/>
      <c r="P306" s="82"/>
      <c r="Q306" s="82"/>
      <c r="R306" s="82"/>
      <c r="S306" s="82"/>
      <c r="T306" s="82"/>
      <c r="U306" s="32"/>
      <c r="V306" s="32"/>
      <c r="W306" s="32"/>
      <c r="X306" s="32"/>
    </row>
    <row r="307">
      <c r="A307" s="89"/>
      <c r="B307" s="89"/>
      <c r="C307" s="89"/>
      <c r="D307" s="91"/>
      <c r="E307" s="83"/>
      <c r="F307" s="83"/>
      <c r="G307" s="83"/>
      <c r="H307" s="83"/>
      <c r="I307" s="83"/>
      <c r="J307" s="83"/>
      <c r="K307" s="83"/>
      <c r="L307" s="83"/>
      <c r="M307" s="82"/>
      <c r="N307" s="82"/>
      <c r="O307" s="82"/>
      <c r="P307" s="82"/>
      <c r="Q307" s="82"/>
      <c r="R307" s="82"/>
      <c r="S307" s="82"/>
      <c r="T307" s="82"/>
      <c r="U307" s="32"/>
      <c r="V307" s="32"/>
      <c r="W307" s="32"/>
      <c r="X307" s="32"/>
    </row>
    <row r="308">
      <c r="A308" s="89"/>
      <c r="B308" s="89"/>
      <c r="C308" s="89"/>
      <c r="D308" s="91"/>
      <c r="E308" s="83"/>
      <c r="F308" s="83"/>
      <c r="G308" s="83"/>
      <c r="H308" s="83"/>
      <c r="I308" s="83"/>
      <c r="J308" s="83"/>
      <c r="K308" s="83"/>
      <c r="L308" s="83"/>
      <c r="M308" s="82"/>
      <c r="N308" s="82"/>
      <c r="O308" s="82"/>
      <c r="P308" s="82"/>
      <c r="Q308" s="82"/>
      <c r="R308" s="82"/>
      <c r="S308" s="82"/>
      <c r="T308" s="82"/>
      <c r="U308" s="32"/>
      <c r="V308" s="32"/>
      <c r="W308" s="32"/>
      <c r="X308" s="32"/>
    </row>
    <row r="309">
      <c r="A309" s="89"/>
      <c r="B309" s="89"/>
      <c r="C309" s="89"/>
      <c r="D309" s="91"/>
      <c r="E309" s="83"/>
      <c r="F309" s="83"/>
      <c r="G309" s="83"/>
      <c r="H309" s="83"/>
      <c r="I309" s="83"/>
      <c r="J309" s="83"/>
      <c r="K309" s="83"/>
      <c r="L309" s="83"/>
      <c r="M309" s="82"/>
      <c r="N309" s="82"/>
      <c r="O309" s="82"/>
      <c r="P309" s="82"/>
      <c r="Q309" s="82"/>
      <c r="R309" s="82"/>
      <c r="S309" s="82"/>
      <c r="T309" s="82"/>
      <c r="U309" s="32"/>
      <c r="V309" s="32"/>
      <c r="W309" s="32"/>
      <c r="X309" s="32"/>
    </row>
    <row r="310">
      <c r="A310" s="89"/>
      <c r="B310" s="89"/>
      <c r="C310" s="89"/>
      <c r="D310" s="91"/>
      <c r="E310" s="83"/>
      <c r="F310" s="83"/>
      <c r="G310" s="83"/>
      <c r="H310" s="83"/>
      <c r="I310" s="83"/>
      <c r="J310" s="83"/>
      <c r="K310" s="83"/>
      <c r="L310" s="83"/>
      <c r="M310" s="82"/>
      <c r="N310" s="82"/>
      <c r="O310" s="82"/>
      <c r="P310" s="82"/>
      <c r="Q310" s="82"/>
      <c r="R310" s="82"/>
      <c r="S310" s="82"/>
      <c r="T310" s="82"/>
      <c r="U310" s="32"/>
      <c r="V310" s="32"/>
      <c r="W310" s="32"/>
      <c r="X310" s="32"/>
    </row>
    <row r="311">
      <c r="A311" s="89"/>
      <c r="B311" s="89"/>
      <c r="C311" s="89"/>
      <c r="D311" s="91"/>
      <c r="E311" s="83"/>
      <c r="F311" s="83"/>
      <c r="G311" s="83"/>
      <c r="H311" s="83"/>
      <c r="I311" s="83"/>
      <c r="J311" s="83"/>
      <c r="K311" s="83"/>
      <c r="L311" s="83"/>
      <c r="M311" s="82"/>
      <c r="N311" s="82"/>
      <c r="O311" s="82"/>
      <c r="P311" s="82"/>
      <c r="Q311" s="82"/>
      <c r="R311" s="82"/>
      <c r="S311" s="82"/>
      <c r="T311" s="82"/>
      <c r="U311" s="32"/>
      <c r="V311" s="32"/>
      <c r="W311" s="32"/>
      <c r="X311" s="32"/>
    </row>
    <row r="312">
      <c r="A312" s="89"/>
      <c r="B312" s="89"/>
      <c r="C312" s="89"/>
      <c r="D312" s="91"/>
      <c r="E312" s="83"/>
      <c r="F312" s="83"/>
      <c r="G312" s="83"/>
      <c r="H312" s="83"/>
      <c r="I312" s="83"/>
      <c r="J312" s="83"/>
      <c r="K312" s="83"/>
      <c r="L312" s="83"/>
      <c r="M312" s="82"/>
      <c r="N312" s="82"/>
      <c r="O312" s="82"/>
      <c r="P312" s="82"/>
      <c r="Q312" s="82"/>
      <c r="R312" s="82"/>
      <c r="S312" s="82"/>
      <c r="T312" s="82"/>
      <c r="U312" s="32"/>
      <c r="V312" s="32"/>
      <c r="W312" s="32"/>
      <c r="X312" s="32"/>
    </row>
    <row r="313">
      <c r="A313" s="89"/>
      <c r="B313" s="89"/>
      <c r="C313" s="89"/>
      <c r="D313" s="91"/>
      <c r="E313" s="83"/>
      <c r="F313" s="83"/>
      <c r="G313" s="83"/>
      <c r="H313" s="83"/>
      <c r="I313" s="83"/>
      <c r="J313" s="83"/>
      <c r="K313" s="83"/>
      <c r="L313" s="83"/>
      <c r="M313" s="82"/>
      <c r="N313" s="82"/>
      <c r="O313" s="82"/>
      <c r="P313" s="82"/>
      <c r="Q313" s="82"/>
      <c r="R313" s="82"/>
      <c r="S313" s="82"/>
      <c r="T313" s="82"/>
      <c r="U313" s="32"/>
      <c r="V313" s="32"/>
      <c r="W313" s="32"/>
      <c r="X313" s="32"/>
    </row>
    <row r="314">
      <c r="A314" s="89"/>
      <c r="B314" s="89"/>
      <c r="C314" s="89"/>
      <c r="D314" s="91"/>
      <c r="E314" s="83"/>
      <c r="F314" s="83"/>
      <c r="G314" s="83"/>
      <c r="H314" s="83"/>
      <c r="I314" s="83"/>
      <c r="J314" s="83"/>
      <c r="K314" s="83"/>
      <c r="L314" s="83"/>
      <c r="M314" s="82"/>
      <c r="N314" s="82"/>
      <c r="O314" s="82"/>
      <c r="P314" s="82"/>
      <c r="Q314" s="82"/>
      <c r="R314" s="82"/>
      <c r="S314" s="82"/>
      <c r="T314" s="82"/>
      <c r="U314" s="32"/>
      <c r="V314" s="32"/>
      <c r="W314" s="32"/>
      <c r="X314" s="32"/>
    </row>
    <row r="315">
      <c r="A315" s="89"/>
      <c r="B315" s="89"/>
      <c r="C315" s="89"/>
      <c r="D315" s="91"/>
      <c r="E315" s="83"/>
      <c r="F315" s="83"/>
      <c r="G315" s="83"/>
      <c r="H315" s="83"/>
      <c r="I315" s="83"/>
      <c r="J315" s="83"/>
      <c r="K315" s="83"/>
      <c r="L315" s="83"/>
      <c r="M315" s="82"/>
      <c r="N315" s="82"/>
      <c r="O315" s="82"/>
      <c r="P315" s="82"/>
      <c r="Q315" s="82"/>
      <c r="R315" s="82"/>
      <c r="S315" s="82"/>
      <c r="T315" s="82"/>
      <c r="U315" s="32"/>
      <c r="V315" s="32"/>
      <c r="W315" s="32"/>
      <c r="X315" s="32"/>
    </row>
    <row r="316">
      <c r="A316" s="89"/>
      <c r="B316" s="89"/>
      <c r="C316" s="89"/>
      <c r="D316" s="91"/>
      <c r="E316" s="83"/>
      <c r="F316" s="83"/>
      <c r="G316" s="83"/>
      <c r="H316" s="83"/>
      <c r="I316" s="83"/>
      <c r="J316" s="83"/>
      <c r="K316" s="83"/>
      <c r="L316" s="83"/>
      <c r="M316" s="82"/>
      <c r="N316" s="82"/>
      <c r="O316" s="82"/>
      <c r="P316" s="82"/>
      <c r="Q316" s="82"/>
      <c r="R316" s="82"/>
      <c r="S316" s="82"/>
      <c r="T316" s="82"/>
      <c r="U316" s="32"/>
      <c r="V316" s="32"/>
      <c r="W316" s="32"/>
      <c r="X316" s="32"/>
    </row>
    <row r="317">
      <c r="A317" s="89"/>
      <c r="B317" s="89"/>
      <c r="C317" s="89"/>
      <c r="D317" s="91"/>
      <c r="E317" s="83"/>
      <c r="F317" s="83"/>
      <c r="G317" s="83"/>
      <c r="H317" s="83"/>
      <c r="I317" s="83"/>
      <c r="J317" s="83"/>
      <c r="K317" s="83"/>
      <c r="L317" s="83"/>
      <c r="M317" s="82"/>
      <c r="N317" s="82"/>
      <c r="O317" s="82"/>
      <c r="P317" s="82"/>
      <c r="Q317" s="82"/>
      <c r="R317" s="82"/>
      <c r="S317" s="82"/>
      <c r="T317" s="82"/>
      <c r="U317" s="32"/>
      <c r="V317" s="32"/>
      <c r="W317" s="32"/>
      <c r="X317" s="32"/>
    </row>
    <row r="318">
      <c r="A318" s="89"/>
      <c r="B318" s="89"/>
      <c r="C318" s="89"/>
      <c r="D318" s="91"/>
      <c r="E318" s="83"/>
      <c r="F318" s="83"/>
      <c r="G318" s="83"/>
      <c r="H318" s="83"/>
      <c r="I318" s="83"/>
      <c r="J318" s="83"/>
      <c r="K318" s="83"/>
      <c r="L318" s="83"/>
      <c r="M318" s="82"/>
      <c r="N318" s="82"/>
      <c r="O318" s="82"/>
      <c r="P318" s="82"/>
      <c r="Q318" s="82"/>
      <c r="R318" s="82"/>
      <c r="S318" s="82"/>
      <c r="T318" s="82"/>
      <c r="U318" s="32"/>
      <c r="V318" s="32"/>
      <c r="W318" s="32"/>
      <c r="X318" s="32"/>
    </row>
    <row r="319">
      <c r="A319" s="89"/>
      <c r="B319" s="89"/>
      <c r="C319" s="89"/>
      <c r="D319" s="91"/>
      <c r="E319" s="83"/>
      <c r="F319" s="83"/>
      <c r="G319" s="83"/>
      <c r="H319" s="83"/>
      <c r="I319" s="83"/>
      <c r="J319" s="83"/>
      <c r="K319" s="83"/>
      <c r="L319" s="83"/>
      <c r="M319" s="82"/>
      <c r="N319" s="82"/>
      <c r="O319" s="82"/>
      <c r="P319" s="82"/>
      <c r="Q319" s="82"/>
      <c r="R319" s="82"/>
      <c r="S319" s="82"/>
      <c r="T319" s="82"/>
      <c r="U319" s="32"/>
      <c r="V319" s="32"/>
      <c r="W319" s="32"/>
      <c r="X319" s="32"/>
    </row>
    <row r="320">
      <c r="A320" s="89"/>
      <c r="B320" s="89"/>
      <c r="C320" s="89"/>
      <c r="D320" s="91"/>
      <c r="E320" s="83"/>
      <c r="F320" s="83"/>
      <c r="G320" s="83"/>
      <c r="H320" s="83"/>
      <c r="I320" s="83"/>
      <c r="J320" s="83"/>
      <c r="K320" s="83"/>
      <c r="L320" s="83"/>
      <c r="M320" s="82"/>
      <c r="N320" s="82"/>
      <c r="O320" s="82"/>
      <c r="P320" s="82"/>
      <c r="Q320" s="82"/>
      <c r="R320" s="82"/>
      <c r="S320" s="82"/>
      <c r="T320" s="82"/>
      <c r="U320" s="32"/>
      <c r="V320" s="32"/>
      <c r="W320" s="32"/>
      <c r="X320" s="32"/>
    </row>
    <row r="321">
      <c r="A321" s="89"/>
      <c r="B321" s="89"/>
      <c r="C321" s="89"/>
      <c r="D321" s="91"/>
      <c r="E321" s="83"/>
      <c r="F321" s="83"/>
      <c r="G321" s="83"/>
      <c r="H321" s="83"/>
      <c r="I321" s="83"/>
      <c r="J321" s="83"/>
      <c r="K321" s="83"/>
      <c r="L321" s="83"/>
      <c r="M321" s="82"/>
      <c r="N321" s="82"/>
      <c r="O321" s="82"/>
      <c r="P321" s="82"/>
      <c r="Q321" s="82"/>
      <c r="R321" s="82"/>
      <c r="S321" s="82"/>
      <c r="T321" s="82"/>
      <c r="U321" s="32"/>
      <c r="V321" s="32"/>
      <c r="W321" s="32"/>
      <c r="X321" s="32"/>
    </row>
    <row r="322">
      <c r="A322" s="89"/>
      <c r="B322" s="89"/>
      <c r="C322" s="89"/>
      <c r="D322" s="91"/>
      <c r="E322" s="83"/>
      <c r="F322" s="83"/>
      <c r="G322" s="83"/>
      <c r="H322" s="83"/>
      <c r="I322" s="83"/>
      <c r="J322" s="83"/>
      <c r="K322" s="83"/>
      <c r="L322" s="83"/>
      <c r="M322" s="82"/>
      <c r="N322" s="82"/>
      <c r="O322" s="82"/>
      <c r="P322" s="82"/>
      <c r="Q322" s="82"/>
      <c r="R322" s="82"/>
      <c r="S322" s="82"/>
      <c r="T322" s="82"/>
      <c r="U322" s="32"/>
      <c r="V322" s="32"/>
      <c r="W322" s="32"/>
      <c r="X322" s="32"/>
    </row>
    <row r="323">
      <c r="A323" s="89"/>
      <c r="B323" s="89"/>
      <c r="C323" s="89"/>
      <c r="D323" s="91"/>
      <c r="E323" s="83"/>
      <c r="F323" s="83"/>
      <c r="G323" s="83"/>
      <c r="H323" s="83"/>
      <c r="I323" s="83"/>
      <c r="J323" s="83"/>
      <c r="K323" s="83"/>
      <c r="L323" s="83"/>
      <c r="M323" s="82"/>
      <c r="N323" s="82"/>
      <c r="O323" s="82"/>
      <c r="P323" s="82"/>
      <c r="Q323" s="82"/>
      <c r="R323" s="82"/>
      <c r="S323" s="82"/>
      <c r="T323" s="82"/>
      <c r="U323" s="32"/>
      <c r="V323" s="32"/>
      <c r="W323" s="32"/>
      <c r="X323" s="32"/>
    </row>
    <row r="324">
      <c r="A324" s="89"/>
      <c r="B324" s="89"/>
      <c r="C324" s="89"/>
      <c r="D324" s="91"/>
      <c r="E324" s="83"/>
      <c r="F324" s="83"/>
      <c r="G324" s="83"/>
      <c r="H324" s="83"/>
      <c r="I324" s="83"/>
      <c r="J324" s="83"/>
      <c r="K324" s="83"/>
      <c r="L324" s="83"/>
      <c r="M324" s="82"/>
      <c r="N324" s="82"/>
      <c r="O324" s="82"/>
      <c r="P324" s="82"/>
      <c r="Q324" s="82"/>
      <c r="R324" s="82"/>
      <c r="S324" s="82"/>
      <c r="T324" s="82"/>
      <c r="U324" s="32"/>
      <c r="V324" s="32"/>
      <c r="W324" s="32"/>
      <c r="X324" s="32"/>
    </row>
    <row r="325">
      <c r="A325" s="89"/>
      <c r="B325" s="89"/>
      <c r="C325" s="89"/>
      <c r="D325" s="91"/>
      <c r="E325" s="83"/>
      <c r="F325" s="83"/>
      <c r="G325" s="83"/>
      <c r="H325" s="83"/>
      <c r="I325" s="83"/>
      <c r="J325" s="83"/>
      <c r="K325" s="83"/>
      <c r="L325" s="83"/>
      <c r="M325" s="82"/>
      <c r="N325" s="82"/>
      <c r="O325" s="82"/>
      <c r="P325" s="82"/>
      <c r="Q325" s="82"/>
      <c r="R325" s="82"/>
      <c r="S325" s="82"/>
      <c r="T325" s="82"/>
      <c r="U325" s="32"/>
      <c r="V325" s="32"/>
      <c r="W325" s="32"/>
      <c r="X325" s="32"/>
    </row>
    <row r="326">
      <c r="A326" s="89"/>
      <c r="B326" s="89"/>
      <c r="C326" s="89"/>
      <c r="D326" s="91"/>
      <c r="E326" s="83"/>
      <c r="F326" s="83"/>
      <c r="G326" s="83"/>
      <c r="H326" s="83"/>
      <c r="I326" s="83"/>
      <c r="J326" s="83"/>
      <c r="K326" s="83"/>
      <c r="L326" s="83"/>
      <c r="M326" s="82"/>
      <c r="N326" s="82"/>
      <c r="O326" s="82"/>
      <c r="P326" s="82"/>
      <c r="Q326" s="82"/>
      <c r="R326" s="82"/>
      <c r="S326" s="82"/>
      <c r="T326" s="82"/>
      <c r="U326" s="32"/>
      <c r="V326" s="32"/>
      <c r="W326" s="32"/>
      <c r="X326" s="32"/>
    </row>
    <row r="327">
      <c r="A327" s="89"/>
      <c r="B327" s="89"/>
      <c r="C327" s="89"/>
      <c r="D327" s="91"/>
      <c r="E327" s="83"/>
      <c r="F327" s="83"/>
      <c r="G327" s="83"/>
      <c r="H327" s="83"/>
      <c r="I327" s="83"/>
      <c r="J327" s="83"/>
      <c r="K327" s="83"/>
      <c r="L327" s="83"/>
      <c r="M327" s="82"/>
      <c r="N327" s="82"/>
      <c r="O327" s="82"/>
      <c r="P327" s="82"/>
      <c r="Q327" s="82"/>
      <c r="R327" s="82"/>
      <c r="S327" s="82"/>
      <c r="T327" s="82"/>
      <c r="U327" s="32"/>
      <c r="V327" s="32"/>
      <c r="W327" s="32"/>
      <c r="X327" s="32"/>
    </row>
    <row r="328">
      <c r="A328" s="89"/>
      <c r="B328" s="89"/>
      <c r="C328" s="89"/>
      <c r="D328" s="91"/>
      <c r="E328" s="83"/>
      <c r="F328" s="83"/>
      <c r="G328" s="83"/>
      <c r="H328" s="83"/>
      <c r="I328" s="83"/>
      <c r="J328" s="83"/>
      <c r="K328" s="83"/>
      <c r="L328" s="83"/>
      <c r="M328" s="82"/>
      <c r="N328" s="82"/>
      <c r="O328" s="82"/>
      <c r="P328" s="82"/>
      <c r="Q328" s="82"/>
      <c r="R328" s="82"/>
      <c r="S328" s="82"/>
      <c r="T328" s="82"/>
      <c r="U328" s="32"/>
      <c r="V328" s="32"/>
      <c r="W328" s="32"/>
      <c r="X328" s="32"/>
    </row>
    <row r="329">
      <c r="A329" s="89"/>
      <c r="B329" s="89"/>
      <c r="C329" s="89"/>
      <c r="D329" s="91"/>
      <c r="E329" s="83"/>
      <c r="F329" s="83"/>
      <c r="G329" s="83"/>
      <c r="H329" s="83"/>
      <c r="I329" s="83"/>
      <c r="J329" s="83"/>
      <c r="K329" s="83"/>
      <c r="L329" s="83"/>
      <c r="M329" s="82"/>
      <c r="N329" s="82"/>
      <c r="O329" s="82"/>
      <c r="P329" s="82"/>
      <c r="Q329" s="82"/>
      <c r="R329" s="82"/>
      <c r="S329" s="82"/>
      <c r="T329" s="82"/>
      <c r="U329" s="32"/>
      <c r="V329" s="32"/>
      <c r="W329" s="32"/>
      <c r="X329" s="32"/>
    </row>
    <row r="330">
      <c r="A330" s="89"/>
      <c r="B330" s="89"/>
      <c r="C330" s="89"/>
      <c r="D330" s="91"/>
      <c r="E330" s="83"/>
      <c r="F330" s="83"/>
      <c r="G330" s="83"/>
      <c r="H330" s="83"/>
      <c r="I330" s="83"/>
      <c r="J330" s="83"/>
      <c r="K330" s="83"/>
      <c r="L330" s="83"/>
      <c r="M330" s="82"/>
      <c r="N330" s="82"/>
      <c r="O330" s="82"/>
      <c r="P330" s="82"/>
      <c r="Q330" s="82"/>
      <c r="R330" s="82"/>
      <c r="S330" s="82"/>
      <c r="T330" s="82"/>
      <c r="U330" s="32"/>
      <c r="V330" s="32"/>
      <c r="W330" s="32"/>
      <c r="X330" s="32"/>
    </row>
    <row r="331">
      <c r="A331" s="89"/>
      <c r="B331" s="89"/>
      <c r="C331" s="89"/>
      <c r="D331" s="91"/>
      <c r="E331" s="83"/>
      <c r="F331" s="83"/>
      <c r="G331" s="83"/>
      <c r="H331" s="83"/>
      <c r="I331" s="83"/>
      <c r="J331" s="83"/>
      <c r="K331" s="83"/>
      <c r="L331" s="83"/>
      <c r="M331" s="82"/>
      <c r="N331" s="82"/>
      <c r="O331" s="82"/>
      <c r="P331" s="82"/>
      <c r="Q331" s="82"/>
      <c r="R331" s="82"/>
      <c r="S331" s="82"/>
      <c r="T331" s="82"/>
      <c r="U331" s="32"/>
      <c r="V331" s="32"/>
      <c r="W331" s="32"/>
      <c r="X331" s="32"/>
    </row>
    <row r="332">
      <c r="A332" s="89"/>
      <c r="B332" s="89"/>
      <c r="C332" s="89"/>
      <c r="D332" s="91"/>
      <c r="E332" s="83"/>
      <c r="F332" s="83"/>
      <c r="G332" s="83"/>
      <c r="H332" s="83"/>
      <c r="I332" s="83"/>
      <c r="J332" s="83"/>
      <c r="K332" s="83"/>
      <c r="L332" s="83"/>
      <c r="M332" s="82"/>
      <c r="N332" s="82"/>
      <c r="O332" s="82"/>
      <c r="P332" s="82"/>
      <c r="Q332" s="82"/>
      <c r="R332" s="82"/>
      <c r="S332" s="82"/>
      <c r="T332" s="82"/>
      <c r="U332" s="32"/>
      <c r="V332" s="32"/>
      <c r="W332" s="32"/>
      <c r="X332" s="32"/>
    </row>
    <row r="333">
      <c r="A333" s="89"/>
      <c r="B333" s="89"/>
      <c r="C333" s="89"/>
      <c r="D333" s="91"/>
      <c r="E333" s="83"/>
      <c r="F333" s="83"/>
      <c r="G333" s="83"/>
      <c r="H333" s="83"/>
      <c r="I333" s="83"/>
      <c r="J333" s="83"/>
      <c r="K333" s="83"/>
      <c r="L333" s="83"/>
      <c r="M333" s="82"/>
      <c r="N333" s="82"/>
      <c r="O333" s="82"/>
      <c r="P333" s="82"/>
      <c r="Q333" s="82"/>
      <c r="R333" s="82"/>
      <c r="S333" s="82"/>
      <c r="T333" s="82"/>
      <c r="U333" s="32"/>
      <c r="V333" s="32"/>
      <c r="W333" s="32"/>
      <c r="X333" s="32"/>
    </row>
    <row r="334">
      <c r="A334" s="89"/>
      <c r="B334" s="89"/>
      <c r="C334" s="89"/>
      <c r="D334" s="91"/>
      <c r="E334" s="83"/>
      <c r="F334" s="83"/>
      <c r="G334" s="83"/>
      <c r="H334" s="83"/>
      <c r="I334" s="83"/>
      <c r="J334" s="83"/>
      <c r="K334" s="83"/>
      <c r="L334" s="83"/>
      <c r="M334" s="82"/>
      <c r="N334" s="82"/>
      <c r="O334" s="82"/>
      <c r="P334" s="82"/>
      <c r="Q334" s="82"/>
      <c r="R334" s="82"/>
      <c r="S334" s="82"/>
      <c r="T334" s="82"/>
      <c r="U334" s="32"/>
      <c r="V334" s="32"/>
      <c r="W334" s="32"/>
      <c r="X334" s="32"/>
    </row>
    <row r="335">
      <c r="A335" s="89"/>
      <c r="B335" s="89"/>
      <c r="C335" s="89"/>
      <c r="D335" s="91"/>
      <c r="E335" s="83"/>
      <c r="F335" s="83"/>
      <c r="G335" s="83"/>
      <c r="H335" s="83"/>
      <c r="I335" s="83"/>
      <c r="J335" s="83"/>
      <c r="K335" s="83"/>
      <c r="L335" s="83"/>
      <c r="M335" s="82"/>
      <c r="N335" s="82"/>
      <c r="O335" s="82"/>
      <c r="P335" s="82"/>
      <c r="Q335" s="82"/>
      <c r="R335" s="82"/>
      <c r="S335" s="82"/>
      <c r="T335" s="82"/>
      <c r="U335" s="32"/>
      <c r="V335" s="32"/>
      <c r="W335" s="32"/>
      <c r="X335" s="32"/>
    </row>
    <row r="336">
      <c r="A336" s="89"/>
      <c r="B336" s="89"/>
      <c r="C336" s="89"/>
      <c r="D336" s="91"/>
      <c r="E336" s="83"/>
      <c r="F336" s="83"/>
      <c r="G336" s="83"/>
      <c r="H336" s="83"/>
      <c r="I336" s="83"/>
      <c r="J336" s="83"/>
      <c r="K336" s="83"/>
      <c r="L336" s="83"/>
      <c r="M336" s="82"/>
      <c r="N336" s="82"/>
      <c r="O336" s="82"/>
      <c r="P336" s="82"/>
      <c r="Q336" s="82"/>
      <c r="R336" s="82"/>
      <c r="S336" s="82"/>
      <c r="T336" s="82"/>
      <c r="U336" s="32"/>
      <c r="V336" s="32"/>
      <c r="W336" s="32"/>
      <c r="X336" s="32"/>
    </row>
    <row r="337">
      <c r="A337" s="89"/>
      <c r="B337" s="89"/>
      <c r="C337" s="89"/>
      <c r="D337" s="91"/>
      <c r="E337" s="83"/>
      <c r="F337" s="83"/>
      <c r="G337" s="83"/>
      <c r="H337" s="83"/>
      <c r="I337" s="83"/>
      <c r="J337" s="83"/>
      <c r="K337" s="83"/>
      <c r="L337" s="83"/>
      <c r="M337" s="82"/>
      <c r="N337" s="82"/>
      <c r="O337" s="82"/>
      <c r="P337" s="82"/>
      <c r="Q337" s="82"/>
      <c r="R337" s="82"/>
      <c r="S337" s="82"/>
      <c r="T337" s="82"/>
      <c r="U337" s="32"/>
      <c r="V337" s="32"/>
      <c r="W337" s="32"/>
      <c r="X337" s="32"/>
    </row>
    <row r="338">
      <c r="A338" s="89"/>
      <c r="B338" s="89"/>
      <c r="C338" s="89"/>
      <c r="D338" s="91"/>
      <c r="E338" s="83"/>
      <c r="F338" s="83"/>
      <c r="G338" s="83"/>
      <c r="H338" s="83"/>
      <c r="I338" s="83"/>
      <c r="J338" s="83"/>
      <c r="K338" s="83"/>
      <c r="L338" s="83"/>
      <c r="M338" s="82"/>
      <c r="N338" s="82"/>
      <c r="O338" s="82"/>
      <c r="P338" s="82"/>
      <c r="Q338" s="82"/>
      <c r="R338" s="82"/>
      <c r="S338" s="82"/>
      <c r="T338" s="82"/>
      <c r="U338" s="32"/>
      <c r="V338" s="32"/>
      <c r="W338" s="32"/>
      <c r="X338" s="32"/>
    </row>
    <row r="339">
      <c r="A339" s="89"/>
      <c r="B339" s="89"/>
      <c r="C339" s="89"/>
      <c r="D339" s="91"/>
      <c r="E339" s="83"/>
      <c r="F339" s="83"/>
      <c r="G339" s="83"/>
      <c r="H339" s="83"/>
      <c r="I339" s="83"/>
      <c r="J339" s="83"/>
      <c r="K339" s="83"/>
      <c r="L339" s="83"/>
      <c r="M339" s="82"/>
      <c r="N339" s="82"/>
      <c r="O339" s="82"/>
      <c r="P339" s="82"/>
      <c r="Q339" s="82"/>
      <c r="R339" s="82"/>
      <c r="S339" s="82"/>
      <c r="T339" s="82"/>
      <c r="U339" s="32"/>
      <c r="V339" s="32"/>
      <c r="W339" s="32"/>
      <c r="X339" s="32"/>
    </row>
    <row r="340">
      <c r="A340" s="89"/>
      <c r="B340" s="89"/>
      <c r="C340" s="89"/>
      <c r="D340" s="91"/>
      <c r="E340" s="83"/>
      <c r="F340" s="83"/>
      <c r="G340" s="83"/>
      <c r="H340" s="83"/>
      <c r="I340" s="83"/>
      <c r="J340" s="83"/>
      <c r="K340" s="83"/>
      <c r="L340" s="83"/>
      <c r="M340" s="82"/>
      <c r="N340" s="82"/>
      <c r="O340" s="82"/>
      <c r="P340" s="82"/>
      <c r="Q340" s="82"/>
      <c r="R340" s="82"/>
      <c r="S340" s="82"/>
      <c r="T340" s="82"/>
      <c r="U340" s="32"/>
      <c r="V340" s="32"/>
      <c r="W340" s="32"/>
      <c r="X340" s="32"/>
    </row>
    <row r="341">
      <c r="A341" s="89"/>
      <c r="B341" s="89"/>
      <c r="C341" s="89"/>
      <c r="D341" s="91"/>
      <c r="E341" s="83"/>
      <c r="F341" s="83"/>
      <c r="G341" s="83"/>
      <c r="H341" s="83"/>
      <c r="I341" s="83"/>
      <c r="J341" s="83"/>
      <c r="K341" s="83"/>
      <c r="L341" s="83"/>
      <c r="M341" s="82"/>
      <c r="N341" s="82"/>
      <c r="O341" s="82"/>
      <c r="P341" s="82"/>
      <c r="Q341" s="82"/>
      <c r="R341" s="82"/>
      <c r="S341" s="82"/>
      <c r="T341" s="82"/>
      <c r="U341" s="32"/>
      <c r="V341" s="32"/>
      <c r="W341" s="32"/>
      <c r="X341" s="32"/>
    </row>
    <row r="342">
      <c r="A342" s="89"/>
      <c r="B342" s="89"/>
      <c r="C342" s="89"/>
      <c r="D342" s="91"/>
      <c r="E342" s="83"/>
      <c r="F342" s="83"/>
      <c r="G342" s="83"/>
      <c r="H342" s="83"/>
      <c r="I342" s="83"/>
      <c r="J342" s="83"/>
      <c r="K342" s="83"/>
      <c r="L342" s="83"/>
      <c r="M342" s="82"/>
      <c r="N342" s="82"/>
      <c r="O342" s="82"/>
      <c r="P342" s="82"/>
      <c r="Q342" s="82"/>
      <c r="R342" s="82"/>
      <c r="S342" s="82"/>
      <c r="T342" s="82"/>
      <c r="U342" s="32"/>
      <c r="V342" s="32"/>
      <c r="W342" s="32"/>
      <c r="X342" s="32"/>
    </row>
    <row r="343">
      <c r="A343" s="89"/>
      <c r="B343" s="89"/>
      <c r="C343" s="89"/>
      <c r="D343" s="91"/>
      <c r="E343" s="83"/>
      <c r="F343" s="83"/>
      <c r="G343" s="83"/>
      <c r="H343" s="83"/>
      <c r="I343" s="83"/>
      <c r="J343" s="83"/>
      <c r="K343" s="83"/>
      <c r="L343" s="83"/>
      <c r="M343" s="82"/>
      <c r="N343" s="82"/>
      <c r="O343" s="82"/>
      <c r="P343" s="82"/>
      <c r="Q343" s="82"/>
      <c r="R343" s="82"/>
      <c r="S343" s="82"/>
      <c r="T343" s="82"/>
      <c r="U343" s="32"/>
      <c r="V343" s="32"/>
      <c r="W343" s="32"/>
      <c r="X343" s="32"/>
    </row>
    <row r="344">
      <c r="A344" s="89"/>
      <c r="B344" s="89"/>
      <c r="C344" s="89"/>
      <c r="D344" s="91"/>
      <c r="E344" s="83"/>
      <c r="F344" s="83"/>
      <c r="G344" s="83"/>
      <c r="H344" s="83"/>
      <c r="I344" s="83"/>
      <c r="J344" s="83"/>
      <c r="K344" s="83"/>
      <c r="L344" s="83"/>
      <c r="M344" s="82"/>
      <c r="N344" s="82"/>
      <c r="O344" s="82"/>
      <c r="P344" s="82"/>
      <c r="Q344" s="82"/>
      <c r="R344" s="82"/>
      <c r="S344" s="82"/>
      <c r="T344" s="82"/>
      <c r="U344" s="32"/>
      <c r="V344" s="32"/>
      <c r="W344" s="32"/>
      <c r="X344" s="32"/>
    </row>
    <row r="345">
      <c r="A345" s="89"/>
      <c r="B345" s="89"/>
      <c r="C345" s="89"/>
      <c r="D345" s="91"/>
      <c r="E345" s="83"/>
      <c r="F345" s="83"/>
      <c r="G345" s="83"/>
      <c r="H345" s="83"/>
      <c r="I345" s="83"/>
      <c r="J345" s="83"/>
      <c r="K345" s="83"/>
      <c r="L345" s="83"/>
      <c r="M345" s="82"/>
      <c r="N345" s="82"/>
      <c r="O345" s="82"/>
      <c r="P345" s="82"/>
      <c r="Q345" s="82"/>
      <c r="R345" s="82"/>
      <c r="S345" s="82"/>
      <c r="T345" s="82"/>
      <c r="U345" s="32"/>
      <c r="V345" s="32"/>
      <c r="W345" s="32"/>
      <c r="X345" s="32"/>
    </row>
    <row r="346">
      <c r="A346" s="89"/>
      <c r="B346" s="89"/>
      <c r="C346" s="89"/>
      <c r="D346" s="91"/>
      <c r="E346" s="83"/>
      <c r="F346" s="83"/>
      <c r="G346" s="83"/>
      <c r="H346" s="83"/>
      <c r="I346" s="83"/>
      <c r="J346" s="83"/>
      <c r="K346" s="83"/>
      <c r="L346" s="83"/>
      <c r="M346" s="82"/>
      <c r="N346" s="82"/>
      <c r="O346" s="82"/>
      <c r="P346" s="82"/>
      <c r="Q346" s="82"/>
      <c r="R346" s="82"/>
      <c r="S346" s="82"/>
      <c r="T346" s="82"/>
      <c r="U346" s="32"/>
      <c r="V346" s="32"/>
      <c r="W346" s="32"/>
      <c r="X346" s="32"/>
    </row>
    <row r="347">
      <c r="A347" s="89"/>
      <c r="B347" s="89"/>
      <c r="C347" s="89"/>
      <c r="D347" s="91"/>
      <c r="E347" s="83"/>
      <c r="F347" s="83"/>
      <c r="G347" s="83"/>
      <c r="H347" s="83"/>
      <c r="I347" s="83"/>
      <c r="J347" s="83"/>
      <c r="K347" s="83"/>
      <c r="L347" s="83"/>
      <c r="M347" s="82"/>
      <c r="N347" s="82"/>
      <c r="O347" s="82"/>
      <c r="P347" s="82"/>
      <c r="Q347" s="82"/>
      <c r="R347" s="82"/>
      <c r="S347" s="82"/>
      <c r="T347" s="82"/>
      <c r="U347" s="32"/>
      <c r="V347" s="32"/>
      <c r="W347" s="32"/>
      <c r="X347" s="32"/>
    </row>
    <row r="348">
      <c r="A348" s="89"/>
      <c r="B348" s="89"/>
      <c r="C348" s="89"/>
      <c r="D348" s="91"/>
      <c r="E348" s="83"/>
      <c r="F348" s="83"/>
      <c r="G348" s="83"/>
      <c r="H348" s="83"/>
      <c r="I348" s="83"/>
      <c r="J348" s="83"/>
      <c r="K348" s="83"/>
      <c r="L348" s="83"/>
      <c r="M348" s="82"/>
      <c r="N348" s="82"/>
      <c r="O348" s="82"/>
      <c r="P348" s="82"/>
      <c r="Q348" s="82"/>
      <c r="R348" s="82"/>
      <c r="S348" s="82"/>
      <c r="T348" s="82"/>
      <c r="U348" s="32"/>
      <c r="V348" s="32"/>
      <c r="W348" s="32"/>
      <c r="X348" s="32"/>
    </row>
    <row r="349">
      <c r="A349" s="89"/>
      <c r="B349" s="89"/>
      <c r="C349" s="89"/>
      <c r="D349" s="91"/>
      <c r="E349" s="83"/>
      <c r="F349" s="83"/>
      <c r="G349" s="83"/>
      <c r="H349" s="83"/>
      <c r="I349" s="83"/>
      <c r="J349" s="83"/>
      <c r="K349" s="83"/>
      <c r="L349" s="83"/>
      <c r="M349" s="82"/>
      <c r="N349" s="82"/>
      <c r="O349" s="82"/>
      <c r="P349" s="82"/>
      <c r="Q349" s="82"/>
      <c r="R349" s="82"/>
      <c r="S349" s="82"/>
      <c r="T349" s="82"/>
      <c r="U349" s="32"/>
      <c r="V349" s="32"/>
      <c r="W349" s="32"/>
      <c r="X349" s="32"/>
    </row>
    <row r="350">
      <c r="A350" s="89"/>
      <c r="B350" s="89"/>
      <c r="C350" s="89"/>
      <c r="D350" s="91"/>
      <c r="E350" s="83"/>
      <c r="F350" s="83"/>
      <c r="G350" s="83"/>
      <c r="H350" s="83"/>
      <c r="I350" s="83"/>
      <c r="J350" s="83"/>
      <c r="K350" s="83"/>
      <c r="L350" s="83"/>
      <c r="M350" s="82"/>
      <c r="N350" s="82"/>
      <c r="O350" s="82"/>
      <c r="P350" s="82"/>
      <c r="Q350" s="82"/>
      <c r="R350" s="82"/>
      <c r="S350" s="82"/>
      <c r="T350" s="82"/>
      <c r="U350" s="32"/>
      <c r="V350" s="32"/>
      <c r="W350" s="32"/>
      <c r="X350" s="32"/>
    </row>
    <row r="351">
      <c r="A351" s="89"/>
      <c r="B351" s="89"/>
      <c r="C351" s="89"/>
      <c r="D351" s="91"/>
      <c r="E351" s="83"/>
      <c r="F351" s="83"/>
      <c r="G351" s="83"/>
      <c r="H351" s="83"/>
      <c r="I351" s="83"/>
      <c r="J351" s="83"/>
      <c r="K351" s="83"/>
      <c r="L351" s="83"/>
      <c r="M351" s="82"/>
      <c r="N351" s="82"/>
      <c r="O351" s="82"/>
      <c r="P351" s="82"/>
      <c r="Q351" s="82"/>
      <c r="R351" s="82"/>
      <c r="S351" s="82"/>
      <c r="T351" s="82"/>
      <c r="U351" s="32"/>
      <c r="V351" s="32"/>
      <c r="W351" s="32"/>
      <c r="X351" s="32"/>
    </row>
    <row r="352">
      <c r="A352" s="89"/>
      <c r="B352" s="89"/>
      <c r="C352" s="89"/>
      <c r="D352" s="91"/>
      <c r="E352" s="83"/>
      <c r="F352" s="83"/>
      <c r="G352" s="83"/>
      <c r="H352" s="83"/>
      <c r="I352" s="83"/>
      <c r="J352" s="83"/>
      <c r="K352" s="83"/>
      <c r="L352" s="83"/>
      <c r="M352" s="82"/>
      <c r="N352" s="82"/>
      <c r="O352" s="82"/>
      <c r="P352" s="82"/>
      <c r="Q352" s="82"/>
      <c r="R352" s="82"/>
      <c r="S352" s="82"/>
      <c r="T352" s="82"/>
      <c r="U352" s="32"/>
      <c r="V352" s="32"/>
      <c r="W352" s="32"/>
      <c r="X352" s="32"/>
    </row>
    <row r="353">
      <c r="A353" s="89"/>
      <c r="B353" s="89"/>
      <c r="C353" s="89"/>
      <c r="D353" s="91"/>
      <c r="E353" s="83"/>
      <c r="F353" s="83"/>
      <c r="G353" s="83"/>
      <c r="H353" s="83"/>
      <c r="I353" s="83"/>
      <c r="J353" s="83"/>
      <c r="K353" s="83"/>
      <c r="L353" s="83"/>
      <c r="M353" s="82"/>
      <c r="N353" s="82"/>
      <c r="O353" s="82"/>
      <c r="P353" s="82"/>
      <c r="Q353" s="82"/>
      <c r="R353" s="82"/>
      <c r="S353" s="82"/>
      <c r="T353" s="82"/>
      <c r="U353" s="32"/>
      <c r="V353" s="32"/>
      <c r="W353" s="32"/>
      <c r="X353" s="32"/>
    </row>
    <row r="354">
      <c r="A354" s="89"/>
      <c r="B354" s="89"/>
      <c r="C354" s="89"/>
      <c r="D354" s="91"/>
      <c r="E354" s="83"/>
      <c r="F354" s="83"/>
      <c r="G354" s="83"/>
      <c r="H354" s="83"/>
      <c r="I354" s="83"/>
      <c r="J354" s="83"/>
      <c r="K354" s="83"/>
      <c r="L354" s="83"/>
      <c r="M354" s="82"/>
      <c r="N354" s="82"/>
      <c r="O354" s="82"/>
      <c r="P354" s="82"/>
      <c r="Q354" s="82"/>
      <c r="R354" s="82"/>
      <c r="S354" s="82"/>
      <c r="T354" s="82"/>
      <c r="U354" s="32"/>
      <c r="V354" s="32"/>
      <c r="W354" s="32"/>
      <c r="X354" s="32"/>
    </row>
    <row r="355">
      <c r="A355" s="89"/>
      <c r="B355" s="89"/>
      <c r="C355" s="89"/>
      <c r="D355" s="91"/>
      <c r="E355" s="83"/>
      <c r="F355" s="83"/>
      <c r="G355" s="83"/>
      <c r="H355" s="83"/>
      <c r="I355" s="83"/>
      <c r="J355" s="83"/>
      <c r="K355" s="83"/>
      <c r="L355" s="83"/>
      <c r="M355" s="82"/>
      <c r="N355" s="82"/>
      <c r="O355" s="82"/>
      <c r="P355" s="82"/>
      <c r="Q355" s="82"/>
      <c r="R355" s="82"/>
      <c r="S355" s="82"/>
      <c r="T355" s="82"/>
      <c r="U355" s="32"/>
      <c r="V355" s="32"/>
      <c r="W355" s="32"/>
      <c r="X355" s="32"/>
    </row>
    <row r="356">
      <c r="A356" s="89"/>
      <c r="B356" s="89"/>
      <c r="C356" s="89"/>
      <c r="D356" s="91"/>
      <c r="E356" s="83"/>
      <c r="F356" s="83"/>
      <c r="G356" s="83"/>
      <c r="H356" s="83"/>
      <c r="I356" s="83"/>
      <c r="J356" s="83"/>
      <c r="K356" s="83"/>
      <c r="L356" s="83"/>
      <c r="M356" s="82"/>
      <c r="N356" s="82"/>
      <c r="O356" s="82"/>
      <c r="P356" s="82"/>
      <c r="Q356" s="82"/>
      <c r="R356" s="82"/>
      <c r="S356" s="82"/>
      <c r="T356" s="82"/>
      <c r="U356" s="32"/>
      <c r="V356" s="32"/>
      <c r="W356" s="32"/>
      <c r="X356" s="32"/>
    </row>
    <row r="357">
      <c r="A357" s="89"/>
      <c r="B357" s="89"/>
      <c r="C357" s="89"/>
      <c r="D357" s="91"/>
      <c r="E357" s="83"/>
      <c r="F357" s="83"/>
      <c r="G357" s="83"/>
      <c r="H357" s="83"/>
      <c r="I357" s="83"/>
      <c r="J357" s="83"/>
      <c r="K357" s="83"/>
      <c r="L357" s="83"/>
      <c r="M357" s="82"/>
      <c r="N357" s="82"/>
      <c r="O357" s="82"/>
      <c r="P357" s="82"/>
      <c r="Q357" s="82"/>
      <c r="R357" s="82"/>
      <c r="S357" s="82"/>
      <c r="T357" s="82"/>
      <c r="U357" s="32"/>
      <c r="V357" s="32"/>
      <c r="W357" s="32"/>
      <c r="X357" s="32"/>
    </row>
    <row r="358">
      <c r="A358" s="89"/>
      <c r="B358" s="89"/>
      <c r="C358" s="89"/>
      <c r="D358" s="91"/>
      <c r="E358" s="83"/>
      <c r="F358" s="83"/>
      <c r="G358" s="83"/>
      <c r="H358" s="83"/>
      <c r="I358" s="83"/>
      <c r="J358" s="83"/>
      <c r="K358" s="83"/>
      <c r="L358" s="83"/>
      <c r="M358" s="82"/>
      <c r="N358" s="82"/>
      <c r="O358" s="82"/>
      <c r="P358" s="82"/>
      <c r="Q358" s="82"/>
      <c r="R358" s="82"/>
      <c r="S358" s="82"/>
      <c r="T358" s="82"/>
      <c r="U358" s="32"/>
      <c r="V358" s="32"/>
      <c r="W358" s="32"/>
      <c r="X358" s="32"/>
    </row>
    <row r="359">
      <c r="A359" s="89"/>
      <c r="B359" s="89"/>
      <c r="C359" s="89"/>
      <c r="D359" s="91"/>
      <c r="E359" s="83"/>
      <c r="F359" s="83"/>
      <c r="G359" s="83"/>
      <c r="H359" s="83"/>
      <c r="I359" s="83"/>
      <c r="J359" s="83"/>
      <c r="K359" s="83"/>
      <c r="L359" s="83"/>
      <c r="M359" s="82"/>
      <c r="N359" s="82"/>
      <c r="O359" s="82"/>
      <c r="P359" s="82"/>
      <c r="Q359" s="82"/>
      <c r="R359" s="82"/>
      <c r="S359" s="82"/>
      <c r="T359" s="82"/>
      <c r="U359" s="32"/>
      <c r="V359" s="32"/>
      <c r="W359" s="32"/>
      <c r="X359" s="32"/>
    </row>
    <row r="360">
      <c r="A360" s="89"/>
      <c r="B360" s="89"/>
      <c r="C360" s="89"/>
      <c r="D360" s="91"/>
      <c r="E360" s="83"/>
      <c r="F360" s="83"/>
      <c r="G360" s="83"/>
      <c r="H360" s="83"/>
      <c r="I360" s="83"/>
      <c r="J360" s="83"/>
      <c r="K360" s="83"/>
      <c r="L360" s="83"/>
      <c r="M360" s="82"/>
      <c r="N360" s="82"/>
      <c r="O360" s="82"/>
      <c r="P360" s="82"/>
      <c r="Q360" s="82"/>
      <c r="R360" s="82"/>
      <c r="S360" s="82"/>
      <c r="T360" s="82"/>
      <c r="U360" s="32"/>
      <c r="V360" s="32"/>
      <c r="W360" s="32"/>
      <c r="X360" s="32"/>
    </row>
    <row r="361">
      <c r="A361" s="89"/>
      <c r="B361" s="89"/>
      <c r="C361" s="89"/>
      <c r="D361" s="91"/>
      <c r="E361" s="83"/>
      <c r="F361" s="83"/>
      <c r="G361" s="83"/>
      <c r="H361" s="83"/>
      <c r="I361" s="83"/>
      <c r="J361" s="83"/>
      <c r="K361" s="83"/>
      <c r="L361" s="83"/>
      <c r="M361" s="82"/>
      <c r="N361" s="82"/>
      <c r="O361" s="82"/>
      <c r="P361" s="82"/>
      <c r="Q361" s="82"/>
      <c r="R361" s="82"/>
      <c r="S361" s="82"/>
      <c r="T361" s="82"/>
      <c r="U361" s="32"/>
      <c r="V361" s="32"/>
      <c r="W361" s="32"/>
      <c r="X361" s="32"/>
    </row>
    <row r="362">
      <c r="A362" s="89"/>
      <c r="B362" s="89"/>
      <c r="C362" s="89"/>
      <c r="D362" s="91"/>
      <c r="E362" s="83"/>
      <c r="F362" s="83"/>
      <c r="G362" s="83"/>
      <c r="H362" s="83"/>
      <c r="I362" s="83"/>
      <c r="J362" s="83"/>
      <c r="K362" s="83"/>
      <c r="L362" s="83"/>
      <c r="M362" s="82"/>
      <c r="N362" s="82"/>
      <c r="O362" s="82"/>
      <c r="P362" s="82"/>
      <c r="Q362" s="82"/>
      <c r="R362" s="82"/>
      <c r="S362" s="82"/>
      <c r="T362" s="82"/>
      <c r="U362" s="32"/>
      <c r="V362" s="32"/>
      <c r="W362" s="32"/>
      <c r="X362" s="32"/>
    </row>
    <row r="363">
      <c r="A363" s="89"/>
      <c r="B363" s="89"/>
      <c r="C363" s="89"/>
      <c r="D363" s="91"/>
      <c r="E363" s="83"/>
      <c r="F363" s="83"/>
      <c r="G363" s="83"/>
      <c r="H363" s="83"/>
      <c r="I363" s="83"/>
      <c r="J363" s="83"/>
      <c r="K363" s="83"/>
      <c r="L363" s="83"/>
      <c r="M363" s="82"/>
      <c r="N363" s="82"/>
      <c r="O363" s="82"/>
      <c r="P363" s="82"/>
      <c r="Q363" s="82"/>
      <c r="R363" s="82"/>
      <c r="S363" s="82"/>
      <c r="T363" s="82"/>
      <c r="U363" s="32"/>
      <c r="V363" s="32"/>
      <c r="W363" s="32"/>
      <c r="X363" s="32"/>
    </row>
    <row r="364">
      <c r="A364" s="89"/>
      <c r="B364" s="89"/>
      <c r="C364" s="89"/>
      <c r="D364" s="91"/>
      <c r="E364" s="83"/>
      <c r="F364" s="83"/>
      <c r="G364" s="83"/>
      <c r="H364" s="83"/>
      <c r="I364" s="83"/>
      <c r="J364" s="83"/>
      <c r="K364" s="83"/>
      <c r="L364" s="83"/>
      <c r="M364" s="82"/>
      <c r="N364" s="82"/>
      <c r="O364" s="82"/>
      <c r="P364" s="82"/>
      <c r="Q364" s="82"/>
      <c r="R364" s="82"/>
      <c r="S364" s="82"/>
      <c r="T364" s="82"/>
      <c r="U364" s="32"/>
      <c r="V364" s="32"/>
      <c r="W364" s="32"/>
      <c r="X364" s="32"/>
    </row>
    <row r="365">
      <c r="A365" s="89"/>
      <c r="B365" s="89"/>
      <c r="C365" s="89"/>
      <c r="D365" s="91"/>
      <c r="E365" s="83"/>
      <c r="F365" s="83"/>
      <c r="G365" s="83"/>
      <c r="H365" s="83"/>
      <c r="I365" s="83"/>
      <c r="J365" s="83"/>
      <c r="K365" s="83"/>
      <c r="L365" s="83"/>
      <c r="M365" s="82"/>
      <c r="N365" s="82"/>
      <c r="O365" s="82"/>
      <c r="P365" s="82"/>
      <c r="Q365" s="82"/>
      <c r="R365" s="82"/>
      <c r="S365" s="82"/>
      <c r="T365" s="82"/>
      <c r="U365" s="32"/>
      <c r="V365" s="32"/>
      <c r="W365" s="32"/>
      <c r="X365" s="32"/>
    </row>
    <row r="366">
      <c r="A366" s="89"/>
      <c r="B366" s="89"/>
      <c r="C366" s="89"/>
      <c r="D366" s="91"/>
      <c r="E366" s="83"/>
      <c r="F366" s="83"/>
      <c r="G366" s="83"/>
      <c r="H366" s="83"/>
      <c r="I366" s="83"/>
      <c r="J366" s="83"/>
      <c r="K366" s="83"/>
      <c r="L366" s="83"/>
      <c r="M366" s="82"/>
      <c r="N366" s="82"/>
      <c r="O366" s="82"/>
      <c r="P366" s="82"/>
      <c r="Q366" s="82"/>
      <c r="R366" s="82"/>
      <c r="S366" s="82"/>
      <c r="T366" s="82"/>
      <c r="U366" s="32"/>
      <c r="V366" s="32"/>
      <c r="W366" s="32"/>
      <c r="X366" s="32"/>
    </row>
    <row r="367">
      <c r="A367" s="89"/>
      <c r="B367" s="89"/>
      <c r="C367" s="89"/>
      <c r="D367" s="91"/>
      <c r="E367" s="83"/>
      <c r="F367" s="83"/>
      <c r="G367" s="83"/>
      <c r="H367" s="83"/>
      <c r="I367" s="83"/>
      <c r="J367" s="83"/>
      <c r="K367" s="83"/>
      <c r="L367" s="83"/>
      <c r="M367" s="82"/>
      <c r="N367" s="82"/>
      <c r="O367" s="82"/>
      <c r="P367" s="82"/>
      <c r="Q367" s="82"/>
      <c r="R367" s="82"/>
      <c r="S367" s="82"/>
      <c r="T367" s="82"/>
      <c r="U367" s="32"/>
      <c r="V367" s="32"/>
      <c r="W367" s="32"/>
      <c r="X367" s="32"/>
    </row>
    <row r="368">
      <c r="A368" s="89"/>
      <c r="B368" s="89"/>
      <c r="C368" s="89"/>
      <c r="D368" s="91"/>
      <c r="E368" s="83"/>
      <c r="F368" s="83"/>
      <c r="G368" s="83"/>
      <c r="H368" s="83"/>
      <c r="I368" s="83"/>
      <c r="J368" s="83"/>
      <c r="K368" s="83"/>
      <c r="L368" s="83"/>
      <c r="M368" s="82"/>
      <c r="N368" s="82"/>
      <c r="O368" s="82"/>
      <c r="P368" s="82"/>
      <c r="Q368" s="82"/>
      <c r="R368" s="82"/>
      <c r="S368" s="82"/>
      <c r="T368" s="82"/>
      <c r="U368" s="32"/>
      <c r="V368" s="32"/>
      <c r="W368" s="32"/>
      <c r="X368" s="32"/>
    </row>
    <row r="369">
      <c r="A369" s="89"/>
      <c r="B369" s="89"/>
      <c r="C369" s="89"/>
      <c r="D369" s="91"/>
      <c r="E369" s="83"/>
      <c r="F369" s="83"/>
      <c r="G369" s="83"/>
      <c r="H369" s="83"/>
      <c r="I369" s="83"/>
      <c r="J369" s="83"/>
      <c r="K369" s="83"/>
      <c r="L369" s="83"/>
      <c r="M369" s="82"/>
      <c r="N369" s="82"/>
      <c r="O369" s="82"/>
      <c r="P369" s="82"/>
      <c r="Q369" s="82"/>
      <c r="R369" s="82"/>
      <c r="S369" s="82"/>
      <c r="T369" s="82"/>
      <c r="U369" s="32"/>
      <c r="V369" s="32"/>
      <c r="W369" s="32"/>
      <c r="X369" s="32"/>
    </row>
    <row r="370">
      <c r="A370" s="89"/>
      <c r="B370" s="89"/>
      <c r="C370" s="89"/>
      <c r="D370" s="91"/>
      <c r="E370" s="83"/>
      <c r="F370" s="83"/>
      <c r="G370" s="83"/>
      <c r="H370" s="83"/>
      <c r="I370" s="83"/>
      <c r="J370" s="83"/>
      <c r="K370" s="83"/>
      <c r="L370" s="83"/>
      <c r="M370" s="82"/>
      <c r="N370" s="82"/>
      <c r="O370" s="82"/>
      <c r="P370" s="82"/>
      <c r="Q370" s="82"/>
      <c r="R370" s="82"/>
      <c r="S370" s="82"/>
      <c r="T370" s="82"/>
      <c r="U370" s="32"/>
      <c r="V370" s="32"/>
      <c r="W370" s="32"/>
      <c r="X370" s="32"/>
    </row>
    <row r="371">
      <c r="A371" s="89"/>
      <c r="B371" s="89"/>
      <c r="C371" s="89"/>
      <c r="D371" s="91"/>
      <c r="E371" s="83"/>
      <c r="F371" s="83"/>
      <c r="G371" s="83"/>
      <c r="H371" s="83"/>
      <c r="I371" s="83"/>
      <c r="J371" s="83"/>
      <c r="K371" s="83"/>
      <c r="L371" s="83"/>
      <c r="M371" s="82"/>
      <c r="N371" s="82"/>
      <c r="O371" s="82"/>
      <c r="P371" s="82"/>
      <c r="Q371" s="82"/>
      <c r="R371" s="82"/>
      <c r="S371" s="82"/>
      <c r="T371" s="82"/>
      <c r="U371" s="32"/>
      <c r="V371" s="32"/>
      <c r="W371" s="32"/>
      <c r="X371" s="32"/>
    </row>
    <row r="372">
      <c r="A372" s="89"/>
      <c r="B372" s="89"/>
      <c r="C372" s="89"/>
      <c r="D372" s="91"/>
      <c r="E372" s="83"/>
      <c r="F372" s="83"/>
      <c r="G372" s="83"/>
      <c r="H372" s="83"/>
      <c r="I372" s="83"/>
      <c r="J372" s="83"/>
      <c r="K372" s="83"/>
      <c r="L372" s="83"/>
      <c r="M372" s="82"/>
      <c r="N372" s="82"/>
      <c r="O372" s="82"/>
      <c r="P372" s="82"/>
      <c r="Q372" s="82"/>
      <c r="R372" s="82"/>
      <c r="S372" s="82"/>
      <c r="T372" s="82"/>
      <c r="U372" s="32"/>
      <c r="V372" s="32"/>
      <c r="W372" s="32"/>
      <c r="X372" s="32"/>
    </row>
    <row r="373">
      <c r="A373" s="89"/>
      <c r="B373" s="89"/>
      <c r="C373" s="89"/>
      <c r="D373" s="91"/>
      <c r="E373" s="83"/>
      <c r="F373" s="83"/>
      <c r="G373" s="83"/>
      <c r="H373" s="83"/>
      <c r="I373" s="83"/>
      <c r="J373" s="83"/>
      <c r="K373" s="83"/>
      <c r="L373" s="83"/>
      <c r="M373" s="82"/>
      <c r="N373" s="82"/>
      <c r="O373" s="82"/>
      <c r="P373" s="82"/>
      <c r="Q373" s="82"/>
      <c r="R373" s="82"/>
      <c r="S373" s="82"/>
      <c r="T373" s="82"/>
      <c r="U373" s="32"/>
      <c r="V373" s="32"/>
      <c r="W373" s="32"/>
      <c r="X373" s="32"/>
    </row>
    <row r="374">
      <c r="A374" s="89"/>
      <c r="B374" s="89"/>
      <c r="C374" s="89"/>
      <c r="D374" s="91"/>
      <c r="E374" s="83"/>
      <c r="F374" s="83"/>
      <c r="G374" s="83"/>
      <c r="H374" s="83"/>
      <c r="I374" s="83"/>
      <c r="J374" s="83"/>
      <c r="K374" s="83"/>
      <c r="L374" s="83"/>
      <c r="M374" s="82"/>
      <c r="N374" s="82"/>
      <c r="O374" s="82"/>
      <c r="P374" s="82"/>
      <c r="Q374" s="82"/>
      <c r="R374" s="82"/>
      <c r="S374" s="82"/>
      <c r="T374" s="82"/>
      <c r="U374" s="32"/>
      <c r="V374" s="32"/>
      <c r="W374" s="32"/>
      <c r="X374" s="32"/>
    </row>
    <row r="375">
      <c r="A375" s="89"/>
      <c r="B375" s="89"/>
      <c r="C375" s="89"/>
      <c r="D375" s="91"/>
      <c r="E375" s="83"/>
      <c r="F375" s="83"/>
      <c r="G375" s="83"/>
      <c r="H375" s="83"/>
      <c r="I375" s="83"/>
      <c r="J375" s="83"/>
      <c r="K375" s="83"/>
      <c r="L375" s="83"/>
      <c r="M375" s="82"/>
      <c r="N375" s="82"/>
      <c r="O375" s="82"/>
      <c r="P375" s="82"/>
      <c r="Q375" s="82"/>
      <c r="R375" s="82"/>
      <c r="S375" s="82"/>
      <c r="T375" s="82"/>
      <c r="U375" s="32"/>
      <c r="V375" s="32"/>
      <c r="W375" s="32"/>
      <c r="X375" s="32"/>
    </row>
    <row r="376">
      <c r="A376" s="89"/>
      <c r="B376" s="89"/>
      <c r="C376" s="89"/>
      <c r="D376" s="91"/>
      <c r="E376" s="83"/>
      <c r="F376" s="83"/>
      <c r="G376" s="83"/>
      <c r="H376" s="83"/>
      <c r="I376" s="83"/>
      <c r="J376" s="83"/>
      <c r="K376" s="83"/>
      <c r="L376" s="83"/>
      <c r="M376" s="82"/>
      <c r="N376" s="82"/>
      <c r="O376" s="82"/>
      <c r="P376" s="82"/>
      <c r="Q376" s="82"/>
      <c r="R376" s="82"/>
      <c r="S376" s="82"/>
      <c r="T376" s="82"/>
      <c r="U376" s="32"/>
      <c r="V376" s="32"/>
      <c r="W376" s="32"/>
      <c r="X376" s="32"/>
    </row>
    <row r="377">
      <c r="A377" s="89"/>
      <c r="B377" s="89"/>
      <c r="C377" s="89"/>
      <c r="D377" s="91"/>
      <c r="E377" s="83"/>
      <c r="F377" s="83"/>
      <c r="G377" s="83"/>
      <c r="H377" s="83"/>
      <c r="I377" s="83"/>
      <c r="J377" s="83"/>
      <c r="K377" s="83"/>
      <c r="L377" s="83"/>
      <c r="M377" s="82"/>
      <c r="N377" s="82"/>
      <c r="O377" s="82"/>
      <c r="P377" s="82"/>
      <c r="Q377" s="82"/>
      <c r="R377" s="82"/>
      <c r="S377" s="82"/>
      <c r="T377" s="82"/>
      <c r="U377" s="32"/>
      <c r="V377" s="32"/>
      <c r="W377" s="32"/>
      <c r="X377" s="32"/>
    </row>
    <row r="378">
      <c r="A378" s="89"/>
      <c r="B378" s="89"/>
      <c r="C378" s="89"/>
      <c r="D378" s="91"/>
      <c r="E378" s="83"/>
      <c r="F378" s="83"/>
      <c r="G378" s="83"/>
      <c r="H378" s="83"/>
      <c r="I378" s="83"/>
      <c r="J378" s="83"/>
      <c r="K378" s="83"/>
      <c r="L378" s="83"/>
      <c r="M378" s="82"/>
      <c r="N378" s="82"/>
      <c r="O378" s="82"/>
      <c r="P378" s="82"/>
      <c r="Q378" s="82"/>
      <c r="R378" s="82"/>
      <c r="S378" s="82"/>
      <c r="T378" s="82"/>
      <c r="U378" s="32"/>
      <c r="V378" s="32"/>
      <c r="W378" s="32"/>
      <c r="X378" s="32"/>
    </row>
    <row r="379">
      <c r="A379" s="89"/>
      <c r="B379" s="89"/>
      <c r="C379" s="89"/>
      <c r="D379" s="91"/>
      <c r="E379" s="83"/>
      <c r="F379" s="83"/>
      <c r="G379" s="83"/>
      <c r="H379" s="83"/>
      <c r="I379" s="83"/>
      <c r="J379" s="83"/>
      <c r="K379" s="83"/>
      <c r="L379" s="83"/>
      <c r="M379" s="82"/>
      <c r="N379" s="82"/>
      <c r="O379" s="82"/>
      <c r="P379" s="82"/>
      <c r="Q379" s="82"/>
      <c r="R379" s="82"/>
      <c r="S379" s="82"/>
      <c r="T379" s="82"/>
      <c r="U379" s="32"/>
      <c r="V379" s="32"/>
      <c r="W379" s="32"/>
      <c r="X379" s="32"/>
    </row>
    <row r="380">
      <c r="A380" s="89"/>
      <c r="B380" s="89"/>
      <c r="C380" s="89"/>
      <c r="D380" s="91"/>
      <c r="E380" s="83"/>
      <c r="F380" s="83"/>
      <c r="G380" s="83"/>
      <c r="H380" s="83"/>
      <c r="I380" s="83"/>
      <c r="J380" s="83"/>
      <c r="K380" s="83"/>
      <c r="L380" s="83"/>
      <c r="M380" s="82"/>
      <c r="N380" s="82"/>
      <c r="O380" s="82"/>
      <c r="P380" s="82"/>
      <c r="Q380" s="82"/>
      <c r="R380" s="82"/>
      <c r="S380" s="82"/>
      <c r="T380" s="82"/>
      <c r="U380" s="32"/>
      <c r="V380" s="32"/>
      <c r="W380" s="32"/>
      <c r="X380" s="32"/>
    </row>
    <row r="381">
      <c r="A381" s="89"/>
      <c r="B381" s="89"/>
      <c r="C381" s="89"/>
      <c r="D381" s="91"/>
      <c r="E381" s="83"/>
      <c r="F381" s="83"/>
      <c r="G381" s="83"/>
      <c r="H381" s="83"/>
      <c r="I381" s="83"/>
      <c r="J381" s="83"/>
      <c r="K381" s="83"/>
      <c r="L381" s="83"/>
      <c r="M381" s="82"/>
      <c r="N381" s="82"/>
      <c r="O381" s="82"/>
      <c r="P381" s="82"/>
      <c r="Q381" s="82"/>
      <c r="R381" s="82"/>
      <c r="S381" s="82"/>
      <c r="T381" s="82"/>
      <c r="U381" s="32"/>
      <c r="V381" s="32"/>
      <c r="W381" s="32"/>
      <c r="X381" s="32"/>
    </row>
    <row r="382">
      <c r="A382" s="89"/>
      <c r="B382" s="89"/>
      <c r="C382" s="89"/>
      <c r="D382" s="91"/>
      <c r="E382" s="83"/>
      <c r="F382" s="83"/>
      <c r="G382" s="83"/>
      <c r="H382" s="83"/>
      <c r="I382" s="83"/>
      <c r="J382" s="83"/>
      <c r="K382" s="83"/>
      <c r="L382" s="83"/>
      <c r="M382" s="82"/>
      <c r="N382" s="82"/>
      <c r="O382" s="82"/>
      <c r="P382" s="82"/>
      <c r="Q382" s="82"/>
      <c r="R382" s="82"/>
      <c r="S382" s="82"/>
      <c r="T382" s="82"/>
      <c r="U382" s="32"/>
      <c r="V382" s="32"/>
      <c r="W382" s="32"/>
      <c r="X382" s="32"/>
    </row>
    <row r="383">
      <c r="A383" s="89"/>
      <c r="B383" s="89"/>
      <c r="C383" s="89"/>
      <c r="D383" s="91"/>
      <c r="E383" s="83"/>
      <c r="F383" s="83"/>
      <c r="G383" s="83"/>
      <c r="H383" s="83"/>
      <c r="I383" s="83"/>
      <c r="J383" s="83"/>
      <c r="K383" s="83"/>
      <c r="L383" s="83"/>
      <c r="M383" s="82"/>
      <c r="N383" s="82"/>
      <c r="O383" s="82"/>
      <c r="P383" s="82"/>
      <c r="Q383" s="82"/>
      <c r="R383" s="82"/>
      <c r="S383" s="82"/>
      <c r="T383" s="82"/>
      <c r="U383" s="32"/>
      <c r="V383" s="32"/>
      <c r="W383" s="32"/>
      <c r="X383" s="32"/>
    </row>
    <row r="384">
      <c r="A384" s="89"/>
      <c r="B384" s="89"/>
      <c r="C384" s="89"/>
      <c r="D384" s="91"/>
      <c r="E384" s="83"/>
      <c r="F384" s="83"/>
      <c r="G384" s="83"/>
      <c r="H384" s="83"/>
      <c r="I384" s="83"/>
      <c r="J384" s="83"/>
      <c r="K384" s="83"/>
      <c r="L384" s="83"/>
      <c r="M384" s="82"/>
      <c r="N384" s="82"/>
      <c r="O384" s="82"/>
      <c r="P384" s="82"/>
      <c r="Q384" s="82"/>
      <c r="R384" s="82"/>
      <c r="S384" s="82"/>
      <c r="T384" s="82"/>
      <c r="U384" s="32"/>
      <c r="V384" s="32"/>
      <c r="W384" s="32"/>
      <c r="X384" s="32"/>
    </row>
    <row r="385">
      <c r="A385" s="89"/>
      <c r="B385" s="89"/>
      <c r="C385" s="89"/>
      <c r="D385" s="91"/>
      <c r="E385" s="83"/>
      <c r="F385" s="83"/>
      <c r="G385" s="83"/>
      <c r="H385" s="83"/>
      <c r="I385" s="83"/>
      <c r="J385" s="83"/>
      <c r="K385" s="83"/>
      <c r="L385" s="83"/>
      <c r="M385" s="82"/>
      <c r="N385" s="82"/>
      <c r="O385" s="82"/>
      <c r="P385" s="82"/>
      <c r="Q385" s="82"/>
      <c r="R385" s="82"/>
      <c r="S385" s="82"/>
      <c r="T385" s="82"/>
      <c r="U385" s="32"/>
      <c r="V385" s="32"/>
      <c r="W385" s="32"/>
      <c r="X385" s="32"/>
    </row>
    <row r="386">
      <c r="A386" s="89"/>
      <c r="B386" s="89"/>
      <c r="C386" s="89"/>
      <c r="D386" s="91"/>
      <c r="E386" s="83"/>
      <c r="F386" s="83"/>
      <c r="G386" s="83"/>
      <c r="H386" s="83"/>
      <c r="I386" s="83"/>
      <c r="J386" s="83"/>
      <c r="K386" s="83"/>
      <c r="L386" s="83"/>
      <c r="M386" s="82"/>
      <c r="N386" s="82"/>
      <c r="O386" s="82"/>
      <c r="P386" s="82"/>
      <c r="Q386" s="82"/>
      <c r="R386" s="82"/>
      <c r="S386" s="82"/>
      <c r="T386" s="82"/>
      <c r="U386" s="32"/>
      <c r="V386" s="32"/>
      <c r="W386" s="32"/>
      <c r="X386" s="32"/>
    </row>
    <row r="387">
      <c r="A387" s="89"/>
      <c r="B387" s="89"/>
      <c r="C387" s="89"/>
      <c r="D387" s="91"/>
      <c r="E387" s="83"/>
      <c r="F387" s="83"/>
      <c r="G387" s="83"/>
      <c r="H387" s="83"/>
      <c r="I387" s="83"/>
      <c r="J387" s="83"/>
      <c r="K387" s="83"/>
      <c r="L387" s="83"/>
      <c r="M387" s="82"/>
      <c r="N387" s="82"/>
      <c r="O387" s="82"/>
      <c r="P387" s="82"/>
      <c r="Q387" s="82"/>
      <c r="R387" s="82"/>
      <c r="S387" s="82"/>
      <c r="T387" s="82"/>
      <c r="U387" s="32"/>
      <c r="V387" s="32"/>
      <c r="W387" s="32"/>
      <c r="X387" s="32"/>
    </row>
    <row r="388">
      <c r="A388" s="89"/>
      <c r="B388" s="89"/>
      <c r="C388" s="89"/>
      <c r="D388" s="91"/>
      <c r="E388" s="83"/>
      <c r="F388" s="83"/>
      <c r="G388" s="83"/>
      <c r="H388" s="83"/>
      <c r="I388" s="83"/>
      <c r="J388" s="83"/>
      <c r="K388" s="83"/>
      <c r="L388" s="83"/>
      <c r="M388" s="82"/>
      <c r="N388" s="82"/>
      <c r="O388" s="82"/>
      <c r="P388" s="82"/>
      <c r="Q388" s="82"/>
      <c r="R388" s="82"/>
      <c r="S388" s="82"/>
      <c r="T388" s="82"/>
      <c r="U388" s="32"/>
      <c r="V388" s="32"/>
      <c r="W388" s="32"/>
      <c r="X388" s="32"/>
    </row>
    <row r="389">
      <c r="A389" s="89"/>
      <c r="B389" s="89"/>
      <c r="C389" s="89"/>
      <c r="D389" s="91"/>
      <c r="E389" s="83"/>
      <c r="F389" s="83"/>
      <c r="G389" s="83"/>
      <c r="H389" s="83"/>
      <c r="I389" s="83"/>
      <c r="J389" s="83"/>
      <c r="K389" s="83"/>
      <c r="L389" s="83"/>
      <c r="M389" s="82"/>
      <c r="N389" s="82"/>
      <c r="O389" s="82"/>
      <c r="P389" s="82"/>
      <c r="Q389" s="82"/>
      <c r="R389" s="82"/>
      <c r="S389" s="82"/>
      <c r="T389" s="82"/>
      <c r="U389" s="32"/>
      <c r="V389" s="32"/>
      <c r="W389" s="32"/>
      <c r="X389" s="32"/>
    </row>
    <row r="390">
      <c r="A390" s="89"/>
      <c r="B390" s="89"/>
      <c r="C390" s="89"/>
      <c r="D390" s="91"/>
      <c r="E390" s="83"/>
      <c r="F390" s="83"/>
      <c r="G390" s="83"/>
      <c r="H390" s="83"/>
      <c r="I390" s="83"/>
      <c r="J390" s="83"/>
      <c r="K390" s="83"/>
      <c r="L390" s="83"/>
      <c r="M390" s="82"/>
      <c r="N390" s="82"/>
      <c r="O390" s="82"/>
      <c r="P390" s="82"/>
      <c r="Q390" s="82"/>
      <c r="R390" s="82"/>
      <c r="S390" s="82"/>
      <c r="T390" s="82"/>
      <c r="U390" s="32"/>
      <c r="V390" s="32"/>
      <c r="W390" s="32"/>
      <c r="X390" s="32"/>
    </row>
    <row r="391">
      <c r="A391" s="89"/>
      <c r="B391" s="89"/>
      <c r="C391" s="89"/>
      <c r="D391" s="91"/>
      <c r="E391" s="83"/>
      <c r="F391" s="83"/>
      <c r="G391" s="83"/>
      <c r="H391" s="83"/>
      <c r="I391" s="83"/>
      <c r="J391" s="83"/>
      <c r="K391" s="83"/>
      <c r="L391" s="83"/>
      <c r="M391" s="82"/>
      <c r="N391" s="82"/>
      <c r="O391" s="82"/>
      <c r="P391" s="82"/>
      <c r="Q391" s="82"/>
      <c r="R391" s="82"/>
      <c r="S391" s="82"/>
      <c r="T391" s="82"/>
      <c r="U391" s="32"/>
      <c r="V391" s="32"/>
      <c r="W391" s="32"/>
      <c r="X391" s="32"/>
    </row>
    <row r="392">
      <c r="A392" s="89"/>
      <c r="B392" s="89"/>
      <c r="C392" s="89"/>
      <c r="D392" s="91"/>
      <c r="E392" s="83"/>
      <c r="F392" s="83"/>
      <c r="G392" s="83"/>
      <c r="H392" s="83"/>
      <c r="I392" s="83"/>
      <c r="J392" s="83"/>
      <c r="K392" s="83"/>
      <c r="L392" s="83"/>
      <c r="M392" s="82"/>
      <c r="N392" s="82"/>
      <c r="O392" s="82"/>
      <c r="P392" s="82"/>
      <c r="Q392" s="82"/>
      <c r="R392" s="82"/>
      <c r="S392" s="82"/>
      <c r="T392" s="82"/>
      <c r="U392" s="32"/>
      <c r="V392" s="32"/>
      <c r="W392" s="32"/>
      <c r="X392" s="32"/>
    </row>
    <row r="393">
      <c r="A393" s="89"/>
      <c r="B393" s="89"/>
      <c r="C393" s="89"/>
      <c r="D393" s="91"/>
      <c r="E393" s="83"/>
      <c r="F393" s="83"/>
      <c r="G393" s="83"/>
      <c r="H393" s="83"/>
      <c r="I393" s="83"/>
      <c r="J393" s="83"/>
      <c r="K393" s="83"/>
      <c r="L393" s="83"/>
      <c r="M393" s="82"/>
      <c r="N393" s="82"/>
      <c r="O393" s="82"/>
      <c r="P393" s="82"/>
      <c r="Q393" s="82"/>
      <c r="R393" s="82"/>
      <c r="S393" s="82"/>
      <c r="T393" s="82"/>
      <c r="U393" s="32"/>
      <c r="V393" s="32"/>
      <c r="W393" s="32"/>
      <c r="X393" s="32"/>
    </row>
    <row r="394">
      <c r="A394" s="89"/>
      <c r="B394" s="89"/>
      <c r="C394" s="89"/>
      <c r="D394" s="91"/>
      <c r="E394" s="83"/>
      <c r="F394" s="83"/>
      <c r="G394" s="83"/>
      <c r="H394" s="83"/>
      <c r="I394" s="83"/>
      <c r="J394" s="83"/>
      <c r="K394" s="83"/>
      <c r="L394" s="83"/>
      <c r="M394" s="82"/>
      <c r="N394" s="82"/>
      <c r="O394" s="82"/>
      <c r="P394" s="82"/>
      <c r="Q394" s="82"/>
      <c r="R394" s="82"/>
      <c r="S394" s="82"/>
      <c r="T394" s="82"/>
      <c r="U394" s="32"/>
      <c r="V394" s="32"/>
      <c r="W394" s="32"/>
      <c r="X394" s="32"/>
    </row>
    <row r="395">
      <c r="A395" s="89"/>
      <c r="B395" s="89"/>
      <c r="C395" s="89"/>
      <c r="D395" s="91"/>
      <c r="E395" s="83"/>
      <c r="F395" s="83"/>
      <c r="G395" s="83"/>
      <c r="H395" s="83"/>
      <c r="I395" s="83"/>
      <c r="J395" s="83"/>
      <c r="K395" s="83"/>
      <c r="L395" s="83"/>
      <c r="M395" s="82"/>
      <c r="N395" s="82"/>
      <c r="O395" s="82"/>
      <c r="P395" s="82"/>
      <c r="Q395" s="82"/>
      <c r="R395" s="82"/>
      <c r="S395" s="82"/>
      <c r="T395" s="82"/>
      <c r="U395" s="32"/>
      <c r="V395" s="32"/>
      <c r="W395" s="32"/>
      <c r="X395" s="32"/>
    </row>
    <row r="396">
      <c r="A396" s="89"/>
      <c r="B396" s="89"/>
      <c r="C396" s="89"/>
      <c r="D396" s="91"/>
      <c r="E396" s="83"/>
      <c r="F396" s="83"/>
      <c r="G396" s="83"/>
      <c r="H396" s="83"/>
      <c r="I396" s="83"/>
      <c r="J396" s="83"/>
      <c r="K396" s="83"/>
      <c r="L396" s="83"/>
      <c r="M396" s="82"/>
      <c r="N396" s="82"/>
      <c r="O396" s="82"/>
      <c r="P396" s="82"/>
      <c r="Q396" s="82"/>
      <c r="R396" s="82"/>
      <c r="S396" s="82"/>
      <c r="T396" s="82"/>
      <c r="U396" s="32"/>
      <c r="V396" s="32"/>
      <c r="W396" s="32"/>
      <c r="X396" s="32"/>
    </row>
    <row r="397">
      <c r="A397" s="89"/>
      <c r="B397" s="89"/>
      <c r="C397" s="89"/>
      <c r="D397" s="91"/>
      <c r="E397" s="83"/>
      <c r="F397" s="83"/>
      <c r="G397" s="83"/>
      <c r="H397" s="83"/>
      <c r="I397" s="83"/>
      <c r="J397" s="83"/>
      <c r="K397" s="83"/>
      <c r="L397" s="83"/>
      <c r="M397" s="82"/>
      <c r="N397" s="82"/>
      <c r="O397" s="82"/>
      <c r="P397" s="82"/>
      <c r="Q397" s="82"/>
      <c r="R397" s="82"/>
      <c r="S397" s="82"/>
      <c r="T397" s="82"/>
      <c r="U397" s="32"/>
      <c r="V397" s="32"/>
      <c r="W397" s="32"/>
      <c r="X397" s="32"/>
    </row>
    <row r="398">
      <c r="A398" s="89"/>
      <c r="B398" s="89"/>
      <c r="C398" s="89"/>
      <c r="D398" s="91"/>
      <c r="E398" s="83"/>
      <c r="F398" s="83"/>
      <c r="G398" s="83"/>
      <c r="H398" s="83"/>
      <c r="I398" s="83"/>
      <c r="J398" s="83"/>
      <c r="K398" s="83"/>
      <c r="L398" s="83"/>
      <c r="M398" s="82"/>
      <c r="N398" s="82"/>
      <c r="O398" s="82"/>
      <c r="P398" s="82"/>
      <c r="Q398" s="82"/>
      <c r="R398" s="82"/>
      <c r="S398" s="82"/>
      <c r="T398" s="82"/>
      <c r="U398" s="32"/>
      <c r="V398" s="32"/>
      <c r="W398" s="32"/>
      <c r="X398" s="32"/>
    </row>
    <row r="399">
      <c r="A399" s="89"/>
      <c r="B399" s="89"/>
      <c r="C399" s="89"/>
      <c r="D399" s="91"/>
      <c r="E399" s="83"/>
      <c r="F399" s="83"/>
      <c r="G399" s="83"/>
      <c r="H399" s="83"/>
      <c r="I399" s="83"/>
      <c r="J399" s="83"/>
      <c r="K399" s="83"/>
      <c r="L399" s="83"/>
      <c r="M399" s="82"/>
      <c r="N399" s="82"/>
      <c r="O399" s="82"/>
      <c r="P399" s="82"/>
      <c r="Q399" s="82"/>
      <c r="R399" s="82"/>
      <c r="S399" s="82"/>
      <c r="T399" s="82"/>
      <c r="U399" s="32"/>
      <c r="V399" s="32"/>
      <c r="W399" s="32"/>
      <c r="X399" s="32"/>
    </row>
    <row r="400">
      <c r="A400" s="89"/>
      <c r="B400" s="89"/>
      <c r="C400" s="89"/>
      <c r="D400" s="91"/>
      <c r="E400" s="83"/>
      <c r="F400" s="83"/>
      <c r="G400" s="83"/>
      <c r="H400" s="83"/>
      <c r="I400" s="83"/>
      <c r="J400" s="83"/>
      <c r="K400" s="83"/>
      <c r="L400" s="83"/>
      <c r="M400" s="82"/>
      <c r="N400" s="82"/>
      <c r="O400" s="82"/>
      <c r="P400" s="82"/>
      <c r="Q400" s="82"/>
      <c r="R400" s="82"/>
      <c r="S400" s="82"/>
      <c r="T400" s="82"/>
      <c r="U400" s="32"/>
      <c r="V400" s="32"/>
      <c r="W400" s="32"/>
      <c r="X400" s="32"/>
    </row>
    <row r="401">
      <c r="A401" s="89"/>
      <c r="B401" s="89"/>
      <c r="C401" s="89"/>
      <c r="D401" s="91"/>
      <c r="E401" s="83"/>
      <c r="F401" s="83"/>
      <c r="G401" s="83"/>
      <c r="H401" s="83"/>
      <c r="I401" s="83"/>
      <c r="J401" s="83"/>
      <c r="K401" s="83"/>
      <c r="L401" s="83"/>
      <c r="M401" s="82"/>
      <c r="N401" s="82"/>
      <c r="O401" s="82"/>
      <c r="P401" s="82"/>
      <c r="Q401" s="82"/>
      <c r="R401" s="82"/>
      <c r="S401" s="82"/>
      <c r="T401" s="82"/>
      <c r="U401" s="32"/>
      <c r="V401" s="32"/>
      <c r="W401" s="32"/>
      <c r="X401" s="32"/>
    </row>
    <row r="402">
      <c r="A402" s="89"/>
      <c r="B402" s="89"/>
      <c r="C402" s="89"/>
      <c r="D402" s="91"/>
      <c r="E402" s="83"/>
      <c r="F402" s="83"/>
      <c r="G402" s="83"/>
      <c r="H402" s="83"/>
      <c r="I402" s="83"/>
      <c r="J402" s="83"/>
      <c r="K402" s="83"/>
      <c r="L402" s="83"/>
      <c r="M402" s="82"/>
      <c r="N402" s="82"/>
      <c r="O402" s="82"/>
      <c r="P402" s="82"/>
      <c r="Q402" s="82"/>
      <c r="R402" s="82"/>
      <c r="S402" s="82"/>
      <c r="T402" s="82"/>
      <c r="U402" s="32"/>
      <c r="V402" s="32"/>
      <c r="W402" s="32"/>
      <c r="X402" s="32"/>
    </row>
    <row r="403">
      <c r="A403" s="89"/>
      <c r="B403" s="89"/>
      <c r="C403" s="89"/>
      <c r="D403" s="91"/>
      <c r="E403" s="83"/>
      <c r="F403" s="83"/>
      <c r="G403" s="83"/>
      <c r="H403" s="83"/>
      <c r="I403" s="83"/>
      <c r="J403" s="83"/>
      <c r="K403" s="83"/>
      <c r="L403" s="83"/>
      <c r="M403" s="82"/>
      <c r="N403" s="82"/>
      <c r="O403" s="82"/>
      <c r="P403" s="82"/>
      <c r="Q403" s="82"/>
      <c r="R403" s="82"/>
      <c r="S403" s="82"/>
      <c r="T403" s="82"/>
      <c r="U403" s="32"/>
      <c r="V403" s="32"/>
      <c r="W403" s="32"/>
      <c r="X403" s="32"/>
    </row>
    <row r="404">
      <c r="A404" s="89"/>
      <c r="B404" s="89"/>
      <c r="C404" s="89"/>
      <c r="D404" s="91"/>
      <c r="E404" s="83"/>
      <c r="F404" s="83"/>
      <c r="G404" s="83"/>
      <c r="H404" s="83"/>
      <c r="I404" s="83"/>
      <c r="J404" s="83"/>
      <c r="K404" s="83"/>
      <c r="L404" s="83"/>
      <c r="M404" s="82"/>
      <c r="N404" s="82"/>
      <c r="O404" s="82"/>
      <c r="P404" s="82"/>
      <c r="Q404" s="82"/>
      <c r="R404" s="82"/>
      <c r="S404" s="82"/>
      <c r="T404" s="82"/>
      <c r="U404" s="32"/>
      <c r="V404" s="32"/>
      <c r="W404" s="32"/>
      <c r="X404" s="32"/>
    </row>
    <row r="405">
      <c r="A405" s="89"/>
      <c r="B405" s="89"/>
      <c r="C405" s="89"/>
      <c r="D405" s="91"/>
      <c r="E405" s="83"/>
      <c r="F405" s="83"/>
      <c r="G405" s="83"/>
      <c r="H405" s="83"/>
      <c r="I405" s="83"/>
      <c r="J405" s="83"/>
      <c r="K405" s="83"/>
      <c r="L405" s="83"/>
      <c r="M405" s="82"/>
      <c r="N405" s="82"/>
      <c r="O405" s="82"/>
      <c r="P405" s="82"/>
      <c r="Q405" s="82"/>
      <c r="R405" s="82"/>
      <c r="S405" s="82"/>
      <c r="T405" s="82"/>
      <c r="U405" s="32"/>
      <c r="V405" s="32"/>
      <c r="W405" s="32"/>
      <c r="X405" s="32"/>
    </row>
    <row r="406">
      <c r="A406" s="89"/>
      <c r="B406" s="89"/>
      <c r="C406" s="89"/>
      <c r="D406" s="91"/>
      <c r="E406" s="83"/>
      <c r="F406" s="83"/>
      <c r="G406" s="83"/>
      <c r="H406" s="83"/>
      <c r="I406" s="83"/>
      <c r="J406" s="83"/>
      <c r="K406" s="83"/>
      <c r="L406" s="83"/>
      <c r="M406" s="82"/>
      <c r="N406" s="82"/>
      <c r="O406" s="82"/>
      <c r="P406" s="82"/>
      <c r="Q406" s="82"/>
      <c r="R406" s="82"/>
      <c r="S406" s="82"/>
      <c r="T406" s="82"/>
      <c r="U406" s="32"/>
      <c r="V406" s="32"/>
      <c r="W406" s="32"/>
      <c r="X406" s="32"/>
    </row>
    <row r="407">
      <c r="A407" s="89"/>
      <c r="B407" s="89"/>
      <c r="C407" s="89"/>
      <c r="D407" s="91"/>
      <c r="E407" s="83"/>
      <c r="F407" s="83"/>
      <c r="G407" s="83"/>
      <c r="H407" s="83"/>
      <c r="I407" s="83"/>
      <c r="J407" s="83"/>
      <c r="K407" s="83"/>
      <c r="L407" s="83"/>
      <c r="M407" s="82"/>
      <c r="N407" s="82"/>
      <c r="O407" s="82"/>
      <c r="P407" s="82"/>
      <c r="Q407" s="82"/>
      <c r="R407" s="82"/>
      <c r="S407" s="82"/>
      <c r="T407" s="82"/>
      <c r="U407" s="32"/>
      <c r="V407" s="32"/>
      <c r="W407" s="32"/>
      <c r="X407" s="32"/>
    </row>
    <row r="408">
      <c r="A408" s="89"/>
      <c r="B408" s="89"/>
      <c r="C408" s="89"/>
      <c r="D408" s="91"/>
      <c r="E408" s="83"/>
      <c r="F408" s="83"/>
      <c r="G408" s="83"/>
      <c r="H408" s="83"/>
      <c r="I408" s="83"/>
      <c r="J408" s="83"/>
      <c r="K408" s="83"/>
      <c r="L408" s="83"/>
      <c r="M408" s="82"/>
      <c r="N408" s="82"/>
      <c r="O408" s="82"/>
      <c r="P408" s="82"/>
      <c r="Q408" s="82"/>
      <c r="R408" s="82"/>
      <c r="S408" s="82"/>
      <c r="T408" s="82"/>
      <c r="U408" s="32"/>
      <c r="V408" s="32"/>
      <c r="W408" s="32"/>
      <c r="X408" s="32"/>
    </row>
    <row r="409">
      <c r="A409" s="89"/>
      <c r="B409" s="89"/>
      <c r="C409" s="89"/>
      <c r="D409" s="91"/>
      <c r="E409" s="83"/>
      <c r="F409" s="83"/>
      <c r="G409" s="83"/>
      <c r="H409" s="83"/>
      <c r="I409" s="83"/>
      <c r="J409" s="83"/>
      <c r="K409" s="83"/>
      <c r="L409" s="83"/>
      <c r="M409" s="82"/>
      <c r="N409" s="82"/>
      <c r="O409" s="82"/>
      <c r="P409" s="82"/>
      <c r="Q409" s="82"/>
      <c r="R409" s="82"/>
      <c r="S409" s="82"/>
      <c r="T409" s="82"/>
      <c r="U409" s="32"/>
      <c r="V409" s="32"/>
      <c r="W409" s="32"/>
      <c r="X409" s="32"/>
    </row>
    <row r="410">
      <c r="A410" s="89"/>
      <c r="B410" s="89"/>
      <c r="C410" s="89"/>
      <c r="D410" s="91"/>
      <c r="E410" s="83"/>
      <c r="F410" s="83"/>
      <c r="G410" s="83"/>
      <c r="H410" s="83"/>
      <c r="I410" s="83"/>
      <c r="J410" s="83"/>
      <c r="K410" s="83"/>
      <c r="L410" s="83"/>
      <c r="M410" s="82"/>
      <c r="N410" s="82"/>
      <c r="O410" s="82"/>
      <c r="P410" s="82"/>
      <c r="Q410" s="82"/>
      <c r="R410" s="82"/>
      <c r="S410" s="82"/>
      <c r="T410" s="82"/>
      <c r="U410" s="32"/>
      <c r="V410" s="32"/>
      <c r="W410" s="32"/>
      <c r="X410" s="32"/>
    </row>
    <row r="411">
      <c r="A411" s="89"/>
      <c r="B411" s="89"/>
      <c r="C411" s="89"/>
      <c r="D411" s="91"/>
      <c r="E411" s="83"/>
      <c r="F411" s="83"/>
      <c r="G411" s="83"/>
      <c r="H411" s="83"/>
      <c r="I411" s="83"/>
      <c r="J411" s="83"/>
      <c r="K411" s="83"/>
      <c r="L411" s="83"/>
      <c r="M411" s="82"/>
      <c r="N411" s="82"/>
      <c r="O411" s="82"/>
      <c r="P411" s="82"/>
      <c r="Q411" s="82"/>
      <c r="R411" s="82"/>
      <c r="S411" s="82"/>
      <c r="T411" s="82"/>
      <c r="U411" s="32"/>
      <c r="V411" s="32"/>
      <c r="W411" s="32"/>
      <c r="X411" s="32"/>
    </row>
    <row r="412">
      <c r="A412" s="89"/>
      <c r="B412" s="89"/>
      <c r="C412" s="89"/>
      <c r="D412" s="91"/>
      <c r="E412" s="83"/>
      <c r="F412" s="83"/>
      <c r="G412" s="83"/>
      <c r="H412" s="83"/>
      <c r="I412" s="83"/>
      <c r="J412" s="83"/>
      <c r="K412" s="83"/>
      <c r="L412" s="83"/>
      <c r="M412" s="82"/>
      <c r="N412" s="82"/>
      <c r="O412" s="82"/>
      <c r="P412" s="82"/>
      <c r="Q412" s="82"/>
      <c r="R412" s="82"/>
      <c r="S412" s="82"/>
      <c r="T412" s="82"/>
      <c r="U412" s="32"/>
      <c r="V412" s="32"/>
      <c r="W412" s="32"/>
      <c r="X412" s="32"/>
    </row>
    <row r="413">
      <c r="A413" s="89"/>
      <c r="B413" s="89"/>
      <c r="C413" s="89"/>
      <c r="D413" s="91"/>
      <c r="E413" s="83"/>
      <c r="F413" s="83"/>
      <c r="G413" s="83"/>
      <c r="H413" s="83"/>
      <c r="I413" s="83"/>
      <c r="J413" s="83"/>
      <c r="K413" s="83"/>
      <c r="L413" s="83"/>
      <c r="M413" s="82"/>
      <c r="N413" s="82"/>
      <c r="O413" s="82"/>
      <c r="P413" s="82"/>
      <c r="Q413" s="82"/>
      <c r="R413" s="82"/>
      <c r="S413" s="82"/>
      <c r="T413" s="82"/>
      <c r="U413" s="32"/>
      <c r="V413" s="32"/>
      <c r="W413" s="32"/>
      <c r="X413" s="32"/>
    </row>
    <row r="414">
      <c r="A414" s="89"/>
      <c r="B414" s="89"/>
      <c r="C414" s="89"/>
      <c r="D414" s="91"/>
      <c r="E414" s="83"/>
      <c r="F414" s="83"/>
      <c r="G414" s="83"/>
      <c r="H414" s="83"/>
      <c r="I414" s="83"/>
      <c r="J414" s="83"/>
      <c r="K414" s="83"/>
      <c r="L414" s="83"/>
      <c r="M414" s="82"/>
      <c r="N414" s="82"/>
      <c r="O414" s="82"/>
      <c r="P414" s="82"/>
      <c r="Q414" s="82"/>
      <c r="R414" s="82"/>
      <c r="S414" s="82"/>
      <c r="T414" s="82"/>
      <c r="U414" s="32"/>
      <c r="V414" s="32"/>
      <c r="W414" s="32"/>
      <c r="X414" s="32"/>
    </row>
    <row r="415">
      <c r="A415" s="89"/>
      <c r="B415" s="89"/>
      <c r="C415" s="89"/>
      <c r="D415" s="91"/>
      <c r="E415" s="83"/>
      <c r="F415" s="83"/>
      <c r="G415" s="83"/>
      <c r="H415" s="83"/>
      <c r="I415" s="83"/>
      <c r="J415" s="83"/>
      <c r="K415" s="83"/>
      <c r="L415" s="83"/>
      <c r="M415" s="82"/>
      <c r="N415" s="82"/>
      <c r="O415" s="82"/>
      <c r="P415" s="82"/>
      <c r="Q415" s="82"/>
      <c r="R415" s="82"/>
      <c r="S415" s="82"/>
      <c r="T415" s="82"/>
      <c r="U415" s="32"/>
      <c r="V415" s="32"/>
      <c r="W415" s="32"/>
      <c r="X415" s="32"/>
    </row>
    <row r="416">
      <c r="A416" s="89"/>
      <c r="B416" s="89"/>
      <c r="C416" s="89"/>
      <c r="D416" s="91"/>
      <c r="E416" s="83"/>
      <c r="F416" s="83"/>
      <c r="G416" s="83"/>
      <c r="H416" s="83"/>
      <c r="I416" s="83"/>
      <c r="J416" s="83"/>
      <c r="K416" s="83"/>
      <c r="L416" s="83"/>
      <c r="M416" s="82"/>
      <c r="N416" s="82"/>
      <c r="O416" s="82"/>
      <c r="P416" s="82"/>
      <c r="Q416" s="82"/>
      <c r="R416" s="82"/>
      <c r="S416" s="82"/>
      <c r="T416" s="82"/>
      <c r="U416" s="32"/>
      <c r="V416" s="32"/>
      <c r="W416" s="32"/>
      <c r="X416" s="32"/>
    </row>
    <row r="417">
      <c r="A417" s="89"/>
      <c r="B417" s="89"/>
      <c r="C417" s="89"/>
      <c r="D417" s="91"/>
      <c r="E417" s="83"/>
      <c r="F417" s="83"/>
      <c r="G417" s="83"/>
      <c r="H417" s="83"/>
      <c r="I417" s="83"/>
      <c r="J417" s="83"/>
      <c r="K417" s="83"/>
      <c r="L417" s="83"/>
      <c r="M417" s="82"/>
      <c r="N417" s="82"/>
      <c r="O417" s="82"/>
      <c r="P417" s="82"/>
      <c r="Q417" s="82"/>
      <c r="R417" s="82"/>
      <c r="S417" s="82"/>
      <c r="T417" s="82"/>
      <c r="U417" s="32"/>
      <c r="V417" s="32"/>
      <c r="W417" s="32"/>
      <c r="X417" s="32"/>
    </row>
    <row r="418">
      <c r="A418" s="89"/>
      <c r="B418" s="89"/>
      <c r="C418" s="89"/>
      <c r="D418" s="91"/>
      <c r="E418" s="83"/>
      <c r="F418" s="83"/>
      <c r="G418" s="83"/>
      <c r="H418" s="83"/>
      <c r="I418" s="83"/>
      <c r="J418" s="83"/>
      <c r="K418" s="83"/>
      <c r="L418" s="83"/>
      <c r="M418" s="82"/>
      <c r="N418" s="82"/>
      <c r="O418" s="82"/>
      <c r="P418" s="82"/>
      <c r="Q418" s="82"/>
      <c r="R418" s="82"/>
      <c r="S418" s="82"/>
      <c r="T418" s="82"/>
      <c r="U418" s="32"/>
      <c r="V418" s="32"/>
      <c r="W418" s="32"/>
      <c r="X418" s="32"/>
    </row>
    <row r="419">
      <c r="A419" s="89"/>
      <c r="B419" s="89"/>
      <c r="C419" s="89"/>
      <c r="D419" s="91"/>
      <c r="E419" s="83"/>
      <c r="F419" s="83"/>
      <c r="G419" s="83"/>
      <c r="H419" s="83"/>
      <c r="I419" s="83"/>
      <c r="J419" s="83"/>
      <c r="K419" s="83"/>
      <c r="L419" s="83"/>
      <c r="M419" s="82"/>
      <c r="N419" s="82"/>
      <c r="O419" s="82"/>
      <c r="P419" s="82"/>
      <c r="Q419" s="82"/>
      <c r="R419" s="82"/>
      <c r="S419" s="82"/>
      <c r="T419" s="82"/>
      <c r="U419" s="32"/>
      <c r="V419" s="32"/>
      <c r="W419" s="32"/>
      <c r="X419" s="32"/>
    </row>
    <row r="420">
      <c r="A420" s="89"/>
      <c r="B420" s="89"/>
      <c r="C420" s="89"/>
      <c r="D420" s="91"/>
      <c r="E420" s="83"/>
      <c r="F420" s="83"/>
      <c r="G420" s="83"/>
      <c r="H420" s="83"/>
      <c r="I420" s="83"/>
      <c r="J420" s="83"/>
      <c r="K420" s="83"/>
      <c r="L420" s="83"/>
      <c r="M420" s="82"/>
      <c r="N420" s="82"/>
      <c r="O420" s="82"/>
      <c r="P420" s="82"/>
      <c r="Q420" s="82"/>
      <c r="R420" s="82"/>
      <c r="S420" s="82"/>
      <c r="T420" s="82"/>
      <c r="U420" s="32"/>
      <c r="V420" s="32"/>
      <c r="W420" s="32"/>
      <c r="X420" s="32"/>
    </row>
    <row r="421">
      <c r="A421" s="89"/>
      <c r="B421" s="89"/>
      <c r="C421" s="89"/>
      <c r="D421" s="91"/>
      <c r="E421" s="83"/>
      <c r="F421" s="83"/>
      <c r="G421" s="83"/>
      <c r="H421" s="83"/>
      <c r="I421" s="83"/>
      <c r="J421" s="83"/>
      <c r="K421" s="83"/>
      <c r="L421" s="83"/>
      <c r="M421" s="82"/>
      <c r="N421" s="82"/>
      <c r="O421" s="82"/>
      <c r="P421" s="82"/>
      <c r="Q421" s="82"/>
      <c r="R421" s="82"/>
      <c r="S421" s="82"/>
      <c r="T421" s="82"/>
      <c r="U421" s="32"/>
      <c r="V421" s="32"/>
      <c r="W421" s="32"/>
      <c r="X421" s="32"/>
    </row>
    <row r="422">
      <c r="A422" s="89"/>
      <c r="B422" s="89"/>
      <c r="C422" s="89"/>
      <c r="D422" s="91"/>
      <c r="E422" s="83"/>
      <c r="F422" s="83"/>
      <c r="G422" s="83"/>
      <c r="H422" s="83"/>
      <c r="I422" s="83"/>
      <c r="J422" s="83"/>
      <c r="K422" s="83"/>
      <c r="L422" s="83"/>
      <c r="M422" s="82"/>
      <c r="N422" s="82"/>
      <c r="O422" s="82"/>
      <c r="P422" s="82"/>
      <c r="Q422" s="82"/>
      <c r="R422" s="82"/>
      <c r="S422" s="82"/>
      <c r="T422" s="82"/>
      <c r="U422" s="32"/>
      <c r="V422" s="32"/>
      <c r="W422" s="32"/>
      <c r="X422" s="32"/>
    </row>
    <row r="423">
      <c r="A423" s="89"/>
      <c r="B423" s="89"/>
      <c r="C423" s="89"/>
      <c r="D423" s="91"/>
      <c r="E423" s="83"/>
      <c r="F423" s="83"/>
      <c r="G423" s="83"/>
      <c r="H423" s="83"/>
      <c r="I423" s="83"/>
      <c r="J423" s="83"/>
      <c r="K423" s="83"/>
      <c r="L423" s="83"/>
      <c r="M423" s="82"/>
      <c r="N423" s="82"/>
      <c r="O423" s="82"/>
      <c r="P423" s="82"/>
      <c r="Q423" s="82"/>
      <c r="R423" s="82"/>
      <c r="S423" s="82"/>
      <c r="T423" s="82"/>
      <c r="U423" s="32"/>
      <c r="V423" s="32"/>
      <c r="W423" s="32"/>
      <c r="X423" s="32"/>
    </row>
    <row r="424">
      <c r="A424" s="89"/>
      <c r="B424" s="89"/>
      <c r="C424" s="89"/>
      <c r="D424" s="91"/>
      <c r="E424" s="83"/>
      <c r="F424" s="83"/>
      <c r="G424" s="83"/>
      <c r="H424" s="83"/>
      <c r="I424" s="83"/>
      <c r="J424" s="83"/>
      <c r="K424" s="83"/>
      <c r="L424" s="83"/>
      <c r="M424" s="82"/>
      <c r="N424" s="82"/>
      <c r="O424" s="82"/>
      <c r="P424" s="82"/>
      <c r="Q424" s="82"/>
      <c r="R424" s="82"/>
      <c r="S424" s="82"/>
      <c r="T424" s="82"/>
      <c r="U424" s="32"/>
      <c r="V424" s="32"/>
      <c r="W424" s="32"/>
      <c r="X424" s="32"/>
    </row>
    <row r="425">
      <c r="A425" s="89"/>
      <c r="B425" s="89"/>
      <c r="C425" s="89"/>
      <c r="D425" s="91"/>
      <c r="E425" s="83"/>
      <c r="F425" s="83"/>
      <c r="G425" s="83"/>
      <c r="H425" s="83"/>
      <c r="I425" s="83"/>
      <c r="J425" s="83"/>
      <c r="K425" s="83"/>
      <c r="L425" s="83"/>
      <c r="M425" s="82"/>
      <c r="N425" s="82"/>
      <c r="O425" s="82"/>
      <c r="P425" s="82"/>
      <c r="Q425" s="82"/>
      <c r="R425" s="82"/>
      <c r="S425" s="82"/>
      <c r="T425" s="82"/>
      <c r="U425" s="32"/>
      <c r="V425" s="32"/>
      <c r="W425" s="32"/>
      <c r="X425" s="32"/>
    </row>
    <row r="426">
      <c r="A426" s="89"/>
      <c r="B426" s="89"/>
      <c r="C426" s="89"/>
      <c r="D426" s="91"/>
      <c r="E426" s="83"/>
      <c r="F426" s="83"/>
      <c r="G426" s="83"/>
      <c r="H426" s="83"/>
      <c r="I426" s="83"/>
      <c r="J426" s="83"/>
      <c r="K426" s="83"/>
      <c r="L426" s="83"/>
      <c r="M426" s="82"/>
      <c r="N426" s="82"/>
      <c r="O426" s="82"/>
      <c r="P426" s="82"/>
      <c r="Q426" s="82"/>
      <c r="R426" s="82"/>
      <c r="S426" s="82"/>
      <c r="T426" s="82"/>
      <c r="U426" s="32"/>
      <c r="V426" s="32"/>
      <c r="W426" s="32"/>
      <c r="X426" s="32"/>
    </row>
    <row r="427">
      <c r="A427" s="89"/>
      <c r="B427" s="89"/>
      <c r="C427" s="89"/>
      <c r="D427" s="91"/>
      <c r="E427" s="83"/>
      <c r="F427" s="83"/>
      <c r="G427" s="83"/>
      <c r="H427" s="83"/>
      <c r="I427" s="83"/>
      <c r="J427" s="83"/>
      <c r="K427" s="83"/>
      <c r="L427" s="83"/>
      <c r="M427" s="82"/>
      <c r="N427" s="82"/>
      <c r="O427" s="82"/>
      <c r="P427" s="82"/>
      <c r="Q427" s="82"/>
      <c r="R427" s="82"/>
      <c r="S427" s="82"/>
      <c r="T427" s="82"/>
      <c r="U427" s="32"/>
      <c r="V427" s="32"/>
      <c r="W427" s="32"/>
      <c r="X427" s="32"/>
    </row>
    <row r="428">
      <c r="A428" s="89"/>
      <c r="B428" s="89"/>
      <c r="C428" s="89"/>
      <c r="D428" s="91"/>
      <c r="E428" s="83"/>
      <c r="F428" s="83"/>
      <c r="G428" s="83"/>
      <c r="H428" s="83"/>
      <c r="I428" s="83"/>
      <c r="J428" s="83"/>
      <c r="K428" s="83"/>
      <c r="L428" s="83"/>
      <c r="M428" s="82"/>
      <c r="N428" s="82"/>
      <c r="O428" s="82"/>
      <c r="P428" s="82"/>
      <c r="Q428" s="82"/>
      <c r="R428" s="82"/>
      <c r="S428" s="82"/>
      <c r="T428" s="82"/>
      <c r="U428" s="32"/>
      <c r="V428" s="32"/>
      <c r="W428" s="32"/>
      <c r="X428" s="32"/>
    </row>
    <row r="429">
      <c r="A429" s="89"/>
      <c r="B429" s="89"/>
      <c r="C429" s="89"/>
      <c r="D429" s="91"/>
      <c r="E429" s="83"/>
      <c r="F429" s="83"/>
      <c r="G429" s="83"/>
      <c r="H429" s="83"/>
      <c r="I429" s="83"/>
      <c r="J429" s="83"/>
      <c r="K429" s="83"/>
      <c r="L429" s="83"/>
      <c r="M429" s="82"/>
      <c r="N429" s="82"/>
      <c r="O429" s="82"/>
      <c r="P429" s="82"/>
      <c r="Q429" s="82"/>
      <c r="R429" s="82"/>
      <c r="S429" s="82"/>
      <c r="T429" s="82"/>
      <c r="U429" s="32"/>
      <c r="V429" s="32"/>
      <c r="W429" s="32"/>
      <c r="X429" s="32"/>
    </row>
    <row r="430">
      <c r="A430" s="89"/>
      <c r="B430" s="89"/>
      <c r="C430" s="89"/>
      <c r="D430" s="91"/>
      <c r="E430" s="83"/>
      <c r="F430" s="83"/>
      <c r="G430" s="83"/>
      <c r="H430" s="83"/>
      <c r="I430" s="83"/>
      <c r="J430" s="83"/>
      <c r="K430" s="83"/>
      <c r="L430" s="83"/>
      <c r="M430" s="82"/>
      <c r="N430" s="82"/>
      <c r="O430" s="82"/>
      <c r="P430" s="82"/>
      <c r="Q430" s="82"/>
      <c r="R430" s="82"/>
      <c r="S430" s="82"/>
      <c r="T430" s="82"/>
      <c r="U430" s="32"/>
      <c r="V430" s="32"/>
      <c r="W430" s="32"/>
      <c r="X430" s="32"/>
    </row>
    <row r="431">
      <c r="A431" s="89"/>
      <c r="B431" s="89"/>
      <c r="C431" s="89"/>
      <c r="D431" s="91"/>
      <c r="E431" s="83"/>
      <c r="F431" s="83"/>
      <c r="G431" s="83"/>
      <c r="H431" s="83"/>
      <c r="I431" s="83"/>
      <c r="J431" s="83"/>
      <c r="K431" s="83"/>
      <c r="L431" s="83"/>
      <c r="M431" s="82"/>
      <c r="N431" s="82"/>
      <c r="O431" s="82"/>
      <c r="P431" s="82"/>
      <c r="Q431" s="82"/>
      <c r="R431" s="82"/>
      <c r="S431" s="82"/>
      <c r="T431" s="82"/>
      <c r="U431" s="32"/>
      <c r="V431" s="32"/>
      <c r="W431" s="32"/>
      <c r="X431" s="32"/>
    </row>
    <row r="432">
      <c r="A432" s="89"/>
      <c r="B432" s="89"/>
      <c r="C432" s="89"/>
      <c r="D432" s="91"/>
      <c r="E432" s="83"/>
      <c r="F432" s="83"/>
      <c r="G432" s="83"/>
      <c r="H432" s="83"/>
      <c r="I432" s="83"/>
      <c r="J432" s="83"/>
      <c r="K432" s="83"/>
      <c r="L432" s="83"/>
      <c r="M432" s="82"/>
      <c r="N432" s="82"/>
      <c r="O432" s="82"/>
      <c r="P432" s="82"/>
      <c r="Q432" s="82"/>
      <c r="R432" s="82"/>
      <c r="S432" s="82"/>
      <c r="T432" s="82"/>
      <c r="U432" s="32"/>
      <c r="V432" s="32"/>
      <c r="W432" s="32"/>
      <c r="X432" s="32"/>
    </row>
    <row r="433">
      <c r="A433" s="89"/>
      <c r="B433" s="89"/>
      <c r="C433" s="89"/>
      <c r="D433" s="91"/>
      <c r="E433" s="83"/>
      <c r="F433" s="83"/>
      <c r="G433" s="83"/>
      <c r="H433" s="83"/>
      <c r="I433" s="83"/>
      <c r="J433" s="83"/>
      <c r="K433" s="83"/>
      <c r="L433" s="83"/>
      <c r="M433" s="82"/>
      <c r="N433" s="82"/>
      <c r="O433" s="82"/>
      <c r="P433" s="82"/>
      <c r="Q433" s="82"/>
      <c r="R433" s="82"/>
      <c r="S433" s="82"/>
      <c r="T433" s="82"/>
      <c r="U433" s="32"/>
      <c r="V433" s="32"/>
      <c r="W433" s="32"/>
      <c r="X433" s="32"/>
    </row>
    <row r="434">
      <c r="A434" s="89"/>
      <c r="B434" s="89"/>
      <c r="C434" s="89"/>
      <c r="D434" s="91"/>
      <c r="E434" s="83"/>
      <c r="F434" s="83"/>
      <c r="G434" s="83"/>
      <c r="H434" s="83"/>
      <c r="I434" s="83"/>
      <c r="J434" s="83"/>
      <c r="K434" s="83"/>
      <c r="L434" s="83"/>
      <c r="M434" s="82"/>
      <c r="N434" s="82"/>
      <c r="O434" s="82"/>
      <c r="P434" s="82"/>
      <c r="Q434" s="82"/>
      <c r="R434" s="82"/>
      <c r="S434" s="82"/>
      <c r="T434" s="82"/>
      <c r="U434" s="32"/>
      <c r="V434" s="32"/>
      <c r="W434" s="32"/>
      <c r="X434" s="32"/>
    </row>
    <row r="435">
      <c r="A435" s="89"/>
      <c r="B435" s="89"/>
      <c r="C435" s="89"/>
      <c r="D435" s="91"/>
      <c r="E435" s="83"/>
      <c r="F435" s="83"/>
      <c r="G435" s="83"/>
      <c r="H435" s="83"/>
      <c r="I435" s="83"/>
      <c r="J435" s="83"/>
      <c r="K435" s="83"/>
      <c r="L435" s="83"/>
      <c r="M435" s="82"/>
      <c r="N435" s="82"/>
      <c r="O435" s="82"/>
      <c r="P435" s="82"/>
      <c r="Q435" s="82"/>
      <c r="R435" s="82"/>
      <c r="S435" s="82"/>
      <c r="T435" s="82"/>
      <c r="U435" s="32"/>
      <c r="V435" s="32"/>
      <c r="W435" s="32"/>
      <c r="X435" s="32"/>
    </row>
    <row r="436">
      <c r="A436" s="89"/>
      <c r="B436" s="89"/>
      <c r="C436" s="89"/>
      <c r="D436" s="91"/>
      <c r="E436" s="83"/>
      <c r="F436" s="83"/>
      <c r="G436" s="83"/>
      <c r="H436" s="83"/>
      <c r="I436" s="83"/>
      <c r="J436" s="83"/>
      <c r="K436" s="83"/>
      <c r="L436" s="83"/>
      <c r="M436" s="82"/>
      <c r="N436" s="82"/>
      <c r="O436" s="82"/>
      <c r="P436" s="82"/>
      <c r="Q436" s="82"/>
      <c r="R436" s="82"/>
      <c r="S436" s="82"/>
      <c r="T436" s="82"/>
      <c r="U436" s="32"/>
      <c r="V436" s="32"/>
      <c r="W436" s="32"/>
      <c r="X436" s="32"/>
    </row>
    <row r="437">
      <c r="A437" s="89"/>
      <c r="B437" s="89"/>
      <c r="C437" s="89"/>
      <c r="D437" s="91"/>
      <c r="E437" s="83"/>
      <c r="F437" s="83"/>
      <c r="G437" s="83"/>
      <c r="H437" s="83"/>
      <c r="I437" s="83"/>
      <c r="J437" s="83"/>
      <c r="K437" s="83"/>
      <c r="L437" s="83"/>
      <c r="M437" s="82"/>
      <c r="N437" s="82"/>
      <c r="O437" s="82"/>
      <c r="P437" s="82"/>
      <c r="Q437" s="82"/>
      <c r="R437" s="82"/>
      <c r="S437" s="82"/>
      <c r="T437" s="82"/>
      <c r="U437" s="32"/>
      <c r="V437" s="32"/>
      <c r="W437" s="32"/>
      <c r="X437" s="32"/>
    </row>
    <row r="438">
      <c r="A438" s="89"/>
      <c r="B438" s="89"/>
      <c r="C438" s="89"/>
      <c r="D438" s="91"/>
      <c r="E438" s="83"/>
      <c r="F438" s="83"/>
      <c r="G438" s="83"/>
      <c r="H438" s="83"/>
      <c r="I438" s="83"/>
      <c r="J438" s="83"/>
      <c r="K438" s="83"/>
      <c r="L438" s="83"/>
      <c r="M438" s="82"/>
      <c r="N438" s="82"/>
      <c r="O438" s="82"/>
      <c r="P438" s="82"/>
      <c r="Q438" s="82"/>
      <c r="R438" s="82"/>
      <c r="S438" s="82"/>
      <c r="T438" s="82"/>
      <c r="U438" s="32"/>
      <c r="V438" s="32"/>
      <c r="W438" s="32"/>
      <c r="X438" s="32"/>
    </row>
    <row r="439">
      <c r="A439" s="89"/>
      <c r="B439" s="89"/>
      <c r="C439" s="89"/>
      <c r="D439" s="91"/>
      <c r="E439" s="83"/>
      <c r="F439" s="83"/>
      <c r="G439" s="83"/>
      <c r="H439" s="83"/>
      <c r="I439" s="83"/>
      <c r="J439" s="83"/>
      <c r="K439" s="83"/>
      <c r="L439" s="83"/>
      <c r="M439" s="82"/>
      <c r="N439" s="82"/>
      <c r="O439" s="82"/>
      <c r="P439" s="82"/>
      <c r="Q439" s="82"/>
      <c r="R439" s="82"/>
      <c r="S439" s="82"/>
      <c r="T439" s="82"/>
      <c r="U439" s="32"/>
      <c r="V439" s="32"/>
      <c r="W439" s="32"/>
      <c r="X439" s="32"/>
    </row>
    <row r="440">
      <c r="A440" s="89"/>
      <c r="B440" s="89"/>
      <c r="C440" s="89"/>
      <c r="D440" s="91"/>
      <c r="E440" s="83"/>
      <c r="F440" s="83"/>
      <c r="G440" s="83"/>
      <c r="H440" s="83"/>
      <c r="I440" s="83"/>
      <c r="J440" s="83"/>
      <c r="K440" s="83"/>
      <c r="L440" s="83"/>
      <c r="M440" s="82"/>
      <c r="N440" s="82"/>
      <c r="O440" s="82"/>
      <c r="P440" s="82"/>
      <c r="Q440" s="82"/>
      <c r="R440" s="82"/>
      <c r="S440" s="82"/>
      <c r="T440" s="82"/>
      <c r="U440" s="32"/>
      <c r="V440" s="32"/>
      <c r="W440" s="32"/>
      <c r="X440" s="32"/>
    </row>
    <row r="441">
      <c r="A441" s="89"/>
      <c r="B441" s="89"/>
      <c r="C441" s="89"/>
      <c r="D441" s="91"/>
      <c r="E441" s="83"/>
      <c r="F441" s="83"/>
      <c r="G441" s="83"/>
      <c r="H441" s="83"/>
      <c r="I441" s="83"/>
      <c r="J441" s="83"/>
      <c r="K441" s="83"/>
      <c r="L441" s="83"/>
      <c r="M441" s="82"/>
      <c r="N441" s="82"/>
      <c r="O441" s="82"/>
      <c r="P441" s="82"/>
      <c r="Q441" s="82"/>
      <c r="R441" s="82"/>
      <c r="S441" s="82"/>
      <c r="T441" s="82"/>
      <c r="U441" s="32"/>
      <c r="V441" s="32"/>
      <c r="W441" s="32"/>
      <c r="X441" s="32"/>
    </row>
    <row r="442">
      <c r="A442" s="89"/>
      <c r="B442" s="89"/>
      <c r="C442" s="89"/>
      <c r="D442" s="91"/>
      <c r="E442" s="83"/>
      <c r="F442" s="83"/>
      <c r="G442" s="83"/>
      <c r="H442" s="83"/>
      <c r="I442" s="83"/>
      <c r="J442" s="83"/>
      <c r="K442" s="83"/>
      <c r="L442" s="83"/>
      <c r="M442" s="82"/>
      <c r="N442" s="82"/>
      <c r="O442" s="82"/>
      <c r="P442" s="82"/>
      <c r="Q442" s="82"/>
      <c r="R442" s="82"/>
      <c r="S442" s="82"/>
      <c r="T442" s="82"/>
      <c r="U442" s="32"/>
      <c r="V442" s="32"/>
      <c r="W442" s="32"/>
      <c r="X442" s="32"/>
    </row>
    <row r="443">
      <c r="A443" s="89"/>
      <c r="B443" s="89"/>
      <c r="C443" s="89"/>
      <c r="D443" s="91"/>
      <c r="E443" s="83"/>
      <c r="F443" s="83"/>
      <c r="G443" s="83"/>
      <c r="H443" s="83"/>
      <c r="I443" s="83"/>
      <c r="J443" s="83"/>
      <c r="K443" s="83"/>
      <c r="L443" s="83"/>
      <c r="M443" s="82"/>
      <c r="N443" s="82"/>
      <c r="O443" s="82"/>
      <c r="P443" s="82"/>
      <c r="Q443" s="82"/>
      <c r="R443" s="82"/>
      <c r="S443" s="82"/>
      <c r="T443" s="82"/>
      <c r="U443" s="32"/>
      <c r="V443" s="32"/>
      <c r="W443" s="32"/>
      <c r="X443" s="32"/>
    </row>
    <row r="444">
      <c r="A444" s="89"/>
      <c r="B444" s="89"/>
      <c r="C444" s="89"/>
      <c r="D444" s="91"/>
      <c r="E444" s="83"/>
      <c r="F444" s="83"/>
      <c r="G444" s="83"/>
      <c r="H444" s="83"/>
      <c r="I444" s="83"/>
      <c r="J444" s="83"/>
      <c r="K444" s="83"/>
      <c r="L444" s="83"/>
      <c r="M444" s="82"/>
      <c r="N444" s="82"/>
      <c r="O444" s="82"/>
      <c r="P444" s="82"/>
      <c r="Q444" s="82"/>
      <c r="R444" s="82"/>
      <c r="S444" s="82"/>
      <c r="T444" s="82"/>
      <c r="U444" s="32"/>
      <c r="V444" s="32"/>
      <c r="W444" s="32"/>
      <c r="X444" s="32"/>
    </row>
    <row r="445">
      <c r="A445" s="89"/>
      <c r="B445" s="89"/>
      <c r="C445" s="89"/>
      <c r="D445" s="91"/>
      <c r="E445" s="83"/>
      <c r="F445" s="83"/>
      <c r="G445" s="83"/>
      <c r="H445" s="83"/>
      <c r="I445" s="83"/>
      <c r="J445" s="83"/>
      <c r="K445" s="83"/>
      <c r="L445" s="83"/>
      <c r="M445" s="82"/>
      <c r="N445" s="82"/>
      <c r="O445" s="82"/>
      <c r="P445" s="82"/>
      <c r="Q445" s="82"/>
      <c r="R445" s="82"/>
      <c r="S445" s="82"/>
      <c r="T445" s="82"/>
      <c r="U445" s="32"/>
      <c r="V445" s="32"/>
      <c r="W445" s="32"/>
      <c r="X445" s="32"/>
    </row>
    <row r="446">
      <c r="A446" s="89"/>
      <c r="B446" s="89"/>
      <c r="C446" s="89"/>
      <c r="D446" s="91"/>
      <c r="E446" s="83"/>
      <c r="F446" s="83"/>
      <c r="G446" s="83"/>
      <c r="H446" s="83"/>
      <c r="I446" s="83"/>
      <c r="J446" s="83"/>
      <c r="K446" s="83"/>
      <c r="L446" s="83"/>
      <c r="M446" s="82"/>
      <c r="N446" s="82"/>
      <c r="O446" s="82"/>
      <c r="P446" s="82"/>
      <c r="Q446" s="82"/>
      <c r="R446" s="82"/>
      <c r="S446" s="82"/>
      <c r="T446" s="82"/>
      <c r="U446" s="32"/>
      <c r="V446" s="32"/>
      <c r="W446" s="32"/>
      <c r="X446" s="32"/>
    </row>
    <row r="447">
      <c r="A447" s="89"/>
      <c r="B447" s="89"/>
      <c r="C447" s="89"/>
      <c r="D447" s="91"/>
      <c r="E447" s="83"/>
      <c r="F447" s="83"/>
      <c r="G447" s="83"/>
      <c r="H447" s="83"/>
      <c r="I447" s="83"/>
      <c r="J447" s="83"/>
      <c r="K447" s="83"/>
      <c r="L447" s="83"/>
      <c r="M447" s="82"/>
      <c r="N447" s="82"/>
      <c r="O447" s="82"/>
      <c r="P447" s="82"/>
      <c r="Q447" s="82"/>
      <c r="R447" s="82"/>
      <c r="S447" s="82"/>
      <c r="T447" s="82"/>
      <c r="U447" s="32"/>
      <c r="V447" s="32"/>
      <c r="W447" s="32"/>
      <c r="X447" s="32"/>
    </row>
    <row r="448">
      <c r="A448" s="89"/>
      <c r="B448" s="89"/>
      <c r="C448" s="89"/>
      <c r="D448" s="91"/>
      <c r="E448" s="83"/>
      <c r="F448" s="83"/>
      <c r="G448" s="83"/>
      <c r="H448" s="83"/>
      <c r="I448" s="83"/>
      <c r="J448" s="83"/>
      <c r="K448" s="83"/>
      <c r="L448" s="83"/>
      <c r="M448" s="82"/>
      <c r="N448" s="82"/>
      <c r="O448" s="82"/>
      <c r="P448" s="82"/>
      <c r="Q448" s="82"/>
      <c r="R448" s="82"/>
      <c r="S448" s="82"/>
      <c r="T448" s="82"/>
      <c r="U448" s="32"/>
      <c r="V448" s="32"/>
      <c r="W448" s="32"/>
      <c r="X448" s="32"/>
    </row>
    <row r="449">
      <c r="A449" s="89"/>
      <c r="B449" s="89"/>
      <c r="C449" s="89"/>
      <c r="D449" s="91"/>
      <c r="E449" s="83"/>
      <c r="F449" s="83"/>
      <c r="G449" s="83"/>
      <c r="H449" s="83"/>
      <c r="I449" s="83"/>
      <c r="J449" s="83"/>
      <c r="K449" s="83"/>
      <c r="L449" s="83"/>
      <c r="M449" s="82"/>
      <c r="N449" s="82"/>
      <c r="O449" s="82"/>
      <c r="P449" s="82"/>
      <c r="Q449" s="82"/>
      <c r="R449" s="82"/>
      <c r="S449" s="82"/>
      <c r="T449" s="82"/>
      <c r="U449" s="32"/>
      <c r="V449" s="32"/>
      <c r="W449" s="32"/>
      <c r="X449" s="32"/>
    </row>
    <row r="450">
      <c r="A450" s="89"/>
      <c r="B450" s="89"/>
      <c r="C450" s="89"/>
      <c r="D450" s="91"/>
      <c r="E450" s="83"/>
      <c r="F450" s="83"/>
      <c r="G450" s="83"/>
      <c r="H450" s="83"/>
      <c r="I450" s="83"/>
      <c r="J450" s="83"/>
      <c r="K450" s="83"/>
      <c r="L450" s="83"/>
      <c r="M450" s="82"/>
      <c r="N450" s="82"/>
      <c r="O450" s="82"/>
      <c r="P450" s="82"/>
      <c r="Q450" s="82"/>
      <c r="R450" s="82"/>
      <c r="S450" s="82"/>
      <c r="T450" s="82"/>
      <c r="U450" s="32"/>
      <c r="V450" s="32"/>
      <c r="W450" s="32"/>
      <c r="X450" s="32"/>
    </row>
    <row r="451">
      <c r="A451" s="89"/>
      <c r="B451" s="89"/>
      <c r="C451" s="89"/>
      <c r="D451" s="91"/>
      <c r="E451" s="83"/>
      <c r="F451" s="83"/>
      <c r="G451" s="83"/>
      <c r="H451" s="83"/>
      <c r="I451" s="83"/>
      <c r="J451" s="83"/>
      <c r="K451" s="83"/>
      <c r="L451" s="83"/>
      <c r="M451" s="82"/>
      <c r="N451" s="82"/>
      <c r="O451" s="82"/>
      <c r="P451" s="82"/>
      <c r="Q451" s="82"/>
      <c r="R451" s="82"/>
      <c r="S451" s="82"/>
      <c r="T451" s="82"/>
      <c r="U451" s="32"/>
      <c r="V451" s="32"/>
      <c r="W451" s="32"/>
      <c r="X451" s="32"/>
    </row>
    <row r="452">
      <c r="A452" s="89"/>
      <c r="B452" s="89"/>
      <c r="C452" s="89"/>
      <c r="D452" s="91"/>
      <c r="E452" s="83"/>
      <c r="F452" s="83"/>
      <c r="G452" s="83"/>
      <c r="H452" s="83"/>
      <c r="I452" s="83"/>
      <c r="J452" s="83"/>
      <c r="K452" s="83"/>
      <c r="L452" s="83"/>
      <c r="M452" s="82"/>
      <c r="N452" s="82"/>
      <c r="O452" s="82"/>
      <c r="P452" s="82"/>
      <c r="Q452" s="82"/>
      <c r="R452" s="82"/>
      <c r="S452" s="82"/>
      <c r="T452" s="82"/>
      <c r="U452" s="32"/>
      <c r="V452" s="32"/>
      <c r="W452" s="32"/>
      <c r="X452" s="32"/>
    </row>
    <row r="453">
      <c r="A453" s="89"/>
      <c r="B453" s="89"/>
      <c r="C453" s="89"/>
      <c r="D453" s="91"/>
      <c r="E453" s="83"/>
      <c r="F453" s="83"/>
      <c r="G453" s="83"/>
      <c r="H453" s="83"/>
      <c r="I453" s="83"/>
      <c r="J453" s="83"/>
      <c r="K453" s="83"/>
      <c r="L453" s="83"/>
      <c r="M453" s="82"/>
      <c r="N453" s="82"/>
      <c r="O453" s="82"/>
      <c r="P453" s="82"/>
      <c r="Q453" s="82"/>
      <c r="R453" s="82"/>
      <c r="S453" s="82"/>
      <c r="T453" s="82"/>
      <c r="U453" s="32"/>
      <c r="V453" s="32"/>
      <c r="W453" s="32"/>
      <c r="X453" s="32"/>
    </row>
    <row r="454">
      <c r="A454" s="89"/>
      <c r="B454" s="89"/>
      <c r="C454" s="89"/>
      <c r="D454" s="91"/>
      <c r="E454" s="83"/>
      <c r="F454" s="83"/>
      <c r="G454" s="83"/>
      <c r="H454" s="83"/>
      <c r="I454" s="83"/>
      <c r="J454" s="83"/>
      <c r="K454" s="83"/>
      <c r="L454" s="83"/>
      <c r="M454" s="82"/>
      <c r="N454" s="82"/>
      <c r="O454" s="82"/>
      <c r="P454" s="82"/>
      <c r="Q454" s="82"/>
      <c r="R454" s="82"/>
      <c r="S454" s="82"/>
      <c r="T454" s="82"/>
      <c r="U454" s="32"/>
      <c r="V454" s="32"/>
      <c r="W454" s="32"/>
      <c r="X454" s="32"/>
    </row>
    <row r="455">
      <c r="A455" s="89"/>
      <c r="B455" s="89"/>
      <c r="C455" s="89"/>
      <c r="D455" s="91"/>
      <c r="E455" s="83"/>
      <c r="F455" s="83"/>
      <c r="G455" s="83"/>
      <c r="H455" s="83"/>
      <c r="I455" s="83"/>
      <c r="J455" s="83"/>
      <c r="K455" s="83"/>
      <c r="L455" s="83"/>
      <c r="M455" s="82"/>
      <c r="N455" s="82"/>
      <c r="O455" s="82"/>
      <c r="P455" s="82"/>
      <c r="Q455" s="82"/>
      <c r="R455" s="82"/>
      <c r="S455" s="82"/>
      <c r="T455" s="82"/>
      <c r="U455" s="32"/>
      <c r="V455" s="32"/>
      <c r="W455" s="32"/>
      <c r="X455" s="32"/>
    </row>
    <row r="456">
      <c r="A456" s="89"/>
      <c r="B456" s="89"/>
      <c r="C456" s="89"/>
      <c r="D456" s="91"/>
      <c r="E456" s="83"/>
      <c r="F456" s="83"/>
      <c r="G456" s="83"/>
      <c r="H456" s="83"/>
      <c r="I456" s="83"/>
      <c r="J456" s="83"/>
      <c r="K456" s="83"/>
      <c r="L456" s="83"/>
      <c r="M456" s="82"/>
      <c r="N456" s="82"/>
      <c r="O456" s="82"/>
      <c r="P456" s="82"/>
      <c r="Q456" s="82"/>
      <c r="R456" s="82"/>
      <c r="S456" s="82"/>
      <c r="T456" s="82"/>
      <c r="U456" s="32"/>
      <c r="V456" s="32"/>
      <c r="W456" s="32"/>
      <c r="X456" s="32"/>
    </row>
    <row r="457">
      <c r="A457" s="89"/>
      <c r="B457" s="89"/>
      <c r="C457" s="89"/>
      <c r="D457" s="91"/>
      <c r="E457" s="83"/>
      <c r="F457" s="83"/>
      <c r="G457" s="83"/>
      <c r="H457" s="83"/>
      <c r="I457" s="83"/>
      <c r="J457" s="83"/>
      <c r="K457" s="83"/>
      <c r="L457" s="83"/>
      <c r="M457" s="82"/>
      <c r="N457" s="82"/>
      <c r="O457" s="82"/>
      <c r="P457" s="82"/>
      <c r="Q457" s="82"/>
      <c r="R457" s="82"/>
      <c r="S457" s="82"/>
      <c r="T457" s="82"/>
      <c r="U457" s="32"/>
      <c r="V457" s="32"/>
      <c r="W457" s="32"/>
      <c r="X457" s="32"/>
    </row>
    <row r="458">
      <c r="A458" s="89"/>
      <c r="B458" s="89"/>
      <c r="C458" s="89"/>
      <c r="D458" s="91"/>
      <c r="E458" s="83"/>
      <c r="F458" s="83"/>
      <c r="G458" s="83"/>
      <c r="H458" s="83"/>
      <c r="I458" s="83"/>
      <c r="J458" s="83"/>
      <c r="K458" s="83"/>
      <c r="L458" s="83"/>
      <c r="M458" s="82"/>
      <c r="N458" s="82"/>
      <c r="O458" s="82"/>
      <c r="P458" s="82"/>
      <c r="Q458" s="82"/>
      <c r="R458" s="82"/>
      <c r="S458" s="82"/>
      <c r="T458" s="82"/>
      <c r="U458" s="32"/>
      <c r="V458" s="32"/>
      <c r="W458" s="32"/>
      <c r="X458" s="32"/>
    </row>
    <row r="459">
      <c r="A459" s="89"/>
      <c r="B459" s="89"/>
      <c r="C459" s="89"/>
      <c r="D459" s="91"/>
      <c r="E459" s="83"/>
      <c r="F459" s="83"/>
      <c r="G459" s="83"/>
      <c r="H459" s="83"/>
      <c r="I459" s="83"/>
      <c r="J459" s="83"/>
      <c r="K459" s="83"/>
      <c r="L459" s="83"/>
      <c r="M459" s="82"/>
      <c r="N459" s="82"/>
      <c r="O459" s="82"/>
      <c r="P459" s="82"/>
      <c r="Q459" s="82"/>
      <c r="R459" s="82"/>
      <c r="S459" s="82"/>
      <c r="T459" s="82"/>
      <c r="U459" s="32"/>
      <c r="V459" s="32"/>
      <c r="W459" s="32"/>
      <c r="X459" s="32"/>
    </row>
    <row r="460">
      <c r="A460" s="89"/>
      <c r="B460" s="89"/>
      <c r="C460" s="89"/>
      <c r="D460" s="91"/>
      <c r="E460" s="83"/>
      <c r="F460" s="83"/>
      <c r="G460" s="83"/>
      <c r="H460" s="83"/>
      <c r="I460" s="83"/>
      <c r="J460" s="83"/>
      <c r="K460" s="83"/>
      <c r="L460" s="83"/>
      <c r="M460" s="82"/>
      <c r="N460" s="82"/>
      <c r="O460" s="82"/>
      <c r="P460" s="82"/>
      <c r="Q460" s="82"/>
      <c r="R460" s="82"/>
      <c r="S460" s="82"/>
      <c r="T460" s="82"/>
      <c r="U460" s="32"/>
      <c r="V460" s="32"/>
      <c r="W460" s="32"/>
      <c r="X460" s="32"/>
    </row>
    <row r="461">
      <c r="A461" s="89"/>
      <c r="B461" s="89"/>
      <c r="C461" s="89"/>
      <c r="D461" s="91"/>
      <c r="E461" s="83"/>
      <c r="F461" s="83"/>
      <c r="G461" s="83"/>
      <c r="H461" s="83"/>
      <c r="I461" s="83"/>
      <c r="J461" s="83"/>
      <c r="K461" s="83"/>
      <c r="L461" s="83"/>
      <c r="M461" s="82"/>
      <c r="N461" s="82"/>
      <c r="O461" s="82"/>
      <c r="P461" s="82"/>
      <c r="Q461" s="82"/>
      <c r="R461" s="82"/>
      <c r="S461" s="82"/>
      <c r="T461" s="82"/>
      <c r="U461" s="32"/>
      <c r="V461" s="32"/>
      <c r="W461" s="32"/>
      <c r="X461" s="32"/>
    </row>
    <row r="462">
      <c r="A462" s="89"/>
      <c r="B462" s="89"/>
      <c r="C462" s="89"/>
      <c r="D462" s="91"/>
      <c r="E462" s="83"/>
      <c r="F462" s="83"/>
      <c r="G462" s="83"/>
      <c r="H462" s="83"/>
      <c r="I462" s="83"/>
      <c r="J462" s="83"/>
      <c r="K462" s="83"/>
      <c r="L462" s="83"/>
      <c r="M462" s="82"/>
      <c r="N462" s="82"/>
      <c r="O462" s="82"/>
      <c r="P462" s="82"/>
      <c r="Q462" s="82"/>
      <c r="R462" s="82"/>
      <c r="S462" s="82"/>
      <c r="T462" s="82"/>
      <c r="U462" s="32"/>
      <c r="V462" s="32"/>
      <c r="W462" s="32"/>
      <c r="X462" s="32"/>
    </row>
    <row r="463">
      <c r="A463" s="89"/>
      <c r="B463" s="89"/>
      <c r="C463" s="89"/>
      <c r="D463" s="91"/>
      <c r="E463" s="83"/>
      <c r="F463" s="83"/>
      <c r="G463" s="83"/>
      <c r="H463" s="83"/>
      <c r="I463" s="83"/>
      <c r="J463" s="83"/>
      <c r="K463" s="83"/>
      <c r="L463" s="83"/>
      <c r="M463" s="82"/>
      <c r="N463" s="82"/>
      <c r="O463" s="82"/>
      <c r="P463" s="82"/>
      <c r="Q463" s="82"/>
      <c r="R463" s="82"/>
      <c r="S463" s="82"/>
      <c r="T463" s="82"/>
      <c r="U463" s="32"/>
      <c r="V463" s="32"/>
      <c r="W463" s="32"/>
      <c r="X463" s="32"/>
    </row>
    <row r="464">
      <c r="A464" s="89"/>
      <c r="B464" s="89"/>
      <c r="C464" s="89"/>
      <c r="D464" s="91"/>
      <c r="E464" s="83"/>
      <c r="F464" s="83"/>
      <c r="G464" s="83"/>
      <c r="H464" s="83"/>
      <c r="I464" s="83"/>
      <c r="J464" s="83"/>
      <c r="K464" s="83"/>
      <c r="L464" s="83"/>
      <c r="M464" s="82"/>
      <c r="N464" s="82"/>
      <c r="O464" s="82"/>
      <c r="P464" s="82"/>
      <c r="Q464" s="82"/>
      <c r="R464" s="82"/>
      <c r="S464" s="82"/>
      <c r="T464" s="82"/>
      <c r="U464" s="32"/>
      <c r="V464" s="32"/>
      <c r="W464" s="32"/>
      <c r="X464" s="32"/>
    </row>
    <row r="465">
      <c r="A465" s="89"/>
      <c r="B465" s="89"/>
      <c r="C465" s="89"/>
      <c r="D465" s="91"/>
      <c r="E465" s="83"/>
      <c r="F465" s="83"/>
      <c r="G465" s="83"/>
      <c r="H465" s="83"/>
      <c r="I465" s="83"/>
      <c r="J465" s="83"/>
      <c r="K465" s="83"/>
      <c r="L465" s="83"/>
      <c r="M465" s="82"/>
      <c r="N465" s="82"/>
      <c r="O465" s="82"/>
      <c r="P465" s="82"/>
      <c r="Q465" s="82"/>
      <c r="R465" s="82"/>
      <c r="S465" s="82"/>
      <c r="T465" s="82"/>
      <c r="U465" s="32"/>
      <c r="V465" s="32"/>
      <c r="W465" s="32"/>
      <c r="X465" s="32"/>
    </row>
    <row r="466">
      <c r="A466" s="89"/>
      <c r="B466" s="89"/>
      <c r="C466" s="89"/>
      <c r="D466" s="91"/>
      <c r="E466" s="83"/>
      <c r="F466" s="83"/>
      <c r="G466" s="83"/>
      <c r="H466" s="83"/>
      <c r="I466" s="83"/>
      <c r="J466" s="83"/>
      <c r="K466" s="83"/>
      <c r="L466" s="83"/>
      <c r="M466" s="82"/>
      <c r="N466" s="82"/>
      <c r="O466" s="82"/>
      <c r="P466" s="82"/>
      <c r="Q466" s="82"/>
      <c r="R466" s="82"/>
      <c r="S466" s="82"/>
      <c r="T466" s="82"/>
      <c r="U466" s="32"/>
      <c r="V466" s="32"/>
      <c r="W466" s="32"/>
      <c r="X466" s="32"/>
    </row>
    <row r="467">
      <c r="A467" s="89"/>
      <c r="B467" s="89"/>
      <c r="C467" s="89"/>
      <c r="D467" s="91"/>
      <c r="E467" s="83"/>
      <c r="F467" s="83"/>
      <c r="G467" s="83"/>
      <c r="H467" s="83"/>
      <c r="I467" s="83"/>
      <c r="J467" s="83"/>
      <c r="K467" s="83"/>
      <c r="L467" s="83"/>
      <c r="M467" s="82"/>
      <c r="N467" s="82"/>
      <c r="O467" s="82"/>
      <c r="P467" s="82"/>
      <c r="Q467" s="82"/>
      <c r="R467" s="82"/>
      <c r="S467" s="82"/>
      <c r="T467" s="82"/>
      <c r="U467" s="32"/>
      <c r="V467" s="32"/>
      <c r="W467" s="32"/>
      <c r="X467" s="32"/>
    </row>
    <row r="468">
      <c r="A468" s="89"/>
      <c r="B468" s="89"/>
      <c r="C468" s="89"/>
      <c r="D468" s="91"/>
      <c r="E468" s="83"/>
      <c r="F468" s="83"/>
      <c r="G468" s="83"/>
      <c r="H468" s="83"/>
      <c r="I468" s="83"/>
      <c r="J468" s="83"/>
      <c r="K468" s="83"/>
      <c r="L468" s="83"/>
      <c r="M468" s="82"/>
      <c r="N468" s="82"/>
      <c r="O468" s="82"/>
      <c r="P468" s="82"/>
      <c r="Q468" s="82"/>
      <c r="R468" s="82"/>
      <c r="S468" s="82"/>
      <c r="T468" s="82"/>
      <c r="U468" s="32"/>
      <c r="V468" s="32"/>
      <c r="W468" s="32"/>
      <c r="X468" s="32"/>
    </row>
    <row r="469">
      <c r="A469" s="89"/>
      <c r="B469" s="89"/>
      <c r="C469" s="89"/>
      <c r="D469" s="91"/>
      <c r="E469" s="83"/>
      <c r="F469" s="83"/>
      <c r="G469" s="83"/>
      <c r="H469" s="83"/>
      <c r="I469" s="83"/>
      <c r="J469" s="83"/>
      <c r="K469" s="83"/>
      <c r="L469" s="83"/>
      <c r="M469" s="82"/>
      <c r="N469" s="82"/>
      <c r="O469" s="82"/>
      <c r="P469" s="82"/>
      <c r="Q469" s="82"/>
      <c r="R469" s="82"/>
      <c r="S469" s="82"/>
      <c r="T469" s="82"/>
      <c r="U469" s="32"/>
      <c r="V469" s="32"/>
      <c r="W469" s="32"/>
      <c r="X469" s="32"/>
    </row>
    <row r="470">
      <c r="A470" s="89"/>
      <c r="B470" s="89"/>
      <c r="C470" s="89"/>
      <c r="D470" s="91"/>
      <c r="E470" s="83"/>
      <c r="F470" s="83"/>
      <c r="G470" s="83"/>
      <c r="H470" s="83"/>
      <c r="I470" s="83"/>
      <c r="J470" s="83"/>
      <c r="K470" s="83"/>
      <c r="L470" s="83"/>
      <c r="M470" s="82"/>
      <c r="N470" s="82"/>
      <c r="O470" s="82"/>
      <c r="P470" s="82"/>
      <c r="Q470" s="82"/>
      <c r="R470" s="82"/>
      <c r="S470" s="82"/>
      <c r="T470" s="82"/>
      <c r="U470" s="32"/>
      <c r="V470" s="32"/>
      <c r="W470" s="32"/>
      <c r="X470" s="32"/>
    </row>
    <row r="471">
      <c r="A471" s="89"/>
      <c r="B471" s="89"/>
      <c r="C471" s="89"/>
      <c r="D471" s="91"/>
      <c r="E471" s="83"/>
      <c r="F471" s="83"/>
      <c r="G471" s="83"/>
      <c r="H471" s="83"/>
      <c r="I471" s="83"/>
      <c r="J471" s="83"/>
      <c r="K471" s="83"/>
      <c r="L471" s="83"/>
      <c r="M471" s="82"/>
      <c r="N471" s="82"/>
      <c r="O471" s="82"/>
      <c r="P471" s="82"/>
      <c r="Q471" s="82"/>
      <c r="R471" s="82"/>
      <c r="S471" s="82"/>
      <c r="T471" s="82"/>
      <c r="U471" s="32"/>
      <c r="V471" s="32"/>
      <c r="W471" s="32"/>
      <c r="X471" s="32"/>
    </row>
    <row r="472">
      <c r="A472" s="89"/>
      <c r="B472" s="89"/>
      <c r="C472" s="89"/>
      <c r="D472" s="91"/>
      <c r="E472" s="83"/>
      <c r="F472" s="83"/>
      <c r="G472" s="83"/>
      <c r="H472" s="83"/>
      <c r="I472" s="83"/>
      <c r="J472" s="83"/>
      <c r="K472" s="83"/>
      <c r="L472" s="83"/>
      <c r="M472" s="82"/>
      <c r="N472" s="82"/>
      <c r="O472" s="82"/>
      <c r="P472" s="82"/>
      <c r="Q472" s="82"/>
      <c r="R472" s="82"/>
      <c r="S472" s="82"/>
      <c r="T472" s="82"/>
      <c r="U472" s="32"/>
      <c r="V472" s="32"/>
      <c r="W472" s="32"/>
      <c r="X472" s="32"/>
    </row>
    <row r="473">
      <c r="A473" s="89"/>
      <c r="B473" s="89"/>
      <c r="C473" s="89"/>
      <c r="D473" s="91"/>
      <c r="E473" s="83"/>
      <c r="F473" s="83"/>
      <c r="G473" s="83"/>
      <c r="H473" s="83"/>
      <c r="I473" s="83"/>
      <c r="J473" s="83"/>
      <c r="K473" s="83"/>
      <c r="L473" s="83"/>
      <c r="M473" s="82"/>
      <c r="N473" s="82"/>
      <c r="O473" s="82"/>
      <c r="P473" s="82"/>
      <c r="Q473" s="82"/>
      <c r="R473" s="82"/>
      <c r="S473" s="82"/>
      <c r="T473" s="82"/>
      <c r="U473" s="32"/>
      <c r="V473" s="32"/>
      <c r="W473" s="32"/>
      <c r="X473" s="32"/>
    </row>
    <row r="474">
      <c r="A474" s="89"/>
      <c r="B474" s="89"/>
      <c r="C474" s="89"/>
      <c r="D474" s="91"/>
      <c r="E474" s="83"/>
      <c r="F474" s="83"/>
      <c r="G474" s="83"/>
      <c r="H474" s="83"/>
      <c r="I474" s="83"/>
      <c r="J474" s="83"/>
      <c r="K474" s="83"/>
      <c r="L474" s="83"/>
      <c r="M474" s="82"/>
      <c r="N474" s="82"/>
      <c r="O474" s="82"/>
      <c r="P474" s="82"/>
      <c r="Q474" s="82"/>
      <c r="R474" s="82"/>
      <c r="S474" s="82"/>
      <c r="T474" s="82"/>
      <c r="U474" s="32"/>
      <c r="V474" s="32"/>
      <c r="W474" s="32"/>
      <c r="X474" s="32"/>
    </row>
    <row r="475">
      <c r="A475" s="89"/>
      <c r="B475" s="89"/>
      <c r="C475" s="89"/>
      <c r="D475" s="91"/>
      <c r="E475" s="83"/>
      <c r="F475" s="83"/>
      <c r="G475" s="83"/>
      <c r="H475" s="83"/>
      <c r="I475" s="83"/>
      <c r="J475" s="83"/>
      <c r="K475" s="83"/>
      <c r="L475" s="83"/>
      <c r="M475" s="82"/>
      <c r="N475" s="82"/>
      <c r="O475" s="82"/>
      <c r="P475" s="82"/>
      <c r="Q475" s="82"/>
      <c r="R475" s="82"/>
      <c r="S475" s="82"/>
      <c r="T475" s="82"/>
      <c r="U475" s="32"/>
      <c r="V475" s="32"/>
      <c r="W475" s="32"/>
      <c r="X475" s="32"/>
    </row>
    <row r="476">
      <c r="A476" s="89"/>
      <c r="B476" s="89"/>
      <c r="C476" s="89"/>
      <c r="D476" s="91"/>
      <c r="E476" s="83"/>
      <c r="F476" s="83"/>
      <c r="G476" s="83"/>
      <c r="H476" s="83"/>
      <c r="I476" s="83"/>
      <c r="J476" s="83"/>
      <c r="K476" s="83"/>
      <c r="L476" s="83"/>
      <c r="M476" s="82"/>
      <c r="N476" s="82"/>
      <c r="O476" s="82"/>
      <c r="P476" s="82"/>
      <c r="Q476" s="82"/>
      <c r="R476" s="82"/>
      <c r="S476" s="82"/>
      <c r="T476" s="82"/>
      <c r="U476" s="32"/>
      <c r="V476" s="32"/>
      <c r="W476" s="32"/>
      <c r="X476" s="32"/>
    </row>
    <row r="477">
      <c r="A477" s="89"/>
      <c r="B477" s="89"/>
      <c r="C477" s="89"/>
      <c r="D477" s="91"/>
      <c r="E477" s="83"/>
      <c r="F477" s="83"/>
      <c r="G477" s="83"/>
      <c r="H477" s="83"/>
      <c r="I477" s="83"/>
      <c r="J477" s="83"/>
      <c r="K477" s="83"/>
      <c r="L477" s="83"/>
      <c r="M477" s="82"/>
      <c r="N477" s="82"/>
      <c r="O477" s="82"/>
      <c r="P477" s="82"/>
      <c r="Q477" s="82"/>
      <c r="R477" s="82"/>
      <c r="S477" s="82"/>
      <c r="T477" s="82"/>
      <c r="U477" s="32"/>
      <c r="V477" s="32"/>
      <c r="W477" s="32"/>
      <c r="X477" s="32"/>
    </row>
    <row r="478">
      <c r="A478" s="89"/>
      <c r="B478" s="89"/>
      <c r="C478" s="89"/>
      <c r="D478" s="91"/>
      <c r="E478" s="83"/>
      <c r="F478" s="83"/>
      <c r="G478" s="83"/>
      <c r="H478" s="83"/>
      <c r="I478" s="83"/>
      <c r="J478" s="83"/>
      <c r="K478" s="83"/>
      <c r="L478" s="83"/>
      <c r="M478" s="82"/>
      <c r="N478" s="82"/>
      <c r="O478" s="82"/>
      <c r="P478" s="82"/>
      <c r="Q478" s="82"/>
      <c r="R478" s="82"/>
      <c r="S478" s="82"/>
      <c r="T478" s="82"/>
      <c r="U478" s="32"/>
      <c r="V478" s="32"/>
      <c r="W478" s="32"/>
      <c r="X478" s="32"/>
    </row>
    <row r="479">
      <c r="A479" s="89"/>
      <c r="B479" s="89"/>
      <c r="C479" s="89"/>
      <c r="D479" s="91"/>
      <c r="E479" s="83"/>
      <c r="F479" s="83"/>
      <c r="G479" s="83"/>
      <c r="H479" s="83"/>
      <c r="I479" s="83"/>
      <c r="J479" s="83"/>
      <c r="K479" s="83"/>
      <c r="L479" s="83"/>
      <c r="M479" s="82"/>
      <c r="N479" s="82"/>
      <c r="O479" s="82"/>
      <c r="P479" s="82"/>
      <c r="Q479" s="82"/>
      <c r="R479" s="82"/>
      <c r="S479" s="82"/>
      <c r="T479" s="82"/>
      <c r="U479" s="32"/>
      <c r="V479" s="32"/>
      <c r="W479" s="32"/>
      <c r="X479" s="32"/>
    </row>
    <row r="480">
      <c r="A480" s="89"/>
      <c r="B480" s="89"/>
      <c r="C480" s="89"/>
      <c r="D480" s="91"/>
      <c r="E480" s="83"/>
      <c r="F480" s="83"/>
      <c r="G480" s="83"/>
      <c r="H480" s="83"/>
      <c r="I480" s="83"/>
      <c r="J480" s="83"/>
      <c r="K480" s="83"/>
      <c r="L480" s="83"/>
      <c r="M480" s="82"/>
      <c r="N480" s="82"/>
      <c r="O480" s="82"/>
      <c r="P480" s="82"/>
      <c r="Q480" s="82"/>
      <c r="R480" s="82"/>
      <c r="S480" s="82"/>
      <c r="T480" s="82"/>
      <c r="U480" s="32"/>
      <c r="V480" s="32"/>
      <c r="W480" s="32"/>
      <c r="X480" s="32"/>
    </row>
    <row r="481">
      <c r="A481" s="89"/>
      <c r="B481" s="89"/>
      <c r="C481" s="89"/>
      <c r="D481" s="91"/>
      <c r="E481" s="83"/>
      <c r="F481" s="83"/>
      <c r="G481" s="83"/>
      <c r="H481" s="83"/>
      <c r="I481" s="83"/>
      <c r="J481" s="83"/>
      <c r="K481" s="83"/>
      <c r="L481" s="83"/>
      <c r="M481" s="82"/>
      <c r="N481" s="82"/>
      <c r="O481" s="82"/>
      <c r="P481" s="82"/>
      <c r="Q481" s="82"/>
      <c r="R481" s="82"/>
      <c r="S481" s="82"/>
      <c r="T481" s="82"/>
      <c r="U481" s="32"/>
      <c r="V481" s="32"/>
      <c r="W481" s="32"/>
      <c r="X481" s="32"/>
    </row>
    <row r="482">
      <c r="A482" s="89"/>
      <c r="B482" s="89"/>
      <c r="C482" s="89"/>
      <c r="D482" s="91"/>
      <c r="E482" s="83"/>
      <c r="F482" s="83"/>
      <c r="G482" s="83"/>
      <c r="H482" s="83"/>
      <c r="I482" s="83"/>
      <c r="J482" s="83"/>
      <c r="K482" s="83"/>
      <c r="L482" s="83"/>
      <c r="M482" s="82"/>
      <c r="N482" s="82"/>
      <c r="O482" s="82"/>
      <c r="P482" s="82"/>
      <c r="Q482" s="82"/>
      <c r="R482" s="82"/>
      <c r="S482" s="82"/>
      <c r="T482" s="82"/>
      <c r="U482" s="32"/>
      <c r="V482" s="32"/>
      <c r="W482" s="32"/>
      <c r="X482" s="32"/>
    </row>
    <row r="483">
      <c r="A483" s="89"/>
      <c r="B483" s="89"/>
      <c r="C483" s="89"/>
      <c r="D483" s="91"/>
      <c r="E483" s="83"/>
      <c r="F483" s="83"/>
      <c r="G483" s="83"/>
      <c r="H483" s="83"/>
      <c r="I483" s="83"/>
      <c r="J483" s="83"/>
      <c r="K483" s="83"/>
      <c r="L483" s="83"/>
      <c r="M483" s="82"/>
      <c r="N483" s="82"/>
      <c r="O483" s="82"/>
      <c r="P483" s="82"/>
      <c r="Q483" s="82"/>
      <c r="R483" s="82"/>
      <c r="S483" s="82"/>
      <c r="T483" s="82"/>
      <c r="U483" s="32"/>
      <c r="V483" s="32"/>
      <c r="W483" s="32"/>
      <c r="X483" s="32"/>
    </row>
    <row r="484">
      <c r="A484" s="89"/>
      <c r="B484" s="89"/>
      <c r="C484" s="89"/>
      <c r="D484" s="91"/>
      <c r="E484" s="83"/>
      <c r="F484" s="83"/>
      <c r="G484" s="83"/>
      <c r="H484" s="83"/>
      <c r="I484" s="83"/>
      <c r="J484" s="83"/>
      <c r="K484" s="83"/>
      <c r="L484" s="83"/>
      <c r="M484" s="82"/>
      <c r="N484" s="82"/>
      <c r="O484" s="82"/>
      <c r="P484" s="82"/>
      <c r="Q484" s="82"/>
      <c r="R484" s="82"/>
      <c r="S484" s="82"/>
      <c r="T484" s="82"/>
      <c r="U484" s="32"/>
      <c r="V484" s="32"/>
      <c r="W484" s="32"/>
      <c r="X484" s="32"/>
    </row>
    <row r="485">
      <c r="A485" s="89"/>
      <c r="B485" s="89"/>
      <c r="C485" s="89"/>
      <c r="D485" s="91"/>
      <c r="E485" s="83"/>
      <c r="F485" s="83"/>
      <c r="G485" s="83"/>
      <c r="H485" s="83"/>
      <c r="I485" s="83"/>
      <c r="J485" s="83"/>
      <c r="K485" s="83"/>
      <c r="L485" s="83"/>
      <c r="M485" s="82"/>
      <c r="N485" s="82"/>
      <c r="O485" s="82"/>
      <c r="P485" s="82"/>
      <c r="Q485" s="82"/>
      <c r="R485" s="82"/>
      <c r="S485" s="82"/>
      <c r="T485" s="82"/>
      <c r="U485" s="32"/>
      <c r="V485" s="32"/>
      <c r="W485" s="32"/>
      <c r="X485" s="32"/>
    </row>
    <row r="486">
      <c r="A486" s="89"/>
      <c r="B486" s="89"/>
      <c r="C486" s="89"/>
      <c r="D486" s="91"/>
      <c r="E486" s="83"/>
      <c r="F486" s="83"/>
      <c r="G486" s="83"/>
      <c r="H486" s="83"/>
      <c r="I486" s="83"/>
      <c r="J486" s="83"/>
      <c r="K486" s="83"/>
      <c r="L486" s="83"/>
      <c r="M486" s="82"/>
      <c r="N486" s="82"/>
      <c r="O486" s="82"/>
      <c r="P486" s="82"/>
      <c r="Q486" s="82"/>
      <c r="R486" s="82"/>
      <c r="S486" s="82"/>
      <c r="T486" s="82"/>
      <c r="U486" s="32"/>
      <c r="V486" s="32"/>
      <c r="W486" s="32"/>
      <c r="X486" s="32"/>
    </row>
    <row r="487">
      <c r="A487" s="89"/>
      <c r="B487" s="89"/>
      <c r="C487" s="89"/>
      <c r="D487" s="91"/>
      <c r="E487" s="83"/>
      <c r="F487" s="83"/>
      <c r="G487" s="83"/>
      <c r="H487" s="83"/>
      <c r="I487" s="83"/>
      <c r="J487" s="83"/>
      <c r="K487" s="83"/>
      <c r="L487" s="83"/>
      <c r="M487" s="82"/>
      <c r="N487" s="82"/>
      <c r="O487" s="82"/>
      <c r="P487" s="82"/>
      <c r="Q487" s="82"/>
      <c r="R487" s="82"/>
      <c r="S487" s="82"/>
      <c r="T487" s="82"/>
      <c r="U487" s="32"/>
      <c r="V487" s="32"/>
      <c r="W487" s="32"/>
      <c r="X487" s="32"/>
    </row>
    <row r="488">
      <c r="A488" s="89"/>
      <c r="B488" s="89"/>
      <c r="C488" s="89"/>
      <c r="D488" s="91"/>
      <c r="E488" s="83"/>
      <c r="F488" s="83"/>
      <c r="G488" s="83"/>
      <c r="H488" s="83"/>
      <c r="I488" s="83"/>
      <c r="J488" s="83"/>
      <c r="K488" s="83"/>
      <c r="L488" s="83"/>
      <c r="M488" s="82"/>
      <c r="N488" s="82"/>
      <c r="O488" s="82"/>
      <c r="P488" s="82"/>
      <c r="Q488" s="82"/>
      <c r="R488" s="82"/>
      <c r="S488" s="82"/>
      <c r="T488" s="82"/>
      <c r="U488" s="32"/>
      <c r="V488" s="32"/>
      <c r="W488" s="32"/>
      <c r="X488" s="32"/>
    </row>
    <row r="489">
      <c r="A489" s="89"/>
      <c r="B489" s="89"/>
      <c r="C489" s="89"/>
      <c r="D489" s="91"/>
      <c r="E489" s="83"/>
      <c r="F489" s="83"/>
      <c r="G489" s="83"/>
      <c r="H489" s="83"/>
      <c r="I489" s="83"/>
      <c r="J489" s="83"/>
      <c r="K489" s="83"/>
      <c r="L489" s="83"/>
      <c r="M489" s="82"/>
      <c r="N489" s="82"/>
      <c r="O489" s="82"/>
      <c r="P489" s="82"/>
      <c r="Q489" s="82"/>
      <c r="R489" s="82"/>
      <c r="S489" s="82"/>
      <c r="T489" s="82"/>
      <c r="U489" s="32"/>
      <c r="V489" s="32"/>
      <c r="W489" s="32"/>
      <c r="X489" s="32"/>
    </row>
    <row r="490">
      <c r="A490" s="89"/>
      <c r="B490" s="89"/>
      <c r="C490" s="89"/>
      <c r="D490" s="91"/>
      <c r="E490" s="83"/>
      <c r="F490" s="83"/>
      <c r="G490" s="83"/>
      <c r="H490" s="83"/>
      <c r="I490" s="83"/>
      <c r="J490" s="83"/>
      <c r="K490" s="83"/>
      <c r="L490" s="83"/>
      <c r="M490" s="82"/>
      <c r="N490" s="82"/>
      <c r="O490" s="82"/>
      <c r="P490" s="82"/>
      <c r="Q490" s="82"/>
      <c r="R490" s="82"/>
      <c r="S490" s="82"/>
      <c r="T490" s="82"/>
      <c r="U490" s="32"/>
      <c r="V490" s="32"/>
      <c r="W490" s="32"/>
      <c r="X490" s="32"/>
    </row>
    <row r="491">
      <c r="A491" s="89"/>
      <c r="B491" s="89"/>
      <c r="C491" s="89"/>
      <c r="D491" s="91"/>
      <c r="E491" s="83"/>
      <c r="F491" s="83"/>
      <c r="G491" s="83"/>
      <c r="H491" s="83"/>
      <c r="I491" s="83"/>
      <c r="J491" s="83"/>
      <c r="K491" s="83"/>
      <c r="L491" s="83"/>
      <c r="M491" s="82"/>
      <c r="N491" s="82"/>
      <c r="O491" s="82"/>
      <c r="P491" s="82"/>
      <c r="Q491" s="82"/>
      <c r="R491" s="82"/>
      <c r="S491" s="82"/>
      <c r="T491" s="82"/>
      <c r="U491" s="32"/>
      <c r="V491" s="32"/>
      <c r="W491" s="32"/>
      <c r="X491" s="32"/>
    </row>
    <row r="492">
      <c r="A492" s="89"/>
      <c r="B492" s="89"/>
      <c r="C492" s="89"/>
      <c r="D492" s="91"/>
      <c r="E492" s="83"/>
      <c r="F492" s="83"/>
      <c r="G492" s="83"/>
      <c r="H492" s="83"/>
      <c r="I492" s="83"/>
      <c r="J492" s="83"/>
      <c r="K492" s="83"/>
      <c r="L492" s="83"/>
      <c r="M492" s="82"/>
      <c r="N492" s="82"/>
      <c r="O492" s="82"/>
      <c r="P492" s="82"/>
      <c r="Q492" s="82"/>
      <c r="R492" s="82"/>
      <c r="S492" s="82"/>
      <c r="T492" s="82"/>
      <c r="U492" s="32"/>
      <c r="V492" s="32"/>
      <c r="W492" s="32"/>
      <c r="X492" s="32"/>
    </row>
    <row r="493">
      <c r="A493" s="89"/>
      <c r="B493" s="89"/>
      <c r="C493" s="89"/>
      <c r="D493" s="91"/>
      <c r="E493" s="83"/>
      <c r="F493" s="83"/>
      <c r="G493" s="83"/>
      <c r="H493" s="83"/>
      <c r="I493" s="83"/>
      <c r="J493" s="83"/>
      <c r="K493" s="83"/>
      <c r="L493" s="83"/>
      <c r="M493" s="82"/>
      <c r="N493" s="82"/>
      <c r="O493" s="82"/>
      <c r="P493" s="82"/>
      <c r="Q493" s="82"/>
      <c r="R493" s="82"/>
      <c r="S493" s="82"/>
      <c r="T493" s="82"/>
      <c r="U493" s="32"/>
      <c r="V493" s="32"/>
      <c r="W493" s="32"/>
      <c r="X493" s="32"/>
    </row>
    <row r="494">
      <c r="A494" s="89"/>
      <c r="B494" s="89"/>
      <c r="C494" s="89"/>
      <c r="D494" s="91"/>
      <c r="E494" s="83"/>
      <c r="F494" s="83"/>
      <c r="G494" s="83"/>
      <c r="H494" s="83"/>
      <c r="I494" s="83"/>
      <c r="J494" s="83"/>
      <c r="K494" s="83"/>
      <c r="L494" s="83"/>
      <c r="M494" s="82"/>
      <c r="N494" s="82"/>
      <c r="O494" s="82"/>
      <c r="P494" s="82"/>
      <c r="Q494" s="82"/>
      <c r="R494" s="82"/>
      <c r="S494" s="82"/>
      <c r="T494" s="82"/>
      <c r="U494" s="32"/>
      <c r="V494" s="32"/>
      <c r="W494" s="32"/>
      <c r="X494" s="32"/>
    </row>
    <row r="495">
      <c r="A495" s="89"/>
      <c r="B495" s="89"/>
      <c r="C495" s="89"/>
      <c r="D495" s="91"/>
      <c r="E495" s="83"/>
      <c r="F495" s="83"/>
      <c r="G495" s="83"/>
      <c r="H495" s="83"/>
      <c r="I495" s="83"/>
      <c r="J495" s="83"/>
      <c r="K495" s="83"/>
      <c r="L495" s="83"/>
      <c r="M495" s="82"/>
      <c r="N495" s="82"/>
      <c r="O495" s="82"/>
      <c r="P495" s="82"/>
      <c r="Q495" s="82"/>
      <c r="R495" s="82"/>
      <c r="S495" s="82"/>
      <c r="T495" s="82"/>
      <c r="U495" s="32"/>
      <c r="V495" s="32"/>
      <c r="W495" s="32"/>
      <c r="X495" s="32"/>
    </row>
    <row r="496">
      <c r="A496" s="89"/>
      <c r="B496" s="89"/>
      <c r="C496" s="89"/>
      <c r="D496" s="91"/>
      <c r="E496" s="83"/>
      <c r="F496" s="83"/>
      <c r="G496" s="83"/>
      <c r="H496" s="83"/>
      <c r="I496" s="83"/>
      <c r="J496" s="83"/>
      <c r="K496" s="83"/>
      <c r="L496" s="83"/>
      <c r="M496" s="82"/>
      <c r="N496" s="82"/>
      <c r="O496" s="82"/>
      <c r="P496" s="82"/>
      <c r="Q496" s="82"/>
      <c r="R496" s="82"/>
      <c r="S496" s="82"/>
      <c r="T496" s="82"/>
      <c r="U496" s="32"/>
      <c r="V496" s="32"/>
      <c r="W496" s="32"/>
      <c r="X496" s="32"/>
    </row>
    <row r="497">
      <c r="A497" s="89"/>
      <c r="B497" s="89"/>
      <c r="C497" s="89"/>
      <c r="D497" s="91"/>
      <c r="E497" s="83"/>
      <c r="F497" s="83"/>
      <c r="G497" s="83"/>
      <c r="H497" s="83"/>
      <c r="I497" s="83"/>
      <c r="J497" s="83"/>
      <c r="K497" s="83"/>
      <c r="L497" s="83"/>
      <c r="M497" s="82"/>
      <c r="N497" s="82"/>
      <c r="O497" s="82"/>
      <c r="P497" s="82"/>
      <c r="Q497" s="82"/>
      <c r="R497" s="82"/>
      <c r="S497" s="82"/>
      <c r="T497" s="82"/>
      <c r="U497" s="32"/>
      <c r="V497" s="32"/>
      <c r="W497" s="32"/>
      <c r="X497" s="32"/>
    </row>
    <row r="498">
      <c r="A498" s="89"/>
      <c r="B498" s="89"/>
      <c r="C498" s="89"/>
      <c r="D498" s="91"/>
      <c r="E498" s="83"/>
      <c r="F498" s="83"/>
      <c r="G498" s="83"/>
      <c r="H498" s="83"/>
      <c r="I498" s="83"/>
      <c r="J498" s="83"/>
      <c r="K498" s="83"/>
      <c r="L498" s="83"/>
      <c r="M498" s="82"/>
      <c r="N498" s="82"/>
      <c r="O498" s="82"/>
      <c r="P498" s="82"/>
      <c r="Q498" s="82"/>
      <c r="R498" s="82"/>
      <c r="S498" s="82"/>
      <c r="T498" s="82"/>
      <c r="U498" s="32"/>
      <c r="V498" s="32"/>
      <c r="W498" s="32"/>
      <c r="X498" s="32"/>
    </row>
    <row r="499">
      <c r="A499" s="89"/>
      <c r="B499" s="89"/>
      <c r="C499" s="89"/>
      <c r="D499" s="91"/>
      <c r="E499" s="83"/>
      <c r="F499" s="83"/>
      <c r="G499" s="83"/>
      <c r="H499" s="83"/>
      <c r="I499" s="83"/>
      <c r="J499" s="83"/>
      <c r="K499" s="83"/>
      <c r="L499" s="83"/>
      <c r="M499" s="82"/>
      <c r="N499" s="82"/>
      <c r="O499" s="82"/>
      <c r="P499" s="82"/>
      <c r="Q499" s="82"/>
      <c r="R499" s="82"/>
      <c r="S499" s="82"/>
      <c r="T499" s="82"/>
      <c r="U499" s="32"/>
      <c r="V499" s="32"/>
      <c r="W499" s="32"/>
      <c r="X499" s="32"/>
    </row>
    <row r="500">
      <c r="A500" s="89"/>
      <c r="B500" s="89"/>
      <c r="C500" s="89"/>
      <c r="D500" s="91"/>
      <c r="E500" s="83"/>
      <c r="F500" s="83"/>
      <c r="G500" s="83"/>
      <c r="H500" s="83"/>
      <c r="I500" s="83"/>
      <c r="J500" s="83"/>
      <c r="K500" s="83"/>
      <c r="L500" s="83"/>
      <c r="M500" s="82"/>
      <c r="N500" s="82"/>
      <c r="O500" s="82"/>
      <c r="P500" s="82"/>
      <c r="Q500" s="82"/>
      <c r="R500" s="82"/>
      <c r="S500" s="82"/>
      <c r="T500" s="82"/>
      <c r="U500" s="32"/>
      <c r="V500" s="32"/>
      <c r="W500" s="32"/>
      <c r="X500" s="32"/>
    </row>
    <row r="501">
      <c r="A501" s="89"/>
      <c r="B501" s="89"/>
      <c r="C501" s="89"/>
      <c r="D501" s="91"/>
      <c r="E501" s="83"/>
      <c r="F501" s="83"/>
      <c r="G501" s="83"/>
      <c r="H501" s="83"/>
      <c r="I501" s="83"/>
      <c r="J501" s="83"/>
      <c r="K501" s="83"/>
      <c r="L501" s="83"/>
      <c r="M501" s="82"/>
      <c r="N501" s="82"/>
      <c r="O501" s="82"/>
      <c r="P501" s="82"/>
      <c r="Q501" s="82"/>
      <c r="R501" s="82"/>
      <c r="S501" s="82"/>
      <c r="T501" s="82"/>
      <c r="U501" s="32"/>
      <c r="V501" s="32"/>
      <c r="W501" s="32"/>
      <c r="X501" s="32"/>
    </row>
    <row r="502">
      <c r="A502" s="89"/>
      <c r="B502" s="89"/>
      <c r="C502" s="89"/>
      <c r="D502" s="91"/>
      <c r="E502" s="83"/>
      <c r="F502" s="83"/>
      <c r="G502" s="83"/>
      <c r="H502" s="83"/>
      <c r="I502" s="83"/>
      <c r="J502" s="83"/>
      <c r="K502" s="83"/>
      <c r="L502" s="83"/>
      <c r="M502" s="82"/>
      <c r="N502" s="82"/>
      <c r="O502" s="82"/>
      <c r="P502" s="82"/>
      <c r="Q502" s="82"/>
      <c r="R502" s="82"/>
      <c r="S502" s="82"/>
      <c r="T502" s="82"/>
      <c r="U502" s="32"/>
      <c r="V502" s="32"/>
      <c r="W502" s="32"/>
      <c r="X502" s="32"/>
    </row>
    <row r="503">
      <c r="A503" s="89"/>
      <c r="B503" s="89"/>
      <c r="C503" s="89"/>
      <c r="D503" s="91"/>
      <c r="E503" s="83"/>
      <c r="F503" s="83"/>
      <c r="G503" s="83"/>
      <c r="H503" s="83"/>
      <c r="I503" s="83"/>
      <c r="J503" s="83"/>
      <c r="K503" s="83"/>
      <c r="L503" s="83"/>
      <c r="M503" s="82"/>
      <c r="N503" s="82"/>
      <c r="O503" s="82"/>
      <c r="P503" s="82"/>
      <c r="Q503" s="82"/>
      <c r="R503" s="82"/>
      <c r="S503" s="82"/>
      <c r="T503" s="82"/>
      <c r="U503" s="32"/>
      <c r="V503" s="32"/>
      <c r="W503" s="32"/>
      <c r="X503" s="32"/>
    </row>
    <row r="504">
      <c r="A504" s="89"/>
      <c r="B504" s="89"/>
      <c r="C504" s="89"/>
      <c r="D504" s="91"/>
      <c r="E504" s="83"/>
      <c r="F504" s="83"/>
      <c r="G504" s="83"/>
      <c r="H504" s="83"/>
      <c r="I504" s="83"/>
      <c r="J504" s="83"/>
      <c r="K504" s="83"/>
      <c r="L504" s="83"/>
      <c r="M504" s="82"/>
      <c r="N504" s="82"/>
      <c r="O504" s="82"/>
      <c r="P504" s="82"/>
      <c r="Q504" s="82"/>
      <c r="R504" s="82"/>
      <c r="S504" s="82"/>
      <c r="T504" s="82"/>
      <c r="U504" s="32"/>
      <c r="V504" s="32"/>
      <c r="W504" s="32"/>
      <c r="X504" s="32"/>
    </row>
    <row r="505">
      <c r="A505" s="89"/>
      <c r="B505" s="89"/>
      <c r="C505" s="89"/>
      <c r="D505" s="91"/>
      <c r="E505" s="83"/>
      <c r="F505" s="83"/>
      <c r="G505" s="83"/>
      <c r="H505" s="83"/>
      <c r="I505" s="83"/>
      <c r="J505" s="83"/>
      <c r="K505" s="83"/>
      <c r="L505" s="83"/>
      <c r="M505" s="82"/>
      <c r="N505" s="82"/>
      <c r="O505" s="82"/>
      <c r="P505" s="82"/>
      <c r="Q505" s="82"/>
      <c r="R505" s="82"/>
      <c r="S505" s="82"/>
      <c r="T505" s="82"/>
      <c r="U505" s="32"/>
      <c r="V505" s="32"/>
      <c r="W505" s="32"/>
      <c r="X505" s="32"/>
    </row>
    <row r="506">
      <c r="A506" s="89"/>
      <c r="B506" s="89"/>
      <c r="C506" s="89"/>
      <c r="D506" s="91"/>
      <c r="E506" s="83"/>
      <c r="F506" s="83"/>
      <c r="G506" s="83"/>
      <c r="H506" s="83"/>
      <c r="I506" s="83"/>
      <c r="J506" s="83"/>
      <c r="K506" s="83"/>
      <c r="L506" s="83"/>
      <c r="M506" s="82"/>
      <c r="N506" s="82"/>
      <c r="O506" s="82"/>
      <c r="P506" s="82"/>
      <c r="Q506" s="82"/>
      <c r="R506" s="82"/>
      <c r="S506" s="82"/>
      <c r="T506" s="82"/>
      <c r="U506" s="32"/>
      <c r="V506" s="32"/>
      <c r="W506" s="32"/>
      <c r="X506" s="32"/>
    </row>
    <row r="507">
      <c r="A507" s="89"/>
      <c r="B507" s="89"/>
      <c r="C507" s="89"/>
      <c r="D507" s="91"/>
      <c r="E507" s="83"/>
      <c r="F507" s="83"/>
      <c r="G507" s="83"/>
      <c r="H507" s="83"/>
      <c r="I507" s="83"/>
      <c r="J507" s="83"/>
      <c r="K507" s="83"/>
      <c r="L507" s="83"/>
      <c r="M507" s="82"/>
      <c r="N507" s="82"/>
      <c r="O507" s="82"/>
      <c r="P507" s="82"/>
      <c r="Q507" s="82"/>
      <c r="R507" s="82"/>
      <c r="S507" s="82"/>
      <c r="T507" s="82"/>
      <c r="U507" s="32"/>
      <c r="V507" s="32"/>
      <c r="W507" s="32"/>
      <c r="X507" s="32"/>
    </row>
    <row r="508">
      <c r="A508" s="89"/>
      <c r="B508" s="89"/>
      <c r="C508" s="89"/>
      <c r="D508" s="91"/>
      <c r="E508" s="83"/>
      <c r="F508" s="83"/>
      <c r="G508" s="83"/>
      <c r="H508" s="83"/>
      <c r="I508" s="83"/>
      <c r="J508" s="83"/>
      <c r="K508" s="83"/>
      <c r="L508" s="83"/>
      <c r="M508" s="82"/>
      <c r="N508" s="82"/>
      <c r="O508" s="82"/>
      <c r="P508" s="82"/>
      <c r="Q508" s="82"/>
      <c r="R508" s="82"/>
      <c r="S508" s="82"/>
      <c r="T508" s="82"/>
      <c r="U508" s="32"/>
      <c r="V508" s="32"/>
      <c r="W508" s="32"/>
      <c r="X508" s="32"/>
    </row>
    <row r="509">
      <c r="A509" s="89"/>
      <c r="B509" s="89"/>
      <c r="C509" s="89"/>
      <c r="D509" s="91"/>
      <c r="E509" s="83"/>
      <c r="F509" s="83"/>
      <c r="G509" s="83"/>
      <c r="H509" s="83"/>
      <c r="I509" s="83"/>
      <c r="J509" s="83"/>
      <c r="K509" s="83"/>
      <c r="L509" s="83"/>
      <c r="M509" s="82"/>
      <c r="N509" s="82"/>
      <c r="O509" s="82"/>
      <c r="P509" s="82"/>
      <c r="Q509" s="82"/>
      <c r="R509" s="82"/>
      <c r="S509" s="82"/>
      <c r="T509" s="82"/>
      <c r="U509" s="32"/>
      <c r="V509" s="32"/>
      <c r="W509" s="32"/>
      <c r="X509" s="32"/>
    </row>
    <row r="510">
      <c r="A510" s="89"/>
      <c r="B510" s="89"/>
      <c r="C510" s="89"/>
      <c r="D510" s="91"/>
      <c r="E510" s="83"/>
      <c r="F510" s="83"/>
      <c r="G510" s="83"/>
      <c r="H510" s="83"/>
      <c r="I510" s="83"/>
      <c r="J510" s="83"/>
      <c r="K510" s="83"/>
      <c r="L510" s="83"/>
      <c r="M510" s="82"/>
      <c r="N510" s="82"/>
      <c r="O510" s="82"/>
      <c r="P510" s="82"/>
      <c r="Q510" s="82"/>
      <c r="R510" s="82"/>
      <c r="S510" s="82"/>
      <c r="T510" s="82"/>
      <c r="U510" s="32"/>
      <c r="V510" s="32"/>
      <c r="W510" s="32"/>
      <c r="X510" s="32"/>
    </row>
    <row r="511">
      <c r="A511" s="89"/>
      <c r="B511" s="89"/>
      <c r="C511" s="89"/>
      <c r="D511" s="91"/>
      <c r="E511" s="83"/>
      <c r="F511" s="83"/>
      <c r="G511" s="83"/>
      <c r="H511" s="83"/>
      <c r="I511" s="83"/>
      <c r="J511" s="83"/>
      <c r="K511" s="83"/>
      <c r="L511" s="83"/>
      <c r="M511" s="82"/>
      <c r="N511" s="82"/>
      <c r="O511" s="82"/>
      <c r="P511" s="82"/>
      <c r="Q511" s="82"/>
      <c r="R511" s="82"/>
      <c r="S511" s="82"/>
      <c r="T511" s="82"/>
      <c r="U511" s="32"/>
      <c r="V511" s="32"/>
      <c r="W511" s="32"/>
      <c r="X511" s="32"/>
    </row>
    <row r="512">
      <c r="A512" s="89"/>
      <c r="B512" s="89"/>
      <c r="C512" s="89"/>
      <c r="D512" s="91"/>
      <c r="E512" s="83"/>
      <c r="F512" s="83"/>
      <c r="G512" s="83"/>
      <c r="H512" s="83"/>
      <c r="I512" s="83"/>
      <c r="J512" s="83"/>
      <c r="K512" s="83"/>
      <c r="L512" s="83"/>
      <c r="M512" s="82"/>
      <c r="N512" s="82"/>
      <c r="O512" s="82"/>
      <c r="P512" s="82"/>
      <c r="Q512" s="82"/>
      <c r="R512" s="82"/>
      <c r="S512" s="82"/>
      <c r="T512" s="82"/>
      <c r="U512" s="32"/>
      <c r="V512" s="32"/>
      <c r="W512" s="32"/>
      <c r="X512" s="32"/>
    </row>
    <row r="513">
      <c r="A513" s="89"/>
      <c r="B513" s="89"/>
      <c r="C513" s="89"/>
      <c r="D513" s="91"/>
      <c r="E513" s="83"/>
      <c r="F513" s="83"/>
      <c r="G513" s="83"/>
      <c r="H513" s="83"/>
      <c r="I513" s="83"/>
      <c r="J513" s="83"/>
      <c r="K513" s="83"/>
      <c r="L513" s="83"/>
      <c r="M513" s="82"/>
      <c r="N513" s="82"/>
      <c r="O513" s="82"/>
      <c r="P513" s="82"/>
      <c r="Q513" s="82"/>
      <c r="R513" s="82"/>
      <c r="S513" s="82"/>
      <c r="T513" s="82"/>
      <c r="U513" s="32"/>
      <c r="V513" s="32"/>
      <c r="W513" s="32"/>
      <c r="X513" s="32"/>
    </row>
    <row r="514">
      <c r="A514" s="89"/>
      <c r="B514" s="89"/>
      <c r="C514" s="89"/>
      <c r="D514" s="91"/>
      <c r="E514" s="83"/>
      <c r="F514" s="83"/>
      <c r="G514" s="83"/>
      <c r="H514" s="83"/>
      <c r="I514" s="83"/>
      <c r="J514" s="83"/>
      <c r="K514" s="83"/>
      <c r="L514" s="83"/>
      <c r="M514" s="82"/>
      <c r="N514" s="82"/>
      <c r="O514" s="82"/>
      <c r="P514" s="82"/>
      <c r="Q514" s="82"/>
      <c r="R514" s="82"/>
      <c r="S514" s="82"/>
      <c r="T514" s="82"/>
      <c r="U514" s="32"/>
      <c r="V514" s="32"/>
      <c r="W514" s="32"/>
      <c r="X514" s="32"/>
    </row>
    <row r="515">
      <c r="A515" s="89"/>
      <c r="B515" s="89"/>
      <c r="C515" s="89"/>
      <c r="D515" s="91"/>
      <c r="E515" s="83"/>
      <c r="F515" s="83"/>
      <c r="G515" s="83"/>
      <c r="H515" s="83"/>
      <c r="I515" s="83"/>
      <c r="J515" s="83"/>
      <c r="K515" s="83"/>
      <c r="L515" s="83"/>
      <c r="M515" s="82"/>
      <c r="N515" s="82"/>
      <c r="O515" s="82"/>
      <c r="P515" s="82"/>
      <c r="Q515" s="82"/>
      <c r="R515" s="82"/>
      <c r="S515" s="82"/>
      <c r="T515" s="82"/>
      <c r="U515" s="32"/>
      <c r="V515" s="32"/>
      <c r="W515" s="32"/>
      <c r="X515" s="32"/>
    </row>
    <row r="516">
      <c r="A516" s="89"/>
      <c r="B516" s="89"/>
      <c r="C516" s="89"/>
      <c r="D516" s="91"/>
      <c r="E516" s="83"/>
      <c r="F516" s="83"/>
      <c r="G516" s="83"/>
      <c r="H516" s="83"/>
      <c r="I516" s="83"/>
      <c r="J516" s="83"/>
      <c r="K516" s="83"/>
      <c r="L516" s="83"/>
      <c r="M516" s="82"/>
      <c r="N516" s="82"/>
      <c r="O516" s="82"/>
      <c r="P516" s="82"/>
      <c r="Q516" s="82"/>
      <c r="R516" s="82"/>
      <c r="S516" s="82"/>
      <c r="T516" s="82"/>
      <c r="U516" s="32"/>
      <c r="V516" s="32"/>
      <c r="W516" s="32"/>
      <c r="X516" s="32"/>
    </row>
    <row r="517">
      <c r="A517" s="89"/>
      <c r="B517" s="89"/>
      <c r="C517" s="89"/>
      <c r="D517" s="91"/>
      <c r="E517" s="83"/>
      <c r="F517" s="83"/>
      <c r="G517" s="83"/>
      <c r="H517" s="83"/>
      <c r="I517" s="83"/>
      <c r="J517" s="83"/>
      <c r="K517" s="83"/>
      <c r="L517" s="83"/>
      <c r="M517" s="82"/>
      <c r="N517" s="82"/>
      <c r="O517" s="82"/>
      <c r="P517" s="82"/>
      <c r="Q517" s="82"/>
      <c r="R517" s="82"/>
      <c r="S517" s="82"/>
      <c r="T517" s="82"/>
      <c r="U517" s="32"/>
      <c r="V517" s="32"/>
      <c r="W517" s="32"/>
      <c r="X517" s="32"/>
    </row>
    <row r="518">
      <c r="A518" s="89"/>
      <c r="B518" s="89"/>
      <c r="C518" s="89"/>
      <c r="D518" s="91"/>
      <c r="E518" s="83"/>
      <c r="F518" s="83"/>
      <c r="G518" s="83"/>
      <c r="H518" s="83"/>
      <c r="I518" s="83"/>
      <c r="J518" s="83"/>
      <c r="K518" s="83"/>
      <c r="L518" s="83"/>
      <c r="M518" s="82"/>
      <c r="N518" s="82"/>
      <c r="O518" s="82"/>
      <c r="P518" s="82"/>
      <c r="Q518" s="82"/>
      <c r="R518" s="82"/>
      <c r="S518" s="82"/>
      <c r="T518" s="82"/>
      <c r="U518" s="32"/>
      <c r="V518" s="32"/>
      <c r="W518" s="32"/>
      <c r="X518" s="32"/>
    </row>
    <row r="519">
      <c r="A519" s="89"/>
      <c r="B519" s="89"/>
      <c r="C519" s="89"/>
      <c r="D519" s="91"/>
      <c r="E519" s="83"/>
      <c r="F519" s="83"/>
      <c r="G519" s="83"/>
      <c r="H519" s="83"/>
      <c r="I519" s="83"/>
      <c r="J519" s="83"/>
      <c r="K519" s="83"/>
      <c r="L519" s="83"/>
      <c r="M519" s="82"/>
      <c r="N519" s="82"/>
      <c r="O519" s="82"/>
      <c r="P519" s="82"/>
      <c r="Q519" s="82"/>
      <c r="R519" s="82"/>
      <c r="S519" s="82"/>
      <c r="T519" s="82"/>
      <c r="U519" s="32"/>
      <c r="V519" s="32"/>
      <c r="W519" s="32"/>
      <c r="X519" s="32"/>
    </row>
    <row r="520">
      <c r="A520" s="89"/>
      <c r="B520" s="89"/>
      <c r="C520" s="89"/>
      <c r="D520" s="91"/>
      <c r="E520" s="83"/>
      <c r="F520" s="83"/>
      <c r="G520" s="83"/>
      <c r="H520" s="83"/>
      <c r="I520" s="83"/>
      <c r="J520" s="83"/>
      <c r="K520" s="83"/>
      <c r="L520" s="83"/>
      <c r="M520" s="82"/>
      <c r="N520" s="82"/>
      <c r="O520" s="82"/>
      <c r="P520" s="82"/>
      <c r="Q520" s="82"/>
      <c r="R520" s="82"/>
      <c r="S520" s="82"/>
      <c r="T520" s="82"/>
      <c r="U520" s="32"/>
      <c r="V520" s="32"/>
      <c r="W520" s="32"/>
      <c r="X520" s="32"/>
    </row>
    <row r="521">
      <c r="A521" s="89"/>
      <c r="B521" s="89"/>
      <c r="C521" s="89"/>
      <c r="D521" s="91"/>
      <c r="E521" s="83"/>
      <c r="F521" s="83"/>
      <c r="G521" s="83"/>
      <c r="H521" s="83"/>
      <c r="I521" s="83"/>
      <c r="J521" s="83"/>
      <c r="K521" s="83"/>
      <c r="L521" s="83"/>
      <c r="M521" s="82"/>
      <c r="N521" s="82"/>
      <c r="O521" s="82"/>
      <c r="P521" s="82"/>
      <c r="Q521" s="82"/>
      <c r="R521" s="82"/>
      <c r="S521" s="82"/>
      <c r="T521" s="82"/>
      <c r="U521" s="32"/>
      <c r="V521" s="32"/>
      <c r="W521" s="32"/>
      <c r="X521" s="32"/>
    </row>
    <row r="522">
      <c r="A522" s="89"/>
      <c r="B522" s="89"/>
      <c r="C522" s="89"/>
      <c r="D522" s="91"/>
      <c r="E522" s="83"/>
      <c r="F522" s="83"/>
      <c r="G522" s="83"/>
      <c r="H522" s="83"/>
      <c r="I522" s="83"/>
      <c r="J522" s="83"/>
      <c r="K522" s="83"/>
      <c r="L522" s="83"/>
      <c r="M522" s="82"/>
      <c r="N522" s="82"/>
      <c r="O522" s="82"/>
      <c r="P522" s="82"/>
      <c r="Q522" s="82"/>
      <c r="R522" s="82"/>
      <c r="S522" s="82"/>
      <c r="T522" s="82"/>
      <c r="U522" s="32"/>
      <c r="V522" s="32"/>
      <c r="W522" s="32"/>
      <c r="X522" s="32"/>
    </row>
    <row r="523">
      <c r="A523" s="89"/>
      <c r="B523" s="89"/>
      <c r="C523" s="89"/>
      <c r="D523" s="91"/>
      <c r="E523" s="83"/>
      <c r="F523" s="83"/>
      <c r="G523" s="83"/>
      <c r="H523" s="83"/>
      <c r="I523" s="83"/>
      <c r="J523" s="83"/>
      <c r="K523" s="83"/>
      <c r="L523" s="83"/>
      <c r="M523" s="82"/>
      <c r="N523" s="82"/>
      <c r="O523" s="82"/>
      <c r="P523" s="82"/>
      <c r="Q523" s="82"/>
      <c r="R523" s="82"/>
      <c r="S523" s="82"/>
      <c r="T523" s="82"/>
      <c r="U523" s="32"/>
      <c r="V523" s="32"/>
      <c r="W523" s="32"/>
      <c r="X523" s="32"/>
    </row>
    <row r="524">
      <c r="A524" s="89"/>
      <c r="B524" s="89"/>
      <c r="C524" s="89"/>
      <c r="D524" s="91"/>
      <c r="E524" s="83"/>
      <c r="F524" s="83"/>
      <c r="G524" s="83"/>
      <c r="H524" s="83"/>
      <c r="I524" s="83"/>
      <c r="J524" s="83"/>
      <c r="K524" s="83"/>
      <c r="L524" s="83"/>
      <c r="M524" s="82"/>
      <c r="N524" s="82"/>
      <c r="O524" s="82"/>
      <c r="P524" s="82"/>
      <c r="Q524" s="82"/>
      <c r="R524" s="82"/>
      <c r="S524" s="82"/>
      <c r="T524" s="82"/>
      <c r="U524" s="32"/>
      <c r="V524" s="32"/>
      <c r="W524" s="32"/>
      <c r="X524" s="32"/>
    </row>
    <row r="525">
      <c r="A525" s="89"/>
      <c r="B525" s="89"/>
      <c r="C525" s="89"/>
      <c r="D525" s="91"/>
      <c r="E525" s="83"/>
      <c r="F525" s="83"/>
      <c r="G525" s="83"/>
      <c r="H525" s="83"/>
      <c r="I525" s="83"/>
      <c r="J525" s="83"/>
      <c r="K525" s="83"/>
      <c r="L525" s="83"/>
      <c r="M525" s="82"/>
      <c r="N525" s="82"/>
      <c r="O525" s="82"/>
      <c r="P525" s="82"/>
      <c r="Q525" s="82"/>
      <c r="R525" s="82"/>
      <c r="S525" s="82"/>
      <c r="T525" s="82"/>
      <c r="U525" s="32"/>
      <c r="V525" s="32"/>
      <c r="W525" s="32"/>
      <c r="X525" s="32"/>
    </row>
    <row r="526">
      <c r="A526" s="89"/>
      <c r="B526" s="89"/>
      <c r="C526" s="89"/>
      <c r="D526" s="91"/>
      <c r="E526" s="83"/>
      <c r="F526" s="83"/>
      <c r="G526" s="83"/>
      <c r="H526" s="83"/>
      <c r="I526" s="83"/>
      <c r="J526" s="83"/>
      <c r="K526" s="83"/>
      <c r="L526" s="83"/>
      <c r="M526" s="82"/>
      <c r="N526" s="82"/>
      <c r="O526" s="82"/>
      <c r="P526" s="82"/>
      <c r="Q526" s="82"/>
      <c r="R526" s="82"/>
      <c r="S526" s="82"/>
      <c r="T526" s="82"/>
      <c r="U526" s="32"/>
      <c r="V526" s="32"/>
      <c r="W526" s="32"/>
      <c r="X526" s="32"/>
    </row>
    <row r="527">
      <c r="A527" s="89"/>
      <c r="B527" s="89"/>
      <c r="C527" s="89"/>
      <c r="D527" s="91"/>
      <c r="E527" s="83"/>
      <c r="F527" s="83"/>
      <c r="G527" s="83"/>
      <c r="H527" s="83"/>
      <c r="I527" s="83"/>
      <c r="J527" s="83"/>
      <c r="K527" s="83"/>
      <c r="L527" s="83"/>
      <c r="M527" s="82"/>
      <c r="N527" s="82"/>
      <c r="O527" s="82"/>
      <c r="P527" s="82"/>
      <c r="Q527" s="82"/>
      <c r="R527" s="82"/>
      <c r="S527" s="82"/>
      <c r="T527" s="82"/>
      <c r="U527" s="32"/>
      <c r="V527" s="32"/>
      <c r="W527" s="32"/>
      <c r="X527" s="32"/>
    </row>
    <row r="528">
      <c r="A528" s="89"/>
      <c r="B528" s="89"/>
      <c r="C528" s="89"/>
      <c r="D528" s="91"/>
      <c r="E528" s="83"/>
      <c r="F528" s="83"/>
      <c r="G528" s="83"/>
      <c r="H528" s="83"/>
      <c r="I528" s="83"/>
      <c r="J528" s="83"/>
      <c r="K528" s="83"/>
      <c r="L528" s="83"/>
      <c r="M528" s="82"/>
      <c r="N528" s="82"/>
      <c r="O528" s="82"/>
      <c r="P528" s="82"/>
      <c r="Q528" s="82"/>
      <c r="R528" s="82"/>
      <c r="S528" s="82"/>
      <c r="T528" s="82"/>
      <c r="U528" s="32"/>
      <c r="V528" s="32"/>
      <c r="W528" s="32"/>
      <c r="X528" s="32"/>
    </row>
    <row r="529">
      <c r="A529" s="89"/>
      <c r="B529" s="89"/>
      <c r="C529" s="89"/>
      <c r="D529" s="91"/>
      <c r="E529" s="83"/>
      <c r="F529" s="83"/>
      <c r="G529" s="83"/>
      <c r="H529" s="83"/>
      <c r="I529" s="83"/>
      <c r="J529" s="83"/>
      <c r="K529" s="83"/>
      <c r="L529" s="83"/>
      <c r="M529" s="82"/>
      <c r="N529" s="82"/>
      <c r="O529" s="82"/>
      <c r="P529" s="82"/>
      <c r="Q529" s="82"/>
      <c r="R529" s="82"/>
      <c r="S529" s="82"/>
      <c r="T529" s="82"/>
      <c r="U529" s="32"/>
      <c r="V529" s="32"/>
      <c r="W529" s="32"/>
      <c r="X529" s="32"/>
    </row>
    <row r="530">
      <c r="A530" s="89"/>
      <c r="B530" s="89"/>
      <c r="C530" s="89"/>
      <c r="D530" s="91"/>
      <c r="E530" s="83"/>
      <c r="F530" s="83"/>
      <c r="G530" s="83"/>
      <c r="H530" s="83"/>
      <c r="I530" s="83"/>
      <c r="J530" s="83"/>
      <c r="K530" s="83"/>
      <c r="L530" s="83"/>
      <c r="M530" s="82"/>
      <c r="N530" s="82"/>
      <c r="O530" s="82"/>
      <c r="P530" s="82"/>
      <c r="Q530" s="82"/>
      <c r="R530" s="82"/>
      <c r="S530" s="82"/>
      <c r="T530" s="82"/>
      <c r="U530" s="32"/>
      <c r="V530" s="32"/>
      <c r="W530" s="32"/>
      <c r="X530" s="32"/>
    </row>
    <row r="531">
      <c r="A531" s="89"/>
      <c r="B531" s="89"/>
      <c r="C531" s="89"/>
      <c r="D531" s="91"/>
      <c r="E531" s="83"/>
      <c r="F531" s="83"/>
      <c r="G531" s="83"/>
      <c r="H531" s="83"/>
      <c r="I531" s="83"/>
      <c r="J531" s="83"/>
      <c r="K531" s="83"/>
      <c r="L531" s="83"/>
      <c r="M531" s="82"/>
      <c r="N531" s="82"/>
      <c r="O531" s="82"/>
      <c r="P531" s="82"/>
      <c r="Q531" s="82"/>
      <c r="R531" s="82"/>
      <c r="S531" s="82"/>
      <c r="T531" s="82"/>
      <c r="U531" s="32"/>
      <c r="V531" s="32"/>
      <c r="W531" s="32"/>
      <c r="X531" s="32"/>
    </row>
    <row r="532">
      <c r="A532" s="89"/>
      <c r="B532" s="89"/>
      <c r="C532" s="89"/>
      <c r="D532" s="91"/>
      <c r="E532" s="83"/>
      <c r="F532" s="83"/>
      <c r="G532" s="83"/>
      <c r="H532" s="83"/>
      <c r="I532" s="83"/>
      <c r="J532" s="83"/>
      <c r="K532" s="83"/>
      <c r="L532" s="83"/>
      <c r="M532" s="82"/>
      <c r="N532" s="82"/>
      <c r="O532" s="82"/>
      <c r="P532" s="82"/>
      <c r="Q532" s="82"/>
      <c r="R532" s="82"/>
      <c r="S532" s="82"/>
      <c r="T532" s="82"/>
      <c r="U532" s="32"/>
      <c r="V532" s="32"/>
      <c r="W532" s="32"/>
      <c r="X532" s="32"/>
    </row>
    <row r="533">
      <c r="A533" s="89"/>
      <c r="B533" s="89"/>
      <c r="C533" s="89"/>
      <c r="D533" s="91"/>
      <c r="E533" s="83"/>
      <c r="F533" s="83"/>
      <c r="G533" s="83"/>
      <c r="H533" s="83"/>
      <c r="I533" s="83"/>
      <c r="J533" s="83"/>
      <c r="K533" s="83"/>
      <c r="L533" s="83"/>
      <c r="M533" s="82"/>
      <c r="N533" s="82"/>
      <c r="O533" s="82"/>
      <c r="P533" s="82"/>
      <c r="Q533" s="82"/>
      <c r="R533" s="82"/>
      <c r="S533" s="82"/>
      <c r="T533" s="82"/>
      <c r="U533" s="32"/>
      <c r="V533" s="32"/>
      <c r="W533" s="32"/>
      <c r="X533" s="32"/>
    </row>
    <row r="534">
      <c r="A534" s="89"/>
      <c r="B534" s="89"/>
      <c r="C534" s="89"/>
      <c r="D534" s="91"/>
      <c r="E534" s="83"/>
      <c r="F534" s="83"/>
      <c r="G534" s="83"/>
      <c r="H534" s="83"/>
      <c r="I534" s="83"/>
      <c r="J534" s="83"/>
      <c r="K534" s="83"/>
      <c r="L534" s="83"/>
      <c r="M534" s="82"/>
      <c r="N534" s="82"/>
      <c r="O534" s="82"/>
      <c r="P534" s="82"/>
      <c r="Q534" s="82"/>
      <c r="R534" s="82"/>
      <c r="S534" s="82"/>
      <c r="T534" s="82"/>
      <c r="U534" s="32"/>
      <c r="V534" s="32"/>
      <c r="W534" s="32"/>
      <c r="X534" s="32"/>
    </row>
    <row r="535">
      <c r="A535" s="89"/>
      <c r="B535" s="89"/>
      <c r="C535" s="89"/>
      <c r="D535" s="91"/>
      <c r="E535" s="83"/>
      <c r="F535" s="83"/>
      <c r="G535" s="83"/>
      <c r="H535" s="83"/>
      <c r="I535" s="83"/>
      <c r="J535" s="83"/>
      <c r="K535" s="83"/>
      <c r="L535" s="83"/>
      <c r="M535" s="82"/>
      <c r="N535" s="82"/>
      <c r="O535" s="82"/>
      <c r="P535" s="82"/>
      <c r="Q535" s="82"/>
      <c r="R535" s="82"/>
      <c r="S535" s="82"/>
      <c r="T535" s="82"/>
      <c r="U535" s="32"/>
      <c r="V535" s="32"/>
      <c r="W535" s="32"/>
      <c r="X535" s="32"/>
    </row>
    <row r="536">
      <c r="A536" s="89"/>
      <c r="B536" s="89"/>
      <c r="C536" s="89"/>
      <c r="D536" s="91"/>
      <c r="E536" s="83"/>
      <c r="F536" s="83"/>
      <c r="G536" s="83"/>
      <c r="H536" s="83"/>
      <c r="I536" s="83"/>
      <c r="J536" s="83"/>
      <c r="K536" s="83"/>
      <c r="L536" s="83"/>
      <c r="M536" s="82"/>
      <c r="N536" s="82"/>
      <c r="O536" s="82"/>
      <c r="P536" s="82"/>
      <c r="Q536" s="82"/>
      <c r="R536" s="82"/>
      <c r="S536" s="82"/>
      <c r="T536" s="82"/>
      <c r="U536" s="32"/>
      <c r="V536" s="32"/>
      <c r="W536" s="32"/>
      <c r="X536" s="32"/>
    </row>
    <row r="537">
      <c r="A537" s="89"/>
      <c r="B537" s="89"/>
      <c r="C537" s="89"/>
      <c r="D537" s="91"/>
      <c r="E537" s="83"/>
      <c r="F537" s="83"/>
      <c r="G537" s="83"/>
      <c r="H537" s="83"/>
      <c r="I537" s="83"/>
      <c r="J537" s="83"/>
      <c r="K537" s="83"/>
      <c r="L537" s="83"/>
      <c r="M537" s="82"/>
      <c r="N537" s="82"/>
      <c r="O537" s="82"/>
      <c r="P537" s="82"/>
      <c r="Q537" s="82"/>
      <c r="R537" s="82"/>
      <c r="S537" s="82"/>
      <c r="T537" s="82"/>
      <c r="U537" s="32"/>
      <c r="V537" s="32"/>
      <c r="W537" s="32"/>
      <c r="X537" s="32"/>
    </row>
    <row r="538">
      <c r="A538" s="89"/>
      <c r="B538" s="89"/>
      <c r="C538" s="89"/>
      <c r="D538" s="91"/>
      <c r="E538" s="83"/>
      <c r="F538" s="83"/>
      <c r="G538" s="83"/>
      <c r="H538" s="83"/>
      <c r="I538" s="83"/>
      <c r="J538" s="83"/>
      <c r="K538" s="83"/>
      <c r="L538" s="83"/>
      <c r="M538" s="82"/>
      <c r="N538" s="82"/>
      <c r="O538" s="82"/>
      <c r="P538" s="82"/>
      <c r="Q538" s="82"/>
      <c r="R538" s="82"/>
      <c r="S538" s="82"/>
      <c r="T538" s="82"/>
      <c r="U538" s="32"/>
      <c r="V538" s="32"/>
      <c r="W538" s="32"/>
      <c r="X538" s="32"/>
    </row>
    <row r="539">
      <c r="A539" s="89"/>
      <c r="B539" s="89"/>
      <c r="C539" s="89"/>
      <c r="D539" s="91"/>
      <c r="E539" s="83"/>
      <c r="F539" s="83"/>
      <c r="G539" s="83"/>
      <c r="H539" s="83"/>
      <c r="I539" s="83"/>
      <c r="J539" s="83"/>
      <c r="K539" s="83"/>
      <c r="L539" s="83"/>
      <c r="M539" s="82"/>
      <c r="N539" s="82"/>
      <c r="O539" s="82"/>
      <c r="P539" s="82"/>
      <c r="Q539" s="82"/>
      <c r="R539" s="82"/>
      <c r="S539" s="82"/>
      <c r="T539" s="82"/>
      <c r="U539" s="32"/>
      <c r="V539" s="32"/>
      <c r="W539" s="32"/>
      <c r="X539" s="32"/>
    </row>
    <row r="540">
      <c r="A540" s="89"/>
      <c r="B540" s="89"/>
      <c r="C540" s="89"/>
      <c r="D540" s="91"/>
      <c r="E540" s="83"/>
      <c r="F540" s="83"/>
      <c r="G540" s="83"/>
      <c r="H540" s="83"/>
      <c r="I540" s="83"/>
      <c r="J540" s="83"/>
      <c r="K540" s="83"/>
      <c r="L540" s="83"/>
      <c r="M540" s="82"/>
      <c r="N540" s="82"/>
      <c r="O540" s="82"/>
      <c r="P540" s="82"/>
      <c r="Q540" s="82"/>
      <c r="R540" s="82"/>
      <c r="S540" s="82"/>
      <c r="T540" s="82"/>
      <c r="U540" s="32"/>
      <c r="V540" s="32"/>
      <c r="W540" s="32"/>
      <c r="X540" s="32"/>
    </row>
    <row r="541">
      <c r="A541" s="89"/>
      <c r="B541" s="89"/>
      <c r="C541" s="89"/>
      <c r="D541" s="91"/>
      <c r="E541" s="83"/>
      <c r="F541" s="83"/>
      <c r="G541" s="83"/>
      <c r="H541" s="83"/>
      <c r="I541" s="83"/>
      <c r="J541" s="83"/>
      <c r="K541" s="83"/>
      <c r="L541" s="83"/>
      <c r="M541" s="82"/>
      <c r="N541" s="82"/>
      <c r="O541" s="82"/>
      <c r="P541" s="82"/>
      <c r="Q541" s="82"/>
      <c r="R541" s="82"/>
      <c r="S541" s="82"/>
      <c r="T541" s="82"/>
      <c r="U541" s="32"/>
      <c r="V541" s="32"/>
      <c r="W541" s="32"/>
      <c r="X541" s="32"/>
    </row>
    <row r="542">
      <c r="A542" s="89"/>
      <c r="B542" s="89"/>
      <c r="C542" s="89"/>
      <c r="D542" s="91"/>
      <c r="E542" s="83"/>
      <c r="F542" s="83"/>
      <c r="G542" s="83"/>
      <c r="H542" s="83"/>
      <c r="I542" s="83"/>
      <c r="J542" s="83"/>
      <c r="K542" s="83"/>
      <c r="L542" s="83"/>
      <c r="M542" s="82"/>
      <c r="N542" s="82"/>
      <c r="O542" s="82"/>
      <c r="P542" s="82"/>
      <c r="Q542" s="82"/>
      <c r="R542" s="82"/>
      <c r="S542" s="82"/>
      <c r="T542" s="82"/>
      <c r="U542" s="32"/>
      <c r="V542" s="32"/>
      <c r="W542" s="32"/>
      <c r="X542" s="32"/>
    </row>
    <row r="543">
      <c r="A543" s="89"/>
      <c r="B543" s="89"/>
      <c r="C543" s="89"/>
      <c r="D543" s="91"/>
      <c r="E543" s="83"/>
      <c r="F543" s="83"/>
      <c r="G543" s="83"/>
      <c r="H543" s="83"/>
      <c r="I543" s="83"/>
      <c r="J543" s="83"/>
      <c r="K543" s="83"/>
      <c r="L543" s="83"/>
      <c r="M543" s="82"/>
      <c r="N543" s="82"/>
      <c r="O543" s="82"/>
      <c r="P543" s="82"/>
      <c r="Q543" s="82"/>
      <c r="R543" s="82"/>
      <c r="S543" s="82"/>
      <c r="T543" s="82"/>
      <c r="U543" s="32"/>
      <c r="V543" s="32"/>
      <c r="W543" s="32"/>
      <c r="X543" s="32"/>
    </row>
    <row r="544">
      <c r="A544" s="89"/>
      <c r="B544" s="89"/>
      <c r="C544" s="89"/>
      <c r="D544" s="91"/>
      <c r="E544" s="83"/>
      <c r="F544" s="83"/>
      <c r="G544" s="83"/>
      <c r="H544" s="83"/>
      <c r="I544" s="83"/>
      <c r="J544" s="83"/>
      <c r="K544" s="83"/>
      <c r="L544" s="83"/>
      <c r="M544" s="82"/>
      <c r="N544" s="82"/>
      <c r="O544" s="82"/>
      <c r="P544" s="82"/>
      <c r="Q544" s="82"/>
      <c r="R544" s="82"/>
      <c r="S544" s="82"/>
      <c r="T544" s="82"/>
      <c r="U544" s="32"/>
      <c r="V544" s="32"/>
      <c r="W544" s="32"/>
      <c r="X544" s="32"/>
    </row>
    <row r="545">
      <c r="A545" s="89"/>
      <c r="B545" s="89"/>
      <c r="C545" s="89"/>
      <c r="D545" s="91"/>
      <c r="E545" s="83"/>
      <c r="F545" s="83"/>
      <c r="G545" s="83"/>
      <c r="H545" s="83"/>
      <c r="I545" s="83"/>
      <c r="J545" s="83"/>
      <c r="K545" s="83"/>
      <c r="L545" s="83"/>
      <c r="M545" s="82"/>
      <c r="N545" s="82"/>
      <c r="O545" s="82"/>
      <c r="P545" s="82"/>
      <c r="Q545" s="82"/>
      <c r="R545" s="82"/>
      <c r="S545" s="82"/>
      <c r="T545" s="82"/>
      <c r="U545" s="32"/>
      <c r="V545" s="32"/>
      <c r="W545" s="32"/>
      <c r="X545" s="32"/>
    </row>
    <row r="546">
      <c r="A546" s="89"/>
      <c r="B546" s="89"/>
      <c r="C546" s="89"/>
      <c r="D546" s="91"/>
      <c r="E546" s="83"/>
      <c r="F546" s="83"/>
      <c r="G546" s="83"/>
      <c r="H546" s="83"/>
      <c r="I546" s="83"/>
      <c r="J546" s="83"/>
      <c r="K546" s="83"/>
      <c r="L546" s="83"/>
      <c r="M546" s="82"/>
      <c r="N546" s="82"/>
      <c r="O546" s="82"/>
      <c r="P546" s="82"/>
      <c r="Q546" s="82"/>
      <c r="R546" s="82"/>
      <c r="S546" s="82"/>
      <c r="T546" s="82"/>
      <c r="U546" s="32"/>
      <c r="V546" s="32"/>
      <c r="W546" s="32"/>
      <c r="X546" s="32"/>
    </row>
    <row r="547">
      <c r="A547" s="89"/>
      <c r="B547" s="89"/>
      <c r="C547" s="89"/>
      <c r="D547" s="91"/>
      <c r="E547" s="83"/>
      <c r="F547" s="83"/>
      <c r="G547" s="83"/>
      <c r="H547" s="83"/>
      <c r="I547" s="83"/>
      <c r="J547" s="83"/>
      <c r="K547" s="83"/>
      <c r="L547" s="83"/>
      <c r="M547" s="82"/>
      <c r="N547" s="82"/>
      <c r="O547" s="82"/>
      <c r="P547" s="82"/>
      <c r="Q547" s="82"/>
      <c r="R547" s="82"/>
      <c r="S547" s="82"/>
      <c r="T547" s="82"/>
      <c r="U547" s="32"/>
      <c r="V547" s="32"/>
      <c r="W547" s="32"/>
      <c r="X547" s="32"/>
    </row>
    <row r="548">
      <c r="A548" s="89"/>
      <c r="B548" s="89"/>
      <c r="C548" s="89"/>
      <c r="D548" s="91"/>
      <c r="E548" s="83"/>
      <c r="F548" s="83"/>
      <c r="G548" s="83"/>
      <c r="H548" s="83"/>
      <c r="I548" s="83"/>
      <c r="J548" s="83"/>
      <c r="K548" s="83"/>
      <c r="L548" s="83"/>
      <c r="M548" s="82"/>
      <c r="N548" s="82"/>
      <c r="O548" s="82"/>
      <c r="P548" s="82"/>
      <c r="Q548" s="82"/>
      <c r="R548" s="82"/>
      <c r="S548" s="82"/>
      <c r="T548" s="82"/>
      <c r="U548" s="32"/>
      <c r="V548" s="32"/>
      <c r="W548" s="32"/>
      <c r="X548" s="32"/>
    </row>
    <row r="549">
      <c r="A549" s="89"/>
      <c r="B549" s="89"/>
      <c r="C549" s="89"/>
      <c r="D549" s="91"/>
      <c r="E549" s="83"/>
      <c r="F549" s="83"/>
      <c r="G549" s="83"/>
      <c r="H549" s="83"/>
      <c r="I549" s="83"/>
      <c r="J549" s="83"/>
      <c r="K549" s="83"/>
      <c r="L549" s="83"/>
      <c r="M549" s="82"/>
      <c r="N549" s="82"/>
      <c r="O549" s="82"/>
      <c r="P549" s="82"/>
      <c r="Q549" s="82"/>
      <c r="R549" s="82"/>
      <c r="S549" s="82"/>
      <c r="T549" s="82"/>
      <c r="U549" s="32"/>
      <c r="V549" s="32"/>
      <c r="W549" s="32"/>
      <c r="X549" s="32"/>
    </row>
    <row r="550">
      <c r="A550" s="89"/>
      <c r="B550" s="89"/>
      <c r="C550" s="89"/>
      <c r="D550" s="91"/>
      <c r="E550" s="83"/>
      <c r="F550" s="83"/>
      <c r="G550" s="83"/>
      <c r="H550" s="83"/>
      <c r="I550" s="83"/>
      <c r="J550" s="83"/>
      <c r="K550" s="83"/>
      <c r="L550" s="83"/>
      <c r="M550" s="82"/>
      <c r="N550" s="82"/>
      <c r="O550" s="82"/>
      <c r="P550" s="82"/>
      <c r="Q550" s="82"/>
      <c r="R550" s="82"/>
      <c r="S550" s="82"/>
      <c r="T550" s="82"/>
      <c r="U550" s="32"/>
      <c r="V550" s="32"/>
      <c r="W550" s="32"/>
      <c r="X550" s="32"/>
    </row>
    <row r="551">
      <c r="A551" s="89"/>
      <c r="B551" s="89"/>
      <c r="C551" s="89"/>
      <c r="D551" s="91"/>
      <c r="E551" s="83"/>
      <c r="F551" s="83"/>
      <c r="G551" s="83"/>
      <c r="H551" s="83"/>
      <c r="I551" s="83"/>
      <c r="J551" s="83"/>
      <c r="K551" s="83"/>
      <c r="L551" s="83"/>
      <c r="M551" s="82"/>
      <c r="N551" s="82"/>
      <c r="O551" s="82"/>
      <c r="P551" s="82"/>
      <c r="Q551" s="82"/>
      <c r="R551" s="82"/>
      <c r="S551" s="82"/>
      <c r="T551" s="82"/>
      <c r="U551" s="32"/>
      <c r="V551" s="32"/>
      <c r="W551" s="32"/>
      <c r="X551" s="32"/>
    </row>
    <row r="552">
      <c r="A552" s="89"/>
      <c r="B552" s="89"/>
      <c r="C552" s="89"/>
      <c r="D552" s="91"/>
      <c r="E552" s="83"/>
      <c r="F552" s="83"/>
      <c r="G552" s="83"/>
      <c r="H552" s="83"/>
      <c r="I552" s="83"/>
      <c r="J552" s="83"/>
      <c r="K552" s="83"/>
      <c r="L552" s="83"/>
      <c r="M552" s="82"/>
      <c r="N552" s="82"/>
      <c r="O552" s="82"/>
      <c r="P552" s="82"/>
      <c r="Q552" s="82"/>
      <c r="R552" s="82"/>
      <c r="S552" s="82"/>
      <c r="T552" s="82"/>
      <c r="U552" s="32"/>
      <c r="V552" s="32"/>
      <c r="W552" s="32"/>
      <c r="X552" s="32"/>
    </row>
    <row r="553">
      <c r="A553" s="89"/>
      <c r="B553" s="89"/>
      <c r="C553" s="89"/>
      <c r="D553" s="91"/>
      <c r="E553" s="83"/>
      <c r="F553" s="83"/>
      <c r="G553" s="83"/>
      <c r="H553" s="83"/>
      <c r="I553" s="83"/>
      <c r="J553" s="83"/>
      <c r="K553" s="83"/>
      <c r="L553" s="83"/>
      <c r="M553" s="82"/>
      <c r="N553" s="82"/>
      <c r="O553" s="82"/>
      <c r="P553" s="82"/>
      <c r="Q553" s="82"/>
      <c r="R553" s="82"/>
      <c r="S553" s="82"/>
      <c r="T553" s="82"/>
      <c r="U553" s="32"/>
      <c r="V553" s="32"/>
      <c r="W553" s="32"/>
      <c r="X553" s="32"/>
    </row>
    <row r="554">
      <c r="A554" s="89"/>
      <c r="B554" s="89"/>
      <c r="C554" s="89"/>
      <c r="D554" s="91"/>
      <c r="E554" s="83"/>
      <c r="F554" s="83"/>
      <c r="G554" s="83"/>
      <c r="H554" s="83"/>
      <c r="I554" s="83"/>
      <c r="J554" s="83"/>
      <c r="K554" s="83"/>
      <c r="L554" s="83"/>
      <c r="M554" s="82"/>
      <c r="N554" s="82"/>
      <c r="O554" s="82"/>
      <c r="P554" s="82"/>
      <c r="Q554" s="82"/>
      <c r="R554" s="82"/>
      <c r="S554" s="82"/>
      <c r="T554" s="82"/>
      <c r="U554" s="32"/>
      <c r="V554" s="32"/>
      <c r="W554" s="32"/>
      <c r="X554" s="32"/>
    </row>
    <row r="555">
      <c r="A555" s="89"/>
      <c r="B555" s="89"/>
      <c r="C555" s="89"/>
      <c r="D555" s="91"/>
      <c r="E555" s="83"/>
      <c r="F555" s="83"/>
      <c r="G555" s="83"/>
      <c r="H555" s="83"/>
      <c r="I555" s="83"/>
      <c r="J555" s="83"/>
      <c r="K555" s="83"/>
      <c r="L555" s="83"/>
      <c r="M555" s="82"/>
      <c r="N555" s="82"/>
      <c r="O555" s="82"/>
      <c r="P555" s="82"/>
      <c r="Q555" s="82"/>
      <c r="R555" s="82"/>
      <c r="S555" s="82"/>
      <c r="T555" s="82"/>
      <c r="U555" s="32"/>
      <c r="V555" s="32"/>
      <c r="W555" s="32"/>
      <c r="X555" s="32"/>
    </row>
    <row r="556">
      <c r="A556" s="89"/>
      <c r="B556" s="89"/>
      <c r="C556" s="89"/>
      <c r="D556" s="91"/>
      <c r="E556" s="83"/>
      <c r="F556" s="83"/>
      <c r="G556" s="83"/>
      <c r="H556" s="83"/>
      <c r="I556" s="83"/>
      <c r="J556" s="83"/>
      <c r="K556" s="83"/>
      <c r="L556" s="83"/>
      <c r="M556" s="82"/>
      <c r="N556" s="82"/>
      <c r="O556" s="82"/>
      <c r="P556" s="82"/>
      <c r="Q556" s="82"/>
      <c r="R556" s="82"/>
      <c r="S556" s="82"/>
      <c r="T556" s="82"/>
      <c r="U556" s="32"/>
      <c r="V556" s="32"/>
      <c r="W556" s="32"/>
      <c r="X556" s="32"/>
    </row>
    <row r="557">
      <c r="A557" s="89"/>
      <c r="B557" s="89"/>
      <c r="C557" s="89"/>
      <c r="D557" s="91"/>
      <c r="E557" s="83"/>
      <c r="F557" s="83"/>
      <c r="G557" s="83"/>
      <c r="H557" s="83"/>
      <c r="I557" s="83"/>
      <c r="J557" s="83"/>
      <c r="K557" s="83"/>
      <c r="L557" s="83"/>
      <c r="M557" s="82"/>
      <c r="N557" s="82"/>
      <c r="O557" s="82"/>
      <c r="P557" s="82"/>
      <c r="Q557" s="82"/>
      <c r="R557" s="82"/>
      <c r="S557" s="82"/>
      <c r="T557" s="82"/>
      <c r="U557" s="32"/>
      <c r="V557" s="32"/>
      <c r="W557" s="32"/>
      <c r="X557" s="32"/>
    </row>
    <row r="558">
      <c r="A558" s="89"/>
      <c r="B558" s="89"/>
      <c r="C558" s="89"/>
      <c r="D558" s="91"/>
      <c r="E558" s="83"/>
      <c r="F558" s="83"/>
      <c r="G558" s="83"/>
      <c r="H558" s="83"/>
      <c r="I558" s="83"/>
      <c r="J558" s="83"/>
      <c r="K558" s="83"/>
      <c r="L558" s="83"/>
      <c r="M558" s="82"/>
      <c r="N558" s="82"/>
      <c r="O558" s="82"/>
      <c r="P558" s="82"/>
      <c r="Q558" s="82"/>
      <c r="R558" s="82"/>
      <c r="S558" s="82"/>
      <c r="T558" s="82"/>
      <c r="U558" s="32"/>
      <c r="V558" s="32"/>
      <c r="W558" s="32"/>
      <c r="X558" s="32"/>
    </row>
    <row r="559">
      <c r="A559" s="89"/>
      <c r="B559" s="89"/>
      <c r="C559" s="89"/>
      <c r="D559" s="91"/>
      <c r="E559" s="83"/>
      <c r="F559" s="83"/>
      <c r="G559" s="83"/>
      <c r="H559" s="83"/>
      <c r="I559" s="83"/>
      <c r="J559" s="83"/>
      <c r="K559" s="83"/>
      <c r="L559" s="83"/>
      <c r="M559" s="82"/>
      <c r="N559" s="82"/>
      <c r="O559" s="82"/>
      <c r="P559" s="82"/>
      <c r="Q559" s="82"/>
      <c r="R559" s="82"/>
      <c r="S559" s="82"/>
      <c r="T559" s="82"/>
      <c r="U559" s="32"/>
      <c r="V559" s="32"/>
      <c r="W559" s="32"/>
      <c r="X559" s="32"/>
    </row>
    <row r="560">
      <c r="A560" s="89"/>
      <c r="B560" s="89"/>
      <c r="C560" s="89"/>
      <c r="D560" s="91"/>
      <c r="E560" s="83"/>
      <c r="F560" s="83"/>
      <c r="G560" s="83"/>
      <c r="H560" s="83"/>
      <c r="I560" s="83"/>
      <c r="J560" s="83"/>
      <c r="K560" s="83"/>
      <c r="L560" s="83"/>
      <c r="M560" s="82"/>
      <c r="N560" s="82"/>
      <c r="O560" s="82"/>
      <c r="P560" s="82"/>
      <c r="Q560" s="82"/>
      <c r="R560" s="82"/>
      <c r="S560" s="82"/>
      <c r="T560" s="82"/>
      <c r="U560" s="32"/>
      <c r="V560" s="32"/>
      <c r="W560" s="32"/>
      <c r="X560" s="32"/>
    </row>
    <row r="561">
      <c r="A561" s="89"/>
      <c r="B561" s="89"/>
      <c r="C561" s="89"/>
      <c r="D561" s="91"/>
      <c r="E561" s="83"/>
      <c r="F561" s="83"/>
      <c r="G561" s="83"/>
      <c r="H561" s="83"/>
      <c r="I561" s="83"/>
      <c r="J561" s="83"/>
      <c r="K561" s="83"/>
      <c r="L561" s="83"/>
      <c r="M561" s="82"/>
      <c r="N561" s="82"/>
      <c r="O561" s="82"/>
      <c r="P561" s="82"/>
      <c r="Q561" s="82"/>
      <c r="R561" s="82"/>
      <c r="S561" s="82"/>
      <c r="T561" s="82"/>
      <c r="U561" s="32"/>
      <c r="V561" s="32"/>
      <c r="W561" s="32"/>
      <c r="X561" s="32"/>
    </row>
    <row r="562">
      <c r="A562" s="89"/>
      <c r="B562" s="89"/>
      <c r="C562" s="89"/>
      <c r="D562" s="91"/>
      <c r="E562" s="83"/>
      <c r="F562" s="83"/>
      <c r="G562" s="83"/>
      <c r="H562" s="83"/>
      <c r="I562" s="83"/>
      <c r="J562" s="83"/>
      <c r="K562" s="83"/>
      <c r="L562" s="83"/>
      <c r="M562" s="82"/>
      <c r="N562" s="82"/>
      <c r="O562" s="82"/>
      <c r="P562" s="82"/>
      <c r="Q562" s="82"/>
      <c r="R562" s="82"/>
      <c r="S562" s="82"/>
      <c r="T562" s="82"/>
      <c r="U562" s="32"/>
      <c r="V562" s="32"/>
      <c r="W562" s="32"/>
      <c r="X562" s="32"/>
    </row>
    <row r="563">
      <c r="A563" s="89"/>
      <c r="B563" s="89"/>
      <c r="C563" s="89"/>
      <c r="D563" s="91"/>
      <c r="E563" s="83"/>
      <c r="F563" s="83"/>
      <c r="G563" s="83"/>
      <c r="H563" s="83"/>
      <c r="I563" s="83"/>
      <c r="J563" s="83"/>
      <c r="K563" s="83"/>
      <c r="L563" s="83"/>
      <c r="M563" s="82"/>
      <c r="N563" s="82"/>
      <c r="O563" s="82"/>
      <c r="P563" s="82"/>
      <c r="Q563" s="82"/>
      <c r="R563" s="82"/>
      <c r="S563" s="82"/>
      <c r="T563" s="82"/>
      <c r="U563" s="32"/>
      <c r="V563" s="32"/>
      <c r="W563" s="32"/>
      <c r="X563" s="32"/>
    </row>
    <row r="564">
      <c r="A564" s="89"/>
      <c r="B564" s="89"/>
      <c r="C564" s="89"/>
      <c r="D564" s="91"/>
      <c r="E564" s="83"/>
      <c r="F564" s="83"/>
      <c r="G564" s="83"/>
      <c r="H564" s="83"/>
      <c r="I564" s="83"/>
      <c r="J564" s="83"/>
      <c r="K564" s="83"/>
      <c r="L564" s="83"/>
      <c r="M564" s="82"/>
      <c r="N564" s="82"/>
      <c r="O564" s="82"/>
      <c r="P564" s="82"/>
      <c r="Q564" s="82"/>
      <c r="R564" s="82"/>
      <c r="S564" s="82"/>
      <c r="T564" s="82"/>
      <c r="U564" s="32"/>
      <c r="V564" s="32"/>
      <c r="W564" s="32"/>
      <c r="X564" s="32"/>
    </row>
    <row r="565">
      <c r="A565" s="89"/>
      <c r="B565" s="89"/>
      <c r="C565" s="89"/>
      <c r="D565" s="91"/>
      <c r="E565" s="83"/>
      <c r="F565" s="83"/>
      <c r="G565" s="83"/>
      <c r="H565" s="83"/>
      <c r="I565" s="83"/>
      <c r="J565" s="83"/>
      <c r="K565" s="83"/>
      <c r="L565" s="83"/>
      <c r="M565" s="82"/>
      <c r="N565" s="82"/>
      <c r="O565" s="82"/>
      <c r="P565" s="82"/>
      <c r="Q565" s="82"/>
      <c r="R565" s="82"/>
      <c r="S565" s="82"/>
      <c r="T565" s="82"/>
      <c r="U565" s="32"/>
      <c r="V565" s="32"/>
      <c r="W565" s="32"/>
      <c r="X565" s="32"/>
    </row>
    <row r="566">
      <c r="A566" s="89"/>
      <c r="B566" s="89"/>
      <c r="C566" s="89"/>
      <c r="D566" s="91"/>
      <c r="E566" s="83"/>
      <c r="F566" s="83"/>
      <c r="G566" s="83"/>
      <c r="H566" s="83"/>
      <c r="I566" s="83"/>
      <c r="J566" s="83"/>
      <c r="K566" s="83"/>
      <c r="L566" s="83"/>
      <c r="M566" s="82"/>
      <c r="N566" s="82"/>
      <c r="O566" s="82"/>
      <c r="P566" s="82"/>
      <c r="Q566" s="82"/>
      <c r="R566" s="82"/>
      <c r="S566" s="82"/>
      <c r="T566" s="82"/>
      <c r="U566" s="32"/>
      <c r="V566" s="32"/>
      <c r="W566" s="32"/>
      <c r="X566" s="32"/>
    </row>
    <row r="567">
      <c r="A567" s="89"/>
      <c r="B567" s="89"/>
      <c r="C567" s="89"/>
      <c r="D567" s="91"/>
      <c r="E567" s="83"/>
      <c r="F567" s="83"/>
      <c r="G567" s="83"/>
      <c r="H567" s="83"/>
      <c r="I567" s="83"/>
      <c r="J567" s="83"/>
      <c r="K567" s="83"/>
      <c r="L567" s="83"/>
      <c r="M567" s="82"/>
      <c r="N567" s="82"/>
      <c r="O567" s="82"/>
      <c r="P567" s="82"/>
      <c r="Q567" s="82"/>
      <c r="R567" s="82"/>
      <c r="S567" s="82"/>
      <c r="T567" s="82"/>
      <c r="U567" s="32"/>
      <c r="V567" s="32"/>
      <c r="W567" s="32"/>
      <c r="X567" s="32"/>
    </row>
    <row r="568">
      <c r="A568" s="89"/>
      <c r="B568" s="89"/>
      <c r="C568" s="89"/>
      <c r="D568" s="91"/>
      <c r="E568" s="83"/>
      <c r="F568" s="83"/>
      <c r="G568" s="83"/>
      <c r="H568" s="83"/>
      <c r="I568" s="83"/>
      <c r="J568" s="83"/>
      <c r="K568" s="83"/>
      <c r="L568" s="83"/>
      <c r="M568" s="82"/>
      <c r="N568" s="82"/>
      <c r="O568" s="82"/>
      <c r="P568" s="82"/>
      <c r="Q568" s="82"/>
      <c r="R568" s="82"/>
      <c r="S568" s="82"/>
      <c r="T568" s="82"/>
      <c r="U568" s="32"/>
      <c r="V568" s="32"/>
      <c r="W568" s="32"/>
      <c r="X568" s="32"/>
    </row>
    <row r="569">
      <c r="A569" s="89"/>
      <c r="B569" s="89"/>
      <c r="C569" s="89"/>
      <c r="D569" s="91"/>
      <c r="E569" s="83"/>
      <c r="F569" s="83"/>
      <c r="G569" s="83"/>
      <c r="H569" s="83"/>
      <c r="I569" s="83"/>
      <c r="J569" s="83"/>
      <c r="K569" s="83"/>
      <c r="L569" s="83"/>
      <c r="M569" s="82"/>
      <c r="N569" s="82"/>
      <c r="O569" s="82"/>
      <c r="P569" s="82"/>
      <c r="Q569" s="82"/>
      <c r="R569" s="82"/>
      <c r="S569" s="82"/>
      <c r="T569" s="82"/>
      <c r="U569" s="32"/>
      <c r="V569" s="32"/>
      <c r="W569" s="32"/>
      <c r="X569" s="32"/>
    </row>
    <row r="570">
      <c r="A570" s="89"/>
      <c r="B570" s="89"/>
      <c r="C570" s="89"/>
      <c r="D570" s="91"/>
      <c r="E570" s="83"/>
      <c r="F570" s="83"/>
      <c r="G570" s="83"/>
      <c r="H570" s="83"/>
      <c r="I570" s="83"/>
      <c r="J570" s="83"/>
      <c r="K570" s="83"/>
      <c r="L570" s="83"/>
      <c r="M570" s="82"/>
      <c r="N570" s="82"/>
      <c r="O570" s="82"/>
      <c r="P570" s="82"/>
      <c r="Q570" s="82"/>
      <c r="R570" s="82"/>
      <c r="S570" s="82"/>
      <c r="T570" s="82"/>
      <c r="U570" s="32"/>
      <c r="V570" s="32"/>
      <c r="W570" s="32"/>
      <c r="X570" s="32"/>
    </row>
    <row r="571">
      <c r="A571" s="89"/>
      <c r="B571" s="89"/>
      <c r="C571" s="89"/>
      <c r="D571" s="91"/>
      <c r="E571" s="83"/>
      <c r="F571" s="83"/>
      <c r="G571" s="83"/>
      <c r="H571" s="83"/>
      <c r="I571" s="83"/>
      <c r="J571" s="83"/>
      <c r="K571" s="83"/>
      <c r="L571" s="83"/>
      <c r="M571" s="82"/>
      <c r="N571" s="82"/>
      <c r="O571" s="82"/>
      <c r="P571" s="82"/>
      <c r="Q571" s="82"/>
      <c r="R571" s="82"/>
      <c r="S571" s="82"/>
      <c r="T571" s="82"/>
      <c r="U571" s="32"/>
      <c r="V571" s="32"/>
      <c r="W571" s="32"/>
      <c r="X571" s="32"/>
    </row>
    <row r="572">
      <c r="A572" s="89"/>
      <c r="B572" s="89"/>
      <c r="C572" s="89"/>
      <c r="D572" s="91"/>
      <c r="E572" s="83"/>
      <c r="F572" s="83"/>
      <c r="G572" s="83"/>
      <c r="H572" s="83"/>
      <c r="I572" s="83"/>
      <c r="J572" s="83"/>
      <c r="K572" s="83"/>
      <c r="L572" s="83"/>
      <c r="M572" s="82"/>
      <c r="N572" s="82"/>
      <c r="O572" s="82"/>
      <c r="P572" s="82"/>
      <c r="Q572" s="82"/>
      <c r="R572" s="82"/>
      <c r="S572" s="82"/>
      <c r="T572" s="82"/>
      <c r="U572" s="32"/>
      <c r="V572" s="32"/>
      <c r="W572" s="32"/>
      <c r="X572" s="32"/>
    </row>
    <row r="573">
      <c r="A573" s="89"/>
      <c r="B573" s="89"/>
      <c r="C573" s="89"/>
      <c r="D573" s="91"/>
      <c r="E573" s="83"/>
      <c r="F573" s="83"/>
      <c r="G573" s="83"/>
      <c r="H573" s="83"/>
      <c r="I573" s="83"/>
      <c r="J573" s="83"/>
      <c r="K573" s="83"/>
      <c r="L573" s="83"/>
      <c r="M573" s="82"/>
      <c r="N573" s="82"/>
      <c r="O573" s="82"/>
      <c r="P573" s="82"/>
      <c r="Q573" s="82"/>
      <c r="R573" s="82"/>
      <c r="S573" s="82"/>
      <c r="T573" s="82"/>
      <c r="U573" s="32"/>
      <c r="V573" s="32"/>
      <c r="W573" s="32"/>
      <c r="X573" s="32"/>
    </row>
    <row r="574">
      <c r="A574" s="89"/>
      <c r="B574" s="89"/>
      <c r="C574" s="89"/>
      <c r="D574" s="91"/>
      <c r="E574" s="83"/>
      <c r="F574" s="83"/>
      <c r="G574" s="83"/>
      <c r="H574" s="83"/>
      <c r="I574" s="83"/>
      <c r="J574" s="83"/>
      <c r="K574" s="83"/>
      <c r="L574" s="83"/>
      <c r="M574" s="82"/>
      <c r="N574" s="82"/>
      <c r="O574" s="82"/>
      <c r="P574" s="82"/>
      <c r="Q574" s="82"/>
      <c r="R574" s="82"/>
      <c r="S574" s="82"/>
      <c r="T574" s="82"/>
      <c r="U574" s="32"/>
      <c r="V574" s="32"/>
      <c r="W574" s="32"/>
      <c r="X574" s="32"/>
    </row>
    <row r="575">
      <c r="A575" s="89"/>
      <c r="B575" s="89"/>
      <c r="C575" s="89"/>
      <c r="D575" s="91"/>
      <c r="E575" s="83"/>
      <c r="F575" s="83"/>
      <c r="G575" s="83"/>
      <c r="H575" s="83"/>
      <c r="I575" s="83"/>
      <c r="J575" s="83"/>
      <c r="K575" s="83"/>
      <c r="L575" s="83"/>
      <c r="M575" s="82"/>
      <c r="N575" s="82"/>
      <c r="O575" s="82"/>
      <c r="P575" s="82"/>
      <c r="Q575" s="82"/>
      <c r="R575" s="82"/>
      <c r="S575" s="82"/>
      <c r="T575" s="82"/>
      <c r="U575" s="32"/>
      <c r="V575" s="32"/>
      <c r="W575" s="32"/>
      <c r="X575" s="32"/>
    </row>
    <row r="576">
      <c r="A576" s="89"/>
      <c r="B576" s="89"/>
      <c r="C576" s="89"/>
      <c r="D576" s="91"/>
      <c r="E576" s="83"/>
      <c r="F576" s="83"/>
      <c r="G576" s="83"/>
      <c r="H576" s="83"/>
      <c r="I576" s="83"/>
      <c r="J576" s="83"/>
      <c r="K576" s="83"/>
      <c r="L576" s="83"/>
      <c r="M576" s="82"/>
      <c r="N576" s="82"/>
      <c r="O576" s="82"/>
      <c r="P576" s="82"/>
      <c r="Q576" s="82"/>
      <c r="R576" s="82"/>
      <c r="S576" s="82"/>
      <c r="T576" s="82"/>
      <c r="U576" s="32"/>
      <c r="V576" s="32"/>
      <c r="W576" s="32"/>
      <c r="X576" s="32"/>
    </row>
    <row r="577">
      <c r="A577" s="89"/>
      <c r="B577" s="89"/>
      <c r="C577" s="89"/>
      <c r="D577" s="91"/>
      <c r="E577" s="83"/>
      <c r="F577" s="83"/>
      <c r="G577" s="83"/>
      <c r="H577" s="83"/>
      <c r="I577" s="83"/>
      <c r="J577" s="83"/>
      <c r="K577" s="83"/>
      <c r="L577" s="83"/>
      <c r="M577" s="82"/>
      <c r="N577" s="82"/>
      <c r="O577" s="82"/>
      <c r="P577" s="82"/>
      <c r="Q577" s="82"/>
      <c r="R577" s="82"/>
      <c r="S577" s="82"/>
      <c r="T577" s="82"/>
      <c r="U577" s="32"/>
      <c r="V577" s="32"/>
      <c r="W577" s="32"/>
      <c r="X577" s="32"/>
    </row>
    <row r="578">
      <c r="A578" s="89"/>
      <c r="B578" s="89"/>
      <c r="C578" s="89"/>
      <c r="D578" s="91"/>
      <c r="E578" s="83"/>
      <c r="F578" s="83"/>
      <c r="G578" s="83"/>
      <c r="H578" s="83"/>
      <c r="I578" s="83"/>
      <c r="J578" s="83"/>
      <c r="K578" s="83"/>
      <c r="L578" s="83"/>
      <c r="M578" s="82"/>
      <c r="N578" s="82"/>
      <c r="O578" s="82"/>
      <c r="P578" s="82"/>
      <c r="Q578" s="82"/>
      <c r="R578" s="82"/>
      <c r="S578" s="82"/>
      <c r="T578" s="82"/>
      <c r="U578" s="32"/>
      <c r="V578" s="32"/>
      <c r="W578" s="32"/>
      <c r="X578" s="32"/>
    </row>
    <row r="579">
      <c r="A579" s="89"/>
      <c r="B579" s="89"/>
      <c r="C579" s="89"/>
      <c r="D579" s="91"/>
      <c r="E579" s="83"/>
      <c r="F579" s="83"/>
      <c r="G579" s="83"/>
      <c r="H579" s="83"/>
      <c r="I579" s="83"/>
      <c r="J579" s="83"/>
      <c r="K579" s="83"/>
      <c r="L579" s="83"/>
      <c r="M579" s="82"/>
      <c r="N579" s="82"/>
      <c r="O579" s="82"/>
      <c r="P579" s="82"/>
      <c r="Q579" s="82"/>
      <c r="R579" s="82"/>
      <c r="S579" s="82"/>
      <c r="T579" s="82"/>
      <c r="U579" s="32"/>
      <c r="V579" s="32"/>
      <c r="W579" s="32"/>
      <c r="X579" s="32"/>
    </row>
    <row r="580">
      <c r="A580" s="89"/>
      <c r="B580" s="89"/>
      <c r="C580" s="89"/>
      <c r="D580" s="91"/>
      <c r="E580" s="83"/>
      <c r="F580" s="83"/>
      <c r="G580" s="83"/>
      <c r="H580" s="83"/>
      <c r="I580" s="83"/>
      <c r="J580" s="83"/>
      <c r="K580" s="83"/>
      <c r="L580" s="83"/>
      <c r="M580" s="82"/>
      <c r="N580" s="82"/>
      <c r="O580" s="82"/>
      <c r="P580" s="82"/>
      <c r="Q580" s="82"/>
      <c r="R580" s="82"/>
      <c r="S580" s="82"/>
      <c r="T580" s="82"/>
      <c r="U580" s="32"/>
      <c r="V580" s="32"/>
      <c r="W580" s="32"/>
      <c r="X580" s="32"/>
    </row>
    <row r="581">
      <c r="A581" s="89"/>
      <c r="B581" s="89"/>
      <c r="C581" s="89"/>
      <c r="D581" s="91"/>
      <c r="E581" s="83"/>
      <c r="F581" s="83"/>
      <c r="G581" s="83"/>
      <c r="H581" s="83"/>
      <c r="I581" s="83"/>
      <c r="J581" s="83"/>
      <c r="K581" s="83"/>
      <c r="L581" s="83"/>
      <c r="M581" s="82"/>
      <c r="N581" s="82"/>
      <c r="O581" s="82"/>
      <c r="P581" s="82"/>
      <c r="Q581" s="82"/>
      <c r="R581" s="82"/>
      <c r="S581" s="82"/>
      <c r="T581" s="82"/>
      <c r="U581" s="32"/>
      <c r="V581" s="32"/>
      <c r="W581" s="32"/>
      <c r="X581" s="32"/>
    </row>
    <row r="582">
      <c r="A582" s="89"/>
      <c r="B582" s="89"/>
      <c r="C582" s="89"/>
      <c r="D582" s="91"/>
      <c r="E582" s="83"/>
      <c r="F582" s="83"/>
      <c r="G582" s="83"/>
      <c r="H582" s="83"/>
      <c r="I582" s="83"/>
      <c r="J582" s="83"/>
      <c r="K582" s="83"/>
      <c r="L582" s="83"/>
      <c r="M582" s="82"/>
      <c r="N582" s="82"/>
      <c r="O582" s="82"/>
      <c r="P582" s="82"/>
      <c r="Q582" s="82"/>
      <c r="R582" s="82"/>
      <c r="S582" s="82"/>
      <c r="T582" s="82"/>
      <c r="U582" s="32"/>
      <c r="V582" s="32"/>
      <c r="W582" s="32"/>
      <c r="X582" s="32"/>
    </row>
    <row r="583">
      <c r="A583" s="89"/>
      <c r="B583" s="89"/>
      <c r="C583" s="89"/>
      <c r="D583" s="91"/>
      <c r="E583" s="83"/>
      <c r="F583" s="83"/>
      <c r="G583" s="83"/>
      <c r="H583" s="83"/>
      <c r="I583" s="83"/>
      <c r="J583" s="83"/>
      <c r="K583" s="83"/>
      <c r="L583" s="83"/>
      <c r="M583" s="82"/>
      <c r="N583" s="82"/>
      <c r="O583" s="82"/>
      <c r="P583" s="82"/>
      <c r="Q583" s="82"/>
      <c r="R583" s="82"/>
      <c r="S583" s="82"/>
      <c r="T583" s="82"/>
      <c r="U583" s="32"/>
      <c r="V583" s="32"/>
      <c r="W583" s="32"/>
      <c r="X583" s="32"/>
    </row>
    <row r="584">
      <c r="A584" s="89"/>
      <c r="B584" s="89"/>
      <c r="C584" s="89"/>
      <c r="D584" s="91"/>
      <c r="E584" s="83"/>
      <c r="F584" s="83"/>
      <c r="G584" s="83"/>
      <c r="H584" s="83"/>
      <c r="I584" s="83"/>
      <c r="J584" s="83"/>
      <c r="K584" s="83"/>
      <c r="L584" s="83"/>
      <c r="M584" s="82"/>
      <c r="N584" s="82"/>
      <c r="O584" s="82"/>
      <c r="P584" s="82"/>
      <c r="Q584" s="82"/>
      <c r="R584" s="82"/>
      <c r="S584" s="82"/>
      <c r="T584" s="82"/>
      <c r="U584" s="32"/>
      <c r="V584" s="32"/>
      <c r="W584" s="32"/>
      <c r="X584" s="32"/>
    </row>
    <row r="585">
      <c r="A585" s="89"/>
      <c r="B585" s="89"/>
      <c r="C585" s="89"/>
      <c r="D585" s="91"/>
      <c r="E585" s="83"/>
      <c r="F585" s="83"/>
      <c r="G585" s="83"/>
      <c r="H585" s="83"/>
      <c r="I585" s="83"/>
      <c r="J585" s="83"/>
      <c r="K585" s="83"/>
      <c r="L585" s="83"/>
      <c r="M585" s="82"/>
      <c r="N585" s="82"/>
      <c r="O585" s="82"/>
      <c r="P585" s="82"/>
      <c r="Q585" s="82"/>
      <c r="R585" s="82"/>
      <c r="S585" s="82"/>
      <c r="T585" s="82"/>
      <c r="U585" s="32"/>
      <c r="V585" s="32"/>
      <c r="W585" s="32"/>
      <c r="X585" s="32"/>
    </row>
    <row r="586">
      <c r="A586" s="89"/>
      <c r="B586" s="89"/>
      <c r="C586" s="89"/>
      <c r="D586" s="91"/>
      <c r="E586" s="83"/>
      <c r="F586" s="83"/>
      <c r="G586" s="83"/>
      <c r="H586" s="83"/>
      <c r="I586" s="83"/>
      <c r="J586" s="83"/>
      <c r="K586" s="83"/>
      <c r="L586" s="83"/>
      <c r="M586" s="82"/>
      <c r="N586" s="82"/>
      <c r="O586" s="82"/>
      <c r="P586" s="82"/>
      <c r="Q586" s="82"/>
      <c r="R586" s="82"/>
      <c r="S586" s="82"/>
      <c r="T586" s="82"/>
      <c r="U586" s="32"/>
      <c r="V586" s="32"/>
      <c r="W586" s="32"/>
      <c r="X586" s="32"/>
    </row>
    <row r="587">
      <c r="A587" s="89"/>
      <c r="B587" s="89"/>
      <c r="C587" s="89"/>
      <c r="D587" s="91"/>
      <c r="E587" s="83"/>
      <c r="F587" s="83"/>
      <c r="G587" s="83"/>
      <c r="H587" s="83"/>
      <c r="I587" s="83"/>
      <c r="J587" s="83"/>
      <c r="K587" s="83"/>
      <c r="L587" s="83"/>
      <c r="M587" s="82"/>
      <c r="N587" s="82"/>
      <c r="O587" s="82"/>
      <c r="P587" s="82"/>
      <c r="Q587" s="82"/>
      <c r="R587" s="82"/>
      <c r="S587" s="82"/>
      <c r="T587" s="82"/>
      <c r="U587" s="32"/>
      <c r="V587" s="32"/>
      <c r="W587" s="32"/>
      <c r="X587" s="32"/>
    </row>
    <row r="588">
      <c r="A588" s="89"/>
      <c r="B588" s="89"/>
      <c r="C588" s="89"/>
      <c r="D588" s="91"/>
      <c r="E588" s="83"/>
      <c r="F588" s="83"/>
      <c r="G588" s="83"/>
      <c r="H588" s="83"/>
      <c r="I588" s="83"/>
      <c r="J588" s="83"/>
      <c r="K588" s="83"/>
      <c r="L588" s="83"/>
      <c r="M588" s="82"/>
      <c r="N588" s="82"/>
      <c r="O588" s="82"/>
      <c r="P588" s="82"/>
      <c r="Q588" s="82"/>
      <c r="R588" s="82"/>
      <c r="S588" s="82"/>
      <c r="T588" s="82"/>
      <c r="U588" s="32"/>
      <c r="V588" s="32"/>
      <c r="W588" s="32"/>
      <c r="X588" s="32"/>
    </row>
    <row r="589">
      <c r="A589" s="89"/>
      <c r="B589" s="89"/>
      <c r="C589" s="89"/>
      <c r="D589" s="91"/>
      <c r="E589" s="83"/>
      <c r="F589" s="83"/>
      <c r="G589" s="83"/>
      <c r="H589" s="83"/>
      <c r="I589" s="83"/>
      <c r="J589" s="83"/>
      <c r="K589" s="83"/>
      <c r="L589" s="83"/>
      <c r="M589" s="82"/>
      <c r="N589" s="82"/>
      <c r="O589" s="82"/>
      <c r="P589" s="82"/>
      <c r="Q589" s="82"/>
      <c r="R589" s="82"/>
      <c r="S589" s="82"/>
      <c r="T589" s="82"/>
      <c r="U589" s="32"/>
      <c r="V589" s="32"/>
      <c r="W589" s="32"/>
      <c r="X589" s="32"/>
    </row>
    <row r="590">
      <c r="A590" s="89"/>
      <c r="B590" s="89"/>
      <c r="C590" s="89"/>
      <c r="D590" s="91"/>
      <c r="E590" s="83"/>
      <c r="F590" s="83"/>
      <c r="G590" s="83"/>
      <c r="H590" s="83"/>
      <c r="I590" s="83"/>
      <c r="J590" s="83"/>
      <c r="K590" s="83"/>
      <c r="L590" s="83"/>
      <c r="M590" s="82"/>
      <c r="N590" s="82"/>
      <c r="O590" s="82"/>
      <c r="P590" s="82"/>
      <c r="Q590" s="82"/>
      <c r="R590" s="82"/>
      <c r="S590" s="82"/>
      <c r="T590" s="82"/>
      <c r="U590" s="32"/>
      <c r="V590" s="32"/>
      <c r="W590" s="32"/>
      <c r="X590" s="32"/>
    </row>
    <row r="591">
      <c r="A591" s="89"/>
      <c r="B591" s="89"/>
      <c r="C591" s="89"/>
      <c r="D591" s="91"/>
      <c r="E591" s="83"/>
      <c r="F591" s="83"/>
      <c r="G591" s="83"/>
      <c r="H591" s="83"/>
      <c r="I591" s="83"/>
      <c r="J591" s="83"/>
      <c r="K591" s="83"/>
      <c r="L591" s="83"/>
      <c r="M591" s="82"/>
      <c r="N591" s="82"/>
      <c r="O591" s="82"/>
      <c r="P591" s="82"/>
      <c r="Q591" s="82"/>
      <c r="R591" s="82"/>
      <c r="S591" s="82"/>
      <c r="T591" s="82"/>
      <c r="U591" s="32"/>
      <c r="V591" s="32"/>
      <c r="W591" s="32"/>
      <c r="X591" s="32"/>
    </row>
    <row r="592">
      <c r="A592" s="89"/>
      <c r="B592" s="89"/>
      <c r="C592" s="89"/>
      <c r="D592" s="91"/>
      <c r="E592" s="83"/>
      <c r="F592" s="83"/>
      <c r="G592" s="83"/>
      <c r="H592" s="83"/>
      <c r="I592" s="83"/>
      <c r="J592" s="83"/>
      <c r="K592" s="83"/>
      <c r="L592" s="83"/>
      <c r="M592" s="82"/>
      <c r="N592" s="82"/>
      <c r="O592" s="82"/>
      <c r="P592" s="82"/>
      <c r="Q592" s="82"/>
      <c r="R592" s="82"/>
      <c r="S592" s="82"/>
      <c r="T592" s="82"/>
      <c r="U592" s="32"/>
      <c r="V592" s="32"/>
      <c r="W592" s="32"/>
      <c r="X592" s="32"/>
    </row>
    <row r="593">
      <c r="A593" s="89"/>
      <c r="B593" s="89"/>
      <c r="C593" s="89"/>
      <c r="D593" s="91"/>
      <c r="E593" s="83"/>
      <c r="F593" s="83"/>
      <c r="G593" s="83"/>
      <c r="H593" s="83"/>
      <c r="I593" s="83"/>
      <c r="J593" s="83"/>
      <c r="K593" s="83"/>
      <c r="L593" s="83"/>
      <c r="M593" s="82"/>
      <c r="N593" s="82"/>
      <c r="O593" s="82"/>
      <c r="P593" s="82"/>
      <c r="Q593" s="82"/>
      <c r="R593" s="82"/>
      <c r="S593" s="82"/>
      <c r="T593" s="82"/>
      <c r="U593" s="32"/>
      <c r="V593" s="32"/>
      <c r="W593" s="32"/>
      <c r="X593" s="32"/>
    </row>
    <row r="594">
      <c r="A594" s="89"/>
      <c r="B594" s="89"/>
      <c r="C594" s="89"/>
      <c r="D594" s="91"/>
      <c r="E594" s="83"/>
      <c r="F594" s="83"/>
      <c r="G594" s="83"/>
      <c r="H594" s="83"/>
      <c r="I594" s="83"/>
      <c r="J594" s="83"/>
      <c r="K594" s="83"/>
      <c r="L594" s="83"/>
      <c r="M594" s="82"/>
      <c r="N594" s="82"/>
      <c r="O594" s="82"/>
      <c r="P594" s="82"/>
      <c r="Q594" s="82"/>
      <c r="R594" s="82"/>
      <c r="S594" s="82"/>
      <c r="T594" s="82"/>
      <c r="U594" s="32"/>
      <c r="V594" s="32"/>
      <c r="W594" s="32"/>
      <c r="X594" s="32"/>
    </row>
    <row r="595">
      <c r="A595" s="89"/>
      <c r="B595" s="89"/>
      <c r="C595" s="89"/>
      <c r="D595" s="91"/>
      <c r="E595" s="83"/>
      <c r="F595" s="83"/>
      <c r="G595" s="83"/>
      <c r="H595" s="83"/>
      <c r="I595" s="83"/>
      <c r="J595" s="83"/>
      <c r="K595" s="83"/>
      <c r="L595" s="83"/>
      <c r="M595" s="82"/>
      <c r="N595" s="82"/>
      <c r="O595" s="82"/>
      <c r="P595" s="82"/>
      <c r="Q595" s="82"/>
      <c r="R595" s="82"/>
      <c r="S595" s="82"/>
      <c r="T595" s="82"/>
      <c r="U595" s="32"/>
      <c r="V595" s="32"/>
      <c r="W595" s="32"/>
      <c r="X595" s="32"/>
    </row>
    <row r="596">
      <c r="A596" s="89"/>
      <c r="B596" s="89"/>
      <c r="C596" s="89"/>
      <c r="D596" s="91"/>
      <c r="E596" s="83"/>
      <c r="F596" s="83"/>
      <c r="G596" s="83"/>
      <c r="H596" s="83"/>
      <c r="I596" s="83"/>
      <c r="J596" s="83"/>
      <c r="K596" s="83"/>
      <c r="L596" s="83"/>
      <c r="M596" s="82"/>
      <c r="N596" s="82"/>
      <c r="O596" s="82"/>
      <c r="P596" s="82"/>
      <c r="Q596" s="82"/>
      <c r="R596" s="82"/>
      <c r="S596" s="82"/>
      <c r="T596" s="82"/>
      <c r="U596" s="32"/>
      <c r="V596" s="32"/>
      <c r="W596" s="32"/>
      <c r="X596" s="32"/>
    </row>
    <row r="597">
      <c r="A597" s="89"/>
      <c r="B597" s="89"/>
      <c r="C597" s="89"/>
      <c r="D597" s="91"/>
      <c r="E597" s="83"/>
      <c r="F597" s="83"/>
      <c r="G597" s="83"/>
      <c r="H597" s="83"/>
      <c r="I597" s="83"/>
      <c r="J597" s="83"/>
      <c r="K597" s="83"/>
      <c r="L597" s="83"/>
      <c r="M597" s="82"/>
      <c r="N597" s="82"/>
      <c r="O597" s="82"/>
      <c r="P597" s="82"/>
      <c r="Q597" s="82"/>
      <c r="R597" s="82"/>
      <c r="S597" s="82"/>
      <c r="T597" s="82"/>
      <c r="U597" s="32"/>
      <c r="V597" s="32"/>
      <c r="W597" s="32"/>
      <c r="X597" s="32"/>
    </row>
    <row r="598">
      <c r="A598" s="89"/>
      <c r="B598" s="89"/>
      <c r="C598" s="89"/>
      <c r="D598" s="91"/>
      <c r="E598" s="83"/>
      <c r="F598" s="83"/>
      <c r="G598" s="83"/>
      <c r="H598" s="83"/>
      <c r="I598" s="83"/>
      <c r="J598" s="83"/>
      <c r="K598" s="83"/>
      <c r="L598" s="83"/>
      <c r="M598" s="82"/>
      <c r="N598" s="82"/>
      <c r="O598" s="82"/>
      <c r="P598" s="82"/>
      <c r="Q598" s="82"/>
      <c r="R598" s="82"/>
      <c r="S598" s="82"/>
      <c r="T598" s="82"/>
      <c r="U598" s="32"/>
      <c r="V598" s="32"/>
      <c r="W598" s="32"/>
      <c r="X598" s="32"/>
    </row>
    <row r="599">
      <c r="A599" s="89"/>
      <c r="B599" s="89"/>
      <c r="C599" s="89"/>
      <c r="D599" s="91"/>
      <c r="E599" s="83"/>
      <c r="F599" s="83"/>
      <c r="G599" s="83"/>
      <c r="H599" s="83"/>
      <c r="I599" s="83"/>
      <c r="J599" s="83"/>
      <c r="K599" s="83"/>
      <c r="L599" s="83"/>
      <c r="M599" s="82"/>
      <c r="N599" s="82"/>
      <c r="O599" s="82"/>
      <c r="P599" s="82"/>
      <c r="Q599" s="82"/>
      <c r="R599" s="82"/>
      <c r="S599" s="82"/>
      <c r="T599" s="82"/>
      <c r="U599" s="32"/>
      <c r="V599" s="32"/>
      <c r="W599" s="32"/>
      <c r="X599" s="32"/>
    </row>
    <row r="600">
      <c r="A600" s="89"/>
      <c r="B600" s="89"/>
      <c r="C600" s="89"/>
      <c r="D600" s="91"/>
      <c r="E600" s="83"/>
      <c r="F600" s="83"/>
      <c r="G600" s="83"/>
      <c r="H600" s="83"/>
      <c r="I600" s="83"/>
      <c r="J600" s="83"/>
      <c r="K600" s="83"/>
      <c r="L600" s="83"/>
      <c r="M600" s="82"/>
      <c r="N600" s="82"/>
      <c r="O600" s="82"/>
      <c r="P600" s="82"/>
      <c r="Q600" s="82"/>
      <c r="R600" s="82"/>
      <c r="S600" s="82"/>
      <c r="T600" s="82"/>
      <c r="U600" s="32"/>
      <c r="V600" s="32"/>
      <c r="W600" s="32"/>
      <c r="X600" s="32"/>
    </row>
    <row r="601">
      <c r="A601" s="89"/>
      <c r="B601" s="89"/>
      <c r="C601" s="89"/>
      <c r="D601" s="91"/>
      <c r="E601" s="83"/>
      <c r="F601" s="83"/>
      <c r="G601" s="83"/>
      <c r="H601" s="83"/>
      <c r="I601" s="83"/>
      <c r="J601" s="83"/>
      <c r="K601" s="83"/>
      <c r="L601" s="83"/>
      <c r="M601" s="82"/>
      <c r="N601" s="82"/>
      <c r="O601" s="82"/>
      <c r="P601" s="82"/>
      <c r="Q601" s="82"/>
      <c r="R601" s="82"/>
      <c r="S601" s="82"/>
      <c r="T601" s="82"/>
      <c r="U601" s="32"/>
      <c r="V601" s="32"/>
      <c r="W601" s="32"/>
      <c r="X601" s="32"/>
    </row>
    <row r="602">
      <c r="A602" s="89"/>
      <c r="B602" s="89"/>
      <c r="C602" s="89"/>
      <c r="D602" s="91"/>
      <c r="E602" s="83"/>
      <c r="F602" s="83"/>
      <c r="G602" s="83"/>
      <c r="H602" s="83"/>
      <c r="I602" s="83"/>
      <c r="J602" s="83"/>
      <c r="K602" s="83"/>
      <c r="L602" s="83"/>
      <c r="M602" s="82"/>
      <c r="N602" s="82"/>
      <c r="O602" s="82"/>
      <c r="P602" s="82"/>
      <c r="Q602" s="82"/>
      <c r="R602" s="82"/>
      <c r="S602" s="82"/>
      <c r="T602" s="82"/>
      <c r="U602" s="32"/>
      <c r="V602" s="32"/>
      <c r="W602" s="32"/>
      <c r="X602" s="32"/>
    </row>
    <row r="603">
      <c r="A603" s="89"/>
      <c r="B603" s="89"/>
      <c r="C603" s="89"/>
      <c r="D603" s="91"/>
      <c r="E603" s="83"/>
      <c r="F603" s="83"/>
      <c r="G603" s="83"/>
      <c r="H603" s="83"/>
      <c r="I603" s="83"/>
      <c r="J603" s="83"/>
      <c r="K603" s="83"/>
      <c r="L603" s="83"/>
      <c r="M603" s="82"/>
      <c r="N603" s="82"/>
      <c r="O603" s="82"/>
      <c r="P603" s="82"/>
      <c r="Q603" s="82"/>
      <c r="R603" s="82"/>
      <c r="S603" s="82"/>
      <c r="T603" s="82"/>
      <c r="U603" s="32"/>
      <c r="V603" s="32"/>
      <c r="W603" s="32"/>
      <c r="X603" s="32"/>
    </row>
    <row r="604">
      <c r="A604" s="89"/>
      <c r="B604" s="89"/>
      <c r="C604" s="89"/>
      <c r="D604" s="91"/>
      <c r="E604" s="83"/>
      <c r="F604" s="83"/>
      <c r="G604" s="83"/>
      <c r="H604" s="83"/>
      <c r="I604" s="83"/>
      <c r="J604" s="83"/>
      <c r="K604" s="83"/>
      <c r="L604" s="83"/>
      <c r="M604" s="82"/>
      <c r="N604" s="82"/>
      <c r="O604" s="82"/>
      <c r="P604" s="82"/>
      <c r="Q604" s="82"/>
      <c r="R604" s="82"/>
      <c r="S604" s="82"/>
      <c r="T604" s="82"/>
      <c r="U604" s="32"/>
      <c r="V604" s="32"/>
      <c r="W604" s="32"/>
      <c r="X604" s="32"/>
    </row>
    <row r="605">
      <c r="A605" s="89"/>
      <c r="B605" s="89"/>
      <c r="C605" s="89"/>
      <c r="D605" s="91"/>
      <c r="E605" s="83"/>
      <c r="F605" s="83"/>
      <c r="G605" s="83"/>
      <c r="H605" s="83"/>
      <c r="I605" s="83"/>
      <c r="J605" s="83"/>
      <c r="K605" s="83"/>
      <c r="L605" s="83"/>
      <c r="M605" s="82"/>
      <c r="N605" s="82"/>
      <c r="O605" s="82"/>
      <c r="P605" s="82"/>
      <c r="Q605" s="82"/>
      <c r="R605" s="82"/>
      <c r="S605" s="82"/>
      <c r="T605" s="82"/>
      <c r="U605" s="32"/>
      <c r="V605" s="32"/>
      <c r="W605" s="32"/>
      <c r="X605" s="32"/>
    </row>
    <row r="606">
      <c r="A606" s="89"/>
      <c r="B606" s="89"/>
      <c r="C606" s="89"/>
      <c r="D606" s="91"/>
      <c r="E606" s="83"/>
      <c r="F606" s="83"/>
      <c r="G606" s="83"/>
      <c r="H606" s="83"/>
      <c r="I606" s="83"/>
      <c r="J606" s="83"/>
      <c r="K606" s="83"/>
      <c r="L606" s="83"/>
      <c r="M606" s="82"/>
      <c r="N606" s="82"/>
      <c r="O606" s="82"/>
      <c r="P606" s="82"/>
      <c r="Q606" s="82"/>
      <c r="R606" s="82"/>
      <c r="S606" s="82"/>
      <c r="T606" s="82"/>
      <c r="U606" s="32"/>
      <c r="V606" s="32"/>
      <c r="W606" s="32"/>
      <c r="X606" s="32"/>
    </row>
    <row r="607">
      <c r="A607" s="89"/>
      <c r="B607" s="89"/>
      <c r="C607" s="89"/>
      <c r="D607" s="91"/>
      <c r="E607" s="83"/>
      <c r="F607" s="83"/>
      <c r="G607" s="83"/>
      <c r="H607" s="83"/>
      <c r="I607" s="83"/>
      <c r="J607" s="83"/>
      <c r="K607" s="83"/>
      <c r="L607" s="83"/>
      <c r="M607" s="82"/>
      <c r="N607" s="82"/>
      <c r="O607" s="82"/>
      <c r="P607" s="82"/>
      <c r="Q607" s="82"/>
      <c r="R607" s="82"/>
      <c r="S607" s="82"/>
      <c r="T607" s="82"/>
      <c r="U607" s="32"/>
      <c r="V607" s="32"/>
      <c r="W607" s="32"/>
      <c r="X607" s="32"/>
    </row>
    <row r="608">
      <c r="A608" s="89"/>
      <c r="B608" s="89"/>
      <c r="C608" s="89"/>
      <c r="D608" s="91"/>
      <c r="E608" s="83"/>
      <c r="F608" s="83"/>
      <c r="G608" s="83"/>
      <c r="H608" s="83"/>
      <c r="I608" s="83"/>
      <c r="J608" s="83"/>
      <c r="K608" s="83"/>
      <c r="L608" s="83"/>
      <c r="M608" s="82"/>
      <c r="N608" s="82"/>
      <c r="O608" s="82"/>
      <c r="P608" s="82"/>
      <c r="Q608" s="82"/>
      <c r="R608" s="82"/>
      <c r="S608" s="82"/>
      <c r="T608" s="82"/>
      <c r="U608" s="32"/>
      <c r="V608" s="32"/>
      <c r="W608" s="32"/>
      <c r="X608" s="32"/>
    </row>
    <row r="609">
      <c r="A609" s="89"/>
      <c r="B609" s="89"/>
      <c r="C609" s="89"/>
      <c r="D609" s="91"/>
      <c r="E609" s="83"/>
      <c r="F609" s="83"/>
      <c r="G609" s="83"/>
      <c r="H609" s="83"/>
      <c r="I609" s="83"/>
      <c r="J609" s="83"/>
      <c r="K609" s="83"/>
      <c r="L609" s="83"/>
      <c r="M609" s="82"/>
      <c r="N609" s="82"/>
      <c r="O609" s="82"/>
      <c r="P609" s="82"/>
      <c r="Q609" s="82"/>
      <c r="R609" s="82"/>
      <c r="S609" s="82"/>
      <c r="T609" s="82"/>
      <c r="U609" s="32"/>
      <c r="V609" s="32"/>
      <c r="W609" s="32"/>
      <c r="X609" s="32"/>
    </row>
    <row r="610">
      <c r="A610" s="89"/>
      <c r="B610" s="89"/>
      <c r="C610" s="89"/>
      <c r="D610" s="91"/>
      <c r="E610" s="83"/>
      <c r="F610" s="83"/>
      <c r="G610" s="83"/>
      <c r="H610" s="83"/>
      <c r="I610" s="83"/>
      <c r="J610" s="83"/>
      <c r="K610" s="83"/>
      <c r="L610" s="83"/>
      <c r="M610" s="82"/>
      <c r="N610" s="82"/>
      <c r="O610" s="82"/>
      <c r="P610" s="82"/>
      <c r="Q610" s="82"/>
      <c r="R610" s="82"/>
      <c r="S610" s="82"/>
      <c r="T610" s="82"/>
      <c r="U610" s="32"/>
      <c r="V610" s="32"/>
      <c r="W610" s="32"/>
      <c r="X610" s="32"/>
    </row>
    <row r="611">
      <c r="A611" s="89"/>
      <c r="B611" s="89"/>
      <c r="C611" s="89"/>
      <c r="D611" s="91"/>
      <c r="E611" s="83"/>
      <c r="F611" s="83"/>
      <c r="G611" s="83"/>
      <c r="H611" s="83"/>
      <c r="I611" s="83"/>
      <c r="J611" s="83"/>
      <c r="K611" s="83"/>
      <c r="L611" s="83"/>
      <c r="M611" s="82"/>
      <c r="N611" s="82"/>
      <c r="O611" s="82"/>
      <c r="P611" s="82"/>
      <c r="Q611" s="82"/>
      <c r="R611" s="82"/>
      <c r="S611" s="82"/>
      <c r="T611" s="82"/>
      <c r="U611" s="32"/>
      <c r="V611" s="32"/>
      <c r="W611" s="32"/>
      <c r="X611" s="32"/>
    </row>
    <row r="612">
      <c r="A612" s="89"/>
      <c r="B612" s="89"/>
      <c r="C612" s="89"/>
      <c r="D612" s="91"/>
      <c r="E612" s="83"/>
      <c r="F612" s="83"/>
      <c r="G612" s="83"/>
      <c r="H612" s="83"/>
      <c r="I612" s="83"/>
      <c r="J612" s="83"/>
      <c r="K612" s="83"/>
      <c r="L612" s="83"/>
      <c r="M612" s="82"/>
      <c r="N612" s="82"/>
      <c r="O612" s="82"/>
      <c r="P612" s="82"/>
      <c r="Q612" s="82"/>
      <c r="R612" s="82"/>
      <c r="S612" s="82"/>
      <c r="T612" s="82"/>
      <c r="U612" s="32"/>
      <c r="V612" s="32"/>
      <c r="W612" s="32"/>
      <c r="X612" s="32"/>
    </row>
    <row r="613">
      <c r="A613" s="89"/>
      <c r="B613" s="89"/>
      <c r="C613" s="89"/>
      <c r="D613" s="91"/>
      <c r="E613" s="83"/>
      <c r="F613" s="83"/>
      <c r="G613" s="83"/>
      <c r="H613" s="83"/>
      <c r="I613" s="83"/>
      <c r="J613" s="83"/>
      <c r="K613" s="83"/>
      <c r="L613" s="83"/>
      <c r="M613" s="82"/>
      <c r="N613" s="82"/>
      <c r="O613" s="82"/>
      <c r="P613" s="82"/>
      <c r="Q613" s="82"/>
      <c r="R613" s="82"/>
      <c r="S613" s="82"/>
      <c r="T613" s="82"/>
      <c r="U613" s="32"/>
      <c r="V613" s="32"/>
      <c r="W613" s="32"/>
      <c r="X613" s="32"/>
    </row>
    <row r="614">
      <c r="A614" s="89"/>
      <c r="B614" s="89"/>
      <c r="C614" s="89"/>
      <c r="D614" s="91"/>
      <c r="E614" s="83"/>
      <c r="F614" s="83"/>
      <c r="G614" s="83"/>
      <c r="H614" s="83"/>
      <c r="I614" s="83"/>
      <c r="J614" s="83"/>
      <c r="K614" s="83"/>
      <c r="L614" s="83"/>
      <c r="M614" s="82"/>
      <c r="N614" s="82"/>
      <c r="O614" s="82"/>
      <c r="P614" s="82"/>
      <c r="Q614" s="82"/>
      <c r="R614" s="82"/>
      <c r="S614" s="82"/>
      <c r="T614" s="82"/>
      <c r="U614" s="32"/>
      <c r="V614" s="32"/>
      <c r="W614" s="32"/>
      <c r="X614" s="32"/>
    </row>
    <row r="615">
      <c r="A615" s="89"/>
      <c r="B615" s="89"/>
      <c r="C615" s="89"/>
      <c r="D615" s="91"/>
      <c r="E615" s="83"/>
      <c r="F615" s="83"/>
      <c r="G615" s="83"/>
      <c r="H615" s="83"/>
      <c r="I615" s="83"/>
      <c r="J615" s="83"/>
      <c r="K615" s="83"/>
      <c r="L615" s="83"/>
      <c r="M615" s="82"/>
      <c r="N615" s="82"/>
      <c r="O615" s="82"/>
      <c r="P615" s="82"/>
      <c r="Q615" s="82"/>
      <c r="R615" s="82"/>
      <c r="S615" s="82"/>
      <c r="T615" s="82"/>
      <c r="U615" s="32"/>
      <c r="V615" s="32"/>
      <c r="W615" s="32"/>
      <c r="X615" s="32"/>
    </row>
    <row r="616">
      <c r="A616" s="89"/>
      <c r="B616" s="89"/>
      <c r="C616" s="89"/>
      <c r="D616" s="91"/>
      <c r="E616" s="83"/>
      <c r="F616" s="83"/>
      <c r="G616" s="83"/>
      <c r="H616" s="83"/>
      <c r="I616" s="83"/>
      <c r="J616" s="83"/>
      <c r="K616" s="83"/>
      <c r="L616" s="83"/>
      <c r="M616" s="82"/>
      <c r="N616" s="82"/>
      <c r="O616" s="82"/>
      <c r="P616" s="82"/>
      <c r="Q616" s="82"/>
      <c r="R616" s="82"/>
      <c r="S616" s="82"/>
      <c r="T616" s="82"/>
      <c r="U616" s="32"/>
      <c r="V616" s="32"/>
      <c r="W616" s="32"/>
      <c r="X616" s="32"/>
    </row>
    <row r="617">
      <c r="A617" s="89"/>
      <c r="B617" s="89"/>
      <c r="C617" s="89"/>
      <c r="D617" s="91"/>
      <c r="E617" s="83"/>
      <c r="F617" s="83"/>
      <c r="G617" s="83"/>
      <c r="H617" s="83"/>
      <c r="I617" s="83"/>
      <c r="J617" s="83"/>
      <c r="K617" s="83"/>
      <c r="L617" s="83"/>
      <c r="M617" s="82"/>
      <c r="N617" s="82"/>
      <c r="O617" s="82"/>
      <c r="P617" s="82"/>
      <c r="Q617" s="82"/>
      <c r="R617" s="82"/>
      <c r="S617" s="82"/>
      <c r="T617" s="82"/>
      <c r="U617" s="32"/>
      <c r="V617" s="32"/>
      <c r="W617" s="32"/>
      <c r="X617" s="32"/>
    </row>
    <row r="618">
      <c r="A618" s="89"/>
      <c r="B618" s="89"/>
      <c r="C618" s="89"/>
      <c r="D618" s="91"/>
      <c r="E618" s="83"/>
      <c r="F618" s="83"/>
      <c r="G618" s="83"/>
      <c r="H618" s="83"/>
      <c r="I618" s="83"/>
      <c r="J618" s="83"/>
      <c r="K618" s="83"/>
      <c r="L618" s="83"/>
      <c r="M618" s="82"/>
      <c r="N618" s="82"/>
      <c r="O618" s="82"/>
      <c r="P618" s="82"/>
      <c r="Q618" s="82"/>
      <c r="R618" s="82"/>
      <c r="S618" s="82"/>
      <c r="T618" s="82"/>
      <c r="U618" s="32"/>
      <c r="V618" s="32"/>
      <c r="W618" s="32"/>
      <c r="X618" s="32"/>
    </row>
    <row r="619">
      <c r="A619" s="89"/>
      <c r="B619" s="89"/>
      <c r="C619" s="89"/>
      <c r="D619" s="91"/>
      <c r="E619" s="83"/>
      <c r="F619" s="83"/>
      <c r="G619" s="83"/>
      <c r="H619" s="83"/>
      <c r="I619" s="83"/>
      <c r="J619" s="83"/>
      <c r="K619" s="83"/>
      <c r="L619" s="83"/>
      <c r="M619" s="82"/>
      <c r="N619" s="82"/>
      <c r="O619" s="82"/>
      <c r="P619" s="82"/>
      <c r="Q619" s="82"/>
      <c r="R619" s="82"/>
      <c r="S619" s="82"/>
      <c r="T619" s="82"/>
      <c r="U619" s="32"/>
      <c r="V619" s="32"/>
      <c r="W619" s="32"/>
      <c r="X619" s="32"/>
    </row>
    <row r="620">
      <c r="A620" s="89"/>
      <c r="B620" s="89"/>
      <c r="C620" s="89"/>
      <c r="D620" s="91"/>
      <c r="E620" s="83"/>
      <c r="F620" s="83"/>
      <c r="G620" s="83"/>
      <c r="H620" s="83"/>
      <c r="I620" s="83"/>
      <c r="J620" s="83"/>
      <c r="K620" s="83"/>
      <c r="L620" s="83"/>
      <c r="M620" s="82"/>
      <c r="N620" s="82"/>
      <c r="O620" s="82"/>
      <c r="P620" s="82"/>
      <c r="Q620" s="82"/>
      <c r="R620" s="82"/>
      <c r="S620" s="82"/>
      <c r="T620" s="82"/>
      <c r="U620" s="32"/>
      <c r="V620" s="32"/>
      <c r="W620" s="32"/>
      <c r="X620" s="32"/>
    </row>
    <row r="621">
      <c r="A621" s="89"/>
      <c r="B621" s="89"/>
      <c r="C621" s="89"/>
      <c r="D621" s="91"/>
      <c r="E621" s="83"/>
      <c r="F621" s="83"/>
      <c r="G621" s="83"/>
      <c r="H621" s="83"/>
      <c r="I621" s="83"/>
      <c r="J621" s="83"/>
      <c r="K621" s="83"/>
      <c r="L621" s="83"/>
      <c r="M621" s="82"/>
      <c r="N621" s="82"/>
      <c r="O621" s="82"/>
      <c r="P621" s="82"/>
      <c r="Q621" s="82"/>
      <c r="R621" s="82"/>
      <c r="S621" s="82"/>
      <c r="T621" s="82"/>
      <c r="U621" s="32"/>
      <c r="V621" s="32"/>
      <c r="W621" s="32"/>
      <c r="X621" s="32"/>
    </row>
    <row r="622">
      <c r="A622" s="89"/>
      <c r="B622" s="89"/>
      <c r="C622" s="89"/>
      <c r="D622" s="91"/>
      <c r="E622" s="83"/>
      <c r="F622" s="83"/>
      <c r="G622" s="83"/>
      <c r="H622" s="83"/>
      <c r="I622" s="83"/>
      <c r="J622" s="83"/>
      <c r="K622" s="83"/>
      <c r="L622" s="83"/>
      <c r="M622" s="82"/>
      <c r="N622" s="82"/>
      <c r="O622" s="82"/>
      <c r="P622" s="82"/>
      <c r="Q622" s="82"/>
      <c r="R622" s="82"/>
      <c r="S622" s="82"/>
      <c r="T622" s="82"/>
      <c r="U622" s="32"/>
      <c r="V622" s="32"/>
      <c r="W622" s="32"/>
      <c r="X622" s="32"/>
    </row>
    <row r="623">
      <c r="A623" s="89"/>
      <c r="B623" s="89"/>
      <c r="C623" s="89"/>
      <c r="D623" s="91"/>
      <c r="E623" s="83"/>
      <c r="F623" s="83"/>
      <c r="G623" s="83"/>
      <c r="H623" s="83"/>
      <c r="I623" s="83"/>
      <c r="J623" s="83"/>
      <c r="K623" s="83"/>
      <c r="L623" s="83"/>
      <c r="M623" s="82"/>
      <c r="N623" s="82"/>
      <c r="O623" s="82"/>
      <c r="P623" s="82"/>
      <c r="Q623" s="82"/>
      <c r="R623" s="82"/>
      <c r="S623" s="82"/>
      <c r="T623" s="82"/>
      <c r="U623" s="32"/>
      <c r="V623" s="32"/>
      <c r="W623" s="32"/>
      <c r="X623" s="32"/>
    </row>
    <row r="624">
      <c r="A624" s="89"/>
      <c r="B624" s="89"/>
      <c r="C624" s="89"/>
      <c r="D624" s="91"/>
      <c r="E624" s="83"/>
      <c r="F624" s="83"/>
      <c r="G624" s="83"/>
      <c r="H624" s="83"/>
      <c r="I624" s="83"/>
      <c r="J624" s="83"/>
      <c r="K624" s="83"/>
      <c r="L624" s="83"/>
      <c r="M624" s="82"/>
      <c r="N624" s="82"/>
      <c r="O624" s="82"/>
      <c r="P624" s="82"/>
      <c r="Q624" s="82"/>
      <c r="R624" s="82"/>
      <c r="S624" s="82"/>
      <c r="T624" s="82"/>
      <c r="U624" s="32"/>
      <c r="V624" s="32"/>
      <c r="W624" s="32"/>
      <c r="X624" s="32"/>
    </row>
    <row r="625">
      <c r="A625" s="89"/>
      <c r="B625" s="89"/>
      <c r="C625" s="89"/>
      <c r="D625" s="91"/>
      <c r="E625" s="83"/>
      <c r="F625" s="83"/>
      <c r="G625" s="83"/>
      <c r="H625" s="83"/>
      <c r="I625" s="83"/>
      <c r="J625" s="83"/>
      <c r="K625" s="83"/>
      <c r="L625" s="83"/>
      <c r="M625" s="82"/>
      <c r="N625" s="82"/>
      <c r="O625" s="82"/>
      <c r="P625" s="82"/>
      <c r="Q625" s="82"/>
      <c r="R625" s="82"/>
      <c r="S625" s="82"/>
      <c r="T625" s="82"/>
      <c r="U625" s="32"/>
      <c r="V625" s="32"/>
      <c r="W625" s="32"/>
      <c r="X625" s="32"/>
    </row>
    <row r="626">
      <c r="A626" s="89"/>
      <c r="B626" s="89"/>
      <c r="C626" s="89"/>
      <c r="D626" s="91"/>
      <c r="E626" s="83"/>
      <c r="F626" s="83"/>
      <c r="G626" s="83"/>
      <c r="H626" s="83"/>
      <c r="I626" s="83"/>
      <c r="J626" s="83"/>
      <c r="K626" s="83"/>
      <c r="L626" s="83"/>
      <c r="M626" s="82"/>
      <c r="N626" s="82"/>
      <c r="O626" s="82"/>
      <c r="P626" s="82"/>
      <c r="Q626" s="82"/>
      <c r="R626" s="82"/>
      <c r="S626" s="82"/>
      <c r="T626" s="82"/>
      <c r="U626" s="32"/>
      <c r="V626" s="32"/>
      <c r="W626" s="32"/>
      <c r="X626" s="32"/>
    </row>
    <row r="627">
      <c r="A627" s="89"/>
      <c r="B627" s="89"/>
      <c r="C627" s="89"/>
      <c r="D627" s="91"/>
      <c r="E627" s="83"/>
      <c r="F627" s="83"/>
      <c r="G627" s="83"/>
      <c r="H627" s="83"/>
      <c r="I627" s="83"/>
      <c r="J627" s="83"/>
      <c r="K627" s="83"/>
      <c r="L627" s="83"/>
      <c r="M627" s="82"/>
      <c r="N627" s="82"/>
      <c r="O627" s="82"/>
      <c r="P627" s="82"/>
      <c r="Q627" s="82"/>
      <c r="R627" s="82"/>
      <c r="S627" s="82"/>
      <c r="T627" s="82"/>
      <c r="U627" s="32"/>
      <c r="V627" s="32"/>
      <c r="W627" s="32"/>
      <c r="X627" s="32"/>
    </row>
    <row r="628">
      <c r="A628" s="89"/>
      <c r="B628" s="89"/>
      <c r="C628" s="89"/>
      <c r="D628" s="91"/>
      <c r="E628" s="83"/>
      <c r="F628" s="83"/>
      <c r="G628" s="83"/>
      <c r="H628" s="83"/>
      <c r="I628" s="83"/>
      <c r="J628" s="83"/>
      <c r="K628" s="83"/>
      <c r="L628" s="83"/>
      <c r="M628" s="82"/>
      <c r="N628" s="82"/>
      <c r="O628" s="82"/>
      <c r="P628" s="82"/>
      <c r="Q628" s="82"/>
      <c r="R628" s="82"/>
      <c r="S628" s="82"/>
      <c r="T628" s="82"/>
      <c r="U628" s="32"/>
      <c r="V628" s="32"/>
      <c r="W628" s="32"/>
      <c r="X628" s="32"/>
    </row>
    <row r="629">
      <c r="A629" s="89"/>
      <c r="B629" s="89"/>
      <c r="C629" s="89"/>
      <c r="D629" s="91"/>
      <c r="E629" s="83"/>
      <c r="F629" s="83"/>
      <c r="G629" s="83"/>
      <c r="H629" s="83"/>
      <c r="I629" s="83"/>
      <c r="J629" s="83"/>
      <c r="K629" s="83"/>
      <c r="L629" s="83"/>
      <c r="M629" s="82"/>
      <c r="N629" s="82"/>
      <c r="O629" s="82"/>
      <c r="P629" s="82"/>
      <c r="Q629" s="82"/>
      <c r="R629" s="82"/>
      <c r="S629" s="82"/>
      <c r="T629" s="82"/>
      <c r="U629" s="32"/>
      <c r="V629" s="32"/>
      <c r="W629" s="32"/>
      <c r="X629" s="32"/>
    </row>
    <row r="630">
      <c r="A630" s="89"/>
      <c r="B630" s="89"/>
      <c r="C630" s="89"/>
      <c r="D630" s="91"/>
      <c r="E630" s="83"/>
      <c r="F630" s="83"/>
      <c r="G630" s="83"/>
      <c r="H630" s="83"/>
      <c r="I630" s="83"/>
      <c r="J630" s="83"/>
      <c r="K630" s="83"/>
      <c r="L630" s="83"/>
      <c r="M630" s="82"/>
      <c r="N630" s="82"/>
      <c r="O630" s="82"/>
      <c r="P630" s="82"/>
      <c r="Q630" s="82"/>
      <c r="R630" s="82"/>
      <c r="S630" s="82"/>
      <c r="T630" s="82"/>
      <c r="U630" s="32"/>
      <c r="V630" s="32"/>
      <c r="W630" s="32"/>
      <c r="X630" s="32"/>
    </row>
    <row r="631">
      <c r="A631" s="89"/>
      <c r="B631" s="89"/>
      <c r="C631" s="89"/>
      <c r="D631" s="91"/>
      <c r="E631" s="83"/>
      <c r="F631" s="83"/>
      <c r="G631" s="83"/>
      <c r="H631" s="83"/>
      <c r="I631" s="83"/>
      <c r="J631" s="83"/>
      <c r="K631" s="83"/>
      <c r="L631" s="83"/>
      <c r="M631" s="82"/>
      <c r="N631" s="82"/>
      <c r="O631" s="82"/>
      <c r="P631" s="82"/>
      <c r="Q631" s="82"/>
      <c r="R631" s="82"/>
      <c r="S631" s="82"/>
      <c r="T631" s="82"/>
      <c r="U631" s="32"/>
      <c r="V631" s="32"/>
      <c r="W631" s="32"/>
      <c r="X631" s="32"/>
    </row>
    <row r="632">
      <c r="A632" s="89"/>
      <c r="B632" s="89"/>
      <c r="C632" s="89"/>
      <c r="D632" s="91"/>
      <c r="E632" s="83"/>
      <c r="F632" s="83"/>
      <c r="G632" s="83"/>
      <c r="H632" s="83"/>
      <c r="I632" s="83"/>
      <c r="J632" s="83"/>
      <c r="K632" s="83"/>
      <c r="L632" s="83"/>
      <c r="M632" s="82"/>
      <c r="N632" s="82"/>
      <c r="O632" s="82"/>
      <c r="P632" s="82"/>
      <c r="Q632" s="82"/>
      <c r="R632" s="82"/>
      <c r="S632" s="82"/>
      <c r="T632" s="82"/>
      <c r="U632" s="32"/>
      <c r="V632" s="32"/>
      <c r="W632" s="32"/>
      <c r="X632" s="32"/>
    </row>
    <row r="633">
      <c r="A633" s="89"/>
      <c r="B633" s="89"/>
      <c r="C633" s="89"/>
      <c r="D633" s="91"/>
      <c r="E633" s="83"/>
      <c r="F633" s="83"/>
      <c r="G633" s="83"/>
      <c r="H633" s="83"/>
      <c r="I633" s="83"/>
      <c r="J633" s="83"/>
      <c r="K633" s="83"/>
      <c r="L633" s="83"/>
      <c r="M633" s="82"/>
      <c r="N633" s="82"/>
      <c r="O633" s="82"/>
      <c r="P633" s="82"/>
      <c r="Q633" s="82"/>
      <c r="R633" s="82"/>
      <c r="S633" s="82"/>
      <c r="T633" s="82"/>
      <c r="U633" s="32"/>
      <c r="V633" s="32"/>
      <c r="W633" s="32"/>
      <c r="X633" s="32"/>
    </row>
    <row r="634">
      <c r="A634" s="89"/>
      <c r="B634" s="89"/>
      <c r="C634" s="89"/>
      <c r="D634" s="91"/>
      <c r="E634" s="83"/>
      <c r="F634" s="83"/>
      <c r="G634" s="83"/>
      <c r="H634" s="83"/>
      <c r="I634" s="83"/>
      <c r="J634" s="83"/>
      <c r="K634" s="83"/>
      <c r="L634" s="83"/>
      <c r="M634" s="82"/>
      <c r="N634" s="82"/>
      <c r="O634" s="82"/>
      <c r="P634" s="82"/>
      <c r="Q634" s="82"/>
      <c r="R634" s="82"/>
      <c r="S634" s="82"/>
      <c r="T634" s="82"/>
      <c r="U634" s="32"/>
      <c r="V634" s="32"/>
      <c r="W634" s="32"/>
      <c r="X634" s="32"/>
    </row>
    <row r="635">
      <c r="A635" s="89"/>
      <c r="B635" s="89"/>
      <c r="C635" s="89"/>
      <c r="D635" s="91"/>
      <c r="E635" s="83"/>
      <c r="F635" s="83"/>
      <c r="G635" s="83"/>
      <c r="H635" s="83"/>
      <c r="I635" s="83"/>
      <c r="J635" s="83"/>
      <c r="K635" s="83"/>
      <c r="L635" s="83"/>
      <c r="M635" s="82"/>
      <c r="N635" s="82"/>
      <c r="O635" s="82"/>
      <c r="P635" s="82"/>
      <c r="Q635" s="82"/>
      <c r="R635" s="82"/>
      <c r="S635" s="82"/>
      <c r="T635" s="82"/>
      <c r="U635" s="32"/>
      <c r="V635" s="32"/>
      <c r="W635" s="32"/>
      <c r="X635" s="32"/>
    </row>
    <row r="636">
      <c r="A636" s="89"/>
      <c r="B636" s="89"/>
      <c r="C636" s="89"/>
      <c r="D636" s="91"/>
      <c r="E636" s="83"/>
      <c r="F636" s="83"/>
      <c r="G636" s="83"/>
      <c r="H636" s="83"/>
      <c r="I636" s="83"/>
      <c r="J636" s="83"/>
      <c r="K636" s="83"/>
      <c r="L636" s="83"/>
      <c r="M636" s="82"/>
      <c r="N636" s="82"/>
      <c r="O636" s="82"/>
      <c r="P636" s="82"/>
      <c r="Q636" s="82"/>
      <c r="R636" s="82"/>
      <c r="S636" s="82"/>
      <c r="T636" s="82"/>
      <c r="U636" s="32"/>
      <c r="V636" s="32"/>
      <c r="W636" s="32"/>
      <c r="X636" s="32"/>
    </row>
    <row r="637">
      <c r="A637" s="89"/>
      <c r="B637" s="89"/>
      <c r="C637" s="89"/>
      <c r="D637" s="91"/>
      <c r="E637" s="83"/>
      <c r="F637" s="83"/>
      <c r="G637" s="83"/>
      <c r="H637" s="83"/>
      <c r="I637" s="83"/>
      <c r="J637" s="83"/>
      <c r="K637" s="83"/>
      <c r="L637" s="83"/>
      <c r="M637" s="82"/>
      <c r="N637" s="82"/>
      <c r="O637" s="82"/>
      <c r="P637" s="82"/>
      <c r="Q637" s="82"/>
      <c r="R637" s="82"/>
      <c r="S637" s="82"/>
      <c r="T637" s="82"/>
      <c r="U637" s="32"/>
      <c r="V637" s="32"/>
      <c r="W637" s="32"/>
      <c r="X637" s="32"/>
    </row>
    <row r="638">
      <c r="A638" s="89"/>
      <c r="B638" s="89"/>
      <c r="C638" s="89"/>
      <c r="D638" s="91"/>
      <c r="E638" s="83"/>
      <c r="F638" s="83"/>
      <c r="G638" s="83"/>
      <c r="H638" s="83"/>
      <c r="I638" s="83"/>
      <c r="J638" s="83"/>
      <c r="K638" s="83"/>
      <c r="L638" s="83"/>
      <c r="M638" s="82"/>
      <c r="N638" s="82"/>
      <c r="O638" s="82"/>
      <c r="P638" s="82"/>
      <c r="Q638" s="82"/>
      <c r="R638" s="82"/>
      <c r="S638" s="82"/>
      <c r="T638" s="82"/>
      <c r="U638" s="32"/>
      <c r="V638" s="32"/>
      <c r="W638" s="32"/>
      <c r="X638" s="32"/>
    </row>
    <row r="639">
      <c r="A639" s="89"/>
      <c r="B639" s="89"/>
      <c r="C639" s="89"/>
      <c r="D639" s="91"/>
      <c r="E639" s="83"/>
      <c r="F639" s="83"/>
      <c r="G639" s="83"/>
      <c r="H639" s="83"/>
      <c r="I639" s="83"/>
      <c r="J639" s="83"/>
      <c r="K639" s="83"/>
      <c r="L639" s="83"/>
      <c r="M639" s="82"/>
      <c r="N639" s="82"/>
      <c r="O639" s="82"/>
      <c r="P639" s="82"/>
      <c r="Q639" s="82"/>
      <c r="R639" s="82"/>
      <c r="S639" s="82"/>
      <c r="T639" s="82"/>
      <c r="U639" s="32"/>
      <c r="V639" s="32"/>
      <c r="W639" s="32"/>
      <c r="X639" s="32"/>
    </row>
    <row r="640">
      <c r="A640" s="89"/>
      <c r="B640" s="89"/>
      <c r="C640" s="89"/>
      <c r="D640" s="91"/>
      <c r="E640" s="83"/>
      <c r="F640" s="83"/>
      <c r="G640" s="83"/>
      <c r="H640" s="83"/>
      <c r="I640" s="83"/>
      <c r="J640" s="83"/>
      <c r="K640" s="83"/>
      <c r="L640" s="83"/>
      <c r="M640" s="82"/>
      <c r="N640" s="82"/>
      <c r="O640" s="82"/>
      <c r="P640" s="82"/>
      <c r="Q640" s="82"/>
      <c r="R640" s="82"/>
      <c r="S640" s="82"/>
      <c r="T640" s="82"/>
      <c r="U640" s="32"/>
      <c r="V640" s="32"/>
      <c r="W640" s="32"/>
      <c r="X640" s="32"/>
    </row>
    <row r="641">
      <c r="A641" s="89"/>
      <c r="B641" s="89"/>
      <c r="C641" s="89"/>
      <c r="D641" s="91"/>
      <c r="E641" s="83"/>
      <c r="F641" s="83"/>
      <c r="G641" s="83"/>
      <c r="H641" s="83"/>
      <c r="I641" s="83"/>
      <c r="J641" s="83"/>
      <c r="K641" s="83"/>
      <c r="L641" s="83"/>
      <c r="M641" s="82"/>
      <c r="N641" s="82"/>
      <c r="O641" s="82"/>
      <c r="P641" s="82"/>
      <c r="Q641" s="82"/>
      <c r="R641" s="82"/>
      <c r="S641" s="82"/>
      <c r="T641" s="82"/>
      <c r="U641" s="32"/>
      <c r="V641" s="32"/>
      <c r="W641" s="32"/>
      <c r="X641" s="32"/>
    </row>
    <row r="642">
      <c r="A642" s="89"/>
      <c r="B642" s="89"/>
      <c r="C642" s="89"/>
      <c r="D642" s="91"/>
      <c r="E642" s="83"/>
      <c r="F642" s="83"/>
      <c r="G642" s="83"/>
      <c r="H642" s="83"/>
      <c r="I642" s="83"/>
      <c r="J642" s="83"/>
      <c r="K642" s="83"/>
      <c r="L642" s="83"/>
      <c r="M642" s="82"/>
      <c r="N642" s="82"/>
      <c r="O642" s="82"/>
      <c r="P642" s="82"/>
      <c r="Q642" s="82"/>
      <c r="R642" s="82"/>
      <c r="S642" s="82"/>
      <c r="T642" s="82"/>
      <c r="U642" s="32"/>
      <c r="V642" s="32"/>
      <c r="W642" s="32"/>
      <c r="X642" s="32"/>
    </row>
    <row r="643">
      <c r="A643" s="89"/>
      <c r="B643" s="89"/>
      <c r="C643" s="89"/>
      <c r="D643" s="91"/>
      <c r="E643" s="83"/>
      <c r="F643" s="83"/>
      <c r="G643" s="83"/>
      <c r="H643" s="83"/>
      <c r="I643" s="83"/>
      <c r="J643" s="83"/>
      <c r="K643" s="83"/>
      <c r="L643" s="83"/>
      <c r="M643" s="82"/>
      <c r="N643" s="82"/>
      <c r="O643" s="82"/>
      <c r="P643" s="82"/>
      <c r="Q643" s="82"/>
      <c r="R643" s="82"/>
      <c r="S643" s="82"/>
      <c r="T643" s="82"/>
      <c r="U643" s="32"/>
      <c r="V643" s="32"/>
      <c r="W643" s="32"/>
      <c r="X643" s="32"/>
    </row>
    <row r="644">
      <c r="A644" s="89"/>
      <c r="B644" s="89"/>
      <c r="C644" s="89"/>
      <c r="D644" s="91"/>
      <c r="E644" s="83"/>
      <c r="F644" s="83"/>
      <c r="G644" s="83"/>
      <c r="H644" s="83"/>
      <c r="I644" s="83"/>
      <c r="J644" s="83"/>
      <c r="K644" s="83"/>
      <c r="L644" s="83"/>
      <c r="M644" s="82"/>
      <c r="N644" s="82"/>
      <c r="O644" s="82"/>
      <c r="P644" s="82"/>
      <c r="Q644" s="82"/>
      <c r="R644" s="82"/>
      <c r="S644" s="82"/>
      <c r="T644" s="82"/>
      <c r="U644" s="32"/>
      <c r="V644" s="32"/>
      <c r="W644" s="32"/>
      <c r="X644" s="32"/>
    </row>
    <row r="645">
      <c r="A645" s="89"/>
      <c r="B645" s="89"/>
      <c r="C645" s="89"/>
      <c r="D645" s="91"/>
      <c r="E645" s="83"/>
      <c r="F645" s="83"/>
      <c r="G645" s="83"/>
      <c r="H645" s="83"/>
      <c r="I645" s="83"/>
      <c r="J645" s="83"/>
      <c r="K645" s="83"/>
      <c r="L645" s="83"/>
      <c r="M645" s="82"/>
      <c r="N645" s="82"/>
      <c r="O645" s="82"/>
      <c r="P645" s="82"/>
      <c r="Q645" s="82"/>
      <c r="R645" s="82"/>
      <c r="S645" s="82"/>
      <c r="T645" s="82"/>
      <c r="U645" s="32"/>
      <c r="V645" s="32"/>
      <c r="W645" s="32"/>
      <c r="X645" s="32"/>
    </row>
    <row r="646">
      <c r="A646" s="89"/>
      <c r="B646" s="89"/>
      <c r="C646" s="89"/>
      <c r="D646" s="91"/>
      <c r="E646" s="83"/>
      <c r="F646" s="83"/>
      <c r="G646" s="83"/>
      <c r="H646" s="83"/>
      <c r="I646" s="83"/>
      <c r="J646" s="83"/>
      <c r="K646" s="83"/>
      <c r="L646" s="83"/>
      <c r="M646" s="82"/>
      <c r="N646" s="82"/>
      <c r="O646" s="82"/>
      <c r="P646" s="82"/>
      <c r="Q646" s="82"/>
      <c r="R646" s="82"/>
      <c r="S646" s="82"/>
      <c r="T646" s="82"/>
      <c r="U646" s="32"/>
      <c r="V646" s="32"/>
      <c r="W646" s="32"/>
      <c r="X646" s="32"/>
    </row>
    <row r="647">
      <c r="A647" s="89"/>
      <c r="B647" s="89"/>
      <c r="C647" s="89"/>
      <c r="D647" s="91"/>
      <c r="E647" s="83"/>
      <c r="F647" s="83"/>
      <c r="G647" s="83"/>
      <c r="H647" s="83"/>
      <c r="I647" s="83"/>
      <c r="J647" s="83"/>
      <c r="K647" s="83"/>
      <c r="L647" s="83"/>
      <c r="M647" s="82"/>
      <c r="N647" s="82"/>
      <c r="O647" s="82"/>
      <c r="P647" s="82"/>
      <c r="Q647" s="82"/>
      <c r="R647" s="82"/>
      <c r="S647" s="82"/>
      <c r="T647" s="82"/>
      <c r="U647" s="32"/>
      <c r="V647" s="32"/>
      <c r="W647" s="32"/>
      <c r="X647" s="32"/>
    </row>
    <row r="648">
      <c r="A648" s="89"/>
      <c r="B648" s="89"/>
      <c r="C648" s="89"/>
      <c r="D648" s="91"/>
      <c r="E648" s="83"/>
      <c r="F648" s="83"/>
      <c r="G648" s="83"/>
      <c r="H648" s="83"/>
      <c r="I648" s="83"/>
      <c r="J648" s="83"/>
      <c r="K648" s="83"/>
      <c r="L648" s="83"/>
      <c r="M648" s="82"/>
      <c r="N648" s="82"/>
      <c r="O648" s="82"/>
      <c r="P648" s="82"/>
      <c r="Q648" s="82"/>
      <c r="R648" s="82"/>
      <c r="S648" s="82"/>
      <c r="T648" s="82"/>
      <c r="U648" s="32"/>
      <c r="V648" s="32"/>
      <c r="W648" s="32"/>
      <c r="X648" s="32"/>
    </row>
    <row r="649">
      <c r="A649" s="89"/>
      <c r="B649" s="89"/>
      <c r="C649" s="89"/>
      <c r="D649" s="91"/>
      <c r="E649" s="83"/>
      <c r="F649" s="83"/>
      <c r="G649" s="83"/>
      <c r="H649" s="83"/>
      <c r="I649" s="83"/>
      <c r="J649" s="83"/>
      <c r="K649" s="83"/>
      <c r="L649" s="83"/>
      <c r="M649" s="82"/>
      <c r="N649" s="82"/>
      <c r="O649" s="82"/>
      <c r="P649" s="82"/>
      <c r="Q649" s="82"/>
      <c r="R649" s="82"/>
      <c r="S649" s="82"/>
      <c r="T649" s="82"/>
      <c r="U649" s="32"/>
      <c r="V649" s="32"/>
      <c r="W649" s="32"/>
      <c r="X649" s="32"/>
    </row>
    <row r="650">
      <c r="A650" s="89"/>
      <c r="B650" s="89"/>
      <c r="C650" s="89"/>
      <c r="D650" s="91"/>
      <c r="E650" s="83"/>
      <c r="F650" s="83"/>
      <c r="G650" s="83"/>
      <c r="H650" s="83"/>
      <c r="I650" s="83"/>
      <c r="J650" s="83"/>
      <c r="K650" s="83"/>
      <c r="L650" s="83"/>
      <c r="M650" s="82"/>
      <c r="N650" s="82"/>
      <c r="O650" s="82"/>
      <c r="P650" s="82"/>
      <c r="Q650" s="82"/>
      <c r="R650" s="82"/>
      <c r="S650" s="82"/>
      <c r="T650" s="82"/>
      <c r="U650" s="32"/>
      <c r="V650" s="32"/>
      <c r="W650" s="32"/>
      <c r="X650" s="32"/>
    </row>
    <row r="651">
      <c r="A651" s="89"/>
      <c r="B651" s="89"/>
      <c r="C651" s="89"/>
      <c r="D651" s="91"/>
      <c r="E651" s="83"/>
      <c r="F651" s="83"/>
      <c r="G651" s="83"/>
      <c r="H651" s="83"/>
      <c r="I651" s="83"/>
      <c r="J651" s="83"/>
      <c r="K651" s="83"/>
      <c r="L651" s="83"/>
      <c r="M651" s="82"/>
      <c r="N651" s="82"/>
      <c r="O651" s="82"/>
      <c r="P651" s="82"/>
      <c r="Q651" s="82"/>
      <c r="R651" s="82"/>
      <c r="S651" s="82"/>
      <c r="T651" s="82"/>
      <c r="U651" s="32"/>
      <c r="V651" s="32"/>
      <c r="W651" s="32"/>
      <c r="X651" s="32"/>
    </row>
    <row r="652">
      <c r="A652" s="89"/>
      <c r="B652" s="89"/>
      <c r="C652" s="89"/>
      <c r="D652" s="91"/>
      <c r="E652" s="83"/>
      <c r="F652" s="83"/>
      <c r="G652" s="83"/>
      <c r="H652" s="83"/>
      <c r="I652" s="83"/>
      <c r="J652" s="83"/>
      <c r="K652" s="83"/>
      <c r="L652" s="83"/>
      <c r="M652" s="82"/>
      <c r="N652" s="82"/>
      <c r="O652" s="82"/>
      <c r="P652" s="82"/>
      <c r="Q652" s="82"/>
      <c r="R652" s="82"/>
      <c r="S652" s="82"/>
      <c r="T652" s="82"/>
      <c r="U652" s="32"/>
      <c r="V652" s="32"/>
      <c r="W652" s="32"/>
      <c r="X652" s="32"/>
    </row>
    <row r="653">
      <c r="A653" s="89"/>
      <c r="B653" s="89"/>
      <c r="C653" s="89"/>
      <c r="D653" s="91"/>
      <c r="E653" s="83"/>
      <c r="F653" s="83"/>
      <c r="G653" s="83"/>
      <c r="H653" s="83"/>
      <c r="I653" s="83"/>
      <c r="J653" s="83"/>
      <c r="K653" s="83"/>
      <c r="L653" s="83"/>
      <c r="M653" s="82"/>
      <c r="N653" s="82"/>
      <c r="O653" s="82"/>
      <c r="P653" s="82"/>
      <c r="Q653" s="82"/>
      <c r="R653" s="82"/>
      <c r="S653" s="82"/>
      <c r="T653" s="82"/>
      <c r="U653" s="32"/>
      <c r="V653" s="32"/>
      <c r="W653" s="32"/>
      <c r="X653" s="32"/>
    </row>
    <row r="654">
      <c r="A654" s="89"/>
      <c r="B654" s="89"/>
      <c r="C654" s="89"/>
      <c r="D654" s="91"/>
      <c r="E654" s="83"/>
      <c r="F654" s="83"/>
      <c r="G654" s="83"/>
      <c r="H654" s="83"/>
      <c r="I654" s="83"/>
      <c r="J654" s="83"/>
      <c r="K654" s="83"/>
      <c r="L654" s="83"/>
      <c r="M654" s="82"/>
      <c r="N654" s="82"/>
      <c r="O654" s="82"/>
      <c r="P654" s="82"/>
      <c r="Q654" s="82"/>
      <c r="R654" s="82"/>
      <c r="S654" s="82"/>
      <c r="T654" s="82"/>
      <c r="U654" s="32"/>
      <c r="V654" s="32"/>
      <c r="W654" s="32"/>
      <c r="X654" s="32"/>
    </row>
    <row r="655">
      <c r="A655" s="89"/>
      <c r="B655" s="89"/>
      <c r="C655" s="89"/>
      <c r="D655" s="91"/>
      <c r="E655" s="83"/>
      <c r="F655" s="83"/>
      <c r="G655" s="83"/>
      <c r="H655" s="83"/>
      <c r="I655" s="83"/>
      <c r="J655" s="83"/>
      <c r="K655" s="83"/>
      <c r="L655" s="83"/>
      <c r="M655" s="82"/>
      <c r="N655" s="82"/>
      <c r="O655" s="82"/>
      <c r="P655" s="82"/>
      <c r="Q655" s="82"/>
      <c r="R655" s="82"/>
      <c r="S655" s="82"/>
      <c r="T655" s="82"/>
      <c r="U655" s="32"/>
      <c r="V655" s="32"/>
      <c r="W655" s="32"/>
      <c r="X655" s="32"/>
    </row>
    <row r="656">
      <c r="A656" s="89"/>
      <c r="B656" s="89"/>
      <c r="C656" s="89"/>
      <c r="D656" s="91"/>
      <c r="E656" s="83"/>
      <c r="F656" s="83"/>
      <c r="G656" s="83"/>
      <c r="H656" s="83"/>
      <c r="I656" s="83"/>
      <c r="J656" s="83"/>
      <c r="K656" s="83"/>
      <c r="L656" s="83"/>
      <c r="M656" s="82"/>
      <c r="N656" s="82"/>
      <c r="O656" s="82"/>
      <c r="P656" s="82"/>
      <c r="Q656" s="82"/>
      <c r="R656" s="82"/>
      <c r="S656" s="82"/>
      <c r="T656" s="82"/>
      <c r="U656" s="32"/>
      <c r="V656" s="32"/>
      <c r="W656" s="32"/>
      <c r="X656" s="32"/>
    </row>
    <row r="657">
      <c r="A657" s="89"/>
      <c r="B657" s="89"/>
      <c r="C657" s="89"/>
      <c r="D657" s="91"/>
      <c r="E657" s="83"/>
      <c r="F657" s="83"/>
      <c r="G657" s="83"/>
      <c r="H657" s="83"/>
      <c r="I657" s="83"/>
      <c r="J657" s="83"/>
      <c r="K657" s="83"/>
      <c r="L657" s="83"/>
      <c r="M657" s="82"/>
      <c r="N657" s="82"/>
      <c r="O657" s="82"/>
      <c r="P657" s="82"/>
      <c r="Q657" s="82"/>
      <c r="R657" s="82"/>
      <c r="S657" s="82"/>
      <c r="T657" s="82"/>
      <c r="U657" s="32"/>
      <c r="V657" s="32"/>
      <c r="W657" s="32"/>
      <c r="X657" s="32"/>
    </row>
    <row r="658">
      <c r="A658" s="89"/>
      <c r="B658" s="89"/>
      <c r="C658" s="89"/>
      <c r="D658" s="91"/>
      <c r="E658" s="83"/>
      <c r="F658" s="83"/>
      <c r="G658" s="83"/>
      <c r="H658" s="83"/>
      <c r="I658" s="83"/>
      <c r="J658" s="83"/>
      <c r="K658" s="83"/>
      <c r="L658" s="83"/>
      <c r="M658" s="82"/>
      <c r="N658" s="82"/>
      <c r="O658" s="82"/>
      <c r="P658" s="82"/>
      <c r="Q658" s="82"/>
      <c r="R658" s="82"/>
      <c r="S658" s="82"/>
      <c r="T658" s="82"/>
      <c r="U658" s="32"/>
      <c r="V658" s="32"/>
      <c r="W658" s="32"/>
      <c r="X658" s="32"/>
    </row>
    <row r="659">
      <c r="A659" s="89"/>
      <c r="B659" s="89"/>
      <c r="C659" s="89"/>
      <c r="D659" s="91"/>
      <c r="E659" s="83"/>
      <c r="F659" s="83"/>
      <c r="G659" s="83"/>
      <c r="H659" s="83"/>
      <c r="I659" s="83"/>
      <c r="J659" s="83"/>
      <c r="K659" s="83"/>
      <c r="L659" s="83"/>
      <c r="M659" s="82"/>
      <c r="N659" s="82"/>
      <c r="O659" s="82"/>
      <c r="P659" s="82"/>
      <c r="Q659" s="82"/>
      <c r="R659" s="82"/>
      <c r="S659" s="82"/>
      <c r="T659" s="82"/>
      <c r="U659" s="32"/>
      <c r="V659" s="32"/>
      <c r="W659" s="32"/>
      <c r="X659" s="32"/>
    </row>
    <row r="660">
      <c r="A660" s="89"/>
      <c r="B660" s="89"/>
      <c r="C660" s="89"/>
      <c r="D660" s="91"/>
      <c r="E660" s="83"/>
      <c r="F660" s="83"/>
      <c r="G660" s="83"/>
      <c r="H660" s="83"/>
      <c r="I660" s="83"/>
      <c r="J660" s="83"/>
      <c r="K660" s="83"/>
      <c r="L660" s="83"/>
      <c r="M660" s="82"/>
      <c r="N660" s="82"/>
      <c r="O660" s="82"/>
      <c r="P660" s="82"/>
      <c r="Q660" s="82"/>
      <c r="R660" s="82"/>
      <c r="S660" s="82"/>
      <c r="T660" s="82"/>
      <c r="U660" s="32"/>
      <c r="V660" s="32"/>
      <c r="W660" s="32"/>
      <c r="X660" s="32"/>
    </row>
    <row r="661">
      <c r="A661" s="89"/>
      <c r="B661" s="89"/>
      <c r="C661" s="89"/>
      <c r="D661" s="91"/>
      <c r="E661" s="83"/>
      <c r="F661" s="83"/>
      <c r="G661" s="83"/>
      <c r="H661" s="83"/>
      <c r="I661" s="83"/>
      <c r="J661" s="83"/>
      <c r="K661" s="83"/>
      <c r="L661" s="83"/>
      <c r="M661" s="82"/>
      <c r="N661" s="82"/>
      <c r="O661" s="82"/>
      <c r="P661" s="82"/>
      <c r="Q661" s="82"/>
      <c r="R661" s="82"/>
      <c r="S661" s="82"/>
      <c r="T661" s="82"/>
      <c r="U661" s="32"/>
      <c r="V661" s="32"/>
      <c r="W661" s="32"/>
      <c r="X661" s="32"/>
    </row>
    <row r="662">
      <c r="A662" s="89"/>
      <c r="B662" s="89"/>
      <c r="C662" s="89"/>
      <c r="D662" s="91"/>
      <c r="E662" s="83"/>
      <c r="F662" s="83"/>
      <c r="G662" s="83"/>
      <c r="H662" s="83"/>
      <c r="I662" s="83"/>
      <c r="J662" s="83"/>
      <c r="K662" s="83"/>
      <c r="L662" s="83"/>
      <c r="M662" s="82"/>
      <c r="N662" s="82"/>
      <c r="O662" s="82"/>
      <c r="P662" s="82"/>
      <c r="Q662" s="82"/>
      <c r="R662" s="82"/>
      <c r="S662" s="82"/>
      <c r="T662" s="82"/>
      <c r="U662" s="32"/>
      <c r="V662" s="32"/>
      <c r="W662" s="32"/>
      <c r="X662" s="32"/>
    </row>
    <row r="663">
      <c r="A663" s="89"/>
      <c r="B663" s="89"/>
      <c r="C663" s="89"/>
      <c r="D663" s="91"/>
      <c r="E663" s="83"/>
      <c r="F663" s="83"/>
      <c r="G663" s="83"/>
      <c r="H663" s="83"/>
      <c r="I663" s="83"/>
      <c r="J663" s="83"/>
      <c r="K663" s="83"/>
      <c r="L663" s="83"/>
      <c r="M663" s="82"/>
      <c r="N663" s="82"/>
      <c r="O663" s="82"/>
      <c r="P663" s="82"/>
      <c r="Q663" s="82"/>
      <c r="R663" s="82"/>
      <c r="S663" s="82"/>
      <c r="T663" s="82"/>
      <c r="U663" s="32"/>
      <c r="V663" s="32"/>
      <c r="W663" s="32"/>
      <c r="X663" s="32"/>
    </row>
    <row r="664">
      <c r="A664" s="89"/>
      <c r="B664" s="89"/>
      <c r="C664" s="89"/>
      <c r="D664" s="91"/>
      <c r="E664" s="83"/>
      <c r="F664" s="83"/>
      <c r="G664" s="83"/>
      <c r="H664" s="83"/>
      <c r="I664" s="83"/>
      <c r="J664" s="83"/>
      <c r="K664" s="83"/>
      <c r="L664" s="83"/>
      <c r="M664" s="82"/>
      <c r="N664" s="82"/>
      <c r="O664" s="82"/>
      <c r="P664" s="82"/>
      <c r="Q664" s="82"/>
      <c r="R664" s="82"/>
      <c r="S664" s="82"/>
      <c r="T664" s="82"/>
      <c r="U664" s="32"/>
      <c r="V664" s="32"/>
      <c r="W664" s="32"/>
      <c r="X664" s="32"/>
    </row>
    <row r="665">
      <c r="A665" s="89"/>
      <c r="B665" s="89"/>
      <c r="C665" s="89"/>
      <c r="D665" s="91"/>
      <c r="E665" s="83"/>
      <c r="F665" s="83"/>
      <c r="G665" s="83"/>
      <c r="H665" s="83"/>
      <c r="I665" s="83"/>
      <c r="J665" s="83"/>
      <c r="K665" s="83"/>
      <c r="L665" s="83"/>
      <c r="M665" s="82"/>
      <c r="N665" s="82"/>
      <c r="O665" s="82"/>
      <c r="P665" s="82"/>
      <c r="Q665" s="82"/>
      <c r="R665" s="82"/>
      <c r="S665" s="82"/>
      <c r="T665" s="82"/>
      <c r="U665" s="32"/>
      <c r="V665" s="32"/>
      <c r="W665" s="32"/>
      <c r="X665" s="32"/>
    </row>
    <row r="666">
      <c r="A666" s="89"/>
      <c r="B666" s="89"/>
      <c r="C666" s="89"/>
      <c r="D666" s="91"/>
      <c r="E666" s="83"/>
      <c r="F666" s="83"/>
      <c r="G666" s="83"/>
      <c r="H666" s="83"/>
      <c r="I666" s="83"/>
      <c r="J666" s="83"/>
      <c r="K666" s="83"/>
      <c r="L666" s="83"/>
      <c r="M666" s="82"/>
      <c r="N666" s="82"/>
      <c r="O666" s="82"/>
      <c r="P666" s="82"/>
      <c r="Q666" s="82"/>
      <c r="R666" s="82"/>
      <c r="S666" s="82"/>
      <c r="T666" s="82"/>
      <c r="U666" s="32"/>
      <c r="V666" s="32"/>
      <c r="W666" s="32"/>
      <c r="X666" s="32"/>
    </row>
    <row r="667">
      <c r="A667" s="89"/>
      <c r="B667" s="89"/>
      <c r="C667" s="89"/>
      <c r="D667" s="91"/>
      <c r="E667" s="83"/>
      <c r="F667" s="83"/>
      <c r="G667" s="83"/>
      <c r="H667" s="83"/>
      <c r="I667" s="83"/>
      <c r="J667" s="83"/>
      <c r="K667" s="83"/>
      <c r="L667" s="83"/>
      <c r="M667" s="82"/>
      <c r="N667" s="82"/>
      <c r="O667" s="82"/>
      <c r="P667" s="82"/>
      <c r="Q667" s="82"/>
      <c r="R667" s="82"/>
      <c r="S667" s="82"/>
      <c r="T667" s="82"/>
      <c r="U667" s="32"/>
      <c r="V667" s="32"/>
      <c r="W667" s="32"/>
      <c r="X667" s="32"/>
    </row>
    <row r="668">
      <c r="A668" s="89"/>
      <c r="B668" s="89"/>
      <c r="C668" s="89"/>
      <c r="D668" s="91"/>
      <c r="E668" s="83"/>
      <c r="F668" s="83"/>
      <c r="G668" s="83"/>
      <c r="H668" s="83"/>
      <c r="I668" s="83"/>
      <c r="J668" s="83"/>
      <c r="K668" s="83"/>
      <c r="L668" s="83"/>
      <c r="M668" s="82"/>
      <c r="N668" s="82"/>
      <c r="O668" s="82"/>
      <c r="P668" s="82"/>
      <c r="Q668" s="82"/>
      <c r="R668" s="82"/>
      <c r="S668" s="82"/>
      <c r="T668" s="82"/>
      <c r="U668" s="32"/>
      <c r="V668" s="32"/>
      <c r="W668" s="32"/>
      <c r="X668" s="32"/>
    </row>
    <row r="669">
      <c r="A669" s="89"/>
      <c r="B669" s="89"/>
      <c r="C669" s="89"/>
      <c r="D669" s="91"/>
      <c r="E669" s="83"/>
      <c r="F669" s="83"/>
      <c r="G669" s="83"/>
      <c r="H669" s="83"/>
      <c r="I669" s="83"/>
      <c r="J669" s="83"/>
      <c r="K669" s="83"/>
      <c r="L669" s="83"/>
      <c r="M669" s="82"/>
      <c r="N669" s="82"/>
      <c r="O669" s="82"/>
      <c r="P669" s="82"/>
      <c r="Q669" s="82"/>
      <c r="R669" s="82"/>
      <c r="S669" s="82"/>
      <c r="T669" s="82"/>
      <c r="U669" s="32"/>
      <c r="V669" s="32"/>
      <c r="W669" s="32"/>
      <c r="X669" s="32"/>
    </row>
    <row r="670">
      <c r="A670" s="89"/>
      <c r="B670" s="89"/>
      <c r="C670" s="89"/>
      <c r="D670" s="91"/>
      <c r="E670" s="83"/>
      <c r="F670" s="83"/>
      <c r="G670" s="83"/>
      <c r="H670" s="83"/>
      <c r="I670" s="83"/>
      <c r="J670" s="83"/>
      <c r="K670" s="83"/>
      <c r="L670" s="83"/>
      <c r="M670" s="82"/>
      <c r="N670" s="82"/>
      <c r="O670" s="82"/>
      <c r="P670" s="82"/>
      <c r="Q670" s="82"/>
      <c r="R670" s="82"/>
      <c r="S670" s="82"/>
      <c r="T670" s="82"/>
      <c r="U670" s="32"/>
      <c r="V670" s="32"/>
      <c r="W670" s="32"/>
      <c r="X670" s="32"/>
    </row>
    <row r="671">
      <c r="A671" s="89"/>
      <c r="B671" s="89"/>
      <c r="C671" s="89"/>
      <c r="D671" s="91"/>
      <c r="E671" s="83"/>
      <c r="F671" s="83"/>
      <c r="G671" s="83"/>
      <c r="H671" s="83"/>
      <c r="I671" s="83"/>
      <c r="J671" s="83"/>
      <c r="K671" s="83"/>
      <c r="L671" s="83"/>
      <c r="M671" s="82"/>
      <c r="N671" s="82"/>
      <c r="O671" s="82"/>
      <c r="P671" s="82"/>
      <c r="Q671" s="82"/>
      <c r="R671" s="82"/>
      <c r="S671" s="82"/>
      <c r="T671" s="82"/>
      <c r="U671" s="32"/>
      <c r="V671" s="32"/>
      <c r="W671" s="32"/>
      <c r="X671" s="32"/>
    </row>
    <row r="672">
      <c r="A672" s="89"/>
      <c r="B672" s="89"/>
      <c r="C672" s="89"/>
      <c r="D672" s="91"/>
      <c r="E672" s="83"/>
      <c r="F672" s="83"/>
      <c r="G672" s="83"/>
      <c r="H672" s="83"/>
      <c r="I672" s="83"/>
      <c r="J672" s="83"/>
      <c r="K672" s="83"/>
      <c r="L672" s="83"/>
      <c r="M672" s="82"/>
      <c r="N672" s="82"/>
      <c r="O672" s="82"/>
      <c r="P672" s="82"/>
      <c r="Q672" s="82"/>
      <c r="R672" s="82"/>
      <c r="S672" s="82"/>
      <c r="T672" s="82"/>
      <c r="U672" s="32"/>
      <c r="V672" s="32"/>
      <c r="W672" s="32"/>
      <c r="X672" s="32"/>
    </row>
    <row r="673">
      <c r="A673" s="89"/>
      <c r="B673" s="89"/>
      <c r="C673" s="89"/>
      <c r="D673" s="91"/>
      <c r="E673" s="83"/>
      <c r="F673" s="83"/>
      <c r="G673" s="83"/>
      <c r="H673" s="83"/>
      <c r="I673" s="83"/>
      <c r="J673" s="83"/>
      <c r="K673" s="83"/>
      <c r="L673" s="83"/>
      <c r="M673" s="82"/>
      <c r="N673" s="82"/>
      <c r="O673" s="82"/>
      <c r="P673" s="82"/>
      <c r="Q673" s="82"/>
      <c r="R673" s="82"/>
      <c r="S673" s="82"/>
      <c r="T673" s="82"/>
      <c r="U673" s="32"/>
      <c r="V673" s="32"/>
      <c r="W673" s="32"/>
      <c r="X673" s="32"/>
    </row>
    <row r="674">
      <c r="A674" s="89"/>
      <c r="B674" s="89"/>
      <c r="C674" s="89"/>
      <c r="D674" s="91"/>
      <c r="E674" s="83"/>
      <c r="F674" s="83"/>
      <c r="G674" s="83"/>
      <c r="H674" s="83"/>
      <c r="I674" s="83"/>
      <c r="J674" s="83"/>
      <c r="K674" s="83"/>
      <c r="L674" s="83"/>
      <c r="M674" s="82"/>
      <c r="N674" s="82"/>
      <c r="O674" s="82"/>
      <c r="P674" s="82"/>
      <c r="Q674" s="82"/>
      <c r="R674" s="82"/>
      <c r="S674" s="82"/>
      <c r="T674" s="82"/>
      <c r="U674" s="32"/>
      <c r="V674" s="32"/>
      <c r="W674" s="32"/>
      <c r="X674" s="32"/>
    </row>
    <row r="675">
      <c r="A675" s="89"/>
      <c r="B675" s="89"/>
      <c r="C675" s="89"/>
      <c r="D675" s="91"/>
      <c r="E675" s="83"/>
      <c r="F675" s="83"/>
      <c r="G675" s="83"/>
      <c r="H675" s="83"/>
      <c r="I675" s="83"/>
      <c r="J675" s="83"/>
      <c r="K675" s="83"/>
      <c r="L675" s="83"/>
      <c r="M675" s="82"/>
      <c r="N675" s="82"/>
      <c r="O675" s="82"/>
      <c r="P675" s="82"/>
      <c r="Q675" s="82"/>
      <c r="R675" s="82"/>
      <c r="S675" s="82"/>
      <c r="T675" s="82"/>
      <c r="U675" s="32"/>
      <c r="V675" s="32"/>
      <c r="W675" s="32"/>
      <c r="X675" s="32"/>
    </row>
    <row r="676">
      <c r="A676" s="89"/>
      <c r="B676" s="89"/>
      <c r="C676" s="89"/>
      <c r="D676" s="91"/>
      <c r="E676" s="83"/>
      <c r="F676" s="83"/>
      <c r="G676" s="83"/>
      <c r="H676" s="83"/>
      <c r="I676" s="83"/>
      <c r="J676" s="83"/>
      <c r="K676" s="83"/>
      <c r="L676" s="83"/>
      <c r="M676" s="82"/>
      <c r="N676" s="82"/>
      <c r="O676" s="82"/>
      <c r="P676" s="82"/>
      <c r="Q676" s="82"/>
      <c r="R676" s="82"/>
      <c r="S676" s="82"/>
      <c r="T676" s="82"/>
      <c r="U676" s="32"/>
      <c r="V676" s="32"/>
      <c r="W676" s="32"/>
      <c r="X676" s="32"/>
    </row>
    <row r="677">
      <c r="A677" s="89"/>
      <c r="B677" s="89"/>
      <c r="C677" s="89"/>
      <c r="D677" s="91"/>
      <c r="E677" s="83"/>
      <c r="F677" s="83"/>
      <c r="G677" s="83"/>
      <c r="H677" s="83"/>
      <c r="I677" s="83"/>
      <c r="J677" s="83"/>
      <c r="K677" s="83"/>
      <c r="L677" s="83"/>
      <c r="M677" s="82"/>
      <c r="N677" s="82"/>
      <c r="O677" s="82"/>
      <c r="P677" s="82"/>
      <c r="Q677" s="82"/>
      <c r="R677" s="82"/>
      <c r="S677" s="82"/>
      <c r="T677" s="82"/>
      <c r="U677" s="32"/>
      <c r="V677" s="32"/>
      <c r="W677" s="32"/>
      <c r="X677" s="32"/>
    </row>
    <row r="678">
      <c r="A678" s="89"/>
      <c r="B678" s="89"/>
      <c r="C678" s="89"/>
      <c r="D678" s="91"/>
      <c r="E678" s="83"/>
      <c r="F678" s="83"/>
      <c r="G678" s="83"/>
      <c r="H678" s="83"/>
      <c r="I678" s="83"/>
      <c r="J678" s="83"/>
      <c r="K678" s="83"/>
      <c r="L678" s="83"/>
      <c r="M678" s="82"/>
      <c r="N678" s="82"/>
      <c r="O678" s="82"/>
      <c r="P678" s="82"/>
      <c r="Q678" s="82"/>
      <c r="R678" s="82"/>
      <c r="S678" s="82"/>
      <c r="T678" s="82"/>
      <c r="U678" s="32"/>
      <c r="V678" s="32"/>
      <c r="W678" s="32"/>
      <c r="X678" s="32"/>
    </row>
    <row r="679">
      <c r="A679" s="89"/>
      <c r="B679" s="89"/>
      <c r="C679" s="89"/>
      <c r="D679" s="91"/>
      <c r="E679" s="83"/>
      <c r="F679" s="83"/>
      <c r="G679" s="83"/>
      <c r="H679" s="83"/>
      <c r="I679" s="83"/>
      <c r="J679" s="83"/>
      <c r="K679" s="83"/>
      <c r="L679" s="83"/>
      <c r="M679" s="82"/>
      <c r="N679" s="82"/>
      <c r="O679" s="82"/>
      <c r="P679" s="82"/>
      <c r="Q679" s="82"/>
      <c r="R679" s="82"/>
      <c r="S679" s="82"/>
      <c r="T679" s="82"/>
      <c r="U679" s="32"/>
      <c r="V679" s="32"/>
      <c r="W679" s="32"/>
      <c r="X679" s="32"/>
    </row>
    <row r="680">
      <c r="A680" s="89"/>
      <c r="B680" s="89"/>
      <c r="C680" s="89"/>
      <c r="D680" s="91"/>
      <c r="E680" s="83"/>
      <c r="F680" s="83"/>
      <c r="G680" s="83"/>
      <c r="H680" s="83"/>
      <c r="I680" s="83"/>
      <c r="J680" s="83"/>
      <c r="K680" s="83"/>
      <c r="L680" s="83"/>
      <c r="M680" s="82"/>
      <c r="N680" s="82"/>
      <c r="O680" s="82"/>
      <c r="P680" s="82"/>
      <c r="Q680" s="82"/>
      <c r="R680" s="82"/>
      <c r="S680" s="82"/>
      <c r="T680" s="82"/>
      <c r="U680" s="32"/>
      <c r="V680" s="32"/>
      <c r="W680" s="32"/>
      <c r="X680" s="32"/>
    </row>
    <row r="681">
      <c r="A681" s="89"/>
      <c r="B681" s="89"/>
      <c r="C681" s="89"/>
      <c r="D681" s="91"/>
      <c r="E681" s="83"/>
      <c r="F681" s="83"/>
      <c r="G681" s="83"/>
      <c r="H681" s="83"/>
      <c r="I681" s="83"/>
      <c r="J681" s="83"/>
      <c r="K681" s="83"/>
      <c r="L681" s="83"/>
      <c r="M681" s="82"/>
      <c r="N681" s="82"/>
      <c r="O681" s="82"/>
      <c r="P681" s="82"/>
      <c r="Q681" s="82"/>
      <c r="R681" s="82"/>
      <c r="S681" s="82"/>
      <c r="T681" s="82"/>
      <c r="U681" s="32"/>
      <c r="V681" s="32"/>
      <c r="W681" s="32"/>
      <c r="X681" s="32"/>
    </row>
    <row r="682">
      <c r="A682" s="89"/>
      <c r="B682" s="89"/>
      <c r="C682" s="89"/>
      <c r="D682" s="91"/>
      <c r="E682" s="83"/>
      <c r="F682" s="83"/>
      <c r="G682" s="83"/>
      <c r="H682" s="83"/>
      <c r="I682" s="83"/>
      <c r="J682" s="83"/>
      <c r="K682" s="83"/>
      <c r="L682" s="83"/>
      <c r="M682" s="82"/>
      <c r="N682" s="82"/>
      <c r="O682" s="82"/>
      <c r="P682" s="82"/>
      <c r="Q682" s="82"/>
      <c r="R682" s="82"/>
      <c r="S682" s="82"/>
      <c r="T682" s="82"/>
      <c r="U682" s="32"/>
      <c r="V682" s="32"/>
      <c r="W682" s="32"/>
      <c r="X682" s="32"/>
    </row>
    <row r="683">
      <c r="A683" s="89"/>
      <c r="B683" s="89"/>
      <c r="C683" s="89"/>
      <c r="D683" s="91"/>
      <c r="E683" s="83"/>
      <c r="F683" s="83"/>
      <c r="G683" s="83"/>
      <c r="H683" s="83"/>
      <c r="I683" s="83"/>
      <c r="J683" s="83"/>
      <c r="K683" s="83"/>
      <c r="L683" s="83"/>
      <c r="M683" s="82"/>
      <c r="N683" s="82"/>
      <c r="O683" s="82"/>
      <c r="P683" s="82"/>
      <c r="Q683" s="82"/>
      <c r="R683" s="82"/>
      <c r="S683" s="82"/>
      <c r="T683" s="82"/>
      <c r="U683" s="32"/>
      <c r="V683" s="32"/>
      <c r="W683" s="32"/>
      <c r="X683" s="32"/>
    </row>
    <row r="684">
      <c r="A684" s="89"/>
      <c r="B684" s="89"/>
      <c r="C684" s="89"/>
      <c r="D684" s="91"/>
      <c r="E684" s="83"/>
      <c r="F684" s="83"/>
      <c r="G684" s="83"/>
      <c r="H684" s="83"/>
      <c r="I684" s="83"/>
      <c r="J684" s="83"/>
      <c r="K684" s="83"/>
      <c r="L684" s="83"/>
      <c r="M684" s="82"/>
      <c r="N684" s="82"/>
      <c r="O684" s="82"/>
      <c r="P684" s="82"/>
      <c r="Q684" s="82"/>
      <c r="R684" s="82"/>
      <c r="S684" s="82"/>
      <c r="T684" s="82"/>
      <c r="U684" s="32"/>
      <c r="V684" s="32"/>
      <c r="W684" s="32"/>
      <c r="X684" s="32"/>
    </row>
    <row r="685">
      <c r="A685" s="89"/>
      <c r="B685" s="89"/>
      <c r="C685" s="89"/>
      <c r="D685" s="91"/>
      <c r="E685" s="83"/>
      <c r="F685" s="83"/>
      <c r="G685" s="83"/>
      <c r="H685" s="83"/>
      <c r="I685" s="83"/>
      <c r="J685" s="83"/>
      <c r="K685" s="83"/>
      <c r="L685" s="83"/>
      <c r="M685" s="82"/>
      <c r="N685" s="82"/>
      <c r="O685" s="82"/>
      <c r="P685" s="82"/>
      <c r="Q685" s="82"/>
      <c r="R685" s="82"/>
      <c r="S685" s="82"/>
      <c r="T685" s="82"/>
      <c r="U685" s="32"/>
      <c r="V685" s="32"/>
      <c r="W685" s="32"/>
      <c r="X685" s="32"/>
    </row>
    <row r="686">
      <c r="A686" s="89"/>
      <c r="B686" s="89"/>
      <c r="C686" s="89"/>
      <c r="D686" s="91"/>
      <c r="E686" s="83"/>
      <c r="F686" s="83"/>
      <c r="G686" s="83"/>
      <c r="H686" s="83"/>
      <c r="I686" s="83"/>
      <c r="J686" s="83"/>
      <c r="K686" s="83"/>
      <c r="L686" s="83"/>
      <c r="M686" s="82"/>
      <c r="N686" s="82"/>
      <c r="O686" s="82"/>
      <c r="P686" s="82"/>
      <c r="Q686" s="82"/>
      <c r="R686" s="82"/>
      <c r="S686" s="82"/>
      <c r="T686" s="82"/>
      <c r="U686" s="32"/>
      <c r="V686" s="32"/>
      <c r="W686" s="32"/>
      <c r="X686" s="32"/>
    </row>
    <row r="687">
      <c r="A687" s="89"/>
      <c r="B687" s="89"/>
      <c r="C687" s="89"/>
      <c r="D687" s="91"/>
      <c r="E687" s="83"/>
      <c r="F687" s="83"/>
      <c r="G687" s="83"/>
      <c r="H687" s="83"/>
      <c r="I687" s="83"/>
      <c r="J687" s="83"/>
      <c r="K687" s="83"/>
      <c r="L687" s="83"/>
      <c r="M687" s="82"/>
      <c r="N687" s="82"/>
      <c r="O687" s="82"/>
      <c r="P687" s="82"/>
      <c r="Q687" s="82"/>
      <c r="R687" s="82"/>
      <c r="S687" s="82"/>
      <c r="T687" s="82"/>
      <c r="U687" s="32"/>
      <c r="V687" s="32"/>
      <c r="W687" s="32"/>
      <c r="X687" s="32"/>
    </row>
    <row r="688">
      <c r="A688" s="89"/>
      <c r="B688" s="89"/>
      <c r="C688" s="89"/>
      <c r="D688" s="91"/>
      <c r="E688" s="83"/>
      <c r="F688" s="83"/>
      <c r="G688" s="83"/>
      <c r="H688" s="83"/>
      <c r="I688" s="83"/>
      <c r="J688" s="83"/>
      <c r="K688" s="83"/>
      <c r="L688" s="83"/>
      <c r="M688" s="82"/>
      <c r="N688" s="82"/>
      <c r="O688" s="82"/>
      <c r="P688" s="82"/>
      <c r="Q688" s="82"/>
      <c r="R688" s="82"/>
      <c r="S688" s="82"/>
      <c r="T688" s="82"/>
      <c r="U688" s="32"/>
      <c r="V688" s="32"/>
      <c r="W688" s="32"/>
      <c r="X688" s="32"/>
    </row>
    <row r="689">
      <c r="A689" s="89"/>
      <c r="B689" s="89"/>
      <c r="C689" s="89"/>
      <c r="D689" s="91"/>
      <c r="E689" s="83"/>
      <c r="F689" s="83"/>
      <c r="G689" s="83"/>
      <c r="H689" s="83"/>
      <c r="I689" s="83"/>
      <c r="J689" s="83"/>
      <c r="K689" s="83"/>
      <c r="L689" s="83"/>
      <c r="M689" s="82"/>
      <c r="N689" s="82"/>
      <c r="O689" s="82"/>
      <c r="P689" s="82"/>
      <c r="Q689" s="82"/>
      <c r="R689" s="82"/>
      <c r="S689" s="82"/>
      <c r="T689" s="82"/>
      <c r="U689" s="32"/>
      <c r="V689" s="32"/>
      <c r="W689" s="32"/>
      <c r="X689" s="32"/>
    </row>
    <row r="690">
      <c r="A690" s="89"/>
      <c r="B690" s="89"/>
      <c r="C690" s="89"/>
      <c r="D690" s="91"/>
      <c r="E690" s="83"/>
      <c r="F690" s="83"/>
      <c r="G690" s="83"/>
      <c r="H690" s="83"/>
      <c r="I690" s="83"/>
      <c r="J690" s="83"/>
      <c r="K690" s="83"/>
      <c r="L690" s="83"/>
      <c r="M690" s="82"/>
      <c r="N690" s="82"/>
      <c r="O690" s="82"/>
      <c r="P690" s="82"/>
      <c r="Q690" s="82"/>
      <c r="R690" s="82"/>
      <c r="S690" s="82"/>
      <c r="T690" s="82"/>
      <c r="U690" s="32"/>
      <c r="V690" s="32"/>
      <c r="W690" s="32"/>
      <c r="X690" s="32"/>
    </row>
    <row r="691">
      <c r="A691" s="89"/>
      <c r="B691" s="89"/>
      <c r="C691" s="89"/>
      <c r="D691" s="91"/>
      <c r="E691" s="83"/>
      <c r="F691" s="83"/>
      <c r="G691" s="83"/>
      <c r="H691" s="83"/>
      <c r="I691" s="83"/>
      <c r="J691" s="83"/>
      <c r="K691" s="83"/>
      <c r="L691" s="83"/>
      <c r="M691" s="82"/>
      <c r="N691" s="82"/>
      <c r="O691" s="82"/>
      <c r="P691" s="82"/>
      <c r="Q691" s="82"/>
      <c r="R691" s="82"/>
      <c r="S691" s="82"/>
      <c r="T691" s="82"/>
      <c r="U691" s="32"/>
      <c r="V691" s="32"/>
      <c r="W691" s="32"/>
      <c r="X691" s="32"/>
    </row>
    <row r="692">
      <c r="A692" s="89"/>
      <c r="B692" s="89"/>
      <c r="C692" s="89"/>
      <c r="D692" s="91"/>
      <c r="E692" s="83"/>
      <c r="F692" s="83"/>
      <c r="G692" s="83"/>
      <c r="H692" s="83"/>
      <c r="I692" s="83"/>
      <c r="J692" s="83"/>
      <c r="K692" s="83"/>
      <c r="L692" s="83"/>
      <c r="M692" s="82"/>
      <c r="N692" s="82"/>
      <c r="O692" s="82"/>
      <c r="P692" s="82"/>
      <c r="Q692" s="82"/>
      <c r="R692" s="82"/>
      <c r="S692" s="82"/>
      <c r="T692" s="82"/>
      <c r="U692" s="32"/>
      <c r="V692" s="32"/>
      <c r="W692" s="32"/>
      <c r="X692" s="32"/>
    </row>
    <row r="693">
      <c r="A693" s="89"/>
      <c r="B693" s="89"/>
      <c r="C693" s="89"/>
      <c r="D693" s="91"/>
      <c r="E693" s="83"/>
      <c r="F693" s="83"/>
      <c r="G693" s="83"/>
      <c r="H693" s="83"/>
      <c r="I693" s="83"/>
      <c r="J693" s="83"/>
      <c r="K693" s="83"/>
      <c r="L693" s="83"/>
      <c r="M693" s="82"/>
      <c r="N693" s="82"/>
      <c r="O693" s="82"/>
      <c r="P693" s="82"/>
      <c r="Q693" s="82"/>
      <c r="R693" s="82"/>
      <c r="S693" s="82"/>
      <c r="T693" s="82"/>
      <c r="U693" s="32"/>
      <c r="V693" s="32"/>
      <c r="W693" s="32"/>
      <c r="X693" s="32"/>
    </row>
    <row r="694">
      <c r="A694" s="89"/>
      <c r="B694" s="89"/>
      <c r="C694" s="89"/>
      <c r="D694" s="91"/>
      <c r="E694" s="83"/>
      <c r="F694" s="83"/>
      <c r="G694" s="83"/>
      <c r="H694" s="83"/>
      <c r="I694" s="83"/>
      <c r="J694" s="83"/>
      <c r="K694" s="83"/>
      <c r="L694" s="83"/>
      <c r="M694" s="82"/>
      <c r="N694" s="82"/>
      <c r="O694" s="82"/>
      <c r="P694" s="82"/>
      <c r="Q694" s="82"/>
      <c r="R694" s="82"/>
      <c r="S694" s="82"/>
      <c r="T694" s="82"/>
      <c r="U694" s="32"/>
      <c r="V694" s="32"/>
      <c r="W694" s="32"/>
      <c r="X694" s="32"/>
    </row>
    <row r="695">
      <c r="A695" s="89"/>
      <c r="B695" s="89"/>
      <c r="C695" s="89"/>
      <c r="D695" s="91"/>
      <c r="E695" s="83"/>
      <c r="F695" s="83"/>
      <c r="G695" s="83"/>
      <c r="H695" s="83"/>
      <c r="I695" s="83"/>
      <c r="J695" s="83"/>
      <c r="K695" s="83"/>
      <c r="L695" s="83"/>
      <c r="M695" s="82"/>
      <c r="N695" s="82"/>
      <c r="O695" s="82"/>
      <c r="P695" s="82"/>
      <c r="Q695" s="82"/>
      <c r="R695" s="82"/>
      <c r="S695" s="82"/>
      <c r="T695" s="82"/>
      <c r="U695" s="32"/>
      <c r="V695" s="32"/>
      <c r="W695" s="32"/>
      <c r="X695" s="32"/>
    </row>
    <row r="696">
      <c r="A696" s="89"/>
      <c r="B696" s="89"/>
      <c r="C696" s="89"/>
      <c r="D696" s="91"/>
      <c r="E696" s="83"/>
      <c r="F696" s="83"/>
      <c r="G696" s="83"/>
      <c r="H696" s="83"/>
      <c r="I696" s="83"/>
      <c r="J696" s="83"/>
      <c r="K696" s="83"/>
      <c r="L696" s="83"/>
      <c r="M696" s="82"/>
      <c r="N696" s="82"/>
      <c r="O696" s="82"/>
      <c r="P696" s="82"/>
      <c r="Q696" s="82"/>
      <c r="R696" s="82"/>
      <c r="S696" s="82"/>
      <c r="T696" s="82"/>
      <c r="U696" s="32"/>
      <c r="V696" s="32"/>
      <c r="W696" s="32"/>
      <c r="X696" s="32"/>
    </row>
    <row r="697">
      <c r="A697" s="89"/>
      <c r="B697" s="89"/>
      <c r="C697" s="89"/>
      <c r="D697" s="91"/>
      <c r="E697" s="83"/>
      <c r="F697" s="83"/>
      <c r="G697" s="83"/>
      <c r="H697" s="83"/>
      <c r="I697" s="83"/>
      <c r="J697" s="83"/>
      <c r="K697" s="83"/>
      <c r="L697" s="83"/>
      <c r="M697" s="82"/>
      <c r="N697" s="82"/>
      <c r="O697" s="82"/>
      <c r="P697" s="82"/>
      <c r="Q697" s="82"/>
      <c r="R697" s="82"/>
      <c r="S697" s="82"/>
      <c r="T697" s="82"/>
      <c r="U697" s="32"/>
      <c r="V697" s="32"/>
      <c r="W697" s="32"/>
      <c r="X697" s="32"/>
    </row>
    <row r="698">
      <c r="A698" s="89"/>
      <c r="B698" s="89"/>
      <c r="C698" s="89"/>
      <c r="D698" s="91"/>
      <c r="E698" s="83"/>
      <c r="F698" s="83"/>
      <c r="G698" s="83"/>
      <c r="H698" s="83"/>
      <c r="I698" s="83"/>
      <c r="J698" s="83"/>
      <c r="K698" s="83"/>
      <c r="L698" s="83"/>
      <c r="M698" s="82"/>
      <c r="N698" s="82"/>
      <c r="O698" s="82"/>
      <c r="P698" s="82"/>
      <c r="Q698" s="82"/>
      <c r="R698" s="82"/>
      <c r="S698" s="82"/>
      <c r="T698" s="82"/>
      <c r="U698" s="32"/>
      <c r="V698" s="32"/>
      <c r="W698" s="32"/>
      <c r="X698" s="32"/>
    </row>
    <row r="699">
      <c r="A699" s="89"/>
      <c r="B699" s="89"/>
      <c r="C699" s="89"/>
      <c r="D699" s="91"/>
      <c r="E699" s="83"/>
      <c r="F699" s="83"/>
      <c r="G699" s="83"/>
      <c r="H699" s="83"/>
      <c r="I699" s="83"/>
      <c r="J699" s="83"/>
      <c r="K699" s="83"/>
      <c r="L699" s="83"/>
      <c r="M699" s="82"/>
      <c r="N699" s="82"/>
      <c r="O699" s="82"/>
      <c r="P699" s="82"/>
      <c r="Q699" s="82"/>
      <c r="R699" s="82"/>
      <c r="S699" s="82"/>
      <c r="T699" s="82"/>
      <c r="U699" s="32"/>
      <c r="V699" s="32"/>
      <c r="W699" s="32"/>
      <c r="X699" s="32"/>
    </row>
    <row r="700">
      <c r="A700" s="89"/>
      <c r="B700" s="89"/>
      <c r="C700" s="89"/>
      <c r="D700" s="91"/>
      <c r="E700" s="83"/>
      <c r="F700" s="83"/>
      <c r="G700" s="83"/>
      <c r="H700" s="83"/>
      <c r="I700" s="83"/>
      <c r="J700" s="83"/>
      <c r="K700" s="83"/>
      <c r="L700" s="83"/>
      <c r="M700" s="82"/>
      <c r="N700" s="82"/>
      <c r="O700" s="82"/>
      <c r="P700" s="82"/>
      <c r="Q700" s="82"/>
      <c r="R700" s="82"/>
      <c r="S700" s="82"/>
      <c r="T700" s="82"/>
      <c r="U700" s="32"/>
      <c r="V700" s="32"/>
      <c r="W700" s="32"/>
      <c r="X700" s="32"/>
    </row>
    <row r="701">
      <c r="A701" s="89"/>
      <c r="B701" s="89"/>
      <c r="C701" s="89"/>
      <c r="D701" s="91"/>
      <c r="E701" s="83"/>
      <c r="F701" s="83"/>
      <c r="G701" s="83"/>
      <c r="H701" s="83"/>
      <c r="I701" s="83"/>
      <c r="J701" s="83"/>
      <c r="K701" s="83"/>
      <c r="L701" s="83"/>
      <c r="M701" s="82"/>
      <c r="N701" s="82"/>
      <c r="O701" s="82"/>
      <c r="P701" s="82"/>
      <c r="Q701" s="82"/>
      <c r="R701" s="82"/>
      <c r="S701" s="82"/>
      <c r="T701" s="82"/>
      <c r="U701" s="32"/>
      <c r="V701" s="32"/>
      <c r="W701" s="32"/>
      <c r="X701" s="32"/>
    </row>
    <row r="702">
      <c r="A702" s="89"/>
      <c r="B702" s="89"/>
      <c r="C702" s="89"/>
      <c r="D702" s="91"/>
      <c r="E702" s="83"/>
      <c r="F702" s="83"/>
      <c r="G702" s="83"/>
      <c r="H702" s="83"/>
      <c r="I702" s="83"/>
      <c r="J702" s="83"/>
      <c r="K702" s="83"/>
      <c r="L702" s="83"/>
      <c r="M702" s="82"/>
      <c r="N702" s="82"/>
      <c r="O702" s="82"/>
      <c r="P702" s="82"/>
      <c r="Q702" s="82"/>
      <c r="R702" s="82"/>
      <c r="S702" s="82"/>
      <c r="T702" s="82"/>
      <c r="U702" s="32"/>
      <c r="V702" s="32"/>
      <c r="W702" s="32"/>
      <c r="X702" s="32"/>
    </row>
    <row r="703">
      <c r="A703" s="89"/>
      <c r="B703" s="89"/>
      <c r="C703" s="89"/>
      <c r="D703" s="91"/>
      <c r="E703" s="83"/>
      <c r="F703" s="83"/>
      <c r="G703" s="83"/>
      <c r="H703" s="83"/>
      <c r="I703" s="83"/>
      <c r="J703" s="83"/>
      <c r="K703" s="83"/>
      <c r="L703" s="83"/>
      <c r="M703" s="82"/>
      <c r="N703" s="82"/>
      <c r="O703" s="82"/>
      <c r="P703" s="82"/>
      <c r="Q703" s="82"/>
      <c r="R703" s="82"/>
      <c r="S703" s="82"/>
      <c r="T703" s="82"/>
      <c r="U703" s="32"/>
      <c r="V703" s="32"/>
      <c r="W703" s="32"/>
      <c r="X703" s="32"/>
    </row>
    <row r="704">
      <c r="A704" s="89"/>
      <c r="B704" s="89"/>
      <c r="C704" s="89"/>
      <c r="D704" s="91"/>
      <c r="E704" s="83"/>
      <c r="F704" s="83"/>
      <c r="G704" s="83"/>
      <c r="H704" s="83"/>
      <c r="I704" s="83"/>
      <c r="J704" s="83"/>
      <c r="K704" s="83"/>
      <c r="L704" s="83"/>
      <c r="M704" s="82"/>
      <c r="N704" s="82"/>
      <c r="O704" s="82"/>
      <c r="P704" s="82"/>
      <c r="Q704" s="82"/>
      <c r="R704" s="82"/>
      <c r="S704" s="82"/>
      <c r="T704" s="82"/>
      <c r="U704" s="32"/>
      <c r="V704" s="32"/>
      <c r="W704" s="32"/>
      <c r="X704" s="32"/>
    </row>
    <row r="705">
      <c r="A705" s="89"/>
      <c r="B705" s="89"/>
      <c r="C705" s="89"/>
      <c r="D705" s="91"/>
      <c r="E705" s="83"/>
      <c r="F705" s="83"/>
      <c r="G705" s="83"/>
      <c r="H705" s="83"/>
      <c r="I705" s="83"/>
      <c r="J705" s="83"/>
      <c r="K705" s="83"/>
      <c r="L705" s="83"/>
      <c r="M705" s="82"/>
      <c r="N705" s="82"/>
      <c r="O705" s="82"/>
      <c r="P705" s="82"/>
      <c r="Q705" s="82"/>
      <c r="R705" s="82"/>
      <c r="S705" s="82"/>
      <c r="T705" s="82"/>
      <c r="U705" s="32"/>
      <c r="V705" s="32"/>
      <c r="W705" s="32"/>
      <c r="X705" s="32"/>
    </row>
    <row r="706">
      <c r="A706" s="89"/>
      <c r="B706" s="89"/>
      <c r="C706" s="89"/>
      <c r="D706" s="91"/>
      <c r="E706" s="83"/>
      <c r="F706" s="83"/>
      <c r="G706" s="83"/>
      <c r="H706" s="83"/>
      <c r="I706" s="83"/>
      <c r="J706" s="83"/>
      <c r="K706" s="83"/>
      <c r="L706" s="83"/>
      <c r="M706" s="82"/>
      <c r="N706" s="82"/>
      <c r="O706" s="82"/>
      <c r="P706" s="82"/>
      <c r="Q706" s="82"/>
      <c r="R706" s="82"/>
      <c r="S706" s="82"/>
      <c r="T706" s="82"/>
      <c r="U706" s="32"/>
      <c r="V706" s="32"/>
      <c r="W706" s="32"/>
      <c r="X706" s="32"/>
    </row>
    <row r="707">
      <c r="A707" s="89"/>
      <c r="B707" s="89"/>
      <c r="C707" s="89"/>
      <c r="D707" s="91"/>
      <c r="E707" s="83"/>
      <c r="F707" s="83"/>
      <c r="G707" s="83"/>
      <c r="H707" s="83"/>
      <c r="I707" s="83"/>
      <c r="J707" s="83"/>
      <c r="K707" s="83"/>
      <c r="L707" s="83"/>
      <c r="M707" s="82"/>
      <c r="N707" s="82"/>
      <c r="O707" s="82"/>
      <c r="P707" s="82"/>
      <c r="Q707" s="82"/>
      <c r="R707" s="82"/>
      <c r="S707" s="82"/>
      <c r="T707" s="82"/>
      <c r="U707" s="32"/>
      <c r="V707" s="32"/>
      <c r="W707" s="32"/>
      <c r="X707" s="32"/>
    </row>
    <row r="708">
      <c r="A708" s="89"/>
      <c r="B708" s="89"/>
      <c r="C708" s="89"/>
      <c r="D708" s="91"/>
      <c r="E708" s="83"/>
      <c r="F708" s="83"/>
      <c r="G708" s="83"/>
      <c r="H708" s="83"/>
      <c r="I708" s="83"/>
      <c r="J708" s="83"/>
      <c r="K708" s="83"/>
      <c r="L708" s="83"/>
      <c r="M708" s="82"/>
      <c r="N708" s="82"/>
      <c r="O708" s="82"/>
      <c r="P708" s="82"/>
      <c r="Q708" s="82"/>
      <c r="R708" s="82"/>
      <c r="S708" s="82"/>
      <c r="T708" s="82"/>
      <c r="U708" s="32"/>
      <c r="V708" s="32"/>
      <c r="W708" s="32"/>
      <c r="X708" s="32"/>
    </row>
    <row r="709">
      <c r="A709" s="89"/>
      <c r="B709" s="89"/>
      <c r="C709" s="89"/>
      <c r="D709" s="91"/>
      <c r="E709" s="83"/>
      <c r="F709" s="83"/>
      <c r="G709" s="83"/>
      <c r="H709" s="83"/>
      <c r="I709" s="83"/>
      <c r="J709" s="83"/>
      <c r="K709" s="83"/>
      <c r="L709" s="83"/>
      <c r="M709" s="82"/>
      <c r="N709" s="82"/>
      <c r="O709" s="82"/>
      <c r="P709" s="82"/>
      <c r="Q709" s="82"/>
      <c r="R709" s="82"/>
      <c r="S709" s="82"/>
      <c r="T709" s="82"/>
      <c r="U709" s="32"/>
      <c r="V709" s="32"/>
      <c r="W709" s="32"/>
      <c r="X709" s="32"/>
    </row>
    <row r="710">
      <c r="A710" s="89"/>
      <c r="B710" s="89"/>
      <c r="C710" s="89"/>
      <c r="D710" s="91"/>
      <c r="E710" s="83"/>
      <c r="F710" s="83"/>
      <c r="G710" s="83"/>
      <c r="H710" s="83"/>
      <c r="I710" s="83"/>
      <c r="J710" s="83"/>
      <c r="K710" s="83"/>
      <c r="L710" s="83"/>
      <c r="M710" s="82"/>
      <c r="N710" s="82"/>
      <c r="O710" s="82"/>
      <c r="P710" s="82"/>
      <c r="Q710" s="82"/>
      <c r="R710" s="82"/>
      <c r="S710" s="82"/>
      <c r="T710" s="82"/>
      <c r="U710" s="32"/>
      <c r="V710" s="32"/>
      <c r="W710" s="32"/>
      <c r="X710" s="32"/>
    </row>
    <row r="711">
      <c r="A711" s="89"/>
      <c r="B711" s="89"/>
      <c r="C711" s="89"/>
      <c r="D711" s="91"/>
      <c r="E711" s="83"/>
      <c r="F711" s="83"/>
      <c r="G711" s="83"/>
      <c r="H711" s="83"/>
      <c r="I711" s="83"/>
      <c r="J711" s="83"/>
      <c r="K711" s="83"/>
      <c r="L711" s="83"/>
      <c r="M711" s="82"/>
      <c r="N711" s="82"/>
      <c r="O711" s="82"/>
      <c r="P711" s="82"/>
      <c r="Q711" s="82"/>
      <c r="R711" s="82"/>
      <c r="S711" s="82"/>
      <c r="T711" s="82"/>
      <c r="U711" s="32"/>
      <c r="V711" s="32"/>
      <c r="W711" s="32"/>
      <c r="X711" s="32"/>
    </row>
    <row r="712">
      <c r="A712" s="89"/>
      <c r="B712" s="89"/>
      <c r="C712" s="89"/>
      <c r="D712" s="91"/>
      <c r="E712" s="83"/>
      <c r="F712" s="83"/>
      <c r="G712" s="83"/>
      <c r="H712" s="83"/>
      <c r="I712" s="83"/>
      <c r="J712" s="83"/>
      <c r="K712" s="83"/>
      <c r="L712" s="83"/>
      <c r="M712" s="82"/>
      <c r="N712" s="82"/>
      <c r="O712" s="82"/>
      <c r="P712" s="82"/>
      <c r="Q712" s="82"/>
      <c r="R712" s="82"/>
      <c r="S712" s="82"/>
      <c r="T712" s="82"/>
      <c r="U712" s="32"/>
      <c r="V712" s="32"/>
      <c r="W712" s="32"/>
      <c r="X712" s="32"/>
    </row>
    <row r="713">
      <c r="A713" s="89"/>
      <c r="B713" s="89"/>
      <c r="C713" s="89"/>
      <c r="D713" s="91"/>
      <c r="E713" s="83"/>
      <c r="F713" s="83"/>
      <c r="G713" s="83"/>
      <c r="H713" s="83"/>
      <c r="I713" s="83"/>
      <c r="J713" s="83"/>
      <c r="K713" s="83"/>
      <c r="L713" s="83"/>
      <c r="M713" s="82"/>
      <c r="N713" s="82"/>
      <c r="O713" s="82"/>
      <c r="P713" s="82"/>
      <c r="Q713" s="82"/>
      <c r="R713" s="82"/>
      <c r="S713" s="82"/>
      <c r="T713" s="82"/>
      <c r="U713" s="32"/>
      <c r="V713" s="32"/>
      <c r="W713" s="32"/>
      <c r="X713" s="32"/>
    </row>
    <row r="714">
      <c r="A714" s="89"/>
      <c r="B714" s="89"/>
      <c r="C714" s="89"/>
      <c r="D714" s="91"/>
      <c r="E714" s="83"/>
      <c r="F714" s="83"/>
      <c r="G714" s="83"/>
      <c r="H714" s="83"/>
      <c r="I714" s="83"/>
      <c r="J714" s="83"/>
      <c r="K714" s="83"/>
      <c r="L714" s="83"/>
      <c r="M714" s="82"/>
      <c r="N714" s="82"/>
      <c r="O714" s="82"/>
      <c r="P714" s="82"/>
      <c r="Q714" s="82"/>
      <c r="R714" s="82"/>
      <c r="S714" s="82"/>
      <c r="T714" s="82"/>
      <c r="U714" s="32"/>
      <c r="V714" s="32"/>
      <c r="W714" s="32"/>
      <c r="X714" s="32"/>
    </row>
    <row r="715">
      <c r="A715" s="89"/>
      <c r="B715" s="89"/>
      <c r="C715" s="89"/>
      <c r="D715" s="91"/>
      <c r="E715" s="83"/>
      <c r="F715" s="83"/>
      <c r="G715" s="83"/>
      <c r="H715" s="83"/>
      <c r="I715" s="83"/>
      <c r="J715" s="83"/>
      <c r="K715" s="83"/>
      <c r="L715" s="83"/>
      <c r="M715" s="82"/>
      <c r="N715" s="82"/>
      <c r="O715" s="82"/>
      <c r="P715" s="82"/>
      <c r="Q715" s="82"/>
      <c r="R715" s="82"/>
      <c r="S715" s="82"/>
      <c r="T715" s="82"/>
      <c r="U715" s="32"/>
      <c r="V715" s="32"/>
      <c r="W715" s="32"/>
      <c r="X715" s="32"/>
    </row>
    <row r="716">
      <c r="A716" s="89"/>
      <c r="B716" s="89"/>
      <c r="C716" s="89"/>
      <c r="D716" s="91"/>
      <c r="E716" s="83"/>
      <c r="F716" s="83"/>
      <c r="G716" s="83"/>
      <c r="H716" s="83"/>
      <c r="I716" s="83"/>
      <c r="J716" s="83"/>
      <c r="K716" s="83"/>
      <c r="L716" s="83"/>
      <c r="M716" s="82"/>
      <c r="N716" s="82"/>
      <c r="O716" s="82"/>
      <c r="P716" s="82"/>
      <c r="Q716" s="82"/>
      <c r="R716" s="82"/>
      <c r="S716" s="82"/>
      <c r="T716" s="82"/>
      <c r="U716" s="32"/>
      <c r="V716" s="32"/>
      <c r="W716" s="32"/>
      <c r="X716" s="32"/>
    </row>
    <row r="717">
      <c r="A717" s="89"/>
      <c r="B717" s="89"/>
      <c r="C717" s="89"/>
      <c r="D717" s="91"/>
      <c r="E717" s="83"/>
      <c r="F717" s="83"/>
      <c r="G717" s="83"/>
      <c r="H717" s="83"/>
      <c r="I717" s="83"/>
      <c r="J717" s="83"/>
      <c r="K717" s="83"/>
      <c r="L717" s="83"/>
      <c r="M717" s="82"/>
      <c r="N717" s="82"/>
      <c r="O717" s="82"/>
      <c r="P717" s="82"/>
      <c r="Q717" s="82"/>
      <c r="R717" s="82"/>
      <c r="S717" s="82"/>
      <c r="T717" s="82"/>
      <c r="U717" s="32"/>
      <c r="V717" s="32"/>
      <c r="W717" s="32"/>
      <c r="X717" s="32"/>
    </row>
    <row r="718">
      <c r="A718" s="89"/>
      <c r="B718" s="89"/>
      <c r="C718" s="89"/>
      <c r="D718" s="91"/>
      <c r="E718" s="83"/>
      <c r="F718" s="83"/>
      <c r="G718" s="83"/>
      <c r="H718" s="83"/>
      <c r="I718" s="83"/>
      <c r="J718" s="83"/>
      <c r="K718" s="83"/>
      <c r="L718" s="83"/>
      <c r="M718" s="82"/>
      <c r="N718" s="82"/>
      <c r="O718" s="82"/>
      <c r="P718" s="82"/>
      <c r="Q718" s="82"/>
      <c r="R718" s="82"/>
      <c r="S718" s="82"/>
      <c r="T718" s="82"/>
      <c r="U718" s="32"/>
      <c r="V718" s="32"/>
      <c r="W718" s="32"/>
      <c r="X718" s="32"/>
    </row>
    <row r="719">
      <c r="A719" s="89"/>
      <c r="B719" s="89"/>
      <c r="C719" s="89"/>
      <c r="D719" s="91"/>
      <c r="E719" s="83"/>
      <c r="F719" s="83"/>
      <c r="G719" s="83"/>
      <c r="H719" s="83"/>
      <c r="I719" s="83"/>
      <c r="J719" s="83"/>
      <c r="K719" s="83"/>
      <c r="L719" s="83"/>
      <c r="M719" s="82"/>
      <c r="N719" s="82"/>
      <c r="O719" s="82"/>
      <c r="P719" s="82"/>
      <c r="Q719" s="82"/>
      <c r="R719" s="82"/>
      <c r="S719" s="82"/>
      <c r="T719" s="82"/>
      <c r="U719" s="32"/>
      <c r="V719" s="32"/>
      <c r="W719" s="32"/>
      <c r="X719" s="32"/>
    </row>
    <row r="720">
      <c r="A720" s="89"/>
      <c r="B720" s="89"/>
      <c r="C720" s="89"/>
      <c r="D720" s="91"/>
      <c r="E720" s="83"/>
      <c r="F720" s="83"/>
      <c r="G720" s="83"/>
      <c r="H720" s="83"/>
      <c r="I720" s="83"/>
      <c r="J720" s="83"/>
      <c r="K720" s="83"/>
      <c r="L720" s="83"/>
      <c r="M720" s="82"/>
      <c r="N720" s="82"/>
      <c r="O720" s="82"/>
      <c r="P720" s="82"/>
      <c r="Q720" s="82"/>
      <c r="R720" s="82"/>
      <c r="S720" s="82"/>
      <c r="T720" s="82"/>
      <c r="U720" s="32"/>
      <c r="V720" s="32"/>
      <c r="W720" s="32"/>
      <c r="X720" s="32"/>
    </row>
    <row r="721">
      <c r="A721" s="89"/>
      <c r="B721" s="89"/>
      <c r="C721" s="89"/>
      <c r="D721" s="91"/>
      <c r="E721" s="83"/>
      <c r="F721" s="83"/>
      <c r="G721" s="83"/>
      <c r="H721" s="83"/>
      <c r="I721" s="83"/>
      <c r="J721" s="83"/>
      <c r="K721" s="83"/>
      <c r="L721" s="83"/>
      <c r="M721" s="82"/>
      <c r="N721" s="82"/>
      <c r="O721" s="82"/>
      <c r="P721" s="82"/>
      <c r="Q721" s="82"/>
      <c r="R721" s="82"/>
      <c r="S721" s="82"/>
      <c r="T721" s="82"/>
      <c r="U721" s="32"/>
      <c r="V721" s="32"/>
      <c r="W721" s="32"/>
      <c r="X721" s="32"/>
    </row>
    <row r="722">
      <c r="A722" s="89"/>
      <c r="B722" s="89"/>
      <c r="C722" s="89"/>
      <c r="D722" s="91"/>
      <c r="E722" s="83"/>
      <c r="F722" s="83"/>
      <c r="G722" s="83"/>
      <c r="H722" s="83"/>
      <c r="I722" s="83"/>
      <c r="J722" s="83"/>
      <c r="K722" s="83"/>
      <c r="L722" s="83"/>
      <c r="M722" s="82"/>
      <c r="N722" s="82"/>
      <c r="O722" s="82"/>
      <c r="P722" s="82"/>
      <c r="Q722" s="82"/>
      <c r="R722" s="82"/>
      <c r="S722" s="82"/>
      <c r="T722" s="82"/>
      <c r="U722" s="32"/>
      <c r="V722" s="32"/>
      <c r="W722" s="32"/>
      <c r="X722" s="32"/>
    </row>
    <row r="723">
      <c r="A723" s="89"/>
      <c r="B723" s="89"/>
      <c r="C723" s="89"/>
      <c r="D723" s="91"/>
      <c r="E723" s="83"/>
      <c r="F723" s="83"/>
      <c r="G723" s="83"/>
      <c r="H723" s="83"/>
      <c r="I723" s="83"/>
      <c r="J723" s="83"/>
      <c r="K723" s="83"/>
      <c r="L723" s="83"/>
      <c r="M723" s="82"/>
      <c r="N723" s="82"/>
      <c r="O723" s="82"/>
      <c r="P723" s="82"/>
      <c r="Q723" s="82"/>
      <c r="R723" s="82"/>
      <c r="S723" s="82"/>
      <c r="T723" s="82"/>
      <c r="U723" s="32"/>
      <c r="V723" s="32"/>
      <c r="W723" s="32"/>
      <c r="X723" s="32"/>
    </row>
    <row r="724">
      <c r="A724" s="89"/>
      <c r="B724" s="89"/>
      <c r="C724" s="89"/>
      <c r="D724" s="91"/>
      <c r="E724" s="83"/>
      <c r="F724" s="83"/>
      <c r="G724" s="83"/>
      <c r="H724" s="83"/>
      <c r="I724" s="83"/>
      <c r="J724" s="83"/>
      <c r="K724" s="83"/>
      <c r="L724" s="83"/>
      <c r="M724" s="82"/>
      <c r="N724" s="82"/>
      <c r="O724" s="82"/>
      <c r="P724" s="82"/>
      <c r="Q724" s="82"/>
      <c r="R724" s="82"/>
      <c r="S724" s="82"/>
      <c r="T724" s="82"/>
      <c r="U724" s="32"/>
      <c r="V724" s="32"/>
      <c r="W724" s="32"/>
      <c r="X724" s="32"/>
    </row>
    <row r="725">
      <c r="A725" s="89"/>
      <c r="B725" s="89"/>
      <c r="C725" s="89"/>
      <c r="D725" s="91"/>
      <c r="E725" s="83"/>
      <c r="F725" s="83"/>
      <c r="G725" s="83"/>
      <c r="H725" s="83"/>
      <c r="I725" s="83"/>
      <c r="J725" s="83"/>
      <c r="K725" s="83"/>
      <c r="L725" s="83"/>
      <c r="M725" s="82"/>
      <c r="N725" s="82"/>
      <c r="O725" s="82"/>
      <c r="P725" s="82"/>
      <c r="Q725" s="82"/>
      <c r="R725" s="82"/>
      <c r="S725" s="82"/>
      <c r="T725" s="82"/>
      <c r="U725" s="32"/>
      <c r="V725" s="32"/>
      <c r="W725" s="32"/>
      <c r="X725" s="32"/>
    </row>
    <row r="726">
      <c r="A726" s="89"/>
      <c r="B726" s="89"/>
      <c r="C726" s="89"/>
      <c r="D726" s="91"/>
      <c r="E726" s="83"/>
      <c r="F726" s="83"/>
      <c r="G726" s="83"/>
      <c r="H726" s="83"/>
      <c r="I726" s="83"/>
      <c r="J726" s="83"/>
      <c r="K726" s="83"/>
      <c r="L726" s="83"/>
      <c r="M726" s="82"/>
      <c r="N726" s="82"/>
      <c r="O726" s="82"/>
      <c r="P726" s="82"/>
      <c r="Q726" s="82"/>
      <c r="R726" s="82"/>
      <c r="S726" s="82"/>
      <c r="T726" s="82"/>
      <c r="U726" s="32"/>
      <c r="V726" s="32"/>
      <c r="W726" s="32"/>
      <c r="X726" s="32"/>
    </row>
    <row r="727">
      <c r="A727" s="89"/>
      <c r="B727" s="89"/>
      <c r="C727" s="89"/>
      <c r="D727" s="91"/>
      <c r="E727" s="83"/>
      <c r="F727" s="83"/>
      <c r="G727" s="83"/>
      <c r="H727" s="83"/>
      <c r="I727" s="83"/>
      <c r="J727" s="83"/>
      <c r="K727" s="83"/>
      <c r="L727" s="83"/>
      <c r="M727" s="82"/>
      <c r="N727" s="82"/>
      <c r="O727" s="82"/>
      <c r="P727" s="82"/>
      <c r="Q727" s="82"/>
      <c r="R727" s="82"/>
      <c r="S727" s="82"/>
      <c r="T727" s="82"/>
      <c r="U727" s="32"/>
      <c r="V727" s="32"/>
      <c r="W727" s="32"/>
      <c r="X727" s="32"/>
    </row>
    <row r="728">
      <c r="A728" s="89"/>
      <c r="B728" s="89"/>
      <c r="C728" s="89"/>
      <c r="D728" s="91"/>
      <c r="E728" s="83"/>
      <c r="F728" s="83"/>
      <c r="G728" s="83"/>
      <c r="H728" s="83"/>
      <c r="I728" s="83"/>
      <c r="J728" s="83"/>
      <c r="K728" s="83"/>
      <c r="L728" s="83"/>
      <c r="M728" s="82"/>
      <c r="N728" s="82"/>
      <c r="O728" s="82"/>
      <c r="P728" s="82"/>
      <c r="Q728" s="82"/>
      <c r="R728" s="82"/>
      <c r="S728" s="82"/>
      <c r="T728" s="82"/>
      <c r="U728" s="32"/>
      <c r="V728" s="32"/>
      <c r="W728" s="32"/>
      <c r="X728" s="32"/>
    </row>
    <row r="729">
      <c r="A729" s="89"/>
      <c r="B729" s="89"/>
      <c r="C729" s="89"/>
      <c r="D729" s="91"/>
      <c r="E729" s="83"/>
      <c r="F729" s="83"/>
      <c r="G729" s="83"/>
      <c r="H729" s="83"/>
      <c r="I729" s="83"/>
      <c r="J729" s="83"/>
      <c r="K729" s="83"/>
      <c r="L729" s="83"/>
      <c r="M729" s="82"/>
      <c r="N729" s="82"/>
      <c r="O729" s="82"/>
      <c r="P729" s="82"/>
      <c r="Q729" s="82"/>
      <c r="R729" s="82"/>
      <c r="S729" s="82"/>
      <c r="T729" s="82"/>
      <c r="U729" s="32"/>
      <c r="V729" s="32"/>
      <c r="W729" s="32"/>
      <c r="X729" s="32"/>
    </row>
    <row r="730">
      <c r="A730" s="89"/>
      <c r="B730" s="89"/>
      <c r="C730" s="89"/>
      <c r="D730" s="91"/>
      <c r="E730" s="83"/>
      <c r="F730" s="83"/>
      <c r="G730" s="83"/>
      <c r="H730" s="83"/>
      <c r="I730" s="83"/>
      <c r="J730" s="83"/>
      <c r="K730" s="83"/>
      <c r="L730" s="83"/>
      <c r="M730" s="82"/>
      <c r="N730" s="82"/>
      <c r="O730" s="82"/>
      <c r="P730" s="82"/>
      <c r="Q730" s="82"/>
      <c r="R730" s="82"/>
      <c r="S730" s="82"/>
      <c r="T730" s="82"/>
      <c r="U730" s="32"/>
      <c r="V730" s="32"/>
      <c r="W730" s="32"/>
      <c r="X730" s="32"/>
    </row>
    <row r="731">
      <c r="A731" s="89"/>
      <c r="B731" s="89"/>
      <c r="C731" s="89"/>
      <c r="D731" s="91"/>
      <c r="E731" s="83"/>
      <c r="F731" s="83"/>
      <c r="G731" s="83"/>
      <c r="H731" s="83"/>
      <c r="I731" s="83"/>
      <c r="J731" s="83"/>
      <c r="K731" s="83"/>
      <c r="L731" s="83"/>
      <c r="M731" s="82"/>
      <c r="N731" s="82"/>
      <c r="O731" s="82"/>
      <c r="P731" s="82"/>
      <c r="Q731" s="82"/>
      <c r="R731" s="82"/>
      <c r="S731" s="82"/>
      <c r="T731" s="82"/>
      <c r="U731" s="32"/>
      <c r="V731" s="32"/>
      <c r="W731" s="32"/>
      <c r="X731" s="32"/>
    </row>
    <row r="732">
      <c r="A732" s="89"/>
      <c r="B732" s="89"/>
      <c r="C732" s="89"/>
      <c r="D732" s="91"/>
      <c r="E732" s="83"/>
      <c r="F732" s="83"/>
      <c r="G732" s="83"/>
      <c r="H732" s="83"/>
      <c r="I732" s="83"/>
      <c r="J732" s="83"/>
      <c r="K732" s="83"/>
      <c r="L732" s="83"/>
      <c r="M732" s="82"/>
      <c r="N732" s="82"/>
      <c r="O732" s="82"/>
      <c r="P732" s="82"/>
      <c r="Q732" s="82"/>
      <c r="R732" s="82"/>
      <c r="S732" s="82"/>
      <c r="T732" s="82"/>
      <c r="U732" s="32"/>
      <c r="V732" s="32"/>
      <c r="W732" s="32"/>
      <c r="X732" s="32"/>
    </row>
    <row r="733">
      <c r="A733" s="89"/>
      <c r="B733" s="89"/>
      <c r="C733" s="89"/>
      <c r="D733" s="91"/>
      <c r="E733" s="83"/>
      <c r="F733" s="83"/>
      <c r="G733" s="83"/>
      <c r="H733" s="83"/>
      <c r="I733" s="83"/>
      <c r="J733" s="83"/>
      <c r="K733" s="83"/>
      <c r="L733" s="83"/>
      <c r="M733" s="82"/>
      <c r="N733" s="82"/>
      <c r="O733" s="82"/>
      <c r="P733" s="82"/>
      <c r="Q733" s="82"/>
      <c r="R733" s="82"/>
      <c r="S733" s="82"/>
      <c r="T733" s="82"/>
      <c r="U733" s="32"/>
      <c r="V733" s="32"/>
      <c r="W733" s="32"/>
      <c r="X733" s="32"/>
    </row>
    <row r="734">
      <c r="A734" s="89"/>
      <c r="B734" s="89"/>
      <c r="C734" s="89"/>
      <c r="D734" s="91"/>
      <c r="E734" s="83"/>
      <c r="F734" s="83"/>
      <c r="G734" s="83"/>
      <c r="H734" s="83"/>
      <c r="I734" s="83"/>
      <c r="J734" s="83"/>
      <c r="K734" s="83"/>
      <c r="L734" s="83"/>
      <c r="M734" s="82"/>
      <c r="N734" s="82"/>
      <c r="O734" s="82"/>
      <c r="P734" s="82"/>
      <c r="Q734" s="82"/>
      <c r="R734" s="82"/>
      <c r="S734" s="82"/>
      <c r="T734" s="82"/>
      <c r="U734" s="32"/>
      <c r="V734" s="32"/>
      <c r="W734" s="32"/>
      <c r="X734" s="32"/>
    </row>
    <row r="735">
      <c r="A735" s="89"/>
      <c r="B735" s="89"/>
      <c r="C735" s="89"/>
      <c r="D735" s="91"/>
      <c r="E735" s="83"/>
      <c r="F735" s="83"/>
      <c r="G735" s="83"/>
      <c r="H735" s="83"/>
      <c r="I735" s="83"/>
      <c r="J735" s="83"/>
      <c r="K735" s="83"/>
      <c r="L735" s="83"/>
      <c r="M735" s="82"/>
      <c r="N735" s="82"/>
      <c r="O735" s="82"/>
      <c r="P735" s="82"/>
      <c r="Q735" s="82"/>
      <c r="R735" s="82"/>
      <c r="S735" s="82"/>
      <c r="T735" s="82"/>
      <c r="U735" s="32"/>
      <c r="V735" s="32"/>
      <c r="W735" s="32"/>
      <c r="X735" s="32"/>
    </row>
    <row r="736">
      <c r="A736" s="89"/>
      <c r="B736" s="89"/>
      <c r="C736" s="89"/>
      <c r="D736" s="91"/>
      <c r="E736" s="83"/>
      <c r="F736" s="83"/>
      <c r="G736" s="83"/>
      <c r="H736" s="83"/>
      <c r="I736" s="83"/>
      <c r="J736" s="83"/>
      <c r="K736" s="83"/>
      <c r="L736" s="83"/>
      <c r="M736" s="82"/>
      <c r="N736" s="82"/>
      <c r="O736" s="82"/>
      <c r="P736" s="82"/>
      <c r="Q736" s="82"/>
      <c r="R736" s="82"/>
      <c r="S736" s="82"/>
      <c r="T736" s="82"/>
      <c r="U736" s="32"/>
      <c r="V736" s="32"/>
      <c r="W736" s="32"/>
      <c r="X736" s="32"/>
    </row>
    <row r="737">
      <c r="A737" s="89"/>
      <c r="B737" s="89"/>
      <c r="C737" s="89"/>
      <c r="D737" s="91"/>
      <c r="E737" s="83"/>
      <c r="F737" s="83"/>
      <c r="G737" s="83"/>
      <c r="H737" s="83"/>
      <c r="I737" s="83"/>
      <c r="J737" s="83"/>
      <c r="K737" s="83"/>
      <c r="L737" s="83"/>
      <c r="M737" s="82"/>
      <c r="N737" s="82"/>
      <c r="O737" s="82"/>
      <c r="P737" s="82"/>
      <c r="Q737" s="82"/>
      <c r="R737" s="82"/>
      <c r="S737" s="82"/>
      <c r="T737" s="82"/>
      <c r="U737" s="32"/>
      <c r="V737" s="32"/>
      <c r="W737" s="32"/>
      <c r="X737" s="32"/>
    </row>
    <row r="738">
      <c r="A738" s="89"/>
      <c r="B738" s="89"/>
      <c r="C738" s="89"/>
      <c r="D738" s="91"/>
      <c r="E738" s="83"/>
      <c r="F738" s="83"/>
      <c r="G738" s="83"/>
      <c r="H738" s="83"/>
      <c r="I738" s="83"/>
      <c r="J738" s="83"/>
      <c r="K738" s="83"/>
      <c r="L738" s="83"/>
      <c r="M738" s="82"/>
      <c r="N738" s="82"/>
      <c r="O738" s="82"/>
      <c r="P738" s="82"/>
      <c r="Q738" s="82"/>
      <c r="R738" s="82"/>
      <c r="S738" s="82"/>
      <c r="T738" s="82"/>
      <c r="U738" s="32"/>
      <c r="V738" s="32"/>
      <c r="W738" s="32"/>
      <c r="X738" s="32"/>
    </row>
    <row r="739">
      <c r="A739" s="89"/>
      <c r="B739" s="89"/>
      <c r="C739" s="89"/>
      <c r="D739" s="91"/>
      <c r="E739" s="83"/>
      <c r="F739" s="83"/>
      <c r="G739" s="83"/>
      <c r="H739" s="83"/>
      <c r="I739" s="83"/>
      <c r="J739" s="83"/>
      <c r="K739" s="83"/>
      <c r="L739" s="83"/>
      <c r="M739" s="82"/>
      <c r="N739" s="82"/>
      <c r="O739" s="82"/>
      <c r="P739" s="82"/>
      <c r="Q739" s="82"/>
      <c r="R739" s="82"/>
      <c r="S739" s="82"/>
      <c r="T739" s="82"/>
      <c r="U739" s="32"/>
      <c r="V739" s="32"/>
      <c r="W739" s="32"/>
      <c r="X739" s="32"/>
    </row>
    <row r="740">
      <c r="A740" s="89"/>
      <c r="B740" s="89"/>
      <c r="C740" s="89"/>
      <c r="D740" s="91"/>
      <c r="E740" s="83"/>
      <c r="F740" s="83"/>
      <c r="G740" s="83"/>
      <c r="H740" s="83"/>
      <c r="I740" s="83"/>
      <c r="J740" s="83"/>
      <c r="K740" s="83"/>
      <c r="L740" s="83"/>
      <c r="M740" s="82"/>
      <c r="N740" s="82"/>
      <c r="O740" s="82"/>
      <c r="P740" s="82"/>
      <c r="Q740" s="82"/>
      <c r="R740" s="82"/>
      <c r="S740" s="82"/>
      <c r="T740" s="82"/>
      <c r="U740" s="32"/>
      <c r="V740" s="32"/>
      <c r="W740" s="32"/>
      <c r="X740" s="32"/>
    </row>
    <row r="741">
      <c r="A741" s="89"/>
      <c r="B741" s="89"/>
      <c r="C741" s="89"/>
      <c r="D741" s="91"/>
      <c r="E741" s="83"/>
      <c r="F741" s="83"/>
      <c r="G741" s="83"/>
      <c r="H741" s="83"/>
      <c r="I741" s="83"/>
      <c r="J741" s="83"/>
      <c r="K741" s="83"/>
      <c r="L741" s="83"/>
      <c r="M741" s="82"/>
      <c r="N741" s="82"/>
      <c r="O741" s="82"/>
      <c r="P741" s="82"/>
      <c r="Q741" s="82"/>
      <c r="R741" s="82"/>
      <c r="S741" s="82"/>
      <c r="T741" s="82"/>
      <c r="U741" s="32"/>
      <c r="V741" s="32"/>
      <c r="W741" s="32"/>
      <c r="X741" s="32"/>
    </row>
    <row r="742">
      <c r="A742" s="89"/>
      <c r="B742" s="89"/>
      <c r="C742" s="89"/>
      <c r="D742" s="91"/>
      <c r="E742" s="83"/>
      <c r="F742" s="83"/>
      <c r="G742" s="83"/>
      <c r="H742" s="83"/>
      <c r="I742" s="83"/>
      <c r="J742" s="83"/>
      <c r="K742" s="83"/>
      <c r="L742" s="83"/>
      <c r="M742" s="82"/>
      <c r="N742" s="82"/>
      <c r="O742" s="82"/>
      <c r="P742" s="82"/>
      <c r="Q742" s="82"/>
      <c r="R742" s="82"/>
      <c r="S742" s="82"/>
      <c r="T742" s="82"/>
      <c r="U742" s="32"/>
      <c r="V742" s="32"/>
      <c r="W742" s="32"/>
      <c r="X742" s="32"/>
    </row>
    <row r="743">
      <c r="A743" s="89"/>
      <c r="B743" s="89"/>
      <c r="C743" s="89"/>
      <c r="D743" s="91"/>
      <c r="E743" s="83"/>
      <c r="F743" s="83"/>
      <c r="G743" s="83"/>
      <c r="H743" s="83"/>
      <c r="I743" s="83"/>
      <c r="J743" s="83"/>
      <c r="K743" s="83"/>
      <c r="L743" s="83"/>
      <c r="M743" s="82"/>
      <c r="N743" s="82"/>
      <c r="O743" s="82"/>
      <c r="P743" s="82"/>
      <c r="Q743" s="82"/>
      <c r="R743" s="82"/>
      <c r="S743" s="82"/>
      <c r="T743" s="82"/>
      <c r="U743" s="32"/>
      <c r="V743" s="32"/>
      <c r="W743" s="32"/>
      <c r="X743" s="32"/>
    </row>
    <row r="744">
      <c r="A744" s="89"/>
      <c r="B744" s="89"/>
      <c r="C744" s="89"/>
      <c r="D744" s="91"/>
      <c r="E744" s="83"/>
      <c r="F744" s="83"/>
      <c r="G744" s="83"/>
      <c r="H744" s="83"/>
      <c r="I744" s="83"/>
      <c r="J744" s="83"/>
      <c r="K744" s="83"/>
      <c r="L744" s="83"/>
      <c r="M744" s="82"/>
      <c r="N744" s="82"/>
      <c r="O744" s="82"/>
      <c r="P744" s="82"/>
      <c r="Q744" s="82"/>
      <c r="R744" s="82"/>
      <c r="S744" s="82"/>
      <c r="T744" s="82"/>
      <c r="U744" s="32"/>
      <c r="V744" s="32"/>
      <c r="W744" s="32"/>
      <c r="X744" s="32"/>
    </row>
    <row r="745">
      <c r="A745" s="89"/>
      <c r="B745" s="89"/>
      <c r="C745" s="89"/>
      <c r="D745" s="91"/>
      <c r="E745" s="83"/>
      <c r="F745" s="83"/>
      <c r="G745" s="83"/>
      <c r="H745" s="83"/>
      <c r="I745" s="83"/>
      <c r="J745" s="83"/>
      <c r="K745" s="83"/>
      <c r="L745" s="83"/>
      <c r="M745" s="82"/>
      <c r="N745" s="82"/>
      <c r="O745" s="82"/>
      <c r="P745" s="82"/>
      <c r="Q745" s="82"/>
      <c r="R745" s="82"/>
      <c r="S745" s="82"/>
      <c r="T745" s="82"/>
      <c r="U745" s="32"/>
      <c r="V745" s="32"/>
      <c r="W745" s="32"/>
      <c r="X745" s="32"/>
    </row>
    <row r="746">
      <c r="A746" s="89"/>
      <c r="B746" s="89"/>
      <c r="C746" s="89"/>
      <c r="D746" s="91"/>
      <c r="E746" s="83"/>
      <c r="F746" s="83"/>
      <c r="G746" s="83"/>
      <c r="H746" s="83"/>
      <c r="I746" s="83"/>
      <c r="J746" s="83"/>
      <c r="K746" s="83"/>
      <c r="L746" s="83"/>
      <c r="M746" s="82"/>
      <c r="N746" s="82"/>
      <c r="O746" s="82"/>
      <c r="P746" s="82"/>
      <c r="Q746" s="82"/>
      <c r="R746" s="82"/>
      <c r="S746" s="82"/>
      <c r="T746" s="82"/>
      <c r="U746" s="32"/>
      <c r="V746" s="32"/>
      <c r="W746" s="32"/>
      <c r="X746" s="32"/>
    </row>
    <row r="747">
      <c r="A747" s="89"/>
      <c r="B747" s="89"/>
      <c r="C747" s="89"/>
      <c r="D747" s="91"/>
      <c r="E747" s="83"/>
      <c r="F747" s="83"/>
      <c r="G747" s="83"/>
      <c r="H747" s="83"/>
      <c r="I747" s="83"/>
      <c r="J747" s="83"/>
      <c r="K747" s="83"/>
      <c r="L747" s="83"/>
      <c r="M747" s="82"/>
      <c r="N747" s="82"/>
      <c r="O747" s="82"/>
      <c r="P747" s="82"/>
      <c r="Q747" s="82"/>
      <c r="R747" s="82"/>
      <c r="S747" s="82"/>
      <c r="T747" s="82"/>
      <c r="U747" s="32"/>
      <c r="V747" s="32"/>
      <c r="W747" s="32"/>
      <c r="X747" s="32"/>
    </row>
    <row r="748">
      <c r="A748" s="89"/>
      <c r="B748" s="89"/>
      <c r="C748" s="89"/>
      <c r="D748" s="91"/>
      <c r="E748" s="83"/>
      <c r="F748" s="83"/>
      <c r="G748" s="83"/>
      <c r="H748" s="83"/>
      <c r="I748" s="83"/>
      <c r="J748" s="83"/>
      <c r="K748" s="83"/>
      <c r="L748" s="83"/>
      <c r="M748" s="82"/>
      <c r="N748" s="82"/>
      <c r="O748" s="82"/>
      <c r="P748" s="82"/>
      <c r="Q748" s="82"/>
      <c r="R748" s="82"/>
      <c r="S748" s="82"/>
      <c r="T748" s="82"/>
      <c r="U748" s="32"/>
      <c r="V748" s="32"/>
      <c r="W748" s="32"/>
      <c r="X748" s="32"/>
    </row>
    <row r="749">
      <c r="A749" s="89"/>
      <c r="B749" s="89"/>
      <c r="C749" s="89"/>
      <c r="D749" s="91"/>
      <c r="E749" s="83"/>
      <c r="F749" s="83"/>
      <c r="G749" s="83"/>
      <c r="H749" s="83"/>
      <c r="I749" s="83"/>
      <c r="J749" s="83"/>
      <c r="K749" s="83"/>
      <c r="L749" s="83"/>
      <c r="M749" s="82"/>
      <c r="N749" s="82"/>
      <c r="O749" s="82"/>
      <c r="P749" s="82"/>
      <c r="Q749" s="82"/>
      <c r="R749" s="82"/>
      <c r="S749" s="82"/>
      <c r="T749" s="82"/>
      <c r="U749" s="32"/>
      <c r="V749" s="32"/>
      <c r="W749" s="32"/>
      <c r="X749" s="32"/>
    </row>
    <row r="750">
      <c r="A750" s="89"/>
      <c r="B750" s="89"/>
      <c r="C750" s="89"/>
      <c r="D750" s="91"/>
      <c r="E750" s="83"/>
      <c r="F750" s="83"/>
      <c r="G750" s="83"/>
      <c r="H750" s="83"/>
      <c r="I750" s="83"/>
      <c r="J750" s="83"/>
      <c r="K750" s="83"/>
      <c r="L750" s="83"/>
      <c r="M750" s="82"/>
      <c r="N750" s="82"/>
      <c r="O750" s="82"/>
      <c r="P750" s="82"/>
      <c r="Q750" s="82"/>
      <c r="R750" s="82"/>
      <c r="S750" s="82"/>
      <c r="T750" s="82"/>
      <c r="U750" s="32"/>
      <c r="V750" s="32"/>
      <c r="W750" s="32"/>
      <c r="X750" s="32"/>
    </row>
    <row r="751">
      <c r="A751" s="89"/>
      <c r="B751" s="89"/>
      <c r="C751" s="89"/>
      <c r="D751" s="91"/>
      <c r="E751" s="83"/>
      <c r="F751" s="83"/>
      <c r="G751" s="83"/>
      <c r="H751" s="83"/>
      <c r="I751" s="83"/>
      <c r="J751" s="83"/>
      <c r="K751" s="83"/>
      <c r="L751" s="83"/>
      <c r="M751" s="82"/>
      <c r="N751" s="82"/>
      <c r="O751" s="82"/>
      <c r="P751" s="82"/>
      <c r="Q751" s="82"/>
      <c r="R751" s="82"/>
      <c r="S751" s="82"/>
      <c r="T751" s="82"/>
      <c r="U751" s="32"/>
      <c r="V751" s="32"/>
      <c r="W751" s="32"/>
      <c r="X751" s="32"/>
    </row>
    <row r="752">
      <c r="A752" s="89"/>
      <c r="B752" s="89"/>
      <c r="C752" s="89"/>
      <c r="D752" s="91"/>
      <c r="E752" s="83"/>
      <c r="F752" s="83"/>
      <c r="G752" s="83"/>
      <c r="H752" s="83"/>
      <c r="I752" s="83"/>
      <c r="J752" s="83"/>
      <c r="K752" s="83"/>
      <c r="L752" s="83"/>
      <c r="M752" s="82"/>
      <c r="N752" s="82"/>
      <c r="O752" s="82"/>
      <c r="P752" s="82"/>
      <c r="Q752" s="82"/>
      <c r="R752" s="82"/>
      <c r="S752" s="82"/>
      <c r="T752" s="82"/>
      <c r="U752" s="32"/>
      <c r="V752" s="32"/>
      <c r="W752" s="32"/>
      <c r="X752" s="32"/>
    </row>
    <row r="753">
      <c r="A753" s="89"/>
      <c r="B753" s="89"/>
      <c r="C753" s="89"/>
      <c r="D753" s="91"/>
      <c r="E753" s="83"/>
      <c r="F753" s="83"/>
      <c r="G753" s="83"/>
      <c r="H753" s="83"/>
      <c r="I753" s="83"/>
      <c r="J753" s="83"/>
      <c r="K753" s="83"/>
      <c r="L753" s="83"/>
      <c r="M753" s="82"/>
      <c r="N753" s="82"/>
      <c r="O753" s="82"/>
      <c r="P753" s="82"/>
      <c r="Q753" s="82"/>
      <c r="R753" s="82"/>
      <c r="S753" s="82"/>
      <c r="T753" s="82"/>
      <c r="U753" s="32"/>
      <c r="V753" s="32"/>
      <c r="W753" s="32"/>
      <c r="X753" s="32"/>
    </row>
    <row r="754">
      <c r="A754" s="89"/>
      <c r="B754" s="89"/>
      <c r="C754" s="89"/>
      <c r="D754" s="91"/>
      <c r="E754" s="83"/>
      <c r="F754" s="83"/>
      <c r="G754" s="83"/>
      <c r="H754" s="83"/>
      <c r="I754" s="83"/>
      <c r="J754" s="83"/>
      <c r="K754" s="83"/>
      <c r="L754" s="83"/>
      <c r="M754" s="82"/>
      <c r="N754" s="82"/>
      <c r="O754" s="82"/>
      <c r="P754" s="82"/>
      <c r="Q754" s="82"/>
      <c r="R754" s="82"/>
      <c r="S754" s="82"/>
      <c r="T754" s="82"/>
      <c r="U754" s="32"/>
      <c r="V754" s="32"/>
      <c r="W754" s="32"/>
      <c r="X754" s="32"/>
    </row>
    <row r="755">
      <c r="A755" s="89"/>
      <c r="B755" s="89"/>
      <c r="C755" s="89"/>
      <c r="D755" s="91"/>
      <c r="E755" s="83"/>
      <c r="F755" s="83"/>
      <c r="G755" s="83"/>
      <c r="H755" s="83"/>
      <c r="I755" s="83"/>
      <c r="J755" s="83"/>
      <c r="K755" s="83"/>
      <c r="L755" s="83"/>
      <c r="M755" s="82"/>
      <c r="N755" s="82"/>
      <c r="O755" s="82"/>
      <c r="P755" s="82"/>
      <c r="Q755" s="82"/>
      <c r="R755" s="82"/>
      <c r="S755" s="82"/>
      <c r="T755" s="82"/>
      <c r="U755" s="32"/>
      <c r="V755" s="32"/>
      <c r="W755" s="32"/>
      <c r="X755" s="32"/>
    </row>
    <row r="756">
      <c r="A756" s="89"/>
      <c r="B756" s="89"/>
      <c r="C756" s="89"/>
      <c r="D756" s="91"/>
      <c r="E756" s="83"/>
      <c r="F756" s="83"/>
      <c r="G756" s="83"/>
      <c r="H756" s="83"/>
      <c r="I756" s="83"/>
      <c r="J756" s="83"/>
      <c r="K756" s="83"/>
      <c r="L756" s="83"/>
      <c r="M756" s="82"/>
      <c r="N756" s="82"/>
      <c r="O756" s="82"/>
      <c r="P756" s="82"/>
      <c r="Q756" s="82"/>
      <c r="R756" s="82"/>
      <c r="S756" s="82"/>
      <c r="T756" s="82"/>
      <c r="U756" s="32"/>
      <c r="V756" s="32"/>
      <c r="W756" s="32"/>
      <c r="X756" s="32"/>
    </row>
    <row r="757">
      <c r="A757" s="89"/>
      <c r="B757" s="89"/>
      <c r="C757" s="89"/>
      <c r="D757" s="91"/>
      <c r="E757" s="83"/>
      <c r="F757" s="83"/>
      <c r="G757" s="83"/>
      <c r="H757" s="83"/>
      <c r="I757" s="83"/>
      <c r="J757" s="83"/>
      <c r="K757" s="83"/>
      <c r="L757" s="83"/>
      <c r="M757" s="82"/>
      <c r="N757" s="82"/>
      <c r="O757" s="82"/>
      <c r="P757" s="82"/>
      <c r="Q757" s="82"/>
      <c r="R757" s="82"/>
      <c r="S757" s="82"/>
      <c r="T757" s="82"/>
      <c r="U757" s="32"/>
      <c r="V757" s="32"/>
      <c r="W757" s="32"/>
      <c r="X757" s="32"/>
    </row>
    <row r="758">
      <c r="A758" s="89"/>
      <c r="B758" s="89"/>
      <c r="C758" s="89"/>
      <c r="D758" s="91"/>
      <c r="E758" s="83"/>
      <c r="F758" s="83"/>
      <c r="G758" s="83"/>
      <c r="H758" s="83"/>
      <c r="I758" s="83"/>
      <c r="J758" s="83"/>
      <c r="K758" s="83"/>
      <c r="L758" s="83"/>
      <c r="M758" s="82"/>
      <c r="N758" s="82"/>
      <c r="O758" s="82"/>
      <c r="P758" s="82"/>
      <c r="Q758" s="82"/>
      <c r="R758" s="82"/>
      <c r="S758" s="82"/>
      <c r="T758" s="82"/>
      <c r="U758" s="32"/>
      <c r="V758" s="32"/>
      <c r="W758" s="32"/>
      <c r="X758" s="32"/>
    </row>
    <row r="759">
      <c r="A759" s="89"/>
      <c r="B759" s="89"/>
      <c r="C759" s="89"/>
      <c r="D759" s="91"/>
      <c r="E759" s="83"/>
      <c r="F759" s="83"/>
      <c r="G759" s="83"/>
      <c r="H759" s="83"/>
      <c r="I759" s="83"/>
      <c r="J759" s="83"/>
      <c r="K759" s="83"/>
      <c r="L759" s="83"/>
      <c r="M759" s="82"/>
      <c r="N759" s="82"/>
      <c r="O759" s="82"/>
      <c r="P759" s="82"/>
      <c r="Q759" s="82"/>
      <c r="R759" s="82"/>
      <c r="S759" s="82"/>
      <c r="T759" s="82"/>
      <c r="U759" s="32"/>
      <c r="V759" s="32"/>
      <c r="W759" s="32"/>
      <c r="X759" s="32"/>
    </row>
    <row r="760">
      <c r="A760" s="89"/>
      <c r="B760" s="89"/>
      <c r="C760" s="89"/>
      <c r="D760" s="91"/>
      <c r="E760" s="83"/>
      <c r="F760" s="83"/>
      <c r="G760" s="83"/>
      <c r="H760" s="83"/>
      <c r="I760" s="83"/>
      <c r="J760" s="83"/>
      <c r="K760" s="83"/>
      <c r="L760" s="83"/>
      <c r="M760" s="82"/>
      <c r="N760" s="82"/>
      <c r="O760" s="82"/>
      <c r="P760" s="82"/>
      <c r="Q760" s="82"/>
      <c r="R760" s="82"/>
      <c r="S760" s="82"/>
      <c r="T760" s="82"/>
      <c r="U760" s="32"/>
      <c r="V760" s="32"/>
      <c r="W760" s="32"/>
      <c r="X760" s="32"/>
    </row>
    <row r="761">
      <c r="A761" s="89"/>
      <c r="B761" s="89"/>
      <c r="C761" s="89"/>
      <c r="D761" s="91"/>
      <c r="E761" s="83"/>
      <c r="F761" s="83"/>
      <c r="G761" s="83"/>
      <c r="H761" s="83"/>
      <c r="I761" s="83"/>
      <c r="J761" s="83"/>
      <c r="K761" s="83"/>
      <c r="L761" s="83"/>
      <c r="M761" s="82"/>
      <c r="N761" s="82"/>
      <c r="O761" s="82"/>
      <c r="P761" s="82"/>
      <c r="Q761" s="82"/>
      <c r="R761" s="82"/>
      <c r="S761" s="82"/>
      <c r="T761" s="82"/>
      <c r="U761" s="32"/>
      <c r="V761" s="32"/>
      <c r="W761" s="32"/>
      <c r="X761" s="32"/>
    </row>
    <row r="762">
      <c r="A762" s="89"/>
      <c r="B762" s="89"/>
      <c r="C762" s="89"/>
      <c r="D762" s="91"/>
      <c r="E762" s="83"/>
      <c r="F762" s="83"/>
      <c r="G762" s="83"/>
      <c r="H762" s="83"/>
      <c r="I762" s="83"/>
      <c r="J762" s="83"/>
      <c r="K762" s="83"/>
      <c r="L762" s="83"/>
      <c r="M762" s="82"/>
      <c r="N762" s="82"/>
      <c r="O762" s="82"/>
      <c r="P762" s="82"/>
      <c r="Q762" s="82"/>
      <c r="R762" s="82"/>
      <c r="S762" s="82"/>
      <c r="T762" s="82"/>
      <c r="U762" s="32"/>
      <c r="V762" s="32"/>
      <c r="W762" s="32"/>
      <c r="X762" s="32"/>
    </row>
    <row r="763">
      <c r="A763" s="89"/>
      <c r="B763" s="89"/>
      <c r="C763" s="89"/>
      <c r="D763" s="91"/>
      <c r="E763" s="83"/>
      <c r="F763" s="83"/>
      <c r="G763" s="83"/>
      <c r="H763" s="83"/>
      <c r="I763" s="83"/>
      <c r="J763" s="83"/>
      <c r="K763" s="83"/>
      <c r="L763" s="83"/>
      <c r="M763" s="82"/>
      <c r="N763" s="82"/>
      <c r="O763" s="82"/>
      <c r="P763" s="82"/>
      <c r="Q763" s="82"/>
      <c r="R763" s="82"/>
      <c r="S763" s="82"/>
      <c r="T763" s="82"/>
      <c r="U763" s="32"/>
      <c r="V763" s="32"/>
      <c r="W763" s="32"/>
      <c r="X763" s="32"/>
    </row>
    <row r="764">
      <c r="A764" s="89"/>
      <c r="B764" s="89"/>
      <c r="C764" s="89"/>
      <c r="D764" s="91"/>
      <c r="E764" s="83"/>
      <c r="F764" s="83"/>
      <c r="G764" s="83"/>
      <c r="H764" s="83"/>
      <c r="I764" s="83"/>
      <c r="J764" s="83"/>
      <c r="K764" s="83"/>
      <c r="L764" s="83"/>
      <c r="M764" s="82"/>
      <c r="N764" s="82"/>
      <c r="O764" s="82"/>
      <c r="P764" s="82"/>
      <c r="Q764" s="82"/>
      <c r="R764" s="82"/>
      <c r="S764" s="82"/>
      <c r="T764" s="82"/>
      <c r="U764" s="32"/>
      <c r="V764" s="32"/>
      <c r="W764" s="32"/>
      <c r="X764" s="32"/>
    </row>
    <row r="765">
      <c r="A765" s="89"/>
      <c r="B765" s="89"/>
      <c r="C765" s="89"/>
      <c r="D765" s="91"/>
      <c r="E765" s="83"/>
      <c r="F765" s="83"/>
      <c r="G765" s="83"/>
      <c r="H765" s="83"/>
      <c r="I765" s="83"/>
      <c r="J765" s="83"/>
      <c r="K765" s="83"/>
      <c r="L765" s="83"/>
      <c r="M765" s="82"/>
      <c r="N765" s="82"/>
      <c r="O765" s="82"/>
      <c r="P765" s="82"/>
      <c r="Q765" s="82"/>
      <c r="R765" s="82"/>
      <c r="S765" s="82"/>
      <c r="T765" s="82"/>
      <c r="U765" s="32"/>
      <c r="V765" s="32"/>
      <c r="W765" s="32"/>
      <c r="X765" s="32"/>
    </row>
    <row r="766">
      <c r="A766" s="89"/>
      <c r="B766" s="89"/>
      <c r="C766" s="89"/>
      <c r="D766" s="91"/>
      <c r="E766" s="83"/>
      <c r="F766" s="83"/>
      <c r="G766" s="83"/>
      <c r="H766" s="83"/>
      <c r="I766" s="83"/>
      <c r="J766" s="83"/>
      <c r="K766" s="83"/>
      <c r="L766" s="83"/>
      <c r="M766" s="82"/>
      <c r="N766" s="82"/>
      <c r="O766" s="82"/>
      <c r="P766" s="82"/>
      <c r="Q766" s="82"/>
      <c r="R766" s="82"/>
      <c r="S766" s="82"/>
      <c r="T766" s="82"/>
      <c r="U766" s="32"/>
      <c r="V766" s="32"/>
      <c r="W766" s="32"/>
      <c r="X766" s="32"/>
    </row>
    <row r="767">
      <c r="A767" s="89"/>
      <c r="B767" s="89"/>
      <c r="C767" s="89"/>
      <c r="D767" s="91"/>
      <c r="E767" s="83"/>
      <c r="F767" s="83"/>
      <c r="G767" s="83"/>
      <c r="H767" s="83"/>
      <c r="I767" s="83"/>
      <c r="J767" s="83"/>
      <c r="K767" s="83"/>
      <c r="L767" s="83"/>
      <c r="M767" s="82"/>
      <c r="N767" s="82"/>
      <c r="O767" s="82"/>
      <c r="P767" s="82"/>
      <c r="Q767" s="82"/>
      <c r="R767" s="82"/>
      <c r="S767" s="82"/>
      <c r="T767" s="82"/>
      <c r="U767" s="32"/>
      <c r="V767" s="32"/>
      <c r="W767" s="32"/>
      <c r="X767" s="32"/>
    </row>
    <row r="768">
      <c r="A768" s="89"/>
      <c r="B768" s="89"/>
      <c r="C768" s="89"/>
      <c r="D768" s="91"/>
      <c r="E768" s="83"/>
      <c r="F768" s="83"/>
      <c r="G768" s="83"/>
      <c r="H768" s="83"/>
      <c r="I768" s="83"/>
      <c r="J768" s="83"/>
      <c r="K768" s="83"/>
      <c r="L768" s="83"/>
      <c r="M768" s="82"/>
      <c r="N768" s="82"/>
      <c r="O768" s="82"/>
      <c r="P768" s="82"/>
      <c r="Q768" s="82"/>
      <c r="R768" s="82"/>
      <c r="S768" s="82"/>
      <c r="T768" s="82"/>
      <c r="U768" s="32"/>
      <c r="V768" s="32"/>
      <c r="W768" s="32"/>
      <c r="X768" s="32"/>
    </row>
    <row r="769">
      <c r="A769" s="89"/>
      <c r="B769" s="89"/>
      <c r="C769" s="89"/>
      <c r="D769" s="91"/>
      <c r="E769" s="83"/>
      <c r="F769" s="83"/>
      <c r="G769" s="83"/>
      <c r="H769" s="83"/>
      <c r="I769" s="83"/>
      <c r="J769" s="83"/>
      <c r="K769" s="83"/>
      <c r="L769" s="83"/>
      <c r="M769" s="82"/>
      <c r="N769" s="82"/>
      <c r="O769" s="82"/>
      <c r="P769" s="82"/>
      <c r="Q769" s="82"/>
      <c r="R769" s="82"/>
      <c r="S769" s="82"/>
      <c r="T769" s="82"/>
      <c r="U769" s="32"/>
      <c r="V769" s="32"/>
      <c r="W769" s="32"/>
      <c r="X769" s="32"/>
    </row>
    <row r="770">
      <c r="A770" s="89"/>
      <c r="B770" s="89"/>
      <c r="C770" s="89"/>
      <c r="D770" s="91"/>
      <c r="E770" s="83"/>
      <c r="F770" s="83"/>
      <c r="G770" s="83"/>
      <c r="H770" s="83"/>
      <c r="I770" s="83"/>
      <c r="J770" s="83"/>
      <c r="K770" s="83"/>
      <c r="L770" s="83"/>
      <c r="M770" s="82"/>
      <c r="N770" s="82"/>
      <c r="O770" s="82"/>
      <c r="P770" s="82"/>
      <c r="Q770" s="82"/>
      <c r="R770" s="82"/>
      <c r="S770" s="82"/>
      <c r="T770" s="82"/>
      <c r="U770" s="32"/>
      <c r="V770" s="32"/>
      <c r="W770" s="32"/>
      <c r="X770" s="32"/>
    </row>
    <row r="771">
      <c r="A771" s="89"/>
      <c r="B771" s="89"/>
      <c r="C771" s="89"/>
      <c r="D771" s="91"/>
      <c r="E771" s="83"/>
      <c r="F771" s="83"/>
      <c r="G771" s="83"/>
      <c r="H771" s="83"/>
      <c r="I771" s="83"/>
      <c r="J771" s="83"/>
      <c r="K771" s="83"/>
      <c r="L771" s="83"/>
      <c r="M771" s="82"/>
      <c r="N771" s="82"/>
      <c r="O771" s="82"/>
      <c r="P771" s="82"/>
      <c r="Q771" s="82"/>
      <c r="R771" s="82"/>
      <c r="S771" s="82"/>
      <c r="T771" s="82"/>
      <c r="U771" s="32"/>
      <c r="V771" s="32"/>
      <c r="W771" s="32"/>
      <c r="X771" s="32"/>
    </row>
    <row r="772">
      <c r="A772" s="89"/>
      <c r="B772" s="89"/>
      <c r="C772" s="89"/>
      <c r="D772" s="91"/>
      <c r="E772" s="83"/>
      <c r="F772" s="83"/>
      <c r="G772" s="83"/>
      <c r="H772" s="83"/>
      <c r="I772" s="83"/>
      <c r="J772" s="83"/>
      <c r="K772" s="83"/>
      <c r="L772" s="83"/>
      <c r="M772" s="82"/>
      <c r="N772" s="82"/>
      <c r="O772" s="82"/>
      <c r="P772" s="82"/>
      <c r="Q772" s="82"/>
      <c r="R772" s="82"/>
      <c r="S772" s="82"/>
      <c r="T772" s="82"/>
      <c r="U772" s="32"/>
      <c r="V772" s="32"/>
      <c r="W772" s="32"/>
      <c r="X772" s="32"/>
    </row>
    <row r="773">
      <c r="A773" s="89"/>
      <c r="B773" s="89"/>
      <c r="C773" s="89"/>
      <c r="D773" s="91"/>
      <c r="E773" s="83"/>
      <c r="F773" s="83"/>
      <c r="G773" s="83"/>
      <c r="H773" s="83"/>
      <c r="I773" s="83"/>
      <c r="J773" s="83"/>
      <c r="K773" s="83"/>
      <c r="L773" s="83"/>
      <c r="M773" s="82"/>
      <c r="N773" s="82"/>
      <c r="O773" s="82"/>
      <c r="P773" s="82"/>
      <c r="Q773" s="82"/>
      <c r="R773" s="82"/>
      <c r="S773" s="82"/>
      <c r="T773" s="82"/>
      <c r="U773" s="32"/>
      <c r="V773" s="32"/>
      <c r="W773" s="32"/>
      <c r="X773" s="32"/>
    </row>
    <row r="774">
      <c r="A774" s="89"/>
      <c r="B774" s="89"/>
      <c r="C774" s="89"/>
      <c r="D774" s="91"/>
      <c r="E774" s="83"/>
      <c r="F774" s="83"/>
      <c r="G774" s="83"/>
      <c r="H774" s="83"/>
      <c r="I774" s="83"/>
      <c r="J774" s="83"/>
      <c r="K774" s="83"/>
      <c r="L774" s="83"/>
      <c r="M774" s="82"/>
      <c r="N774" s="82"/>
      <c r="O774" s="82"/>
      <c r="P774" s="82"/>
      <c r="Q774" s="82"/>
      <c r="R774" s="82"/>
      <c r="S774" s="82"/>
      <c r="T774" s="82"/>
      <c r="U774" s="32"/>
      <c r="V774" s="32"/>
      <c r="W774" s="32"/>
      <c r="X774" s="32"/>
    </row>
    <row r="775">
      <c r="A775" s="89"/>
      <c r="B775" s="89"/>
      <c r="C775" s="89"/>
      <c r="D775" s="91"/>
      <c r="E775" s="83"/>
      <c r="F775" s="83"/>
      <c r="G775" s="83"/>
      <c r="H775" s="83"/>
      <c r="I775" s="83"/>
      <c r="J775" s="83"/>
      <c r="K775" s="83"/>
      <c r="L775" s="83"/>
      <c r="M775" s="82"/>
      <c r="N775" s="82"/>
      <c r="O775" s="82"/>
      <c r="P775" s="82"/>
      <c r="Q775" s="82"/>
      <c r="R775" s="82"/>
      <c r="S775" s="82"/>
      <c r="T775" s="82"/>
      <c r="U775" s="32"/>
      <c r="V775" s="32"/>
      <c r="W775" s="32"/>
      <c r="X775" s="32"/>
    </row>
    <row r="776">
      <c r="A776" s="89"/>
      <c r="B776" s="89"/>
      <c r="C776" s="89"/>
      <c r="D776" s="91"/>
      <c r="E776" s="83"/>
      <c r="F776" s="83"/>
      <c r="G776" s="83"/>
      <c r="H776" s="83"/>
      <c r="I776" s="83"/>
      <c r="J776" s="83"/>
      <c r="K776" s="83"/>
      <c r="L776" s="83"/>
      <c r="M776" s="82"/>
      <c r="N776" s="82"/>
      <c r="O776" s="82"/>
      <c r="P776" s="82"/>
      <c r="Q776" s="82"/>
      <c r="R776" s="82"/>
      <c r="S776" s="82"/>
      <c r="T776" s="82"/>
      <c r="U776" s="32"/>
      <c r="V776" s="32"/>
      <c r="W776" s="32"/>
      <c r="X776" s="32"/>
    </row>
    <row r="777">
      <c r="A777" s="89"/>
      <c r="B777" s="89"/>
      <c r="C777" s="89"/>
      <c r="D777" s="91"/>
      <c r="E777" s="83"/>
      <c r="F777" s="83"/>
      <c r="G777" s="83"/>
      <c r="H777" s="83"/>
      <c r="I777" s="83"/>
      <c r="J777" s="83"/>
      <c r="K777" s="83"/>
      <c r="L777" s="83"/>
      <c r="M777" s="82"/>
      <c r="N777" s="82"/>
      <c r="O777" s="82"/>
      <c r="P777" s="82"/>
      <c r="Q777" s="82"/>
      <c r="R777" s="82"/>
      <c r="S777" s="82"/>
      <c r="T777" s="82"/>
      <c r="U777" s="32"/>
      <c r="V777" s="32"/>
      <c r="W777" s="32"/>
      <c r="X777" s="32"/>
    </row>
    <row r="778">
      <c r="A778" s="89"/>
      <c r="B778" s="89"/>
      <c r="C778" s="89"/>
      <c r="D778" s="91"/>
      <c r="E778" s="83"/>
      <c r="F778" s="83"/>
      <c r="G778" s="83"/>
      <c r="H778" s="83"/>
      <c r="I778" s="83"/>
      <c r="J778" s="83"/>
      <c r="K778" s="83"/>
      <c r="L778" s="83"/>
      <c r="M778" s="82"/>
      <c r="N778" s="82"/>
      <c r="O778" s="82"/>
      <c r="P778" s="82"/>
      <c r="Q778" s="82"/>
      <c r="R778" s="82"/>
      <c r="S778" s="82"/>
      <c r="T778" s="82"/>
      <c r="U778" s="32"/>
      <c r="V778" s="32"/>
      <c r="W778" s="32"/>
      <c r="X778" s="32"/>
    </row>
    <row r="779">
      <c r="A779" s="89"/>
      <c r="B779" s="89"/>
      <c r="C779" s="89"/>
      <c r="D779" s="91"/>
      <c r="E779" s="83"/>
      <c r="F779" s="83"/>
      <c r="G779" s="83"/>
      <c r="H779" s="83"/>
      <c r="I779" s="83"/>
      <c r="J779" s="83"/>
      <c r="K779" s="83"/>
      <c r="L779" s="83"/>
      <c r="M779" s="82"/>
      <c r="N779" s="82"/>
      <c r="O779" s="82"/>
      <c r="P779" s="82"/>
      <c r="Q779" s="82"/>
      <c r="R779" s="82"/>
      <c r="S779" s="82"/>
      <c r="T779" s="82"/>
      <c r="U779" s="32"/>
      <c r="V779" s="32"/>
      <c r="W779" s="32"/>
      <c r="X779" s="32"/>
    </row>
    <row r="780">
      <c r="A780" s="89"/>
      <c r="B780" s="89"/>
      <c r="C780" s="89"/>
      <c r="D780" s="91"/>
      <c r="E780" s="83"/>
      <c r="F780" s="83"/>
      <c r="G780" s="83"/>
      <c r="H780" s="83"/>
      <c r="I780" s="83"/>
      <c r="J780" s="83"/>
      <c r="K780" s="83"/>
      <c r="L780" s="83"/>
      <c r="M780" s="82"/>
      <c r="N780" s="82"/>
      <c r="O780" s="82"/>
      <c r="P780" s="82"/>
      <c r="Q780" s="82"/>
      <c r="R780" s="82"/>
      <c r="S780" s="82"/>
      <c r="T780" s="82"/>
      <c r="U780" s="32"/>
      <c r="V780" s="32"/>
      <c r="W780" s="32"/>
      <c r="X780" s="32"/>
    </row>
    <row r="781">
      <c r="A781" s="89"/>
      <c r="B781" s="89"/>
      <c r="C781" s="89"/>
      <c r="D781" s="91"/>
      <c r="E781" s="83"/>
      <c r="F781" s="83"/>
      <c r="G781" s="83"/>
      <c r="H781" s="83"/>
      <c r="I781" s="83"/>
      <c r="J781" s="83"/>
      <c r="K781" s="83"/>
      <c r="L781" s="83"/>
      <c r="M781" s="82"/>
      <c r="N781" s="82"/>
      <c r="O781" s="82"/>
      <c r="P781" s="82"/>
      <c r="Q781" s="82"/>
      <c r="R781" s="82"/>
      <c r="S781" s="82"/>
      <c r="T781" s="82"/>
      <c r="U781" s="32"/>
      <c r="V781" s="32"/>
      <c r="W781" s="32"/>
      <c r="X781" s="32"/>
    </row>
    <row r="782">
      <c r="A782" s="89"/>
      <c r="B782" s="89"/>
      <c r="C782" s="89"/>
      <c r="D782" s="91"/>
      <c r="E782" s="83"/>
      <c r="F782" s="83"/>
      <c r="G782" s="83"/>
      <c r="H782" s="83"/>
      <c r="I782" s="83"/>
      <c r="J782" s="83"/>
      <c r="K782" s="83"/>
      <c r="L782" s="83"/>
      <c r="M782" s="82"/>
      <c r="N782" s="82"/>
      <c r="O782" s="82"/>
      <c r="P782" s="82"/>
      <c r="Q782" s="82"/>
      <c r="R782" s="82"/>
      <c r="S782" s="82"/>
      <c r="T782" s="82"/>
      <c r="U782" s="32"/>
      <c r="V782" s="32"/>
      <c r="W782" s="32"/>
      <c r="X782" s="32"/>
    </row>
    <row r="783">
      <c r="A783" s="89"/>
      <c r="B783" s="89"/>
      <c r="C783" s="89"/>
      <c r="D783" s="91"/>
      <c r="E783" s="83"/>
      <c r="F783" s="83"/>
      <c r="G783" s="83"/>
      <c r="H783" s="83"/>
      <c r="I783" s="83"/>
      <c r="J783" s="83"/>
      <c r="K783" s="83"/>
      <c r="L783" s="83"/>
      <c r="M783" s="82"/>
      <c r="N783" s="82"/>
      <c r="O783" s="82"/>
      <c r="P783" s="82"/>
      <c r="Q783" s="82"/>
      <c r="R783" s="82"/>
      <c r="S783" s="82"/>
      <c r="T783" s="82"/>
      <c r="U783" s="32"/>
      <c r="V783" s="32"/>
      <c r="W783" s="32"/>
      <c r="X783" s="32"/>
    </row>
    <row r="784">
      <c r="A784" s="89"/>
      <c r="B784" s="89"/>
      <c r="C784" s="89"/>
      <c r="D784" s="91"/>
      <c r="E784" s="83"/>
      <c r="F784" s="83"/>
      <c r="G784" s="83"/>
      <c r="H784" s="83"/>
      <c r="I784" s="83"/>
      <c r="J784" s="83"/>
      <c r="K784" s="83"/>
      <c r="L784" s="83"/>
      <c r="M784" s="82"/>
      <c r="N784" s="82"/>
      <c r="O784" s="82"/>
      <c r="P784" s="82"/>
      <c r="Q784" s="82"/>
      <c r="R784" s="82"/>
      <c r="S784" s="82"/>
      <c r="T784" s="82"/>
      <c r="U784" s="32"/>
      <c r="V784" s="32"/>
      <c r="W784" s="32"/>
      <c r="X784" s="32"/>
    </row>
    <row r="785">
      <c r="A785" s="89"/>
      <c r="B785" s="89"/>
      <c r="C785" s="89"/>
      <c r="D785" s="91"/>
      <c r="E785" s="83"/>
      <c r="F785" s="83"/>
      <c r="G785" s="83"/>
      <c r="H785" s="83"/>
      <c r="I785" s="83"/>
      <c r="J785" s="83"/>
      <c r="K785" s="83"/>
      <c r="L785" s="83"/>
      <c r="M785" s="82"/>
      <c r="N785" s="82"/>
      <c r="O785" s="82"/>
      <c r="P785" s="82"/>
      <c r="Q785" s="82"/>
      <c r="R785" s="82"/>
      <c r="S785" s="82"/>
      <c r="T785" s="82"/>
      <c r="U785" s="32"/>
      <c r="V785" s="32"/>
      <c r="W785" s="32"/>
      <c r="X785" s="32"/>
    </row>
    <row r="786">
      <c r="A786" s="89"/>
      <c r="B786" s="89"/>
      <c r="C786" s="89"/>
      <c r="D786" s="91"/>
      <c r="E786" s="83"/>
      <c r="F786" s="83"/>
      <c r="G786" s="83"/>
      <c r="H786" s="83"/>
      <c r="I786" s="83"/>
      <c r="J786" s="83"/>
      <c r="K786" s="83"/>
      <c r="L786" s="83"/>
      <c r="M786" s="82"/>
      <c r="N786" s="82"/>
      <c r="O786" s="82"/>
      <c r="P786" s="82"/>
      <c r="Q786" s="82"/>
      <c r="R786" s="82"/>
      <c r="S786" s="82"/>
      <c r="T786" s="82"/>
      <c r="U786" s="32"/>
      <c r="V786" s="32"/>
      <c r="W786" s="32"/>
      <c r="X786" s="32"/>
    </row>
    <row r="787">
      <c r="A787" s="89"/>
      <c r="B787" s="89"/>
      <c r="C787" s="89"/>
      <c r="D787" s="91"/>
      <c r="E787" s="83"/>
      <c r="F787" s="83"/>
      <c r="G787" s="83"/>
      <c r="H787" s="83"/>
      <c r="I787" s="83"/>
      <c r="J787" s="83"/>
      <c r="K787" s="83"/>
      <c r="L787" s="83"/>
      <c r="M787" s="82"/>
      <c r="N787" s="82"/>
      <c r="O787" s="82"/>
      <c r="P787" s="82"/>
      <c r="Q787" s="82"/>
      <c r="R787" s="82"/>
      <c r="S787" s="82"/>
      <c r="T787" s="82"/>
      <c r="U787" s="32"/>
      <c r="V787" s="32"/>
      <c r="W787" s="32"/>
      <c r="X787" s="32"/>
    </row>
    <row r="788">
      <c r="A788" s="89"/>
      <c r="B788" s="89"/>
      <c r="C788" s="89"/>
      <c r="D788" s="91"/>
      <c r="E788" s="83"/>
      <c r="F788" s="83"/>
      <c r="G788" s="83"/>
      <c r="H788" s="83"/>
      <c r="I788" s="83"/>
      <c r="J788" s="83"/>
      <c r="K788" s="83"/>
      <c r="L788" s="83"/>
      <c r="M788" s="82"/>
      <c r="N788" s="82"/>
      <c r="O788" s="82"/>
      <c r="P788" s="82"/>
      <c r="Q788" s="82"/>
      <c r="R788" s="82"/>
      <c r="S788" s="82"/>
      <c r="T788" s="82"/>
      <c r="U788" s="32"/>
      <c r="V788" s="32"/>
      <c r="W788" s="32"/>
      <c r="X788" s="32"/>
    </row>
    <row r="789">
      <c r="A789" s="89"/>
      <c r="B789" s="89"/>
      <c r="C789" s="89"/>
      <c r="D789" s="91"/>
      <c r="E789" s="83"/>
      <c r="F789" s="83"/>
      <c r="G789" s="83"/>
      <c r="H789" s="83"/>
      <c r="I789" s="83"/>
      <c r="J789" s="83"/>
      <c r="K789" s="83"/>
      <c r="L789" s="83"/>
      <c r="M789" s="82"/>
      <c r="N789" s="82"/>
      <c r="O789" s="82"/>
      <c r="P789" s="82"/>
      <c r="Q789" s="82"/>
      <c r="R789" s="82"/>
      <c r="S789" s="82"/>
      <c r="T789" s="82"/>
      <c r="U789" s="32"/>
      <c r="V789" s="32"/>
      <c r="W789" s="32"/>
      <c r="X789" s="32"/>
    </row>
    <row r="790">
      <c r="A790" s="89"/>
      <c r="B790" s="89"/>
      <c r="C790" s="89"/>
      <c r="D790" s="91"/>
      <c r="E790" s="83"/>
      <c r="F790" s="83"/>
      <c r="G790" s="83"/>
      <c r="H790" s="83"/>
      <c r="I790" s="83"/>
      <c r="J790" s="83"/>
      <c r="K790" s="83"/>
      <c r="L790" s="83"/>
      <c r="M790" s="82"/>
      <c r="N790" s="82"/>
      <c r="O790" s="82"/>
      <c r="P790" s="82"/>
      <c r="Q790" s="82"/>
      <c r="R790" s="82"/>
      <c r="S790" s="82"/>
      <c r="T790" s="82"/>
      <c r="U790" s="32"/>
      <c r="V790" s="32"/>
      <c r="W790" s="32"/>
      <c r="X790" s="32"/>
    </row>
    <row r="791">
      <c r="A791" s="89"/>
      <c r="B791" s="89"/>
      <c r="C791" s="89"/>
      <c r="D791" s="91"/>
      <c r="E791" s="83"/>
      <c r="F791" s="83"/>
      <c r="G791" s="83"/>
      <c r="H791" s="83"/>
      <c r="I791" s="83"/>
      <c r="J791" s="83"/>
      <c r="K791" s="83"/>
      <c r="L791" s="83"/>
      <c r="M791" s="82"/>
      <c r="N791" s="82"/>
      <c r="O791" s="82"/>
      <c r="P791" s="82"/>
      <c r="Q791" s="82"/>
      <c r="R791" s="82"/>
      <c r="S791" s="82"/>
      <c r="T791" s="82"/>
      <c r="U791" s="32"/>
      <c r="V791" s="32"/>
      <c r="W791" s="32"/>
      <c r="X791" s="32"/>
    </row>
    <row r="792">
      <c r="A792" s="89"/>
      <c r="B792" s="89"/>
      <c r="C792" s="89"/>
      <c r="D792" s="91"/>
      <c r="E792" s="83"/>
      <c r="F792" s="83"/>
      <c r="G792" s="83"/>
      <c r="H792" s="83"/>
      <c r="I792" s="83"/>
      <c r="J792" s="83"/>
      <c r="K792" s="83"/>
      <c r="L792" s="83"/>
      <c r="M792" s="82"/>
      <c r="N792" s="82"/>
      <c r="O792" s="82"/>
      <c r="P792" s="82"/>
      <c r="Q792" s="82"/>
      <c r="R792" s="82"/>
      <c r="S792" s="82"/>
      <c r="T792" s="82"/>
      <c r="U792" s="32"/>
      <c r="V792" s="32"/>
      <c r="W792" s="32"/>
      <c r="X792" s="32"/>
    </row>
    <row r="793">
      <c r="A793" s="89"/>
      <c r="B793" s="89"/>
      <c r="C793" s="89"/>
      <c r="D793" s="91"/>
      <c r="E793" s="83"/>
      <c r="F793" s="83"/>
      <c r="G793" s="83"/>
      <c r="H793" s="83"/>
      <c r="I793" s="83"/>
      <c r="J793" s="83"/>
      <c r="K793" s="83"/>
      <c r="L793" s="83"/>
      <c r="M793" s="82"/>
      <c r="N793" s="82"/>
      <c r="O793" s="82"/>
      <c r="P793" s="82"/>
      <c r="Q793" s="82"/>
      <c r="R793" s="82"/>
      <c r="S793" s="82"/>
      <c r="T793" s="82"/>
      <c r="U793" s="32"/>
      <c r="V793" s="32"/>
      <c r="W793" s="32"/>
      <c r="X793" s="32"/>
    </row>
    <row r="794">
      <c r="A794" s="89"/>
      <c r="B794" s="89"/>
      <c r="C794" s="89"/>
      <c r="D794" s="91"/>
      <c r="E794" s="83"/>
      <c r="F794" s="83"/>
      <c r="G794" s="83"/>
      <c r="H794" s="83"/>
      <c r="I794" s="83"/>
      <c r="J794" s="83"/>
      <c r="K794" s="83"/>
      <c r="L794" s="83"/>
      <c r="M794" s="82"/>
      <c r="N794" s="82"/>
      <c r="O794" s="82"/>
      <c r="P794" s="82"/>
      <c r="Q794" s="82"/>
      <c r="R794" s="82"/>
      <c r="S794" s="82"/>
      <c r="T794" s="82"/>
      <c r="U794" s="32"/>
      <c r="V794" s="32"/>
      <c r="W794" s="32"/>
      <c r="X794" s="32"/>
    </row>
    <row r="795">
      <c r="A795" s="89"/>
      <c r="B795" s="89"/>
      <c r="C795" s="89"/>
      <c r="D795" s="91"/>
      <c r="E795" s="83"/>
      <c r="F795" s="83"/>
      <c r="G795" s="83"/>
      <c r="H795" s="83"/>
      <c r="I795" s="83"/>
      <c r="J795" s="83"/>
      <c r="K795" s="83"/>
      <c r="L795" s="83"/>
      <c r="M795" s="82"/>
      <c r="N795" s="82"/>
      <c r="O795" s="82"/>
      <c r="P795" s="82"/>
      <c r="Q795" s="82"/>
      <c r="R795" s="82"/>
      <c r="S795" s="82"/>
      <c r="T795" s="82"/>
      <c r="U795" s="32"/>
      <c r="V795" s="32"/>
      <c r="W795" s="32"/>
      <c r="X795" s="32"/>
    </row>
    <row r="796">
      <c r="A796" s="89"/>
      <c r="B796" s="89"/>
      <c r="C796" s="89"/>
      <c r="D796" s="91"/>
      <c r="E796" s="83"/>
      <c r="F796" s="83"/>
      <c r="G796" s="83"/>
      <c r="H796" s="83"/>
      <c r="I796" s="83"/>
      <c r="J796" s="83"/>
      <c r="K796" s="83"/>
      <c r="L796" s="83"/>
      <c r="M796" s="82"/>
      <c r="N796" s="82"/>
      <c r="O796" s="82"/>
      <c r="P796" s="82"/>
      <c r="Q796" s="82"/>
      <c r="R796" s="82"/>
      <c r="S796" s="82"/>
      <c r="T796" s="82"/>
      <c r="U796" s="32"/>
      <c r="V796" s="32"/>
      <c r="W796" s="32"/>
      <c r="X796" s="32"/>
    </row>
    <row r="797">
      <c r="A797" s="89"/>
      <c r="B797" s="89"/>
      <c r="C797" s="89"/>
      <c r="D797" s="91"/>
      <c r="E797" s="83"/>
      <c r="F797" s="83"/>
      <c r="G797" s="83"/>
      <c r="H797" s="83"/>
      <c r="I797" s="83"/>
      <c r="J797" s="83"/>
      <c r="K797" s="83"/>
      <c r="L797" s="83"/>
      <c r="M797" s="82"/>
      <c r="N797" s="82"/>
      <c r="O797" s="82"/>
      <c r="P797" s="82"/>
      <c r="Q797" s="82"/>
      <c r="R797" s="82"/>
      <c r="S797" s="82"/>
      <c r="T797" s="82"/>
      <c r="U797" s="32"/>
      <c r="V797" s="32"/>
      <c r="W797" s="32"/>
      <c r="X797" s="32"/>
    </row>
    <row r="798">
      <c r="A798" s="89"/>
      <c r="B798" s="89"/>
      <c r="C798" s="89"/>
      <c r="D798" s="91"/>
      <c r="E798" s="83"/>
      <c r="F798" s="83"/>
      <c r="G798" s="83"/>
      <c r="H798" s="83"/>
      <c r="I798" s="83"/>
      <c r="J798" s="83"/>
      <c r="K798" s="83"/>
      <c r="L798" s="83"/>
      <c r="M798" s="82"/>
      <c r="N798" s="82"/>
      <c r="O798" s="82"/>
      <c r="P798" s="82"/>
      <c r="Q798" s="82"/>
      <c r="R798" s="82"/>
      <c r="S798" s="82"/>
      <c r="T798" s="82"/>
      <c r="U798" s="32"/>
      <c r="V798" s="32"/>
      <c r="W798" s="32"/>
      <c r="X798" s="32"/>
    </row>
    <row r="799">
      <c r="A799" s="89"/>
      <c r="B799" s="89"/>
      <c r="C799" s="89"/>
      <c r="D799" s="91"/>
      <c r="E799" s="83"/>
      <c r="F799" s="83"/>
      <c r="G799" s="83"/>
      <c r="H799" s="83"/>
      <c r="I799" s="83"/>
      <c r="J799" s="83"/>
      <c r="K799" s="83"/>
      <c r="L799" s="83"/>
      <c r="M799" s="82"/>
      <c r="N799" s="82"/>
      <c r="O799" s="82"/>
      <c r="P799" s="82"/>
      <c r="Q799" s="82"/>
      <c r="R799" s="82"/>
      <c r="S799" s="82"/>
      <c r="T799" s="82"/>
      <c r="U799" s="32"/>
      <c r="V799" s="32"/>
      <c r="W799" s="32"/>
      <c r="X799" s="32"/>
    </row>
    <row r="800">
      <c r="A800" s="89"/>
      <c r="B800" s="89"/>
      <c r="C800" s="89"/>
      <c r="D800" s="91"/>
      <c r="E800" s="83"/>
      <c r="F800" s="83"/>
      <c r="G800" s="83"/>
      <c r="H800" s="83"/>
      <c r="I800" s="83"/>
      <c r="J800" s="83"/>
      <c r="K800" s="83"/>
      <c r="L800" s="83"/>
      <c r="M800" s="82"/>
      <c r="N800" s="82"/>
      <c r="O800" s="82"/>
      <c r="P800" s="82"/>
      <c r="Q800" s="82"/>
      <c r="R800" s="82"/>
      <c r="S800" s="82"/>
      <c r="T800" s="82"/>
      <c r="U800" s="32"/>
      <c r="V800" s="32"/>
      <c r="W800" s="32"/>
      <c r="X800" s="32"/>
    </row>
    <row r="801">
      <c r="A801" s="89"/>
      <c r="B801" s="89"/>
      <c r="C801" s="89"/>
      <c r="D801" s="91"/>
      <c r="E801" s="83"/>
      <c r="F801" s="83"/>
      <c r="G801" s="83"/>
      <c r="H801" s="83"/>
      <c r="I801" s="83"/>
      <c r="J801" s="83"/>
      <c r="K801" s="83"/>
      <c r="L801" s="83"/>
      <c r="M801" s="82"/>
      <c r="N801" s="82"/>
      <c r="O801" s="82"/>
      <c r="P801" s="82"/>
      <c r="Q801" s="82"/>
      <c r="R801" s="82"/>
      <c r="S801" s="82"/>
      <c r="T801" s="82"/>
      <c r="U801" s="32"/>
      <c r="V801" s="32"/>
      <c r="W801" s="32"/>
      <c r="X801" s="32"/>
    </row>
    <row r="802">
      <c r="A802" s="89"/>
      <c r="B802" s="89"/>
      <c r="C802" s="89"/>
      <c r="D802" s="91"/>
      <c r="E802" s="83"/>
      <c r="F802" s="83"/>
      <c r="G802" s="83"/>
      <c r="H802" s="83"/>
      <c r="I802" s="83"/>
      <c r="J802" s="83"/>
      <c r="K802" s="83"/>
      <c r="L802" s="83"/>
      <c r="M802" s="82"/>
      <c r="N802" s="82"/>
      <c r="O802" s="82"/>
      <c r="P802" s="82"/>
      <c r="Q802" s="82"/>
      <c r="R802" s="82"/>
      <c r="S802" s="82"/>
      <c r="T802" s="82"/>
      <c r="U802" s="32"/>
      <c r="V802" s="32"/>
      <c r="W802" s="32"/>
      <c r="X802" s="32"/>
    </row>
    <row r="803">
      <c r="A803" s="89"/>
      <c r="B803" s="89"/>
      <c r="C803" s="89"/>
      <c r="D803" s="91"/>
      <c r="E803" s="83"/>
      <c r="F803" s="83"/>
      <c r="G803" s="83"/>
      <c r="H803" s="83"/>
      <c r="I803" s="83"/>
      <c r="J803" s="83"/>
      <c r="K803" s="83"/>
      <c r="L803" s="83"/>
      <c r="M803" s="82"/>
      <c r="N803" s="82"/>
      <c r="O803" s="82"/>
      <c r="P803" s="82"/>
      <c r="Q803" s="82"/>
      <c r="R803" s="82"/>
      <c r="S803" s="82"/>
      <c r="T803" s="82"/>
      <c r="U803" s="32"/>
      <c r="V803" s="32"/>
      <c r="W803" s="32"/>
      <c r="X803" s="32"/>
    </row>
    <row r="804">
      <c r="A804" s="89"/>
      <c r="B804" s="89"/>
      <c r="C804" s="89"/>
      <c r="D804" s="91"/>
      <c r="E804" s="83"/>
      <c r="F804" s="83"/>
      <c r="G804" s="83"/>
      <c r="H804" s="83"/>
      <c r="I804" s="83"/>
      <c r="J804" s="83"/>
      <c r="K804" s="83"/>
      <c r="L804" s="83"/>
      <c r="M804" s="82"/>
      <c r="N804" s="82"/>
      <c r="O804" s="82"/>
      <c r="P804" s="82"/>
      <c r="Q804" s="82"/>
      <c r="R804" s="82"/>
      <c r="S804" s="82"/>
      <c r="T804" s="82"/>
      <c r="U804" s="32"/>
      <c r="V804" s="32"/>
      <c r="W804" s="32"/>
      <c r="X804" s="32"/>
    </row>
    <row r="805">
      <c r="A805" s="89"/>
      <c r="B805" s="89"/>
      <c r="C805" s="89"/>
      <c r="D805" s="91"/>
      <c r="E805" s="83"/>
      <c r="F805" s="83"/>
      <c r="G805" s="83"/>
      <c r="H805" s="83"/>
      <c r="I805" s="83"/>
      <c r="J805" s="83"/>
      <c r="K805" s="83"/>
      <c r="L805" s="83"/>
      <c r="M805" s="82"/>
      <c r="N805" s="82"/>
      <c r="O805" s="82"/>
      <c r="P805" s="82"/>
      <c r="Q805" s="82"/>
      <c r="R805" s="82"/>
      <c r="S805" s="82"/>
      <c r="T805" s="82"/>
      <c r="U805" s="32"/>
      <c r="V805" s="32"/>
      <c r="W805" s="32"/>
      <c r="X805" s="32"/>
    </row>
    <row r="806">
      <c r="A806" s="89"/>
      <c r="B806" s="89"/>
      <c r="C806" s="89"/>
      <c r="D806" s="91"/>
      <c r="E806" s="83"/>
      <c r="F806" s="83"/>
      <c r="G806" s="83"/>
      <c r="H806" s="83"/>
      <c r="I806" s="83"/>
      <c r="J806" s="83"/>
      <c r="K806" s="83"/>
      <c r="L806" s="83"/>
      <c r="M806" s="82"/>
      <c r="N806" s="82"/>
      <c r="O806" s="82"/>
      <c r="P806" s="82"/>
      <c r="Q806" s="82"/>
      <c r="R806" s="82"/>
      <c r="S806" s="82"/>
      <c r="T806" s="82"/>
      <c r="U806" s="32"/>
      <c r="V806" s="32"/>
      <c r="W806" s="32"/>
      <c r="X806" s="32"/>
    </row>
    <row r="807">
      <c r="A807" s="89"/>
      <c r="B807" s="89"/>
      <c r="C807" s="89"/>
      <c r="D807" s="91"/>
      <c r="E807" s="83"/>
      <c r="F807" s="83"/>
      <c r="G807" s="83"/>
      <c r="H807" s="83"/>
      <c r="I807" s="83"/>
      <c r="J807" s="83"/>
      <c r="K807" s="83"/>
      <c r="L807" s="83"/>
      <c r="M807" s="82"/>
      <c r="N807" s="82"/>
      <c r="O807" s="82"/>
      <c r="P807" s="82"/>
      <c r="Q807" s="82"/>
      <c r="R807" s="82"/>
      <c r="S807" s="82"/>
      <c r="T807" s="82"/>
      <c r="U807" s="32"/>
      <c r="V807" s="32"/>
      <c r="W807" s="32"/>
      <c r="X807" s="32"/>
    </row>
    <row r="808">
      <c r="A808" s="89"/>
      <c r="B808" s="89"/>
      <c r="C808" s="89"/>
      <c r="D808" s="91"/>
      <c r="E808" s="83"/>
      <c r="F808" s="83"/>
      <c r="G808" s="83"/>
      <c r="H808" s="83"/>
      <c r="I808" s="83"/>
      <c r="J808" s="83"/>
      <c r="K808" s="83"/>
      <c r="L808" s="83"/>
      <c r="M808" s="82"/>
      <c r="N808" s="82"/>
      <c r="O808" s="82"/>
      <c r="P808" s="82"/>
      <c r="Q808" s="82"/>
      <c r="R808" s="82"/>
      <c r="S808" s="82"/>
      <c r="T808" s="82"/>
      <c r="U808" s="32"/>
      <c r="V808" s="32"/>
      <c r="W808" s="32"/>
      <c r="X808" s="32"/>
    </row>
    <row r="809">
      <c r="A809" s="89"/>
      <c r="B809" s="89"/>
      <c r="C809" s="89"/>
      <c r="D809" s="91"/>
      <c r="E809" s="83"/>
      <c r="F809" s="83"/>
      <c r="G809" s="83"/>
      <c r="H809" s="83"/>
      <c r="I809" s="83"/>
      <c r="J809" s="83"/>
      <c r="K809" s="83"/>
      <c r="L809" s="83"/>
      <c r="M809" s="82"/>
      <c r="N809" s="82"/>
      <c r="O809" s="82"/>
      <c r="P809" s="82"/>
      <c r="Q809" s="82"/>
      <c r="R809" s="82"/>
      <c r="S809" s="82"/>
      <c r="T809" s="82"/>
      <c r="U809" s="32"/>
      <c r="V809" s="32"/>
      <c r="W809" s="32"/>
      <c r="X809" s="32"/>
    </row>
    <row r="810">
      <c r="A810" s="89"/>
      <c r="B810" s="89"/>
      <c r="C810" s="89"/>
      <c r="D810" s="91"/>
      <c r="E810" s="83"/>
      <c r="F810" s="83"/>
      <c r="G810" s="83"/>
      <c r="H810" s="83"/>
      <c r="I810" s="83"/>
      <c r="J810" s="83"/>
      <c r="K810" s="83"/>
      <c r="L810" s="83"/>
      <c r="M810" s="82"/>
      <c r="N810" s="82"/>
      <c r="O810" s="82"/>
      <c r="P810" s="82"/>
      <c r="Q810" s="82"/>
      <c r="R810" s="82"/>
      <c r="S810" s="82"/>
      <c r="T810" s="82"/>
      <c r="U810" s="32"/>
      <c r="V810" s="32"/>
      <c r="W810" s="32"/>
      <c r="X810" s="32"/>
    </row>
    <row r="811">
      <c r="A811" s="89"/>
      <c r="B811" s="89"/>
      <c r="C811" s="89"/>
      <c r="D811" s="91"/>
      <c r="E811" s="83"/>
      <c r="F811" s="83"/>
      <c r="G811" s="83"/>
      <c r="H811" s="83"/>
      <c r="I811" s="83"/>
      <c r="J811" s="83"/>
      <c r="K811" s="83"/>
      <c r="L811" s="83"/>
      <c r="M811" s="82"/>
      <c r="N811" s="82"/>
      <c r="O811" s="82"/>
      <c r="P811" s="82"/>
      <c r="Q811" s="82"/>
      <c r="R811" s="82"/>
      <c r="S811" s="82"/>
      <c r="T811" s="82"/>
      <c r="U811" s="32"/>
      <c r="V811" s="32"/>
      <c r="W811" s="32"/>
      <c r="X811" s="32"/>
    </row>
    <row r="812">
      <c r="A812" s="89"/>
      <c r="B812" s="89"/>
      <c r="C812" s="89"/>
      <c r="D812" s="91"/>
      <c r="E812" s="83"/>
      <c r="F812" s="83"/>
      <c r="G812" s="83"/>
      <c r="H812" s="83"/>
      <c r="I812" s="83"/>
      <c r="J812" s="83"/>
      <c r="K812" s="83"/>
      <c r="L812" s="83"/>
      <c r="M812" s="82"/>
      <c r="N812" s="82"/>
      <c r="O812" s="82"/>
      <c r="P812" s="82"/>
      <c r="Q812" s="82"/>
      <c r="R812" s="82"/>
      <c r="S812" s="82"/>
      <c r="T812" s="82"/>
      <c r="U812" s="32"/>
      <c r="V812" s="32"/>
      <c r="W812" s="32"/>
      <c r="X812" s="32"/>
    </row>
    <row r="813">
      <c r="A813" s="89"/>
      <c r="B813" s="89"/>
      <c r="C813" s="89"/>
      <c r="D813" s="91"/>
      <c r="E813" s="83"/>
      <c r="F813" s="83"/>
      <c r="G813" s="83"/>
      <c r="H813" s="83"/>
      <c r="I813" s="83"/>
      <c r="J813" s="83"/>
      <c r="K813" s="83"/>
      <c r="L813" s="83"/>
      <c r="M813" s="82"/>
      <c r="N813" s="82"/>
      <c r="O813" s="82"/>
      <c r="P813" s="82"/>
      <c r="Q813" s="82"/>
      <c r="R813" s="82"/>
      <c r="S813" s="82"/>
      <c r="T813" s="82"/>
      <c r="U813" s="32"/>
      <c r="V813" s="32"/>
      <c r="W813" s="32"/>
      <c r="X813" s="32"/>
    </row>
    <row r="814">
      <c r="A814" s="89"/>
      <c r="B814" s="89"/>
      <c r="C814" s="89"/>
      <c r="D814" s="91"/>
      <c r="E814" s="83"/>
      <c r="F814" s="83"/>
      <c r="G814" s="83"/>
      <c r="H814" s="83"/>
      <c r="I814" s="83"/>
      <c r="J814" s="83"/>
      <c r="K814" s="83"/>
      <c r="L814" s="83"/>
      <c r="M814" s="82"/>
      <c r="N814" s="82"/>
      <c r="O814" s="82"/>
      <c r="P814" s="82"/>
      <c r="Q814" s="82"/>
      <c r="R814" s="82"/>
      <c r="S814" s="82"/>
      <c r="T814" s="82"/>
      <c r="U814" s="32"/>
      <c r="V814" s="32"/>
      <c r="W814" s="32"/>
      <c r="X814" s="32"/>
    </row>
    <row r="815">
      <c r="A815" s="89"/>
      <c r="B815" s="89"/>
      <c r="C815" s="89"/>
      <c r="D815" s="91"/>
      <c r="E815" s="83"/>
      <c r="F815" s="83"/>
      <c r="G815" s="83"/>
      <c r="H815" s="83"/>
      <c r="I815" s="83"/>
      <c r="J815" s="83"/>
      <c r="K815" s="83"/>
      <c r="L815" s="83"/>
      <c r="M815" s="82"/>
      <c r="N815" s="82"/>
      <c r="O815" s="82"/>
      <c r="P815" s="82"/>
      <c r="Q815" s="82"/>
      <c r="R815" s="82"/>
      <c r="S815" s="82"/>
      <c r="T815" s="82"/>
      <c r="U815" s="32"/>
      <c r="V815" s="32"/>
      <c r="W815" s="32"/>
      <c r="X815" s="32"/>
    </row>
    <row r="816">
      <c r="A816" s="89"/>
      <c r="B816" s="89"/>
      <c r="C816" s="89"/>
      <c r="D816" s="91"/>
      <c r="E816" s="83"/>
      <c r="F816" s="83"/>
      <c r="G816" s="83"/>
      <c r="H816" s="83"/>
      <c r="I816" s="83"/>
      <c r="J816" s="83"/>
      <c r="K816" s="83"/>
      <c r="L816" s="83"/>
      <c r="M816" s="82"/>
      <c r="N816" s="82"/>
      <c r="O816" s="82"/>
      <c r="P816" s="82"/>
      <c r="Q816" s="82"/>
      <c r="R816" s="82"/>
      <c r="S816" s="82"/>
      <c r="T816" s="82"/>
      <c r="U816" s="32"/>
      <c r="V816" s="32"/>
      <c r="W816" s="32"/>
      <c r="X816" s="32"/>
    </row>
    <row r="817">
      <c r="A817" s="89"/>
      <c r="B817" s="89"/>
      <c r="C817" s="89"/>
      <c r="D817" s="91"/>
      <c r="E817" s="83"/>
      <c r="F817" s="83"/>
      <c r="G817" s="83"/>
      <c r="H817" s="83"/>
      <c r="I817" s="83"/>
      <c r="J817" s="83"/>
      <c r="K817" s="83"/>
      <c r="L817" s="83"/>
      <c r="M817" s="82"/>
      <c r="N817" s="82"/>
      <c r="O817" s="82"/>
      <c r="P817" s="82"/>
      <c r="Q817" s="82"/>
      <c r="R817" s="82"/>
      <c r="S817" s="82"/>
      <c r="T817" s="82"/>
      <c r="U817" s="32"/>
      <c r="V817" s="32"/>
      <c r="W817" s="32"/>
      <c r="X817" s="32"/>
    </row>
    <row r="818">
      <c r="A818" s="89"/>
      <c r="B818" s="89"/>
      <c r="C818" s="89"/>
      <c r="D818" s="91"/>
      <c r="E818" s="83"/>
      <c r="F818" s="83"/>
      <c r="G818" s="83"/>
      <c r="H818" s="83"/>
      <c r="I818" s="83"/>
      <c r="J818" s="83"/>
      <c r="K818" s="83"/>
      <c r="L818" s="83"/>
      <c r="M818" s="82"/>
      <c r="N818" s="82"/>
      <c r="O818" s="82"/>
      <c r="P818" s="82"/>
      <c r="Q818" s="82"/>
      <c r="R818" s="82"/>
      <c r="S818" s="82"/>
      <c r="T818" s="82"/>
      <c r="U818" s="32"/>
      <c r="V818" s="32"/>
      <c r="W818" s="32"/>
      <c r="X818" s="32"/>
    </row>
    <row r="819">
      <c r="A819" s="89"/>
      <c r="B819" s="89"/>
      <c r="C819" s="89"/>
      <c r="D819" s="91"/>
      <c r="E819" s="83"/>
      <c r="F819" s="83"/>
      <c r="G819" s="83"/>
      <c r="H819" s="83"/>
      <c r="I819" s="83"/>
      <c r="J819" s="83"/>
      <c r="K819" s="83"/>
      <c r="L819" s="83"/>
      <c r="M819" s="82"/>
      <c r="N819" s="82"/>
      <c r="O819" s="82"/>
      <c r="P819" s="82"/>
      <c r="Q819" s="82"/>
      <c r="R819" s="82"/>
      <c r="S819" s="82"/>
      <c r="T819" s="82"/>
      <c r="U819" s="32"/>
      <c r="V819" s="32"/>
      <c r="W819" s="32"/>
      <c r="X819" s="32"/>
    </row>
    <row r="820">
      <c r="A820" s="89"/>
      <c r="B820" s="89"/>
      <c r="C820" s="89"/>
      <c r="D820" s="91"/>
      <c r="E820" s="83"/>
      <c r="F820" s="83"/>
      <c r="G820" s="83"/>
      <c r="H820" s="83"/>
      <c r="I820" s="83"/>
      <c r="J820" s="83"/>
      <c r="K820" s="83"/>
      <c r="L820" s="83"/>
      <c r="M820" s="82"/>
      <c r="N820" s="82"/>
      <c r="O820" s="82"/>
      <c r="P820" s="82"/>
      <c r="Q820" s="82"/>
      <c r="R820" s="82"/>
      <c r="S820" s="82"/>
      <c r="T820" s="82"/>
      <c r="U820" s="32"/>
      <c r="V820" s="32"/>
      <c r="W820" s="32"/>
      <c r="X820" s="32"/>
    </row>
    <row r="821">
      <c r="A821" s="89"/>
      <c r="B821" s="89"/>
      <c r="C821" s="89"/>
      <c r="D821" s="91"/>
      <c r="E821" s="83"/>
      <c r="F821" s="83"/>
      <c r="G821" s="83"/>
      <c r="H821" s="83"/>
      <c r="I821" s="83"/>
      <c r="J821" s="83"/>
      <c r="K821" s="83"/>
      <c r="L821" s="83"/>
      <c r="M821" s="82"/>
      <c r="N821" s="82"/>
      <c r="O821" s="82"/>
      <c r="P821" s="82"/>
      <c r="Q821" s="82"/>
      <c r="R821" s="82"/>
      <c r="S821" s="82"/>
      <c r="T821" s="82"/>
      <c r="U821" s="32"/>
      <c r="V821" s="32"/>
      <c r="W821" s="32"/>
      <c r="X821" s="32"/>
    </row>
    <row r="822">
      <c r="A822" s="89"/>
      <c r="B822" s="89"/>
      <c r="C822" s="89"/>
      <c r="D822" s="91"/>
      <c r="E822" s="83"/>
      <c r="F822" s="83"/>
      <c r="G822" s="83"/>
      <c r="H822" s="83"/>
      <c r="I822" s="83"/>
      <c r="J822" s="83"/>
      <c r="K822" s="83"/>
      <c r="L822" s="83"/>
      <c r="M822" s="82"/>
      <c r="N822" s="82"/>
      <c r="O822" s="82"/>
      <c r="P822" s="82"/>
      <c r="Q822" s="82"/>
      <c r="R822" s="82"/>
      <c r="S822" s="82"/>
      <c r="T822" s="82"/>
      <c r="U822" s="32"/>
      <c r="V822" s="32"/>
      <c r="W822" s="32"/>
      <c r="X822" s="32"/>
    </row>
    <row r="823">
      <c r="A823" s="89"/>
      <c r="B823" s="89"/>
      <c r="C823" s="89"/>
      <c r="D823" s="91"/>
      <c r="E823" s="83"/>
      <c r="F823" s="83"/>
      <c r="G823" s="83"/>
      <c r="H823" s="83"/>
      <c r="I823" s="83"/>
      <c r="J823" s="83"/>
      <c r="K823" s="83"/>
      <c r="L823" s="83"/>
      <c r="M823" s="82"/>
      <c r="N823" s="82"/>
      <c r="O823" s="82"/>
      <c r="P823" s="82"/>
      <c r="Q823" s="82"/>
      <c r="R823" s="82"/>
      <c r="S823" s="82"/>
      <c r="T823" s="82"/>
      <c r="U823" s="32"/>
      <c r="V823" s="32"/>
      <c r="W823" s="32"/>
      <c r="X823" s="32"/>
    </row>
    <row r="824">
      <c r="A824" s="89"/>
      <c r="B824" s="89"/>
      <c r="C824" s="89"/>
      <c r="D824" s="91"/>
      <c r="E824" s="83"/>
      <c r="F824" s="83"/>
      <c r="G824" s="83"/>
      <c r="H824" s="83"/>
      <c r="I824" s="83"/>
      <c r="J824" s="83"/>
      <c r="K824" s="83"/>
      <c r="L824" s="83"/>
      <c r="M824" s="82"/>
      <c r="N824" s="82"/>
      <c r="O824" s="82"/>
      <c r="P824" s="82"/>
      <c r="Q824" s="82"/>
      <c r="R824" s="82"/>
      <c r="S824" s="82"/>
      <c r="T824" s="82"/>
      <c r="U824" s="32"/>
      <c r="V824" s="32"/>
      <c r="W824" s="32"/>
      <c r="X824" s="32"/>
    </row>
    <row r="825">
      <c r="A825" s="89"/>
      <c r="B825" s="89"/>
      <c r="C825" s="89"/>
      <c r="D825" s="91"/>
      <c r="E825" s="83"/>
      <c r="F825" s="83"/>
      <c r="G825" s="83"/>
      <c r="H825" s="83"/>
      <c r="I825" s="83"/>
      <c r="J825" s="83"/>
      <c r="K825" s="83"/>
      <c r="L825" s="83"/>
      <c r="M825" s="82"/>
      <c r="N825" s="82"/>
      <c r="O825" s="82"/>
      <c r="P825" s="82"/>
      <c r="Q825" s="82"/>
      <c r="R825" s="82"/>
      <c r="S825" s="82"/>
      <c r="T825" s="82"/>
      <c r="U825" s="32"/>
      <c r="V825" s="32"/>
      <c r="W825" s="32"/>
      <c r="X825" s="32"/>
    </row>
    <row r="826">
      <c r="A826" s="89"/>
      <c r="B826" s="89"/>
      <c r="C826" s="89"/>
      <c r="D826" s="91"/>
      <c r="E826" s="83"/>
      <c r="F826" s="83"/>
      <c r="G826" s="83"/>
      <c r="H826" s="83"/>
      <c r="I826" s="83"/>
      <c r="J826" s="83"/>
      <c r="K826" s="83"/>
      <c r="L826" s="83"/>
      <c r="M826" s="82"/>
      <c r="N826" s="82"/>
      <c r="O826" s="82"/>
      <c r="P826" s="82"/>
      <c r="Q826" s="82"/>
      <c r="R826" s="82"/>
      <c r="S826" s="82"/>
      <c r="T826" s="82"/>
      <c r="U826" s="32"/>
      <c r="V826" s="32"/>
      <c r="W826" s="32"/>
      <c r="X826" s="32"/>
    </row>
    <row r="827">
      <c r="A827" s="89"/>
      <c r="B827" s="89"/>
      <c r="C827" s="89"/>
      <c r="D827" s="91"/>
      <c r="E827" s="83"/>
      <c r="F827" s="83"/>
      <c r="G827" s="83"/>
      <c r="H827" s="83"/>
      <c r="I827" s="83"/>
      <c r="J827" s="83"/>
      <c r="K827" s="83"/>
      <c r="L827" s="83"/>
      <c r="M827" s="82"/>
      <c r="N827" s="82"/>
      <c r="O827" s="82"/>
      <c r="P827" s="82"/>
      <c r="Q827" s="82"/>
      <c r="R827" s="82"/>
      <c r="S827" s="82"/>
      <c r="T827" s="82"/>
      <c r="U827" s="32"/>
      <c r="V827" s="32"/>
      <c r="W827" s="32"/>
      <c r="X827" s="32"/>
    </row>
    <row r="828">
      <c r="A828" s="89"/>
      <c r="B828" s="89"/>
      <c r="C828" s="89"/>
      <c r="D828" s="91"/>
      <c r="E828" s="83"/>
      <c r="F828" s="83"/>
      <c r="G828" s="83"/>
      <c r="H828" s="83"/>
      <c r="I828" s="83"/>
      <c r="J828" s="83"/>
      <c r="K828" s="83"/>
      <c r="L828" s="83"/>
      <c r="M828" s="82"/>
      <c r="N828" s="82"/>
      <c r="O828" s="82"/>
      <c r="P828" s="82"/>
      <c r="Q828" s="82"/>
      <c r="R828" s="82"/>
      <c r="S828" s="82"/>
      <c r="T828" s="82"/>
      <c r="U828" s="32"/>
      <c r="V828" s="32"/>
      <c r="W828" s="32"/>
      <c r="X828" s="32"/>
    </row>
    <row r="829">
      <c r="A829" s="89"/>
      <c r="B829" s="89"/>
      <c r="C829" s="89"/>
      <c r="D829" s="91"/>
      <c r="E829" s="83"/>
      <c r="F829" s="83"/>
      <c r="G829" s="83"/>
      <c r="H829" s="83"/>
      <c r="I829" s="83"/>
      <c r="J829" s="83"/>
      <c r="K829" s="83"/>
      <c r="L829" s="83"/>
      <c r="M829" s="82"/>
      <c r="N829" s="82"/>
      <c r="O829" s="82"/>
      <c r="P829" s="82"/>
      <c r="Q829" s="82"/>
      <c r="R829" s="82"/>
      <c r="S829" s="82"/>
      <c r="T829" s="82"/>
      <c r="U829" s="32"/>
      <c r="V829" s="32"/>
      <c r="W829" s="32"/>
      <c r="X829" s="32"/>
    </row>
    <row r="830">
      <c r="A830" s="89"/>
      <c r="B830" s="89"/>
      <c r="C830" s="89"/>
      <c r="D830" s="91"/>
      <c r="E830" s="83"/>
      <c r="F830" s="83"/>
      <c r="G830" s="83"/>
      <c r="H830" s="83"/>
      <c r="I830" s="83"/>
      <c r="J830" s="83"/>
      <c r="K830" s="83"/>
      <c r="L830" s="83"/>
      <c r="M830" s="82"/>
      <c r="N830" s="82"/>
      <c r="O830" s="82"/>
      <c r="P830" s="82"/>
      <c r="Q830" s="82"/>
      <c r="R830" s="82"/>
      <c r="S830" s="82"/>
      <c r="T830" s="82"/>
      <c r="U830" s="32"/>
      <c r="V830" s="32"/>
      <c r="W830" s="32"/>
      <c r="X830" s="32"/>
    </row>
    <row r="831">
      <c r="A831" s="89"/>
      <c r="B831" s="89"/>
      <c r="C831" s="89"/>
      <c r="D831" s="91"/>
      <c r="E831" s="83"/>
      <c r="F831" s="83"/>
      <c r="G831" s="83"/>
      <c r="H831" s="83"/>
      <c r="I831" s="83"/>
      <c r="J831" s="83"/>
      <c r="K831" s="83"/>
      <c r="L831" s="83"/>
      <c r="M831" s="82"/>
      <c r="N831" s="82"/>
      <c r="O831" s="82"/>
      <c r="P831" s="82"/>
      <c r="Q831" s="82"/>
      <c r="R831" s="82"/>
      <c r="S831" s="82"/>
      <c r="T831" s="82"/>
      <c r="U831" s="32"/>
      <c r="V831" s="32"/>
      <c r="W831" s="32"/>
      <c r="X831" s="32"/>
    </row>
    <row r="832">
      <c r="A832" s="89"/>
      <c r="B832" s="89"/>
      <c r="C832" s="89"/>
      <c r="D832" s="91"/>
      <c r="E832" s="83"/>
      <c r="F832" s="83"/>
      <c r="G832" s="83"/>
      <c r="H832" s="83"/>
      <c r="I832" s="83"/>
      <c r="J832" s="83"/>
      <c r="K832" s="83"/>
      <c r="L832" s="83"/>
      <c r="M832" s="82"/>
      <c r="N832" s="82"/>
      <c r="O832" s="82"/>
      <c r="P832" s="82"/>
      <c r="Q832" s="82"/>
      <c r="R832" s="82"/>
      <c r="S832" s="82"/>
      <c r="T832" s="82"/>
      <c r="U832" s="32"/>
      <c r="V832" s="32"/>
      <c r="W832" s="32"/>
      <c r="X832" s="32"/>
    </row>
    <row r="833">
      <c r="A833" s="89"/>
      <c r="B833" s="89"/>
      <c r="C833" s="89"/>
      <c r="D833" s="91"/>
      <c r="E833" s="83"/>
      <c r="F833" s="83"/>
      <c r="G833" s="83"/>
      <c r="H833" s="83"/>
      <c r="I833" s="83"/>
      <c r="J833" s="83"/>
      <c r="K833" s="83"/>
      <c r="L833" s="83"/>
      <c r="M833" s="82"/>
      <c r="N833" s="82"/>
      <c r="O833" s="82"/>
      <c r="P833" s="82"/>
      <c r="Q833" s="82"/>
      <c r="R833" s="82"/>
      <c r="S833" s="82"/>
      <c r="T833" s="82"/>
      <c r="U833" s="32"/>
      <c r="V833" s="32"/>
      <c r="W833" s="32"/>
      <c r="X833" s="32"/>
    </row>
    <row r="834">
      <c r="A834" s="89"/>
      <c r="B834" s="89"/>
      <c r="C834" s="89"/>
      <c r="D834" s="91"/>
      <c r="E834" s="83"/>
      <c r="F834" s="83"/>
      <c r="G834" s="83"/>
      <c r="H834" s="83"/>
      <c r="I834" s="83"/>
      <c r="J834" s="83"/>
      <c r="K834" s="83"/>
      <c r="L834" s="83"/>
      <c r="M834" s="82"/>
      <c r="N834" s="82"/>
      <c r="O834" s="82"/>
      <c r="P834" s="82"/>
      <c r="Q834" s="82"/>
      <c r="R834" s="82"/>
      <c r="S834" s="82"/>
      <c r="T834" s="82"/>
      <c r="U834" s="32"/>
      <c r="V834" s="32"/>
      <c r="W834" s="32"/>
      <c r="X834" s="32"/>
    </row>
    <row r="835">
      <c r="A835" s="89"/>
      <c r="B835" s="89"/>
      <c r="C835" s="89"/>
      <c r="D835" s="91"/>
      <c r="E835" s="83"/>
      <c r="F835" s="83"/>
      <c r="G835" s="83"/>
      <c r="H835" s="83"/>
      <c r="I835" s="83"/>
      <c r="J835" s="83"/>
      <c r="K835" s="83"/>
      <c r="L835" s="83"/>
      <c r="M835" s="82"/>
      <c r="N835" s="82"/>
      <c r="O835" s="82"/>
      <c r="P835" s="82"/>
      <c r="Q835" s="82"/>
      <c r="R835" s="82"/>
      <c r="S835" s="82"/>
      <c r="T835" s="82"/>
      <c r="U835" s="32"/>
      <c r="V835" s="32"/>
      <c r="W835" s="32"/>
      <c r="X835" s="32"/>
    </row>
    <row r="836">
      <c r="A836" s="89"/>
      <c r="B836" s="89"/>
      <c r="C836" s="89"/>
      <c r="D836" s="91"/>
      <c r="E836" s="83"/>
      <c r="F836" s="83"/>
      <c r="G836" s="83"/>
      <c r="H836" s="83"/>
      <c r="I836" s="83"/>
      <c r="J836" s="83"/>
      <c r="K836" s="83"/>
      <c r="L836" s="83"/>
      <c r="M836" s="82"/>
      <c r="N836" s="82"/>
      <c r="O836" s="82"/>
      <c r="P836" s="82"/>
      <c r="Q836" s="82"/>
      <c r="R836" s="82"/>
      <c r="S836" s="82"/>
      <c r="T836" s="82"/>
      <c r="U836" s="32"/>
      <c r="V836" s="32"/>
      <c r="W836" s="32"/>
      <c r="X836" s="32"/>
    </row>
    <row r="837">
      <c r="A837" s="89"/>
      <c r="B837" s="89"/>
      <c r="C837" s="89"/>
      <c r="D837" s="91"/>
      <c r="E837" s="83"/>
      <c r="F837" s="83"/>
      <c r="G837" s="83"/>
      <c r="H837" s="83"/>
      <c r="I837" s="83"/>
      <c r="J837" s="83"/>
      <c r="K837" s="83"/>
      <c r="L837" s="83"/>
      <c r="M837" s="82"/>
      <c r="N837" s="82"/>
      <c r="O837" s="82"/>
      <c r="P837" s="82"/>
      <c r="Q837" s="82"/>
      <c r="R837" s="82"/>
      <c r="S837" s="82"/>
      <c r="T837" s="82"/>
      <c r="U837" s="32"/>
      <c r="V837" s="32"/>
      <c r="W837" s="32"/>
      <c r="X837" s="32"/>
    </row>
    <row r="838">
      <c r="A838" s="89"/>
      <c r="B838" s="89"/>
      <c r="C838" s="89"/>
      <c r="D838" s="91"/>
      <c r="E838" s="83"/>
      <c r="F838" s="83"/>
      <c r="G838" s="83"/>
      <c r="H838" s="83"/>
      <c r="I838" s="83"/>
      <c r="J838" s="83"/>
      <c r="K838" s="83"/>
      <c r="L838" s="83"/>
      <c r="M838" s="82"/>
      <c r="N838" s="82"/>
      <c r="O838" s="82"/>
      <c r="P838" s="82"/>
      <c r="Q838" s="82"/>
      <c r="R838" s="82"/>
      <c r="S838" s="82"/>
      <c r="T838" s="82"/>
      <c r="U838" s="32"/>
      <c r="V838" s="32"/>
      <c r="W838" s="32"/>
      <c r="X838" s="32"/>
    </row>
    <row r="839">
      <c r="A839" s="89"/>
      <c r="B839" s="89"/>
      <c r="C839" s="89"/>
      <c r="D839" s="91"/>
      <c r="E839" s="83"/>
      <c r="F839" s="83"/>
      <c r="G839" s="83"/>
      <c r="H839" s="83"/>
      <c r="I839" s="83"/>
      <c r="J839" s="83"/>
      <c r="K839" s="83"/>
      <c r="L839" s="83"/>
      <c r="M839" s="82"/>
      <c r="N839" s="82"/>
      <c r="O839" s="82"/>
      <c r="P839" s="82"/>
      <c r="Q839" s="82"/>
      <c r="R839" s="82"/>
      <c r="S839" s="82"/>
      <c r="T839" s="82"/>
      <c r="U839" s="32"/>
      <c r="V839" s="32"/>
      <c r="W839" s="32"/>
      <c r="X839" s="32"/>
    </row>
    <row r="840">
      <c r="A840" s="89"/>
      <c r="B840" s="89"/>
      <c r="C840" s="89"/>
      <c r="D840" s="91"/>
      <c r="E840" s="83"/>
      <c r="F840" s="83"/>
      <c r="G840" s="83"/>
      <c r="H840" s="83"/>
      <c r="I840" s="83"/>
      <c r="J840" s="83"/>
      <c r="K840" s="83"/>
      <c r="L840" s="83"/>
      <c r="M840" s="82"/>
      <c r="N840" s="82"/>
      <c r="O840" s="82"/>
      <c r="P840" s="82"/>
      <c r="Q840" s="82"/>
      <c r="R840" s="82"/>
      <c r="S840" s="82"/>
      <c r="T840" s="82"/>
      <c r="U840" s="32"/>
      <c r="V840" s="32"/>
      <c r="W840" s="32"/>
      <c r="X840" s="32"/>
    </row>
    <row r="841">
      <c r="A841" s="89"/>
      <c r="B841" s="89"/>
      <c r="C841" s="89"/>
      <c r="D841" s="91"/>
      <c r="E841" s="83"/>
      <c r="F841" s="83"/>
      <c r="G841" s="83"/>
      <c r="H841" s="83"/>
      <c r="I841" s="83"/>
      <c r="J841" s="83"/>
      <c r="K841" s="83"/>
      <c r="L841" s="83"/>
      <c r="M841" s="82"/>
      <c r="N841" s="82"/>
      <c r="O841" s="82"/>
      <c r="P841" s="82"/>
      <c r="Q841" s="82"/>
      <c r="R841" s="82"/>
      <c r="S841" s="82"/>
      <c r="T841" s="82"/>
      <c r="U841" s="32"/>
      <c r="V841" s="32"/>
      <c r="W841" s="32"/>
      <c r="X841" s="32"/>
    </row>
    <row r="842">
      <c r="A842" s="89"/>
      <c r="B842" s="89"/>
      <c r="C842" s="89"/>
      <c r="D842" s="91"/>
      <c r="E842" s="83"/>
      <c r="F842" s="83"/>
      <c r="G842" s="83"/>
      <c r="H842" s="83"/>
      <c r="I842" s="83"/>
      <c r="J842" s="83"/>
      <c r="K842" s="83"/>
      <c r="L842" s="83"/>
      <c r="M842" s="82"/>
      <c r="N842" s="82"/>
      <c r="O842" s="82"/>
      <c r="P842" s="82"/>
      <c r="Q842" s="82"/>
      <c r="R842" s="82"/>
      <c r="S842" s="82"/>
      <c r="T842" s="82"/>
      <c r="U842" s="32"/>
      <c r="V842" s="32"/>
      <c r="W842" s="32"/>
      <c r="X842" s="32"/>
    </row>
    <row r="843">
      <c r="A843" s="89"/>
      <c r="B843" s="89"/>
      <c r="C843" s="89"/>
      <c r="D843" s="91"/>
      <c r="E843" s="83"/>
      <c r="F843" s="83"/>
      <c r="G843" s="83"/>
      <c r="H843" s="83"/>
      <c r="I843" s="83"/>
      <c r="J843" s="83"/>
      <c r="K843" s="83"/>
      <c r="L843" s="83"/>
      <c r="M843" s="82"/>
      <c r="N843" s="82"/>
      <c r="O843" s="82"/>
      <c r="P843" s="82"/>
      <c r="Q843" s="82"/>
      <c r="R843" s="82"/>
      <c r="S843" s="82"/>
      <c r="T843" s="82"/>
      <c r="U843" s="32"/>
      <c r="V843" s="32"/>
      <c r="W843" s="32"/>
      <c r="X843" s="32"/>
    </row>
    <row r="844">
      <c r="A844" s="89"/>
      <c r="B844" s="89"/>
      <c r="C844" s="89"/>
      <c r="D844" s="91"/>
      <c r="E844" s="83"/>
      <c r="F844" s="83"/>
      <c r="G844" s="83"/>
      <c r="H844" s="83"/>
      <c r="I844" s="83"/>
      <c r="J844" s="83"/>
      <c r="K844" s="83"/>
      <c r="L844" s="83"/>
      <c r="M844" s="82"/>
      <c r="N844" s="82"/>
      <c r="O844" s="82"/>
      <c r="P844" s="82"/>
      <c r="Q844" s="82"/>
      <c r="R844" s="82"/>
      <c r="S844" s="82"/>
      <c r="T844" s="82"/>
      <c r="U844" s="32"/>
      <c r="V844" s="32"/>
      <c r="W844" s="32"/>
      <c r="X844" s="32"/>
    </row>
    <row r="845">
      <c r="A845" s="89"/>
      <c r="B845" s="89"/>
      <c r="C845" s="89"/>
      <c r="D845" s="91"/>
      <c r="E845" s="83"/>
      <c r="F845" s="83"/>
      <c r="G845" s="83"/>
      <c r="H845" s="83"/>
      <c r="I845" s="83"/>
      <c r="J845" s="83"/>
      <c r="K845" s="83"/>
      <c r="L845" s="83"/>
      <c r="M845" s="82"/>
      <c r="N845" s="82"/>
      <c r="O845" s="82"/>
      <c r="P845" s="82"/>
      <c r="Q845" s="82"/>
      <c r="R845" s="82"/>
      <c r="S845" s="82"/>
      <c r="T845" s="82"/>
      <c r="U845" s="32"/>
      <c r="V845" s="32"/>
      <c r="W845" s="32"/>
      <c r="X845" s="32"/>
    </row>
    <row r="846">
      <c r="A846" s="89"/>
      <c r="B846" s="89"/>
      <c r="C846" s="89"/>
      <c r="D846" s="91"/>
      <c r="E846" s="83"/>
      <c r="F846" s="83"/>
      <c r="G846" s="83"/>
      <c r="H846" s="83"/>
      <c r="I846" s="83"/>
      <c r="J846" s="83"/>
      <c r="K846" s="83"/>
      <c r="L846" s="83"/>
      <c r="M846" s="82"/>
      <c r="N846" s="82"/>
      <c r="O846" s="82"/>
      <c r="P846" s="82"/>
      <c r="Q846" s="82"/>
      <c r="R846" s="82"/>
      <c r="S846" s="82"/>
      <c r="T846" s="82"/>
      <c r="U846" s="32"/>
      <c r="V846" s="32"/>
      <c r="W846" s="32"/>
      <c r="X846" s="32"/>
    </row>
    <row r="847">
      <c r="A847" s="89"/>
      <c r="B847" s="89"/>
      <c r="C847" s="89"/>
      <c r="D847" s="91"/>
      <c r="E847" s="83"/>
      <c r="F847" s="83"/>
      <c r="G847" s="83"/>
      <c r="H847" s="83"/>
      <c r="I847" s="83"/>
      <c r="J847" s="83"/>
      <c r="K847" s="83"/>
      <c r="L847" s="83"/>
      <c r="M847" s="82"/>
      <c r="N847" s="82"/>
      <c r="O847" s="82"/>
      <c r="P847" s="82"/>
      <c r="Q847" s="82"/>
      <c r="R847" s="82"/>
      <c r="S847" s="82"/>
      <c r="T847" s="82"/>
      <c r="U847" s="32"/>
      <c r="V847" s="32"/>
      <c r="W847" s="32"/>
      <c r="X847" s="32"/>
    </row>
    <row r="848">
      <c r="A848" s="89"/>
      <c r="B848" s="89"/>
      <c r="C848" s="89"/>
      <c r="D848" s="91"/>
      <c r="E848" s="83"/>
      <c r="F848" s="83"/>
      <c r="G848" s="83"/>
      <c r="H848" s="83"/>
      <c r="I848" s="83"/>
      <c r="J848" s="83"/>
      <c r="K848" s="83"/>
      <c r="L848" s="83"/>
      <c r="M848" s="82"/>
      <c r="N848" s="82"/>
      <c r="O848" s="82"/>
      <c r="P848" s="82"/>
      <c r="Q848" s="82"/>
      <c r="R848" s="82"/>
      <c r="S848" s="82"/>
      <c r="T848" s="82"/>
      <c r="U848" s="32"/>
      <c r="V848" s="32"/>
      <c r="W848" s="32"/>
      <c r="X848" s="32"/>
    </row>
    <row r="849">
      <c r="A849" s="89"/>
      <c r="B849" s="89"/>
      <c r="C849" s="89"/>
      <c r="D849" s="91"/>
      <c r="E849" s="83"/>
      <c r="F849" s="83"/>
      <c r="G849" s="83"/>
      <c r="H849" s="83"/>
      <c r="I849" s="83"/>
      <c r="J849" s="83"/>
      <c r="K849" s="83"/>
      <c r="L849" s="83"/>
      <c r="M849" s="82"/>
      <c r="N849" s="82"/>
      <c r="O849" s="82"/>
      <c r="P849" s="82"/>
      <c r="Q849" s="82"/>
      <c r="R849" s="82"/>
      <c r="S849" s="82"/>
      <c r="T849" s="82"/>
      <c r="U849" s="32"/>
      <c r="V849" s="32"/>
      <c r="W849" s="32"/>
      <c r="X849" s="32"/>
    </row>
    <row r="850">
      <c r="A850" s="89"/>
      <c r="B850" s="89"/>
      <c r="C850" s="89"/>
      <c r="D850" s="91"/>
      <c r="E850" s="83"/>
      <c r="F850" s="83"/>
      <c r="G850" s="83"/>
      <c r="H850" s="83"/>
      <c r="I850" s="83"/>
      <c r="J850" s="83"/>
      <c r="K850" s="83"/>
      <c r="L850" s="83"/>
      <c r="M850" s="82"/>
      <c r="N850" s="82"/>
      <c r="O850" s="82"/>
      <c r="P850" s="82"/>
      <c r="Q850" s="82"/>
      <c r="R850" s="82"/>
      <c r="S850" s="82"/>
      <c r="T850" s="82"/>
      <c r="U850" s="32"/>
      <c r="V850" s="32"/>
      <c r="W850" s="32"/>
      <c r="X850" s="32"/>
    </row>
    <row r="851">
      <c r="A851" s="89"/>
      <c r="B851" s="89"/>
      <c r="C851" s="89"/>
      <c r="D851" s="91"/>
      <c r="E851" s="83"/>
      <c r="F851" s="83"/>
      <c r="G851" s="83"/>
      <c r="H851" s="83"/>
      <c r="I851" s="83"/>
      <c r="J851" s="83"/>
      <c r="K851" s="83"/>
      <c r="L851" s="83"/>
      <c r="M851" s="82"/>
      <c r="N851" s="82"/>
      <c r="O851" s="82"/>
      <c r="P851" s="82"/>
      <c r="Q851" s="82"/>
      <c r="R851" s="82"/>
      <c r="S851" s="82"/>
      <c r="T851" s="82"/>
      <c r="U851" s="32"/>
      <c r="V851" s="32"/>
      <c r="W851" s="32"/>
      <c r="X851" s="32"/>
    </row>
    <row r="852">
      <c r="A852" s="89"/>
      <c r="B852" s="89"/>
      <c r="C852" s="89"/>
      <c r="D852" s="91"/>
      <c r="E852" s="83"/>
      <c r="F852" s="83"/>
      <c r="G852" s="83"/>
      <c r="H852" s="83"/>
      <c r="I852" s="83"/>
      <c r="J852" s="83"/>
      <c r="K852" s="83"/>
      <c r="L852" s="83"/>
      <c r="M852" s="82"/>
      <c r="N852" s="82"/>
      <c r="O852" s="82"/>
      <c r="P852" s="82"/>
      <c r="Q852" s="82"/>
      <c r="R852" s="82"/>
      <c r="S852" s="82"/>
      <c r="T852" s="82"/>
      <c r="U852" s="32"/>
      <c r="V852" s="32"/>
      <c r="W852" s="32"/>
      <c r="X852" s="32"/>
    </row>
    <row r="853">
      <c r="A853" s="89"/>
      <c r="B853" s="89"/>
      <c r="C853" s="89"/>
      <c r="D853" s="91"/>
      <c r="E853" s="83"/>
      <c r="F853" s="83"/>
      <c r="G853" s="83"/>
      <c r="H853" s="83"/>
      <c r="I853" s="83"/>
      <c r="J853" s="83"/>
      <c r="K853" s="83"/>
      <c r="L853" s="83"/>
      <c r="M853" s="82"/>
      <c r="N853" s="82"/>
      <c r="O853" s="82"/>
      <c r="P853" s="82"/>
      <c r="Q853" s="82"/>
      <c r="R853" s="82"/>
      <c r="S853" s="82"/>
      <c r="T853" s="82"/>
      <c r="U853" s="32"/>
      <c r="V853" s="32"/>
      <c r="W853" s="32"/>
      <c r="X853" s="32"/>
    </row>
    <row r="854">
      <c r="A854" s="89"/>
      <c r="B854" s="89"/>
      <c r="C854" s="89"/>
      <c r="D854" s="91"/>
      <c r="E854" s="83"/>
      <c r="F854" s="83"/>
      <c r="G854" s="83"/>
      <c r="H854" s="83"/>
      <c r="I854" s="83"/>
      <c r="J854" s="83"/>
      <c r="K854" s="83"/>
      <c r="L854" s="83"/>
      <c r="M854" s="82"/>
      <c r="N854" s="82"/>
      <c r="O854" s="82"/>
      <c r="P854" s="82"/>
      <c r="Q854" s="82"/>
      <c r="R854" s="82"/>
      <c r="S854" s="82"/>
      <c r="T854" s="82"/>
      <c r="U854" s="32"/>
      <c r="V854" s="32"/>
      <c r="W854" s="32"/>
      <c r="X854" s="32"/>
    </row>
    <row r="855">
      <c r="A855" s="89"/>
      <c r="B855" s="89"/>
      <c r="C855" s="89"/>
      <c r="D855" s="91"/>
      <c r="E855" s="83"/>
      <c r="F855" s="83"/>
      <c r="G855" s="83"/>
      <c r="H855" s="83"/>
      <c r="I855" s="83"/>
      <c r="J855" s="83"/>
      <c r="K855" s="83"/>
      <c r="L855" s="83"/>
      <c r="M855" s="82"/>
      <c r="N855" s="82"/>
      <c r="O855" s="82"/>
      <c r="P855" s="82"/>
      <c r="Q855" s="82"/>
      <c r="R855" s="82"/>
      <c r="S855" s="82"/>
      <c r="T855" s="82"/>
      <c r="U855" s="32"/>
      <c r="V855" s="32"/>
      <c r="W855" s="32"/>
      <c r="X855" s="32"/>
    </row>
    <row r="856">
      <c r="A856" s="89"/>
      <c r="B856" s="89"/>
      <c r="C856" s="89"/>
      <c r="D856" s="91"/>
      <c r="E856" s="83"/>
      <c r="F856" s="83"/>
      <c r="G856" s="83"/>
      <c r="H856" s="83"/>
      <c r="I856" s="83"/>
      <c r="J856" s="83"/>
      <c r="K856" s="83"/>
      <c r="L856" s="83"/>
      <c r="M856" s="82"/>
      <c r="N856" s="82"/>
      <c r="O856" s="82"/>
      <c r="P856" s="82"/>
      <c r="Q856" s="82"/>
      <c r="R856" s="82"/>
      <c r="S856" s="82"/>
      <c r="T856" s="82"/>
      <c r="U856" s="32"/>
      <c r="V856" s="32"/>
      <c r="W856" s="32"/>
      <c r="X856" s="32"/>
    </row>
    <row r="857">
      <c r="A857" s="89"/>
      <c r="B857" s="89"/>
      <c r="C857" s="89"/>
      <c r="D857" s="91"/>
      <c r="E857" s="83"/>
      <c r="F857" s="83"/>
      <c r="G857" s="83"/>
      <c r="H857" s="83"/>
      <c r="I857" s="83"/>
      <c r="J857" s="83"/>
      <c r="K857" s="83"/>
      <c r="L857" s="83"/>
      <c r="M857" s="82"/>
      <c r="N857" s="82"/>
      <c r="O857" s="82"/>
      <c r="P857" s="82"/>
      <c r="Q857" s="82"/>
      <c r="R857" s="82"/>
      <c r="S857" s="82"/>
      <c r="T857" s="82"/>
      <c r="U857" s="32"/>
      <c r="V857" s="32"/>
      <c r="W857" s="32"/>
      <c r="X857" s="32"/>
    </row>
    <row r="858">
      <c r="A858" s="89"/>
      <c r="B858" s="89"/>
      <c r="C858" s="89"/>
      <c r="D858" s="91"/>
      <c r="E858" s="83"/>
      <c r="F858" s="83"/>
      <c r="G858" s="83"/>
      <c r="H858" s="83"/>
      <c r="I858" s="83"/>
      <c r="J858" s="83"/>
      <c r="K858" s="83"/>
      <c r="L858" s="83"/>
      <c r="M858" s="82"/>
      <c r="N858" s="82"/>
      <c r="O858" s="82"/>
      <c r="P858" s="82"/>
      <c r="Q858" s="82"/>
      <c r="R858" s="82"/>
      <c r="S858" s="82"/>
      <c r="T858" s="82"/>
      <c r="U858" s="32"/>
      <c r="V858" s="32"/>
      <c r="W858" s="32"/>
      <c r="X858" s="32"/>
    </row>
    <row r="859">
      <c r="A859" s="89"/>
      <c r="B859" s="89"/>
      <c r="C859" s="89"/>
      <c r="D859" s="91"/>
      <c r="E859" s="83"/>
      <c r="F859" s="83"/>
      <c r="G859" s="83"/>
      <c r="H859" s="83"/>
      <c r="I859" s="83"/>
      <c r="J859" s="83"/>
      <c r="K859" s="83"/>
      <c r="L859" s="83"/>
      <c r="M859" s="82"/>
      <c r="N859" s="82"/>
      <c r="O859" s="82"/>
      <c r="P859" s="82"/>
      <c r="Q859" s="82"/>
      <c r="R859" s="82"/>
      <c r="S859" s="82"/>
      <c r="T859" s="82"/>
      <c r="U859" s="32"/>
      <c r="V859" s="32"/>
      <c r="W859" s="32"/>
      <c r="X859" s="32"/>
    </row>
    <row r="860">
      <c r="A860" s="89"/>
      <c r="B860" s="89"/>
      <c r="C860" s="89"/>
      <c r="D860" s="91"/>
      <c r="E860" s="83"/>
      <c r="F860" s="83"/>
      <c r="G860" s="83"/>
      <c r="H860" s="83"/>
      <c r="I860" s="83"/>
      <c r="J860" s="83"/>
      <c r="K860" s="83"/>
      <c r="L860" s="83"/>
      <c r="M860" s="82"/>
      <c r="N860" s="82"/>
      <c r="O860" s="82"/>
      <c r="P860" s="82"/>
      <c r="Q860" s="82"/>
      <c r="R860" s="82"/>
      <c r="S860" s="82"/>
      <c r="T860" s="82"/>
      <c r="U860" s="32"/>
      <c r="V860" s="32"/>
      <c r="W860" s="32"/>
      <c r="X860" s="32"/>
    </row>
    <row r="861">
      <c r="A861" s="89"/>
      <c r="B861" s="89"/>
      <c r="C861" s="89"/>
      <c r="D861" s="91"/>
      <c r="E861" s="83"/>
      <c r="F861" s="83"/>
      <c r="G861" s="83"/>
      <c r="H861" s="83"/>
      <c r="I861" s="83"/>
      <c r="J861" s="83"/>
      <c r="K861" s="83"/>
      <c r="L861" s="83"/>
      <c r="M861" s="82"/>
      <c r="N861" s="82"/>
      <c r="O861" s="82"/>
      <c r="P861" s="82"/>
      <c r="Q861" s="82"/>
      <c r="R861" s="82"/>
      <c r="S861" s="82"/>
      <c r="T861" s="82"/>
      <c r="U861" s="32"/>
      <c r="V861" s="32"/>
      <c r="W861" s="32"/>
      <c r="X861" s="32"/>
    </row>
    <row r="862">
      <c r="A862" s="89"/>
      <c r="B862" s="89"/>
      <c r="C862" s="89"/>
      <c r="D862" s="91"/>
      <c r="E862" s="83"/>
      <c r="F862" s="83"/>
      <c r="G862" s="83"/>
      <c r="H862" s="83"/>
      <c r="I862" s="83"/>
      <c r="J862" s="83"/>
      <c r="K862" s="83"/>
      <c r="L862" s="83"/>
      <c r="M862" s="82"/>
      <c r="N862" s="82"/>
      <c r="O862" s="82"/>
      <c r="P862" s="82"/>
      <c r="Q862" s="82"/>
      <c r="R862" s="82"/>
      <c r="S862" s="82"/>
      <c r="T862" s="82"/>
      <c r="U862" s="32"/>
      <c r="V862" s="32"/>
      <c r="W862" s="32"/>
      <c r="X862" s="32"/>
    </row>
    <row r="863">
      <c r="A863" s="89"/>
      <c r="B863" s="89"/>
      <c r="C863" s="89"/>
      <c r="D863" s="91"/>
      <c r="E863" s="83"/>
      <c r="F863" s="83"/>
      <c r="G863" s="83"/>
      <c r="H863" s="83"/>
      <c r="I863" s="83"/>
      <c r="J863" s="83"/>
      <c r="K863" s="83"/>
      <c r="L863" s="83"/>
      <c r="M863" s="82"/>
      <c r="N863" s="82"/>
      <c r="O863" s="82"/>
      <c r="P863" s="82"/>
      <c r="Q863" s="82"/>
      <c r="R863" s="82"/>
      <c r="S863" s="82"/>
      <c r="T863" s="82"/>
      <c r="U863" s="32"/>
      <c r="V863" s="32"/>
      <c r="W863" s="32"/>
      <c r="X863" s="32"/>
    </row>
    <row r="864">
      <c r="A864" s="89"/>
      <c r="B864" s="89"/>
      <c r="C864" s="89"/>
      <c r="D864" s="91"/>
      <c r="E864" s="83"/>
      <c r="F864" s="83"/>
      <c r="G864" s="83"/>
      <c r="H864" s="83"/>
      <c r="I864" s="83"/>
      <c r="J864" s="83"/>
      <c r="K864" s="83"/>
      <c r="L864" s="83"/>
      <c r="M864" s="82"/>
      <c r="N864" s="82"/>
      <c r="O864" s="82"/>
      <c r="P864" s="82"/>
      <c r="Q864" s="82"/>
      <c r="R864" s="82"/>
      <c r="S864" s="82"/>
      <c r="T864" s="82"/>
      <c r="U864" s="32"/>
      <c r="V864" s="32"/>
      <c r="W864" s="32"/>
      <c r="X864" s="32"/>
    </row>
    <row r="865">
      <c r="A865" s="89"/>
      <c r="B865" s="89"/>
      <c r="C865" s="89"/>
      <c r="D865" s="91"/>
      <c r="E865" s="83"/>
      <c r="F865" s="83"/>
      <c r="G865" s="83"/>
      <c r="H865" s="83"/>
      <c r="I865" s="83"/>
      <c r="J865" s="83"/>
      <c r="K865" s="83"/>
      <c r="L865" s="83"/>
      <c r="M865" s="82"/>
      <c r="N865" s="82"/>
      <c r="O865" s="82"/>
      <c r="P865" s="82"/>
      <c r="Q865" s="82"/>
      <c r="R865" s="82"/>
      <c r="S865" s="82"/>
      <c r="T865" s="82"/>
      <c r="U865" s="32"/>
      <c r="V865" s="32"/>
      <c r="W865" s="32"/>
      <c r="X865" s="32"/>
    </row>
    <row r="866">
      <c r="A866" s="89"/>
      <c r="B866" s="89"/>
      <c r="C866" s="89"/>
      <c r="D866" s="91"/>
      <c r="E866" s="83"/>
      <c r="F866" s="83"/>
      <c r="G866" s="83"/>
      <c r="H866" s="83"/>
      <c r="I866" s="83"/>
      <c r="J866" s="83"/>
      <c r="K866" s="83"/>
      <c r="L866" s="83"/>
      <c r="M866" s="82"/>
      <c r="N866" s="82"/>
      <c r="O866" s="82"/>
      <c r="P866" s="82"/>
      <c r="Q866" s="82"/>
      <c r="R866" s="82"/>
      <c r="S866" s="82"/>
      <c r="T866" s="82"/>
      <c r="U866" s="32"/>
      <c r="V866" s="32"/>
      <c r="W866" s="32"/>
      <c r="X866" s="32"/>
    </row>
    <row r="867">
      <c r="A867" s="89"/>
      <c r="B867" s="89"/>
      <c r="C867" s="89"/>
      <c r="D867" s="91"/>
      <c r="E867" s="83"/>
      <c r="F867" s="83"/>
      <c r="G867" s="83"/>
      <c r="H867" s="83"/>
      <c r="I867" s="83"/>
      <c r="J867" s="83"/>
      <c r="K867" s="83"/>
      <c r="L867" s="83"/>
      <c r="M867" s="82"/>
      <c r="N867" s="82"/>
      <c r="O867" s="82"/>
      <c r="P867" s="82"/>
      <c r="Q867" s="82"/>
      <c r="R867" s="82"/>
      <c r="S867" s="82"/>
      <c r="T867" s="82"/>
      <c r="U867" s="32"/>
      <c r="V867" s="32"/>
      <c r="W867" s="32"/>
      <c r="X867" s="32"/>
    </row>
    <row r="868">
      <c r="A868" s="89"/>
      <c r="B868" s="89"/>
      <c r="C868" s="89"/>
      <c r="D868" s="91"/>
      <c r="E868" s="83"/>
      <c r="F868" s="83"/>
      <c r="G868" s="83"/>
      <c r="H868" s="83"/>
      <c r="I868" s="83"/>
      <c r="J868" s="83"/>
      <c r="K868" s="83"/>
      <c r="L868" s="83"/>
      <c r="M868" s="82"/>
      <c r="N868" s="82"/>
      <c r="O868" s="82"/>
      <c r="P868" s="82"/>
      <c r="Q868" s="82"/>
      <c r="R868" s="82"/>
      <c r="S868" s="82"/>
      <c r="T868" s="82"/>
      <c r="U868" s="32"/>
      <c r="V868" s="32"/>
      <c r="W868" s="32"/>
      <c r="X868" s="32"/>
    </row>
    <row r="869">
      <c r="A869" s="89"/>
      <c r="B869" s="89"/>
      <c r="C869" s="89"/>
      <c r="D869" s="91"/>
      <c r="E869" s="83"/>
      <c r="F869" s="83"/>
      <c r="G869" s="83"/>
      <c r="H869" s="83"/>
      <c r="I869" s="83"/>
      <c r="J869" s="83"/>
      <c r="K869" s="83"/>
      <c r="L869" s="83"/>
      <c r="M869" s="82"/>
      <c r="N869" s="82"/>
      <c r="O869" s="82"/>
      <c r="P869" s="82"/>
      <c r="Q869" s="82"/>
      <c r="R869" s="82"/>
      <c r="S869" s="82"/>
      <c r="T869" s="82"/>
      <c r="U869" s="32"/>
      <c r="V869" s="32"/>
      <c r="W869" s="32"/>
      <c r="X869" s="32"/>
    </row>
    <row r="870">
      <c r="A870" s="89"/>
      <c r="B870" s="89"/>
      <c r="C870" s="89"/>
      <c r="D870" s="91"/>
      <c r="E870" s="83"/>
      <c r="F870" s="83"/>
      <c r="G870" s="83"/>
      <c r="H870" s="83"/>
      <c r="I870" s="83"/>
      <c r="J870" s="83"/>
      <c r="K870" s="83"/>
      <c r="L870" s="83"/>
      <c r="M870" s="82"/>
      <c r="N870" s="82"/>
      <c r="O870" s="82"/>
      <c r="P870" s="82"/>
      <c r="Q870" s="82"/>
      <c r="R870" s="82"/>
      <c r="S870" s="82"/>
      <c r="T870" s="82"/>
      <c r="U870" s="32"/>
      <c r="V870" s="32"/>
      <c r="W870" s="32"/>
      <c r="X870" s="32"/>
    </row>
    <row r="871">
      <c r="A871" s="89"/>
      <c r="B871" s="89"/>
      <c r="C871" s="89"/>
      <c r="D871" s="91"/>
      <c r="E871" s="83"/>
      <c r="F871" s="83"/>
      <c r="G871" s="83"/>
      <c r="H871" s="83"/>
      <c r="I871" s="83"/>
      <c r="J871" s="83"/>
      <c r="K871" s="83"/>
      <c r="L871" s="83"/>
      <c r="M871" s="82"/>
      <c r="N871" s="82"/>
      <c r="O871" s="82"/>
      <c r="P871" s="82"/>
      <c r="Q871" s="82"/>
      <c r="R871" s="82"/>
      <c r="S871" s="82"/>
      <c r="T871" s="82"/>
      <c r="U871" s="32"/>
      <c r="V871" s="32"/>
      <c r="W871" s="32"/>
      <c r="X871" s="32"/>
    </row>
    <row r="872">
      <c r="A872" s="89"/>
      <c r="B872" s="89"/>
      <c r="C872" s="89"/>
      <c r="D872" s="91"/>
      <c r="E872" s="83"/>
      <c r="F872" s="83"/>
      <c r="G872" s="83"/>
      <c r="H872" s="83"/>
      <c r="I872" s="83"/>
      <c r="J872" s="83"/>
      <c r="K872" s="83"/>
      <c r="L872" s="83"/>
      <c r="M872" s="82"/>
      <c r="N872" s="82"/>
      <c r="O872" s="82"/>
      <c r="P872" s="82"/>
      <c r="Q872" s="82"/>
      <c r="R872" s="82"/>
      <c r="S872" s="82"/>
      <c r="T872" s="82"/>
      <c r="U872" s="32"/>
      <c r="V872" s="32"/>
      <c r="W872" s="32"/>
      <c r="X872" s="32"/>
    </row>
    <row r="873">
      <c r="A873" s="89"/>
      <c r="B873" s="89"/>
      <c r="C873" s="89"/>
      <c r="D873" s="91"/>
      <c r="E873" s="83"/>
      <c r="F873" s="83"/>
      <c r="G873" s="83"/>
      <c r="H873" s="83"/>
      <c r="I873" s="83"/>
      <c r="J873" s="83"/>
      <c r="K873" s="83"/>
      <c r="L873" s="83"/>
      <c r="M873" s="82"/>
      <c r="N873" s="82"/>
      <c r="O873" s="82"/>
      <c r="P873" s="82"/>
      <c r="Q873" s="82"/>
      <c r="R873" s="82"/>
      <c r="S873" s="82"/>
      <c r="T873" s="82"/>
      <c r="U873" s="32"/>
      <c r="V873" s="32"/>
      <c r="W873" s="32"/>
      <c r="X873" s="32"/>
    </row>
    <row r="874">
      <c r="A874" s="89"/>
      <c r="B874" s="89"/>
      <c r="C874" s="89"/>
      <c r="D874" s="91"/>
      <c r="E874" s="83"/>
      <c r="F874" s="83"/>
      <c r="G874" s="83"/>
      <c r="H874" s="83"/>
      <c r="I874" s="83"/>
      <c r="J874" s="83"/>
      <c r="K874" s="83"/>
      <c r="L874" s="83"/>
      <c r="M874" s="82"/>
      <c r="N874" s="82"/>
      <c r="O874" s="82"/>
      <c r="P874" s="82"/>
      <c r="Q874" s="82"/>
      <c r="R874" s="82"/>
      <c r="S874" s="82"/>
      <c r="T874" s="82"/>
      <c r="U874" s="32"/>
      <c r="V874" s="32"/>
      <c r="W874" s="32"/>
      <c r="X874" s="32"/>
    </row>
    <row r="875">
      <c r="A875" s="89"/>
      <c r="B875" s="89"/>
      <c r="C875" s="89"/>
      <c r="D875" s="91"/>
      <c r="E875" s="83"/>
      <c r="F875" s="83"/>
      <c r="G875" s="83"/>
      <c r="H875" s="83"/>
      <c r="I875" s="83"/>
      <c r="J875" s="83"/>
      <c r="K875" s="83"/>
      <c r="L875" s="83"/>
      <c r="M875" s="82"/>
      <c r="N875" s="82"/>
      <c r="O875" s="82"/>
      <c r="P875" s="82"/>
      <c r="Q875" s="82"/>
      <c r="R875" s="82"/>
      <c r="S875" s="82"/>
      <c r="T875" s="82"/>
      <c r="U875" s="32"/>
      <c r="V875" s="32"/>
      <c r="W875" s="32"/>
      <c r="X875" s="32"/>
    </row>
    <row r="876">
      <c r="A876" s="89"/>
      <c r="B876" s="89"/>
      <c r="C876" s="89"/>
      <c r="D876" s="91"/>
      <c r="E876" s="83"/>
      <c r="F876" s="83"/>
      <c r="G876" s="83"/>
      <c r="H876" s="83"/>
      <c r="I876" s="83"/>
      <c r="J876" s="83"/>
      <c r="K876" s="83"/>
      <c r="L876" s="83"/>
      <c r="M876" s="82"/>
      <c r="N876" s="82"/>
      <c r="O876" s="82"/>
      <c r="P876" s="82"/>
      <c r="Q876" s="82"/>
      <c r="R876" s="82"/>
      <c r="S876" s="82"/>
      <c r="T876" s="82"/>
      <c r="U876" s="32"/>
      <c r="V876" s="32"/>
      <c r="W876" s="32"/>
      <c r="X876" s="32"/>
    </row>
    <row r="877">
      <c r="A877" s="89"/>
      <c r="B877" s="89"/>
      <c r="C877" s="89"/>
      <c r="D877" s="91"/>
      <c r="E877" s="83"/>
      <c r="F877" s="83"/>
      <c r="G877" s="83"/>
      <c r="H877" s="83"/>
      <c r="I877" s="83"/>
      <c r="J877" s="83"/>
      <c r="K877" s="83"/>
      <c r="L877" s="83"/>
      <c r="M877" s="82"/>
      <c r="N877" s="82"/>
      <c r="O877" s="82"/>
      <c r="P877" s="82"/>
      <c r="Q877" s="82"/>
      <c r="R877" s="82"/>
      <c r="S877" s="82"/>
      <c r="T877" s="82"/>
      <c r="U877" s="32"/>
      <c r="V877" s="32"/>
      <c r="W877" s="32"/>
      <c r="X877" s="32"/>
    </row>
    <row r="878">
      <c r="A878" s="89"/>
      <c r="B878" s="89"/>
      <c r="C878" s="89"/>
      <c r="D878" s="91"/>
      <c r="E878" s="83"/>
      <c r="F878" s="83"/>
      <c r="G878" s="83"/>
      <c r="H878" s="83"/>
      <c r="I878" s="83"/>
      <c r="J878" s="83"/>
      <c r="K878" s="83"/>
      <c r="L878" s="83"/>
      <c r="M878" s="82"/>
      <c r="N878" s="82"/>
      <c r="O878" s="82"/>
      <c r="P878" s="82"/>
      <c r="Q878" s="82"/>
      <c r="R878" s="82"/>
      <c r="S878" s="82"/>
      <c r="T878" s="82"/>
      <c r="U878" s="32"/>
      <c r="V878" s="32"/>
      <c r="W878" s="32"/>
      <c r="X878" s="32"/>
    </row>
    <row r="879">
      <c r="A879" s="89"/>
      <c r="B879" s="89"/>
      <c r="C879" s="89"/>
      <c r="D879" s="91"/>
      <c r="E879" s="83"/>
      <c r="F879" s="83"/>
      <c r="G879" s="83"/>
      <c r="H879" s="83"/>
      <c r="I879" s="83"/>
      <c r="J879" s="83"/>
      <c r="K879" s="83"/>
      <c r="L879" s="83"/>
      <c r="M879" s="82"/>
      <c r="N879" s="82"/>
      <c r="O879" s="82"/>
      <c r="P879" s="82"/>
      <c r="Q879" s="82"/>
      <c r="R879" s="82"/>
      <c r="S879" s="82"/>
      <c r="T879" s="82"/>
      <c r="U879" s="32"/>
      <c r="V879" s="32"/>
      <c r="W879" s="32"/>
      <c r="X879" s="32"/>
    </row>
    <row r="880">
      <c r="A880" s="89"/>
      <c r="B880" s="89"/>
      <c r="C880" s="89"/>
      <c r="D880" s="91"/>
      <c r="E880" s="83"/>
      <c r="F880" s="83"/>
      <c r="G880" s="83"/>
      <c r="H880" s="83"/>
      <c r="I880" s="83"/>
      <c r="J880" s="83"/>
      <c r="K880" s="83"/>
      <c r="L880" s="83"/>
      <c r="M880" s="82"/>
      <c r="N880" s="82"/>
      <c r="O880" s="82"/>
      <c r="P880" s="82"/>
      <c r="Q880" s="82"/>
      <c r="R880" s="82"/>
      <c r="S880" s="82"/>
      <c r="T880" s="82"/>
      <c r="U880" s="32"/>
      <c r="V880" s="32"/>
      <c r="W880" s="32"/>
      <c r="X880" s="32"/>
    </row>
    <row r="881">
      <c r="A881" s="89"/>
      <c r="B881" s="89"/>
      <c r="C881" s="89"/>
      <c r="D881" s="91"/>
      <c r="E881" s="83"/>
      <c r="F881" s="83"/>
      <c r="G881" s="83"/>
      <c r="H881" s="83"/>
      <c r="I881" s="83"/>
      <c r="J881" s="83"/>
      <c r="K881" s="83"/>
      <c r="L881" s="83"/>
      <c r="M881" s="82"/>
      <c r="N881" s="82"/>
      <c r="O881" s="82"/>
      <c r="P881" s="82"/>
      <c r="Q881" s="82"/>
      <c r="R881" s="82"/>
      <c r="S881" s="82"/>
      <c r="T881" s="82"/>
      <c r="U881" s="32"/>
      <c r="V881" s="32"/>
      <c r="W881" s="32"/>
      <c r="X881" s="32"/>
    </row>
    <row r="882">
      <c r="A882" s="89"/>
      <c r="B882" s="89"/>
      <c r="C882" s="89"/>
      <c r="D882" s="91"/>
      <c r="E882" s="83"/>
      <c r="F882" s="83"/>
      <c r="G882" s="83"/>
      <c r="H882" s="83"/>
      <c r="I882" s="83"/>
      <c r="J882" s="83"/>
      <c r="K882" s="83"/>
      <c r="L882" s="83"/>
      <c r="M882" s="82"/>
      <c r="N882" s="82"/>
      <c r="O882" s="82"/>
      <c r="P882" s="82"/>
      <c r="Q882" s="82"/>
      <c r="R882" s="82"/>
      <c r="S882" s="82"/>
      <c r="T882" s="82"/>
      <c r="U882" s="32"/>
      <c r="V882" s="32"/>
      <c r="W882" s="32"/>
      <c r="X882" s="32"/>
    </row>
    <row r="883">
      <c r="A883" s="89"/>
      <c r="B883" s="89"/>
      <c r="C883" s="89"/>
      <c r="D883" s="91"/>
      <c r="E883" s="83"/>
      <c r="F883" s="83"/>
      <c r="G883" s="83"/>
      <c r="H883" s="83"/>
      <c r="I883" s="83"/>
      <c r="J883" s="83"/>
      <c r="K883" s="83"/>
      <c r="L883" s="83"/>
      <c r="M883" s="82"/>
      <c r="N883" s="82"/>
      <c r="O883" s="82"/>
      <c r="P883" s="82"/>
      <c r="Q883" s="82"/>
      <c r="R883" s="82"/>
      <c r="S883" s="82"/>
      <c r="T883" s="82"/>
      <c r="U883" s="32"/>
      <c r="V883" s="32"/>
      <c r="W883" s="32"/>
      <c r="X883" s="32"/>
    </row>
    <row r="884">
      <c r="A884" s="89"/>
      <c r="B884" s="89"/>
      <c r="C884" s="89"/>
      <c r="D884" s="91"/>
      <c r="E884" s="83"/>
      <c r="F884" s="83"/>
      <c r="G884" s="83"/>
      <c r="H884" s="83"/>
      <c r="I884" s="83"/>
      <c r="J884" s="83"/>
      <c r="K884" s="83"/>
      <c r="L884" s="83"/>
      <c r="M884" s="82"/>
      <c r="N884" s="82"/>
      <c r="O884" s="82"/>
      <c r="P884" s="82"/>
      <c r="Q884" s="82"/>
      <c r="R884" s="82"/>
      <c r="S884" s="82"/>
      <c r="T884" s="82"/>
      <c r="U884" s="32"/>
      <c r="V884" s="32"/>
      <c r="W884" s="32"/>
      <c r="X884" s="32"/>
    </row>
    <row r="885">
      <c r="A885" s="89"/>
      <c r="B885" s="89"/>
      <c r="C885" s="89"/>
      <c r="D885" s="91"/>
      <c r="E885" s="83"/>
      <c r="F885" s="83"/>
      <c r="G885" s="83"/>
      <c r="H885" s="83"/>
      <c r="I885" s="83"/>
      <c r="J885" s="83"/>
      <c r="K885" s="83"/>
      <c r="L885" s="83"/>
      <c r="M885" s="82"/>
      <c r="N885" s="82"/>
      <c r="O885" s="82"/>
      <c r="P885" s="82"/>
      <c r="Q885" s="82"/>
      <c r="R885" s="82"/>
      <c r="S885" s="82"/>
      <c r="T885" s="82"/>
      <c r="U885" s="32"/>
      <c r="V885" s="32"/>
      <c r="W885" s="32"/>
      <c r="X885" s="32"/>
    </row>
    <row r="886">
      <c r="A886" s="89"/>
      <c r="B886" s="89"/>
      <c r="C886" s="89"/>
      <c r="D886" s="91"/>
      <c r="E886" s="83"/>
      <c r="F886" s="83"/>
      <c r="G886" s="83"/>
      <c r="H886" s="83"/>
      <c r="I886" s="83"/>
      <c r="J886" s="83"/>
      <c r="K886" s="83"/>
      <c r="L886" s="83"/>
      <c r="M886" s="82"/>
      <c r="N886" s="82"/>
      <c r="O886" s="82"/>
      <c r="P886" s="82"/>
      <c r="Q886" s="82"/>
      <c r="R886" s="82"/>
      <c r="S886" s="82"/>
      <c r="T886" s="82"/>
      <c r="U886" s="32"/>
      <c r="V886" s="32"/>
      <c r="W886" s="32"/>
      <c r="X886" s="32"/>
    </row>
    <row r="887">
      <c r="A887" s="89"/>
      <c r="B887" s="89"/>
      <c r="C887" s="89"/>
      <c r="D887" s="91"/>
      <c r="E887" s="83"/>
      <c r="F887" s="83"/>
      <c r="G887" s="83"/>
      <c r="H887" s="83"/>
      <c r="I887" s="83"/>
      <c r="J887" s="83"/>
      <c r="K887" s="83"/>
      <c r="L887" s="83"/>
      <c r="M887" s="82"/>
      <c r="N887" s="82"/>
      <c r="O887" s="82"/>
      <c r="P887" s="82"/>
      <c r="Q887" s="82"/>
      <c r="R887" s="82"/>
      <c r="S887" s="82"/>
      <c r="T887" s="82"/>
      <c r="U887" s="32"/>
      <c r="V887" s="32"/>
      <c r="W887" s="32"/>
      <c r="X887" s="32"/>
    </row>
    <row r="888">
      <c r="A888" s="89"/>
      <c r="B888" s="89"/>
      <c r="C888" s="89"/>
      <c r="D888" s="91"/>
      <c r="E888" s="83"/>
      <c r="F888" s="83"/>
      <c r="G888" s="83"/>
      <c r="H888" s="83"/>
      <c r="I888" s="83"/>
      <c r="J888" s="83"/>
      <c r="K888" s="83"/>
      <c r="L888" s="83"/>
      <c r="M888" s="82"/>
      <c r="N888" s="82"/>
      <c r="O888" s="82"/>
      <c r="P888" s="82"/>
      <c r="Q888" s="82"/>
      <c r="R888" s="82"/>
      <c r="S888" s="82"/>
      <c r="T888" s="82"/>
      <c r="U888" s="32"/>
      <c r="V888" s="32"/>
      <c r="W888" s="32"/>
      <c r="X888" s="32"/>
    </row>
    <row r="889">
      <c r="A889" s="89"/>
      <c r="B889" s="89"/>
      <c r="C889" s="89"/>
      <c r="D889" s="91"/>
      <c r="E889" s="83"/>
      <c r="F889" s="83"/>
      <c r="G889" s="83"/>
      <c r="H889" s="83"/>
      <c r="I889" s="83"/>
      <c r="J889" s="83"/>
      <c r="K889" s="83"/>
      <c r="L889" s="83"/>
      <c r="M889" s="82"/>
      <c r="N889" s="82"/>
      <c r="O889" s="82"/>
      <c r="P889" s="82"/>
      <c r="Q889" s="82"/>
      <c r="R889" s="82"/>
      <c r="S889" s="82"/>
      <c r="T889" s="82"/>
      <c r="U889" s="32"/>
      <c r="V889" s="32"/>
      <c r="W889" s="32"/>
      <c r="X889" s="32"/>
    </row>
    <row r="890">
      <c r="A890" s="89"/>
      <c r="B890" s="89"/>
      <c r="C890" s="89"/>
      <c r="D890" s="91"/>
      <c r="E890" s="83"/>
      <c r="F890" s="83"/>
      <c r="G890" s="83"/>
      <c r="H890" s="83"/>
      <c r="I890" s="83"/>
      <c r="J890" s="83"/>
      <c r="K890" s="83"/>
      <c r="L890" s="83"/>
      <c r="M890" s="82"/>
      <c r="N890" s="82"/>
      <c r="O890" s="82"/>
      <c r="P890" s="82"/>
      <c r="Q890" s="82"/>
      <c r="R890" s="82"/>
      <c r="S890" s="82"/>
      <c r="T890" s="82"/>
      <c r="U890" s="32"/>
      <c r="V890" s="32"/>
      <c r="W890" s="32"/>
      <c r="X890" s="32"/>
    </row>
    <row r="891">
      <c r="A891" s="89"/>
      <c r="B891" s="89"/>
      <c r="C891" s="89"/>
      <c r="D891" s="91"/>
      <c r="E891" s="83"/>
      <c r="F891" s="83"/>
      <c r="G891" s="83"/>
      <c r="H891" s="83"/>
      <c r="I891" s="83"/>
      <c r="J891" s="83"/>
      <c r="K891" s="83"/>
      <c r="L891" s="83"/>
      <c r="M891" s="82"/>
      <c r="N891" s="82"/>
      <c r="O891" s="82"/>
      <c r="P891" s="82"/>
      <c r="Q891" s="82"/>
      <c r="R891" s="82"/>
      <c r="S891" s="82"/>
      <c r="T891" s="82"/>
      <c r="U891" s="32"/>
      <c r="V891" s="32"/>
      <c r="W891" s="32"/>
      <c r="X891" s="32"/>
    </row>
    <row r="892">
      <c r="A892" s="89"/>
      <c r="B892" s="89"/>
      <c r="C892" s="89"/>
      <c r="D892" s="91"/>
      <c r="E892" s="83"/>
      <c r="F892" s="83"/>
      <c r="G892" s="83"/>
      <c r="H892" s="83"/>
      <c r="I892" s="83"/>
      <c r="J892" s="83"/>
      <c r="K892" s="83"/>
      <c r="L892" s="83"/>
      <c r="M892" s="82"/>
      <c r="N892" s="82"/>
      <c r="O892" s="82"/>
      <c r="P892" s="82"/>
      <c r="Q892" s="82"/>
      <c r="R892" s="82"/>
      <c r="S892" s="82"/>
      <c r="T892" s="82"/>
      <c r="U892" s="32"/>
      <c r="V892" s="32"/>
      <c r="W892" s="32"/>
      <c r="X892" s="32"/>
    </row>
    <row r="893">
      <c r="A893" s="89"/>
      <c r="B893" s="89"/>
      <c r="C893" s="89"/>
      <c r="D893" s="91"/>
      <c r="E893" s="83"/>
      <c r="F893" s="83"/>
      <c r="G893" s="83"/>
      <c r="H893" s="83"/>
      <c r="I893" s="83"/>
      <c r="J893" s="83"/>
      <c r="K893" s="83"/>
      <c r="L893" s="83"/>
      <c r="M893" s="82"/>
      <c r="N893" s="82"/>
      <c r="O893" s="82"/>
      <c r="P893" s="82"/>
      <c r="Q893" s="82"/>
      <c r="R893" s="82"/>
      <c r="S893" s="82"/>
      <c r="T893" s="82"/>
      <c r="U893" s="32"/>
      <c r="V893" s="32"/>
      <c r="W893" s="32"/>
      <c r="X893" s="32"/>
    </row>
    <row r="894">
      <c r="A894" s="89"/>
      <c r="B894" s="89"/>
      <c r="C894" s="89"/>
      <c r="D894" s="91"/>
      <c r="E894" s="83"/>
      <c r="F894" s="83"/>
      <c r="G894" s="83"/>
      <c r="H894" s="83"/>
      <c r="I894" s="83"/>
      <c r="J894" s="83"/>
      <c r="K894" s="83"/>
      <c r="L894" s="83"/>
      <c r="M894" s="82"/>
      <c r="N894" s="82"/>
      <c r="O894" s="82"/>
      <c r="P894" s="82"/>
      <c r="Q894" s="82"/>
      <c r="R894" s="82"/>
      <c r="S894" s="82"/>
      <c r="T894" s="82"/>
      <c r="U894" s="32"/>
      <c r="V894" s="32"/>
      <c r="W894" s="32"/>
      <c r="X894" s="32"/>
    </row>
    <row r="895">
      <c r="A895" s="89"/>
      <c r="B895" s="89"/>
      <c r="C895" s="89"/>
      <c r="D895" s="91"/>
      <c r="E895" s="83"/>
      <c r="F895" s="83"/>
      <c r="G895" s="83"/>
      <c r="H895" s="83"/>
      <c r="I895" s="83"/>
      <c r="J895" s="83"/>
      <c r="K895" s="83"/>
      <c r="L895" s="83"/>
      <c r="M895" s="82"/>
      <c r="N895" s="82"/>
      <c r="O895" s="82"/>
      <c r="P895" s="82"/>
      <c r="Q895" s="82"/>
      <c r="R895" s="82"/>
      <c r="S895" s="82"/>
      <c r="T895" s="82"/>
      <c r="U895" s="32"/>
      <c r="V895" s="32"/>
      <c r="W895" s="32"/>
      <c r="X895" s="32"/>
    </row>
    <row r="896">
      <c r="A896" s="89"/>
      <c r="B896" s="89"/>
      <c r="C896" s="89"/>
      <c r="D896" s="91"/>
      <c r="E896" s="83"/>
      <c r="F896" s="83"/>
      <c r="G896" s="83"/>
      <c r="H896" s="83"/>
      <c r="I896" s="83"/>
      <c r="J896" s="83"/>
      <c r="K896" s="83"/>
      <c r="L896" s="83"/>
      <c r="M896" s="82"/>
      <c r="N896" s="82"/>
      <c r="O896" s="82"/>
      <c r="P896" s="82"/>
      <c r="Q896" s="82"/>
      <c r="R896" s="82"/>
      <c r="S896" s="82"/>
      <c r="T896" s="82"/>
      <c r="U896" s="32"/>
      <c r="V896" s="32"/>
      <c r="W896" s="32"/>
      <c r="X896" s="32"/>
    </row>
    <row r="897">
      <c r="A897" s="89"/>
      <c r="B897" s="89"/>
      <c r="C897" s="89"/>
      <c r="D897" s="91"/>
      <c r="E897" s="83"/>
      <c r="F897" s="83"/>
      <c r="G897" s="83"/>
      <c r="H897" s="83"/>
      <c r="I897" s="83"/>
      <c r="J897" s="83"/>
      <c r="K897" s="83"/>
      <c r="L897" s="83"/>
      <c r="M897" s="82"/>
      <c r="N897" s="82"/>
      <c r="O897" s="82"/>
      <c r="P897" s="82"/>
      <c r="Q897" s="82"/>
      <c r="R897" s="82"/>
      <c r="S897" s="82"/>
      <c r="T897" s="82"/>
      <c r="U897" s="32"/>
      <c r="V897" s="32"/>
      <c r="W897" s="32"/>
      <c r="X897" s="32"/>
    </row>
    <row r="898">
      <c r="A898" s="89"/>
      <c r="B898" s="89"/>
      <c r="C898" s="89"/>
      <c r="D898" s="91"/>
      <c r="E898" s="83"/>
      <c r="F898" s="83"/>
      <c r="G898" s="83"/>
      <c r="H898" s="83"/>
      <c r="I898" s="83"/>
      <c r="J898" s="83"/>
      <c r="K898" s="83"/>
      <c r="L898" s="83"/>
      <c r="M898" s="82"/>
      <c r="N898" s="82"/>
      <c r="O898" s="82"/>
      <c r="P898" s="82"/>
      <c r="Q898" s="82"/>
      <c r="R898" s="82"/>
      <c r="S898" s="82"/>
      <c r="T898" s="82"/>
      <c r="U898" s="32"/>
      <c r="V898" s="32"/>
      <c r="W898" s="32"/>
      <c r="X898" s="32"/>
    </row>
    <row r="899">
      <c r="A899" s="89"/>
      <c r="B899" s="89"/>
      <c r="C899" s="89"/>
      <c r="D899" s="91"/>
      <c r="E899" s="83"/>
      <c r="F899" s="83"/>
      <c r="G899" s="83"/>
      <c r="H899" s="83"/>
      <c r="I899" s="83"/>
      <c r="J899" s="83"/>
      <c r="K899" s="83"/>
      <c r="L899" s="83"/>
      <c r="M899" s="82"/>
      <c r="N899" s="82"/>
      <c r="O899" s="82"/>
      <c r="P899" s="82"/>
      <c r="Q899" s="82"/>
      <c r="R899" s="82"/>
      <c r="S899" s="82"/>
      <c r="T899" s="82"/>
      <c r="U899" s="32"/>
      <c r="V899" s="32"/>
      <c r="W899" s="32"/>
      <c r="X899" s="32"/>
    </row>
    <row r="900">
      <c r="A900" s="89"/>
      <c r="B900" s="89"/>
      <c r="C900" s="89"/>
      <c r="D900" s="91"/>
      <c r="E900" s="83"/>
      <c r="F900" s="83"/>
      <c r="G900" s="83"/>
      <c r="H900" s="83"/>
      <c r="I900" s="83"/>
      <c r="J900" s="83"/>
      <c r="K900" s="83"/>
      <c r="L900" s="83"/>
      <c r="M900" s="82"/>
      <c r="N900" s="82"/>
      <c r="O900" s="82"/>
      <c r="P900" s="82"/>
      <c r="Q900" s="82"/>
      <c r="R900" s="82"/>
      <c r="S900" s="82"/>
      <c r="T900" s="82"/>
      <c r="U900" s="32"/>
      <c r="V900" s="32"/>
      <c r="W900" s="32"/>
      <c r="X900" s="32"/>
    </row>
    <row r="901">
      <c r="A901" s="89"/>
      <c r="B901" s="89"/>
      <c r="C901" s="89"/>
      <c r="D901" s="91"/>
      <c r="E901" s="83"/>
      <c r="F901" s="83"/>
      <c r="G901" s="83"/>
      <c r="H901" s="83"/>
      <c r="I901" s="83"/>
      <c r="J901" s="83"/>
      <c r="K901" s="83"/>
      <c r="L901" s="83"/>
      <c r="M901" s="82"/>
      <c r="N901" s="82"/>
      <c r="O901" s="82"/>
      <c r="P901" s="82"/>
      <c r="Q901" s="82"/>
      <c r="R901" s="82"/>
      <c r="S901" s="82"/>
      <c r="T901" s="82"/>
      <c r="U901" s="32"/>
      <c r="V901" s="32"/>
      <c r="W901" s="32"/>
      <c r="X901" s="32"/>
    </row>
    <row r="902">
      <c r="A902" s="89"/>
      <c r="B902" s="89"/>
      <c r="C902" s="89"/>
      <c r="D902" s="91"/>
      <c r="E902" s="83"/>
      <c r="F902" s="83"/>
      <c r="G902" s="83"/>
      <c r="H902" s="83"/>
      <c r="I902" s="83"/>
      <c r="J902" s="83"/>
      <c r="K902" s="83"/>
      <c r="L902" s="83"/>
      <c r="M902" s="82"/>
      <c r="N902" s="82"/>
      <c r="O902" s="82"/>
      <c r="P902" s="82"/>
      <c r="Q902" s="82"/>
      <c r="R902" s="82"/>
      <c r="S902" s="82"/>
      <c r="T902" s="82"/>
      <c r="U902" s="32"/>
      <c r="V902" s="32"/>
      <c r="W902" s="32"/>
      <c r="X902" s="32"/>
    </row>
    <row r="903">
      <c r="A903" s="89"/>
      <c r="B903" s="89"/>
      <c r="C903" s="89"/>
      <c r="D903" s="91"/>
      <c r="E903" s="83"/>
      <c r="F903" s="83"/>
      <c r="G903" s="83"/>
      <c r="H903" s="83"/>
      <c r="I903" s="83"/>
      <c r="J903" s="83"/>
      <c r="K903" s="83"/>
      <c r="L903" s="83"/>
      <c r="M903" s="82"/>
      <c r="N903" s="82"/>
      <c r="O903" s="82"/>
      <c r="P903" s="82"/>
      <c r="Q903" s="82"/>
      <c r="R903" s="82"/>
      <c r="S903" s="82"/>
      <c r="T903" s="82"/>
      <c r="U903" s="32"/>
      <c r="V903" s="32"/>
      <c r="W903" s="32"/>
      <c r="X903" s="32"/>
    </row>
    <row r="904">
      <c r="A904" s="89"/>
      <c r="B904" s="89"/>
      <c r="C904" s="89"/>
      <c r="D904" s="91"/>
      <c r="E904" s="83"/>
      <c r="F904" s="83"/>
      <c r="G904" s="83"/>
      <c r="H904" s="83"/>
      <c r="I904" s="83"/>
      <c r="J904" s="83"/>
      <c r="K904" s="83"/>
      <c r="L904" s="83"/>
      <c r="M904" s="82"/>
      <c r="N904" s="82"/>
      <c r="O904" s="82"/>
      <c r="P904" s="82"/>
      <c r="Q904" s="82"/>
      <c r="R904" s="82"/>
      <c r="S904" s="82"/>
      <c r="T904" s="82"/>
      <c r="U904" s="32"/>
      <c r="V904" s="32"/>
      <c r="W904" s="32"/>
      <c r="X904" s="32"/>
    </row>
    <row r="905">
      <c r="A905" s="89"/>
      <c r="B905" s="89"/>
      <c r="C905" s="89"/>
      <c r="D905" s="91"/>
      <c r="E905" s="83"/>
      <c r="F905" s="83"/>
      <c r="G905" s="83"/>
      <c r="H905" s="83"/>
      <c r="I905" s="83"/>
      <c r="J905" s="83"/>
      <c r="K905" s="83"/>
      <c r="L905" s="83"/>
      <c r="M905" s="82"/>
      <c r="N905" s="82"/>
      <c r="O905" s="82"/>
      <c r="P905" s="82"/>
      <c r="Q905" s="82"/>
      <c r="R905" s="82"/>
      <c r="S905" s="82"/>
      <c r="T905" s="82"/>
      <c r="U905" s="32"/>
      <c r="V905" s="32"/>
      <c r="W905" s="32"/>
      <c r="X905" s="32"/>
    </row>
    <row r="906">
      <c r="A906" s="89"/>
      <c r="B906" s="89"/>
      <c r="C906" s="89"/>
      <c r="D906" s="91"/>
      <c r="E906" s="83"/>
      <c r="F906" s="83"/>
      <c r="G906" s="83"/>
      <c r="H906" s="83"/>
      <c r="I906" s="83"/>
      <c r="J906" s="83"/>
      <c r="K906" s="83"/>
      <c r="L906" s="83"/>
      <c r="M906" s="82"/>
      <c r="N906" s="82"/>
      <c r="O906" s="82"/>
      <c r="P906" s="82"/>
      <c r="Q906" s="82"/>
      <c r="R906" s="82"/>
      <c r="S906" s="82"/>
      <c r="T906" s="82"/>
      <c r="U906" s="32"/>
      <c r="V906" s="32"/>
      <c r="W906" s="32"/>
      <c r="X906" s="32"/>
    </row>
    <row r="907">
      <c r="A907" s="89"/>
      <c r="B907" s="89"/>
      <c r="C907" s="89"/>
      <c r="D907" s="91"/>
      <c r="E907" s="83"/>
      <c r="F907" s="83"/>
      <c r="G907" s="83"/>
      <c r="H907" s="83"/>
      <c r="I907" s="83"/>
      <c r="J907" s="83"/>
      <c r="K907" s="83"/>
      <c r="L907" s="83"/>
      <c r="M907" s="82"/>
      <c r="N907" s="82"/>
      <c r="O907" s="82"/>
      <c r="P907" s="82"/>
      <c r="Q907" s="82"/>
      <c r="R907" s="82"/>
      <c r="S907" s="82"/>
      <c r="T907" s="82"/>
      <c r="U907" s="32"/>
      <c r="V907" s="32"/>
      <c r="W907" s="32"/>
      <c r="X907" s="32"/>
    </row>
    <row r="908">
      <c r="A908" s="89"/>
      <c r="B908" s="89"/>
      <c r="C908" s="89"/>
      <c r="D908" s="91"/>
      <c r="E908" s="83"/>
      <c r="F908" s="83"/>
      <c r="G908" s="83"/>
      <c r="H908" s="83"/>
      <c r="I908" s="83"/>
      <c r="J908" s="83"/>
      <c r="K908" s="83"/>
      <c r="L908" s="83"/>
      <c r="M908" s="82"/>
      <c r="N908" s="82"/>
      <c r="O908" s="82"/>
      <c r="P908" s="82"/>
      <c r="Q908" s="82"/>
      <c r="R908" s="82"/>
      <c r="S908" s="82"/>
      <c r="T908" s="82"/>
      <c r="U908" s="32"/>
      <c r="V908" s="32"/>
      <c r="W908" s="32"/>
      <c r="X908" s="32"/>
    </row>
    <row r="909">
      <c r="A909" s="89"/>
      <c r="B909" s="89"/>
      <c r="C909" s="89"/>
      <c r="D909" s="91"/>
      <c r="E909" s="83"/>
      <c r="F909" s="83"/>
      <c r="G909" s="83"/>
      <c r="H909" s="83"/>
      <c r="I909" s="83"/>
      <c r="J909" s="83"/>
      <c r="K909" s="83"/>
      <c r="L909" s="83"/>
      <c r="M909" s="82"/>
      <c r="N909" s="82"/>
      <c r="O909" s="82"/>
      <c r="P909" s="82"/>
      <c r="Q909" s="82"/>
      <c r="R909" s="82"/>
      <c r="S909" s="82"/>
      <c r="T909" s="82"/>
      <c r="U909" s="32"/>
      <c r="V909" s="32"/>
      <c r="W909" s="32"/>
      <c r="X909" s="32"/>
    </row>
    <row r="910">
      <c r="A910" s="89"/>
      <c r="B910" s="89"/>
      <c r="C910" s="89"/>
      <c r="D910" s="91"/>
      <c r="E910" s="83"/>
      <c r="F910" s="83"/>
      <c r="G910" s="83"/>
      <c r="H910" s="83"/>
      <c r="I910" s="83"/>
      <c r="J910" s="83"/>
      <c r="K910" s="83"/>
      <c r="L910" s="83"/>
      <c r="M910" s="82"/>
      <c r="N910" s="82"/>
      <c r="O910" s="82"/>
      <c r="P910" s="82"/>
      <c r="Q910" s="82"/>
      <c r="R910" s="82"/>
      <c r="S910" s="82"/>
      <c r="T910" s="82"/>
      <c r="U910" s="32"/>
      <c r="V910" s="32"/>
      <c r="W910" s="32"/>
      <c r="X910" s="32"/>
    </row>
    <row r="911">
      <c r="A911" s="89"/>
      <c r="B911" s="89"/>
      <c r="C911" s="89"/>
      <c r="D911" s="91"/>
      <c r="E911" s="83"/>
      <c r="F911" s="83"/>
      <c r="G911" s="83"/>
      <c r="H911" s="83"/>
      <c r="I911" s="83"/>
      <c r="J911" s="83"/>
      <c r="K911" s="83"/>
      <c r="L911" s="83"/>
      <c r="M911" s="82"/>
      <c r="N911" s="82"/>
      <c r="O911" s="82"/>
      <c r="P911" s="82"/>
      <c r="Q911" s="82"/>
      <c r="R911" s="82"/>
      <c r="S911" s="82"/>
      <c r="T911" s="82"/>
      <c r="U911" s="32"/>
      <c r="V911" s="32"/>
      <c r="W911" s="32"/>
      <c r="X911" s="32"/>
    </row>
    <row r="912">
      <c r="A912" s="89"/>
      <c r="B912" s="89"/>
      <c r="C912" s="89"/>
      <c r="D912" s="91"/>
      <c r="E912" s="83"/>
      <c r="F912" s="83"/>
      <c r="G912" s="83"/>
      <c r="H912" s="83"/>
      <c r="I912" s="83"/>
      <c r="J912" s="83"/>
      <c r="K912" s="83"/>
      <c r="L912" s="83"/>
      <c r="M912" s="82"/>
      <c r="N912" s="82"/>
      <c r="O912" s="82"/>
      <c r="P912" s="82"/>
      <c r="Q912" s="82"/>
      <c r="R912" s="82"/>
      <c r="S912" s="82"/>
      <c r="T912" s="82"/>
      <c r="U912" s="32"/>
      <c r="V912" s="32"/>
      <c r="W912" s="32"/>
      <c r="X912" s="32"/>
    </row>
    <row r="913">
      <c r="A913" s="89"/>
      <c r="B913" s="89"/>
      <c r="C913" s="89"/>
      <c r="D913" s="91"/>
      <c r="E913" s="83"/>
      <c r="F913" s="83"/>
      <c r="G913" s="83"/>
      <c r="H913" s="83"/>
      <c r="I913" s="83"/>
      <c r="J913" s="83"/>
      <c r="K913" s="83"/>
      <c r="L913" s="83"/>
      <c r="M913" s="82"/>
      <c r="N913" s="82"/>
      <c r="O913" s="82"/>
      <c r="P913" s="82"/>
      <c r="Q913" s="82"/>
      <c r="R913" s="82"/>
      <c r="S913" s="82"/>
      <c r="T913" s="82"/>
      <c r="U913" s="32"/>
      <c r="V913" s="32"/>
      <c r="W913" s="32"/>
      <c r="X913" s="32"/>
    </row>
    <row r="914">
      <c r="A914" s="89"/>
      <c r="B914" s="89"/>
      <c r="C914" s="89"/>
      <c r="D914" s="91"/>
      <c r="E914" s="83"/>
      <c r="F914" s="83"/>
      <c r="G914" s="83"/>
      <c r="H914" s="83"/>
      <c r="I914" s="83"/>
      <c r="J914" s="83"/>
      <c r="K914" s="83"/>
      <c r="L914" s="83"/>
      <c r="M914" s="82"/>
      <c r="N914" s="82"/>
      <c r="O914" s="82"/>
      <c r="P914" s="82"/>
      <c r="Q914" s="82"/>
      <c r="R914" s="82"/>
      <c r="S914" s="82"/>
      <c r="T914" s="82"/>
      <c r="U914" s="32"/>
      <c r="V914" s="32"/>
      <c r="W914" s="32"/>
      <c r="X914" s="32"/>
    </row>
    <row r="915">
      <c r="A915" s="89"/>
      <c r="B915" s="89"/>
      <c r="C915" s="89"/>
      <c r="D915" s="91"/>
      <c r="E915" s="83"/>
      <c r="F915" s="83"/>
      <c r="G915" s="83"/>
      <c r="H915" s="83"/>
      <c r="I915" s="83"/>
      <c r="J915" s="83"/>
      <c r="K915" s="83"/>
      <c r="L915" s="83"/>
      <c r="M915" s="82"/>
      <c r="N915" s="82"/>
      <c r="O915" s="82"/>
      <c r="P915" s="82"/>
      <c r="Q915" s="82"/>
      <c r="R915" s="82"/>
      <c r="S915" s="82"/>
      <c r="T915" s="82"/>
      <c r="U915" s="32"/>
      <c r="V915" s="32"/>
      <c r="W915" s="32"/>
      <c r="X915" s="32"/>
    </row>
    <row r="916">
      <c r="A916" s="89"/>
      <c r="B916" s="89"/>
      <c r="C916" s="89"/>
      <c r="D916" s="91"/>
      <c r="E916" s="83"/>
      <c r="F916" s="83"/>
      <c r="G916" s="83"/>
      <c r="H916" s="83"/>
      <c r="I916" s="83"/>
      <c r="J916" s="83"/>
      <c r="K916" s="83"/>
      <c r="L916" s="83"/>
      <c r="M916" s="82"/>
      <c r="N916" s="82"/>
      <c r="O916" s="82"/>
      <c r="P916" s="82"/>
      <c r="Q916" s="82"/>
      <c r="R916" s="82"/>
      <c r="S916" s="82"/>
      <c r="T916" s="82"/>
      <c r="U916" s="32"/>
      <c r="V916" s="32"/>
      <c r="W916" s="32"/>
      <c r="X916" s="32"/>
    </row>
    <row r="917">
      <c r="A917" s="89"/>
      <c r="B917" s="89"/>
      <c r="C917" s="89"/>
      <c r="D917" s="91"/>
      <c r="E917" s="83"/>
      <c r="F917" s="83"/>
      <c r="G917" s="83"/>
      <c r="H917" s="83"/>
      <c r="I917" s="83"/>
      <c r="J917" s="83"/>
      <c r="K917" s="83"/>
      <c r="L917" s="83"/>
      <c r="M917" s="82"/>
      <c r="N917" s="82"/>
      <c r="O917" s="82"/>
      <c r="P917" s="82"/>
      <c r="Q917" s="82"/>
      <c r="R917" s="82"/>
      <c r="S917" s="82"/>
      <c r="T917" s="82"/>
      <c r="U917" s="32"/>
      <c r="V917" s="32"/>
      <c r="W917" s="32"/>
      <c r="X917" s="32"/>
    </row>
    <row r="918">
      <c r="A918" s="89"/>
      <c r="B918" s="89"/>
      <c r="C918" s="89"/>
      <c r="D918" s="91"/>
      <c r="E918" s="83"/>
      <c r="F918" s="83"/>
      <c r="G918" s="83"/>
      <c r="H918" s="83"/>
      <c r="I918" s="83"/>
      <c r="J918" s="83"/>
      <c r="K918" s="83"/>
      <c r="L918" s="83"/>
      <c r="M918" s="82"/>
      <c r="N918" s="82"/>
      <c r="O918" s="82"/>
      <c r="P918" s="82"/>
      <c r="Q918" s="82"/>
      <c r="R918" s="82"/>
      <c r="S918" s="82"/>
      <c r="T918" s="82"/>
      <c r="U918" s="32"/>
      <c r="V918" s="32"/>
      <c r="W918" s="32"/>
      <c r="X918" s="32"/>
    </row>
    <row r="919">
      <c r="A919" s="89"/>
      <c r="B919" s="89"/>
      <c r="C919" s="89"/>
      <c r="D919" s="91"/>
      <c r="E919" s="83"/>
      <c r="F919" s="83"/>
      <c r="G919" s="83"/>
      <c r="H919" s="83"/>
      <c r="I919" s="83"/>
      <c r="J919" s="83"/>
      <c r="K919" s="83"/>
      <c r="L919" s="83"/>
      <c r="M919" s="82"/>
      <c r="N919" s="82"/>
      <c r="O919" s="82"/>
      <c r="P919" s="82"/>
      <c r="Q919" s="82"/>
      <c r="R919" s="82"/>
      <c r="S919" s="82"/>
      <c r="T919" s="82"/>
      <c r="U919" s="32"/>
      <c r="V919" s="32"/>
      <c r="W919" s="32"/>
      <c r="X919" s="32"/>
    </row>
    <row r="920">
      <c r="A920" s="89"/>
      <c r="B920" s="89"/>
      <c r="C920" s="89"/>
      <c r="D920" s="91"/>
      <c r="E920" s="83"/>
      <c r="F920" s="83"/>
      <c r="G920" s="83"/>
      <c r="H920" s="83"/>
      <c r="I920" s="83"/>
      <c r="J920" s="83"/>
      <c r="K920" s="83"/>
      <c r="L920" s="83"/>
      <c r="M920" s="82"/>
      <c r="N920" s="82"/>
      <c r="O920" s="82"/>
      <c r="P920" s="82"/>
      <c r="Q920" s="82"/>
      <c r="R920" s="82"/>
      <c r="S920" s="82"/>
      <c r="T920" s="82"/>
      <c r="U920" s="32"/>
      <c r="V920" s="32"/>
      <c r="W920" s="32"/>
      <c r="X920" s="32"/>
    </row>
    <row r="921">
      <c r="A921" s="89"/>
      <c r="B921" s="89"/>
      <c r="C921" s="89"/>
      <c r="D921" s="91"/>
      <c r="E921" s="83"/>
      <c r="F921" s="83"/>
      <c r="G921" s="83"/>
      <c r="H921" s="83"/>
      <c r="I921" s="83"/>
      <c r="J921" s="83"/>
      <c r="K921" s="83"/>
      <c r="L921" s="83"/>
      <c r="M921" s="82"/>
      <c r="N921" s="82"/>
      <c r="O921" s="82"/>
      <c r="P921" s="82"/>
      <c r="Q921" s="82"/>
      <c r="R921" s="82"/>
      <c r="S921" s="82"/>
      <c r="T921" s="82"/>
      <c r="U921" s="32"/>
      <c r="V921" s="32"/>
      <c r="W921" s="32"/>
      <c r="X921" s="32"/>
    </row>
    <row r="922">
      <c r="A922" s="89"/>
      <c r="B922" s="89"/>
      <c r="C922" s="89"/>
      <c r="D922" s="91"/>
      <c r="E922" s="83"/>
      <c r="F922" s="83"/>
      <c r="G922" s="83"/>
      <c r="H922" s="83"/>
      <c r="I922" s="83"/>
      <c r="J922" s="83"/>
      <c r="K922" s="83"/>
      <c r="L922" s="83"/>
      <c r="M922" s="82"/>
      <c r="N922" s="82"/>
      <c r="O922" s="82"/>
      <c r="P922" s="82"/>
      <c r="Q922" s="82"/>
      <c r="R922" s="82"/>
      <c r="S922" s="82"/>
      <c r="T922" s="82"/>
      <c r="U922" s="32"/>
      <c r="V922" s="32"/>
      <c r="W922" s="32"/>
      <c r="X922" s="32"/>
    </row>
    <row r="923">
      <c r="A923" s="89"/>
      <c r="B923" s="89"/>
      <c r="C923" s="89"/>
      <c r="D923" s="91"/>
      <c r="E923" s="83"/>
      <c r="F923" s="83"/>
      <c r="G923" s="83"/>
      <c r="H923" s="83"/>
      <c r="I923" s="83"/>
      <c r="J923" s="83"/>
      <c r="K923" s="83"/>
      <c r="L923" s="83"/>
      <c r="M923" s="82"/>
      <c r="N923" s="82"/>
      <c r="O923" s="82"/>
      <c r="P923" s="82"/>
      <c r="Q923" s="82"/>
      <c r="R923" s="82"/>
      <c r="S923" s="82"/>
      <c r="T923" s="82"/>
      <c r="U923" s="32"/>
      <c r="V923" s="32"/>
      <c r="W923" s="32"/>
      <c r="X923" s="32"/>
    </row>
    <row r="924">
      <c r="A924" s="89"/>
      <c r="B924" s="89"/>
      <c r="C924" s="89"/>
      <c r="D924" s="91"/>
      <c r="E924" s="83"/>
      <c r="F924" s="83"/>
      <c r="G924" s="83"/>
      <c r="H924" s="83"/>
      <c r="I924" s="83"/>
      <c r="J924" s="83"/>
      <c r="K924" s="83"/>
      <c r="L924" s="83"/>
      <c r="M924" s="82"/>
      <c r="N924" s="82"/>
      <c r="O924" s="82"/>
      <c r="P924" s="82"/>
      <c r="Q924" s="82"/>
      <c r="R924" s="82"/>
      <c r="S924" s="82"/>
      <c r="T924" s="82"/>
      <c r="U924" s="32"/>
      <c r="V924" s="32"/>
      <c r="W924" s="32"/>
      <c r="X924" s="32"/>
    </row>
    <row r="925">
      <c r="A925" s="89"/>
      <c r="B925" s="89"/>
      <c r="C925" s="89"/>
      <c r="D925" s="91"/>
      <c r="E925" s="83"/>
      <c r="F925" s="83"/>
      <c r="G925" s="83"/>
      <c r="H925" s="83"/>
      <c r="I925" s="83"/>
      <c r="J925" s="83"/>
      <c r="K925" s="83"/>
      <c r="L925" s="83"/>
      <c r="M925" s="82"/>
      <c r="N925" s="82"/>
      <c r="O925" s="82"/>
      <c r="P925" s="82"/>
      <c r="Q925" s="82"/>
      <c r="R925" s="82"/>
      <c r="S925" s="82"/>
      <c r="T925" s="82"/>
      <c r="U925" s="32"/>
      <c r="V925" s="32"/>
      <c r="W925" s="32"/>
      <c r="X925" s="32"/>
    </row>
    <row r="926">
      <c r="A926" s="89"/>
      <c r="B926" s="89"/>
      <c r="C926" s="89"/>
      <c r="D926" s="91"/>
      <c r="E926" s="83"/>
      <c r="F926" s="83"/>
      <c r="G926" s="83"/>
      <c r="H926" s="83"/>
      <c r="I926" s="83"/>
      <c r="J926" s="83"/>
      <c r="K926" s="83"/>
      <c r="L926" s="83"/>
      <c r="M926" s="82"/>
      <c r="N926" s="82"/>
      <c r="O926" s="82"/>
      <c r="P926" s="82"/>
      <c r="Q926" s="82"/>
      <c r="R926" s="82"/>
      <c r="S926" s="82"/>
      <c r="T926" s="82"/>
      <c r="U926" s="32"/>
      <c r="V926" s="32"/>
      <c r="W926" s="32"/>
      <c r="X926" s="32"/>
    </row>
    <row r="927">
      <c r="A927" s="89"/>
      <c r="B927" s="89"/>
      <c r="C927" s="89"/>
      <c r="D927" s="91"/>
      <c r="E927" s="83"/>
      <c r="F927" s="83"/>
      <c r="G927" s="83"/>
      <c r="H927" s="83"/>
      <c r="I927" s="83"/>
      <c r="J927" s="83"/>
      <c r="K927" s="83"/>
      <c r="L927" s="83"/>
      <c r="M927" s="82"/>
      <c r="N927" s="82"/>
      <c r="O927" s="82"/>
      <c r="P927" s="82"/>
      <c r="Q927" s="82"/>
      <c r="R927" s="82"/>
      <c r="S927" s="82"/>
      <c r="T927" s="82"/>
      <c r="U927" s="32"/>
      <c r="V927" s="32"/>
      <c r="W927" s="32"/>
      <c r="X927" s="32"/>
    </row>
    <row r="928">
      <c r="A928" s="89"/>
      <c r="B928" s="89"/>
      <c r="C928" s="89"/>
      <c r="D928" s="91"/>
      <c r="E928" s="83"/>
      <c r="F928" s="83"/>
      <c r="G928" s="83"/>
      <c r="H928" s="83"/>
      <c r="I928" s="83"/>
      <c r="J928" s="83"/>
      <c r="K928" s="83"/>
      <c r="L928" s="83"/>
      <c r="M928" s="82"/>
      <c r="N928" s="82"/>
      <c r="O928" s="82"/>
      <c r="P928" s="82"/>
      <c r="Q928" s="82"/>
      <c r="R928" s="82"/>
      <c r="S928" s="82"/>
      <c r="T928" s="82"/>
      <c r="U928" s="32"/>
      <c r="V928" s="32"/>
      <c r="W928" s="32"/>
      <c r="X928" s="32"/>
    </row>
    <row r="929">
      <c r="A929" s="89"/>
      <c r="B929" s="89"/>
      <c r="C929" s="89"/>
      <c r="D929" s="91"/>
      <c r="E929" s="83"/>
      <c r="F929" s="83"/>
      <c r="G929" s="83"/>
      <c r="H929" s="83"/>
      <c r="I929" s="83"/>
      <c r="J929" s="83"/>
      <c r="K929" s="83"/>
      <c r="L929" s="83"/>
      <c r="M929" s="82"/>
      <c r="N929" s="82"/>
      <c r="O929" s="82"/>
      <c r="P929" s="82"/>
      <c r="Q929" s="82"/>
      <c r="R929" s="82"/>
      <c r="S929" s="82"/>
      <c r="T929" s="82"/>
      <c r="U929" s="32"/>
      <c r="V929" s="32"/>
      <c r="W929" s="32"/>
      <c r="X929" s="32"/>
    </row>
    <row r="930">
      <c r="A930" s="89"/>
      <c r="B930" s="89"/>
      <c r="C930" s="89"/>
      <c r="D930" s="91"/>
      <c r="E930" s="83"/>
      <c r="F930" s="83"/>
      <c r="G930" s="83"/>
      <c r="H930" s="83"/>
      <c r="I930" s="83"/>
      <c r="J930" s="83"/>
      <c r="K930" s="83"/>
      <c r="L930" s="83"/>
      <c r="M930" s="82"/>
      <c r="N930" s="82"/>
      <c r="O930" s="82"/>
      <c r="P930" s="82"/>
      <c r="Q930" s="82"/>
      <c r="R930" s="82"/>
      <c r="S930" s="82"/>
      <c r="T930" s="82"/>
      <c r="U930" s="32"/>
      <c r="V930" s="32"/>
      <c r="W930" s="32"/>
      <c r="X930" s="32"/>
    </row>
    <row r="931">
      <c r="A931" s="89"/>
      <c r="B931" s="89"/>
      <c r="C931" s="89"/>
      <c r="D931" s="91"/>
      <c r="E931" s="83"/>
      <c r="F931" s="83"/>
      <c r="G931" s="83"/>
      <c r="H931" s="83"/>
      <c r="I931" s="83"/>
      <c r="J931" s="83"/>
      <c r="K931" s="83"/>
      <c r="L931" s="83"/>
      <c r="M931" s="82"/>
      <c r="N931" s="82"/>
      <c r="O931" s="82"/>
      <c r="P931" s="82"/>
      <c r="Q931" s="82"/>
      <c r="R931" s="82"/>
      <c r="S931" s="82"/>
      <c r="T931" s="82"/>
      <c r="U931" s="32"/>
      <c r="V931" s="32"/>
      <c r="W931" s="32"/>
      <c r="X931" s="32"/>
    </row>
    <row r="932">
      <c r="A932" s="89"/>
      <c r="B932" s="89"/>
      <c r="C932" s="89"/>
      <c r="D932" s="91"/>
      <c r="E932" s="83"/>
      <c r="F932" s="83"/>
      <c r="G932" s="83"/>
      <c r="H932" s="83"/>
      <c r="I932" s="83"/>
      <c r="J932" s="83"/>
      <c r="K932" s="83"/>
      <c r="L932" s="83"/>
      <c r="M932" s="82"/>
      <c r="N932" s="82"/>
      <c r="O932" s="82"/>
      <c r="P932" s="82"/>
      <c r="Q932" s="82"/>
      <c r="R932" s="82"/>
      <c r="S932" s="82"/>
      <c r="T932" s="82"/>
      <c r="U932" s="32"/>
      <c r="V932" s="32"/>
      <c r="W932" s="32"/>
      <c r="X932" s="32"/>
    </row>
    <row r="933">
      <c r="A933" s="89"/>
      <c r="B933" s="89"/>
      <c r="C933" s="89"/>
      <c r="D933" s="91"/>
      <c r="E933" s="83"/>
      <c r="F933" s="83"/>
      <c r="G933" s="83"/>
      <c r="H933" s="83"/>
      <c r="I933" s="83"/>
      <c r="J933" s="83"/>
      <c r="K933" s="83"/>
      <c r="L933" s="83"/>
      <c r="M933" s="82"/>
      <c r="N933" s="82"/>
      <c r="O933" s="82"/>
      <c r="P933" s="82"/>
      <c r="Q933" s="82"/>
      <c r="R933" s="82"/>
      <c r="S933" s="82"/>
      <c r="T933" s="82"/>
      <c r="U933" s="32"/>
      <c r="V933" s="32"/>
      <c r="W933" s="32"/>
      <c r="X933" s="32"/>
    </row>
    <row r="934">
      <c r="A934" s="89"/>
      <c r="B934" s="89"/>
      <c r="C934" s="89"/>
      <c r="D934" s="91"/>
      <c r="E934" s="83"/>
      <c r="F934" s="83"/>
      <c r="G934" s="83"/>
      <c r="H934" s="83"/>
      <c r="I934" s="83"/>
      <c r="J934" s="83"/>
      <c r="K934" s="83"/>
      <c r="L934" s="83"/>
      <c r="M934" s="82"/>
      <c r="N934" s="82"/>
      <c r="O934" s="82"/>
      <c r="P934" s="82"/>
      <c r="Q934" s="82"/>
      <c r="R934" s="82"/>
      <c r="S934" s="82"/>
      <c r="T934" s="82"/>
      <c r="U934" s="32"/>
      <c r="V934" s="32"/>
      <c r="W934" s="32"/>
      <c r="X934" s="32"/>
    </row>
    <row r="935">
      <c r="A935" s="89"/>
      <c r="B935" s="89"/>
      <c r="C935" s="89"/>
      <c r="D935" s="91"/>
      <c r="E935" s="83"/>
      <c r="F935" s="83"/>
      <c r="G935" s="83"/>
      <c r="H935" s="83"/>
      <c r="I935" s="83"/>
      <c r="J935" s="83"/>
      <c r="K935" s="83"/>
      <c r="L935" s="83"/>
      <c r="M935" s="82"/>
      <c r="N935" s="82"/>
      <c r="O935" s="82"/>
      <c r="P935" s="82"/>
      <c r="Q935" s="82"/>
      <c r="R935" s="82"/>
      <c r="S935" s="82"/>
      <c r="T935" s="82"/>
      <c r="U935" s="32"/>
      <c r="V935" s="32"/>
      <c r="W935" s="32"/>
      <c r="X935" s="32"/>
    </row>
    <row r="936">
      <c r="A936" s="89"/>
      <c r="B936" s="89"/>
      <c r="C936" s="89"/>
      <c r="D936" s="91"/>
      <c r="E936" s="83"/>
      <c r="F936" s="83"/>
      <c r="G936" s="83"/>
      <c r="H936" s="83"/>
      <c r="I936" s="83"/>
      <c r="J936" s="83"/>
      <c r="K936" s="83"/>
      <c r="L936" s="83"/>
      <c r="M936" s="82"/>
      <c r="N936" s="82"/>
      <c r="O936" s="82"/>
      <c r="P936" s="82"/>
      <c r="Q936" s="82"/>
      <c r="R936" s="82"/>
      <c r="S936" s="82"/>
      <c r="T936" s="82"/>
      <c r="U936" s="32"/>
      <c r="V936" s="32"/>
      <c r="W936" s="32"/>
      <c r="X936" s="32"/>
    </row>
    <row r="937">
      <c r="A937" s="89"/>
      <c r="B937" s="89"/>
      <c r="C937" s="89"/>
      <c r="D937" s="91"/>
      <c r="E937" s="83"/>
      <c r="F937" s="83"/>
      <c r="G937" s="83"/>
      <c r="H937" s="83"/>
      <c r="I937" s="83"/>
      <c r="J937" s="83"/>
      <c r="K937" s="83"/>
      <c r="L937" s="83"/>
      <c r="M937" s="82"/>
      <c r="N937" s="82"/>
      <c r="O937" s="82"/>
      <c r="P937" s="82"/>
      <c r="Q937" s="82"/>
      <c r="R937" s="82"/>
      <c r="S937" s="82"/>
      <c r="T937" s="82"/>
      <c r="U937" s="32"/>
      <c r="V937" s="32"/>
      <c r="W937" s="32"/>
      <c r="X937" s="32"/>
    </row>
    <row r="938">
      <c r="A938" s="89"/>
      <c r="B938" s="89"/>
      <c r="C938" s="89"/>
      <c r="D938" s="91"/>
      <c r="E938" s="83"/>
      <c r="F938" s="83"/>
      <c r="G938" s="83"/>
      <c r="H938" s="83"/>
      <c r="I938" s="83"/>
      <c r="J938" s="83"/>
      <c r="K938" s="83"/>
      <c r="L938" s="83"/>
      <c r="M938" s="82"/>
      <c r="N938" s="82"/>
      <c r="O938" s="82"/>
      <c r="P938" s="82"/>
      <c r="Q938" s="82"/>
      <c r="R938" s="82"/>
      <c r="S938" s="82"/>
      <c r="T938" s="82"/>
      <c r="U938" s="32"/>
      <c r="V938" s="32"/>
      <c r="W938" s="32"/>
      <c r="X938" s="32"/>
    </row>
    <row r="939">
      <c r="A939" s="89"/>
      <c r="B939" s="89"/>
      <c r="C939" s="89"/>
      <c r="D939" s="91"/>
      <c r="E939" s="83"/>
      <c r="F939" s="83"/>
      <c r="G939" s="83"/>
      <c r="H939" s="83"/>
      <c r="I939" s="83"/>
      <c r="J939" s="83"/>
      <c r="K939" s="83"/>
      <c r="L939" s="83"/>
      <c r="M939" s="82"/>
      <c r="N939" s="82"/>
      <c r="O939" s="82"/>
      <c r="P939" s="82"/>
      <c r="Q939" s="82"/>
      <c r="R939" s="82"/>
      <c r="S939" s="82"/>
      <c r="T939" s="82"/>
      <c r="U939" s="32"/>
      <c r="V939" s="32"/>
      <c r="W939" s="32"/>
      <c r="X939" s="32"/>
    </row>
    <row r="940">
      <c r="A940" s="89"/>
      <c r="B940" s="89"/>
      <c r="C940" s="89"/>
      <c r="D940" s="91"/>
      <c r="E940" s="83"/>
      <c r="F940" s="83"/>
      <c r="G940" s="83"/>
      <c r="H940" s="83"/>
      <c r="I940" s="83"/>
      <c r="J940" s="83"/>
      <c r="K940" s="83"/>
      <c r="L940" s="83"/>
      <c r="M940" s="82"/>
      <c r="N940" s="82"/>
      <c r="O940" s="82"/>
      <c r="P940" s="82"/>
      <c r="Q940" s="82"/>
      <c r="R940" s="82"/>
      <c r="S940" s="82"/>
      <c r="T940" s="82"/>
      <c r="U940" s="32"/>
      <c r="V940" s="32"/>
      <c r="W940" s="32"/>
      <c r="X940" s="32"/>
    </row>
    <row r="941">
      <c r="A941" s="89"/>
      <c r="B941" s="89"/>
      <c r="C941" s="89"/>
      <c r="D941" s="91"/>
      <c r="E941" s="83"/>
      <c r="F941" s="83"/>
      <c r="G941" s="83"/>
      <c r="H941" s="83"/>
      <c r="I941" s="83"/>
      <c r="J941" s="83"/>
      <c r="K941" s="83"/>
      <c r="L941" s="83"/>
      <c r="M941" s="82"/>
      <c r="N941" s="82"/>
      <c r="O941" s="82"/>
      <c r="P941" s="82"/>
      <c r="Q941" s="82"/>
      <c r="R941" s="82"/>
      <c r="S941" s="82"/>
      <c r="T941" s="82"/>
      <c r="U941" s="32"/>
      <c r="V941" s="32"/>
      <c r="W941" s="32"/>
      <c r="X941" s="32"/>
    </row>
    <row r="942">
      <c r="A942" s="89"/>
      <c r="B942" s="89"/>
      <c r="C942" s="89"/>
      <c r="D942" s="91"/>
      <c r="E942" s="83"/>
      <c r="F942" s="83"/>
      <c r="G942" s="83"/>
      <c r="H942" s="83"/>
      <c r="I942" s="83"/>
      <c r="J942" s="83"/>
      <c r="K942" s="83"/>
      <c r="L942" s="83"/>
      <c r="M942" s="82"/>
      <c r="N942" s="82"/>
      <c r="O942" s="82"/>
      <c r="P942" s="82"/>
      <c r="Q942" s="82"/>
      <c r="R942" s="82"/>
      <c r="S942" s="82"/>
      <c r="T942" s="82"/>
      <c r="U942" s="32"/>
      <c r="V942" s="32"/>
      <c r="W942" s="32"/>
      <c r="X942" s="32"/>
    </row>
    <row r="943">
      <c r="A943" s="89"/>
      <c r="B943" s="89"/>
      <c r="C943" s="89"/>
      <c r="D943" s="91"/>
      <c r="E943" s="83"/>
      <c r="F943" s="83"/>
      <c r="G943" s="83"/>
      <c r="H943" s="83"/>
      <c r="I943" s="83"/>
      <c r="J943" s="83"/>
      <c r="K943" s="83"/>
      <c r="L943" s="83"/>
      <c r="M943" s="82"/>
      <c r="N943" s="82"/>
      <c r="O943" s="82"/>
      <c r="P943" s="82"/>
      <c r="Q943" s="82"/>
      <c r="R943" s="82"/>
      <c r="S943" s="82"/>
      <c r="T943" s="82"/>
      <c r="U943" s="32"/>
      <c r="V943" s="32"/>
      <c r="W943" s="32"/>
      <c r="X943" s="32"/>
    </row>
    <row r="944">
      <c r="A944" s="89"/>
      <c r="B944" s="89"/>
      <c r="C944" s="89"/>
      <c r="D944" s="91"/>
      <c r="E944" s="83"/>
      <c r="F944" s="83"/>
      <c r="G944" s="83"/>
      <c r="H944" s="83"/>
      <c r="I944" s="83"/>
      <c r="J944" s="83"/>
      <c r="K944" s="83"/>
      <c r="L944" s="83"/>
      <c r="M944" s="82"/>
      <c r="N944" s="82"/>
      <c r="O944" s="82"/>
      <c r="P944" s="82"/>
      <c r="Q944" s="82"/>
      <c r="R944" s="82"/>
      <c r="S944" s="82"/>
      <c r="T944" s="82"/>
      <c r="U944" s="32"/>
      <c r="V944" s="32"/>
      <c r="W944" s="32"/>
      <c r="X944" s="32"/>
    </row>
    <row r="945">
      <c r="A945" s="89"/>
      <c r="B945" s="89"/>
      <c r="C945" s="89"/>
      <c r="D945" s="91"/>
      <c r="E945" s="83"/>
      <c r="F945" s="83"/>
      <c r="G945" s="83"/>
      <c r="H945" s="83"/>
      <c r="I945" s="83"/>
      <c r="J945" s="83"/>
      <c r="K945" s="83"/>
      <c r="L945" s="83"/>
      <c r="M945" s="82"/>
      <c r="N945" s="82"/>
      <c r="O945" s="82"/>
      <c r="P945" s="82"/>
      <c r="Q945" s="82"/>
      <c r="R945" s="82"/>
      <c r="S945" s="82"/>
      <c r="T945" s="82"/>
      <c r="U945" s="32"/>
      <c r="V945" s="32"/>
      <c r="W945" s="32"/>
      <c r="X945" s="32"/>
    </row>
    <row r="946">
      <c r="A946" s="89"/>
      <c r="B946" s="89"/>
      <c r="C946" s="89"/>
      <c r="D946" s="91"/>
      <c r="E946" s="83"/>
      <c r="F946" s="83"/>
      <c r="G946" s="83"/>
      <c r="H946" s="83"/>
      <c r="I946" s="83"/>
      <c r="J946" s="83"/>
      <c r="K946" s="83"/>
      <c r="L946" s="83"/>
      <c r="M946" s="82"/>
      <c r="N946" s="82"/>
      <c r="O946" s="82"/>
      <c r="P946" s="82"/>
      <c r="Q946" s="82"/>
      <c r="R946" s="82"/>
      <c r="S946" s="82"/>
      <c r="T946" s="82"/>
      <c r="U946" s="32"/>
      <c r="V946" s="32"/>
      <c r="W946" s="32"/>
      <c r="X946" s="32"/>
    </row>
    <row r="947">
      <c r="A947" s="89"/>
      <c r="B947" s="89"/>
      <c r="C947" s="89"/>
      <c r="D947" s="91"/>
      <c r="E947" s="83"/>
      <c r="F947" s="83"/>
      <c r="G947" s="83"/>
      <c r="H947" s="83"/>
      <c r="I947" s="83"/>
      <c r="J947" s="83"/>
      <c r="K947" s="83"/>
      <c r="L947" s="83"/>
      <c r="M947" s="82"/>
      <c r="N947" s="82"/>
      <c r="O947" s="82"/>
      <c r="P947" s="82"/>
      <c r="Q947" s="82"/>
      <c r="R947" s="82"/>
      <c r="S947" s="82"/>
      <c r="T947" s="82"/>
      <c r="U947" s="32"/>
      <c r="V947" s="32"/>
      <c r="W947" s="32"/>
      <c r="X947" s="32"/>
    </row>
    <row r="948">
      <c r="A948" s="89"/>
      <c r="B948" s="89"/>
      <c r="C948" s="89"/>
      <c r="D948" s="91"/>
      <c r="E948" s="83"/>
      <c r="F948" s="83"/>
      <c r="G948" s="83"/>
      <c r="H948" s="83"/>
      <c r="I948" s="83"/>
      <c r="J948" s="83"/>
      <c r="K948" s="83"/>
      <c r="L948" s="83"/>
      <c r="M948" s="82"/>
      <c r="N948" s="82"/>
      <c r="O948" s="82"/>
      <c r="P948" s="82"/>
      <c r="Q948" s="82"/>
      <c r="R948" s="82"/>
      <c r="S948" s="82"/>
      <c r="T948" s="82"/>
      <c r="U948" s="32"/>
      <c r="V948" s="32"/>
      <c r="W948" s="32"/>
      <c r="X948" s="32"/>
    </row>
    <row r="949">
      <c r="A949" s="89"/>
      <c r="B949" s="89"/>
      <c r="C949" s="89"/>
      <c r="D949" s="91"/>
      <c r="E949" s="83"/>
      <c r="F949" s="83"/>
      <c r="G949" s="83"/>
      <c r="H949" s="83"/>
      <c r="I949" s="83"/>
      <c r="J949" s="83"/>
      <c r="K949" s="83"/>
      <c r="L949" s="83"/>
      <c r="M949" s="82"/>
      <c r="N949" s="82"/>
      <c r="O949" s="82"/>
      <c r="P949" s="82"/>
      <c r="Q949" s="82"/>
      <c r="R949" s="82"/>
      <c r="S949" s="82"/>
      <c r="T949" s="82"/>
      <c r="U949" s="32"/>
      <c r="V949" s="32"/>
      <c r="W949" s="32"/>
      <c r="X949" s="32"/>
    </row>
    <row r="950">
      <c r="A950" s="89"/>
      <c r="B950" s="89"/>
      <c r="C950" s="89"/>
      <c r="D950" s="91"/>
      <c r="E950" s="83"/>
      <c r="F950" s="83"/>
      <c r="G950" s="83"/>
      <c r="H950" s="83"/>
      <c r="I950" s="83"/>
      <c r="J950" s="83"/>
      <c r="K950" s="83"/>
      <c r="L950" s="83"/>
      <c r="M950" s="82"/>
      <c r="N950" s="82"/>
      <c r="O950" s="82"/>
      <c r="P950" s="82"/>
      <c r="Q950" s="82"/>
      <c r="R950" s="82"/>
      <c r="S950" s="82"/>
      <c r="T950" s="82"/>
      <c r="U950" s="32"/>
      <c r="V950" s="32"/>
      <c r="W950" s="32"/>
      <c r="X950" s="32"/>
    </row>
    <row r="951">
      <c r="A951" s="89"/>
      <c r="B951" s="89"/>
      <c r="C951" s="89"/>
      <c r="D951" s="91"/>
      <c r="E951" s="83"/>
      <c r="F951" s="83"/>
      <c r="G951" s="83"/>
      <c r="H951" s="83"/>
      <c r="I951" s="83"/>
      <c r="J951" s="83"/>
      <c r="K951" s="83"/>
      <c r="L951" s="83"/>
      <c r="M951" s="82"/>
      <c r="N951" s="82"/>
      <c r="O951" s="82"/>
      <c r="P951" s="82"/>
      <c r="Q951" s="82"/>
      <c r="R951" s="82"/>
      <c r="S951" s="82"/>
      <c r="T951" s="82"/>
      <c r="U951" s="32"/>
      <c r="V951" s="32"/>
      <c r="W951" s="32"/>
      <c r="X951" s="32"/>
    </row>
    <row r="952">
      <c r="A952" s="89"/>
      <c r="B952" s="89"/>
      <c r="C952" s="89"/>
      <c r="D952" s="91"/>
      <c r="E952" s="83"/>
      <c r="F952" s="83"/>
      <c r="G952" s="83"/>
      <c r="H952" s="83"/>
      <c r="I952" s="83"/>
      <c r="J952" s="83"/>
      <c r="K952" s="83"/>
      <c r="L952" s="83"/>
      <c r="M952" s="82"/>
      <c r="N952" s="82"/>
      <c r="O952" s="82"/>
      <c r="P952" s="82"/>
      <c r="Q952" s="82"/>
      <c r="R952" s="82"/>
      <c r="S952" s="82"/>
      <c r="T952" s="82"/>
      <c r="U952" s="32"/>
      <c r="V952" s="32"/>
      <c r="W952" s="32"/>
      <c r="X952" s="32"/>
    </row>
    <row r="953">
      <c r="A953" s="89"/>
      <c r="B953" s="89"/>
      <c r="C953" s="89"/>
      <c r="D953" s="91"/>
      <c r="E953" s="83"/>
      <c r="F953" s="83"/>
      <c r="G953" s="83"/>
      <c r="H953" s="83"/>
      <c r="I953" s="83"/>
      <c r="J953" s="83"/>
      <c r="K953" s="83"/>
      <c r="L953" s="83"/>
      <c r="M953" s="82"/>
      <c r="N953" s="82"/>
      <c r="O953" s="82"/>
      <c r="P953" s="82"/>
      <c r="Q953" s="82"/>
      <c r="R953" s="82"/>
      <c r="S953" s="82"/>
      <c r="T953" s="82"/>
      <c r="U953" s="32"/>
      <c r="V953" s="32"/>
      <c r="W953" s="32"/>
      <c r="X953" s="32"/>
    </row>
    <row r="954">
      <c r="A954" s="89"/>
      <c r="B954" s="89"/>
      <c r="C954" s="89"/>
      <c r="D954" s="91"/>
      <c r="E954" s="83"/>
      <c r="F954" s="83"/>
      <c r="G954" s="83"/>
      <c r="H954" s="83"/>
      <c r="I954" s="83"/>
      <c r="J954" s="83"/>
      <c r="K954" s="83"/>
      <c r="L954" s="83"/>
      <c r="M954" s="82"/>
      <c r="N954" s="82"/>
      <c r="O954" s="82"/>
      <c r="P954" s="82"/>
      <c r="Q954" s="82"/>
      <c r="R954" s="82"/>
      <c r="S954" s="82"/>
      <c r="T954" s="82"/>
      <c r="U954" s="32"/>
      <c r="V954" s="32"/>
      <c r="W954" s="32"/>
      <c r="X954" s="32"/>
    </row>
    <row r="955">
      <c r="A955" s="89"/>
      <c r="B955" s="89"/>
      <c r="C955" s="89"/>
      <c r="D955" s="91"/>
      <c r="E955" s="83"/>
      <c r="F955" s="83"/>
      <c r="G955" s="83"/>
      <c r="H955" s="83"/>
      <c r="I955" s="83"/>
      <c r="J955" s="83"/>
      <c r="K955" s="83"/>
      <c r="L955" s="83"/>
      <c r="M955" s="82"/>
      <c r="N955" s="82"/>
      <c r="O955" s="82"/>
      <c r="P955" s="82"/>
      <c r="Q955" s="82"/>
      <c r="R955" s="82"/>
      <c r="S955" s="82"/>
      <c r="T955" s="82"/>
      <c r="U955" s="32"/>
      <c r="V955" s="32"/>
      <c r="W955" s="32"/>
      <c r="X955" s="32"/>
    </row>
    <row r="956">
      <c r="A956" s="89"/>
      <c r="B956" s="89"/>
      <c r="C956" s="89"/>
      <c r="D956" s="91"/>
      <c r="E956" s="83"/>
      <c r="F956" s="83"/>
      <c r="G956" s="83"/>
      <c r="H956" s="83"/>
      <c r="I956" s="83"/>
      <c r="J956" s="83"/>
      <c r="K956" s="83"/>
      <c r="L956" s="83"/>
      <c r="M956" s="82"/>
      <c r="N956" s="82"/>
      <c r="O956" s="82"/>
      <c r="P956" s="82"/>
      <c r="Q956" s="82"/>
      <c r="R956" s="82"/>
      <c r="S956" s="82"/>
      <c r="T956" s="82"/>
      <c r="U956" s="32"/>
      <c r="V956" s="32"/>
      <c r="W956" s="32"/>
      <c r="X956" s="32"/>
    </row>
    <row r="957">
      <c r="A957" s="89"/>
      <c r="B957" s="89"/>
      <c r="C957" s="89"/>
      <c r="D957" s="91"/>
      <c r="E957" s="83"/>
      <c r="F957" s="83"/>
      <c r="G957" s="83"/>
      <c r="H957" s="83"/>
      <c r="I957" s="83"/>
      <c r="J957" s="83"/>
      <c r="K957" s="83"/>
      <c r="L957" s="83"/>
      <c r="M957" s="82"/>
      <c r="N957" s="82"/>
      <c r="O957" s="82"/>
      <c r="P957" s="82"/>
      <c r="Q957" s="82"/>
      <c r="R957" s="82"/>
      <c r="S957" s="82"/>
      <c r="T957" s="82"/>
      <c r="U957" s="32"/>
      <c r="V957" s="32"/>
      <c r="W957" s="32"/>
      <c r="X957" s="32"/>
    </row>
    <row r="958">
      <c r="A958" s="89"/>
      <c r="B958" s="89"/>
      <c r="C958" s="89"/>
      <c r="D958" s="91"/>
      <c r="E958" s="83"/>
      <c r="F958" s="83"/>
      <c r="G958" s="83"/>
      <c r="H958" s="83"/>
      <c r="I958" s="83"/>
      <c r="J958" s="83"/>
      <c r="K958" s="83"/>
      <c r="L958" s="83"/>
      <c r="M958" s="82"/>
      <c r="N958" s="82"/>
      <c r="O958" s="82"/>
      <c r="P958" s="82"/>
      <c r="Q958" s="82"/>
      <c r="R958" s="82"/>
      <c r="S958" s="82"/>
      <c r="T958" s="82"/>
      <c r="U958" s="32"/>
      <c r="V958" s="32"/>
      <c r="W958" s="32"/>
      <c r="X958" s="32"/>
    </row>
    <row r="959">
      <c r="A959" s="89"/>
      <c r="B959" s="89"/>
      <c r="C959" s="89"/>
      <c r="D959" s="91"/>
      <c r="E959" s="83"/>
      <c r="F959" s="83"/>
      <c r="G959" s="83"/>
      <c r="H959" s="83"/>
      <c r="I959" s="83"/>
      <c r="J959" s="83"/>
      <c r="K959" s="83"/>
      <c r="L959" s="83"/>
      <c r="M959" s="82"/>
      <c r="N959" s="82"/>
      <c r="O959" s="82"/>
      <c r="P959" s="82"/>
      <c r="Q959" s="82"/>
      <c r="R959" s="82"/>
      <c r="S959" s="82"/>
      <c r="T959" s="82"/>
      <c r="U959" s="32"/>
      <c r="V959" s="32"/>
      <c r="W959" s="32"/>
      <c r="X959" s="32"/>
    </row>
    <row r="960">
      <c r="A960" s="89"/>
      <c r="B960" s="89"/>
      <c r="C960" s="89"/>
      <c r="D960" s="91"/>
      <c r="E960" s="83"/>
      <c r="F960" s="83"/>
      <c r="G960" s="83"/>
      <c r="H960" s="83"/>
      <c r="I960" s="83"/>
      <c r="J960" s="83"/>
      <c r="K960" s="83"/>
      <c r="L960" s="83"/>
      <c r="M960" s="82"/>
      <c r="N960" s="82"/>
      <c r="O960" s="82"/>
      <c r="P960" s="82"/>
      <c r="Q960" s="82"/>
      <c r="R960" s="82"/>
      <c r="S960" s="82"/>
      <c r="T960" s="82"/>
      <c r="U960" s="32"/>
      <c r="V960" s="32"/>
      <c r="W960" s="32"/>
      <c r="X960" s="32"/>
    </row>
    <row r="961">
      <c r="A961" s="89"/>
      <c r="B961" s="89"/>
      <c r="C961" s="89"/>
      <c r="D961" s="91"/>
      <c r="E961" s="83"/>
      <c r="F961" s="83"/>
      <c r="G961" s="83"/>
      <c r="H961" s="83"/>
      <c r="I961" s="83"/>
      <c r="J961" s="83"/>
      <c r="K961" s="83"/>
      <c r="L961" s="83"/>
      <c r="M961" s="82"/>
      <c r="N961" s="82"/>
      <c r="O961" s="82"/>
      <c r="P961" s="82"/>
      <c r="Q961" s="82"/>
      <c r="R961" s="82"/>
      <c r="S961" s="82"/>
      <c r="T961" s="82"/>
      <c r="U961" s="32"/>
      <c r="V961" s="32"/>
      <c r="W961" s="32"/>
      <c r="X961" s="32"/>
    </row>
    <row r="962">
      <c r="A962" s="89"/>
      <c r="B962" s="89"/>
      <c r="C962" s="89"/>
      <c r="D962" s="91"/>
      <c r="E962" s="83"/>
      <c r="F962" s="83"/>
      <c r="G962" s="83"/>
      <c r="H962" s="83"/>
      <c r="I962" s="83"/>
      <c r="J962" s="83"/>
      <c r="K962" s="83"/>
      <c r="L962" s="83"/>
      <c r="M962" s="82"/>
      <c r="N962" s="82"/>
      <c r="O962" s="82"/>
      <c r="P962" s="82"/>
      <c r="Q962" s="82"/>
      <c r="R962" s="82"/>
      <c r="S962" s="82"/>
      <c r="T962" s="82"/>
      <c r="U962" s="32"/>
      <c r="V962" s="32"/>
      <c r="W962" s="32"/>
      <c r="X962" s="32"/>
    </row>
    <row r="963">
      <c r="A963" s="89"/>
      <c r="B963" s="89"/>
      <c r="C963" s="89"/>
      <c r="D963" s="91"/>
      <c r="E963" s="83"/>
      <c r="F963" s="83"/>
      <c r="G963" s="83"/>
      <c r="H963" s="83"/>
      <c r="I963" s="83"/>
      <c r="J963" s="83"/>
      <c r="K963" s="83"/>
      <c r="L963" s="83"/>
      <c r="M963" s="82"/>
      <c r="N963" s="82"/>
      <c r="O963" s="82"/>
      <c r="P963" s="82"/>
      <c r="Q963" s="82"/>
      <c r="R963" s="82"/>
      <c r="S963" s="82"/>
      <c r="T963" s="82"/>
      <c r="U963" s="32"/>
      <c r="V963" s="32"/>
      <c r="W963" s="32"/>
      <c r="X963" s="32"/>
    </row>
    <row r="964">
      <c r="A964" s="89"/>
      <c r="B964" s="89"/>
      <c r="C964" s="89"/>
      <c r="D964" s="91"/>
      <c r="E964" s="83"/>
      <c r="F964" s="83"/>
      <c r="G964" s="83"/>
      <c r="H964" s="83"/>
      <c r="I964" s="83"/>
      <c r="J964" s="83"/>
      <c r="K964" s="83"/>
      <c r="L964" s="83"/>
      <c r="M964" s="82"/>
      <c r="N964" s="82"/>
      <c r="O964" s="82"/>
      <c r="P964" s="82"/>
      <c r="Q964" s="82"/>
      <c r="R964" s="82"/>
      <c r="S964" s="82"/>
      <c r="T964" s="82"/>
      <c r="U964" s="32"/>
      <c r="V964" s="32"/>
      <c r="W964" s="32"/>
      <c r="X964" s="32"/>
    </row>
    <row r="965">
      <c r="A965" s="89"/>
      <c r="B965" s="89"/>
      <c r="C965" s="89"/>
      <c r="D965" s="91"/>
      <c r="E965" s="83"/>
      <c r="F965" s="83"/>
      <c r="G965" s="83"/>
      <c r="H965" s="83"/>
      <c r="I965" s="83"/>
      <c r="J965" s="83"/>
      <c r="K965" s="83"/>
      <c r="L965" s="83"/>
      <c r="M965" s="82"/>
      <c r="N965" s="82"/>
      <c r="O965" s="82"/>
      <c r="P965" s="82"/>
      <c r="Q965" s="82"/>
      <c r="R965" s="82"/>
      <c r="S965" s="82"/>
      <c r="T965" s="82"/>
      <c r="U965" s="32"/>
      <c r="V965" s="32"/>
      <c r="W965" s="32"/>
      <c r="X965" s="32"/>
    </row>
    <row r="966">
      <c r="A966" s="89"/>
      <c r="B966" s="89"/>
      <c r="C966" s="89"/>
      <c r="D966" s="91"/>
      <c r="E966" s="83"/>
      <c r="F966" s="83"/>
      <c r="G966" s="83"/>
      <c r="H966" s="83"/>
      <c r="I966" s="83"/>
      <c r="J966" s="83"/>
      <c r="K966" s="83"/>
      <c r="L966" s="83"/>
      <c r="M966" s="82"/>
      <c r="N966" s="82"/>
      <c r="O966" s="82"/>
      <c r="P966" s="82"/>
      <c r="Q966" s="82"/>
      <c r="R966" s="82"/>
      <c r="S966" s="82"/>
      <c r="T966" s="82"/>
      <c r="U966" s="32"/>
      <c r="V966" s="32"/>
      <c r="W966" s="32"/>
      <c r="X966" s="32"/>
    </row>
    <row r="967">
      <c r="A967" s="89"/>
      <c r="B967" s="89"/>
      <c r="C967" s="89"/>
      <c r="D967" s="91"/>
      <c r="E967" s="83"/>
      <c r="F967" s="83"/>
      <c r="G967" s="83"/>
      <c r="H967" s="83"/>
      <c r="I967" s="83"/>
      <c r="J967" s="83"/>
      <c r="K967" s="83"/>
      <c r="L967" s="83"/>
      <c r="M967" s="82"/>
      <c r="N967" s="82"/>
      <c r="O967" s="82"/>
      <c r="P967" s="82"/>
      <c r="Q967" s="82"/>
      <c r="R967" s="82"/>
      <c r="S967" s="82"/>
      <c r="T967" s="82"/>
      <c r="U967" s="32"/>
      <c r="V967" s="32"/>
      <c r="W967" s="32"/>
      <c r="X967" s="32"/>
    </row>
    <row r="968">
      <c r="A968" s="89"/>
      <c r="B968" s="89"/>
      <c r="C968" s="89"/>
      <c r="D968" s="91"/>
      <c r="E968" s="83"/>
      <c r="F968" s="83"/>
      <c r="G968" s="83"/>
      <c r="H968" s="83"/>
      <c r="I968" s="83"/>
      <c r="J968" s="83"/>
      <c r="K968" s="83"/>
      <c r="L968" s="83"/>
      <c r="M968" s="82"/>
      <c r="N968" s="82"/>
      <c r="O968" s="82"/>
      <c r="P968" s="82"/>
      <c r="Q968" s="82"/>
      <c r="R968" s="82"/>
      <c r="S968" s="82"/>
      <c r="T968" s="82"/>
      <c r="U968" s="32"/>
      <c r="V968" s="32"/>
      <c r="W968" s="32"/>
      <c r="X968" s="32"/>
    </row>
    <row r="969">
      <c r="A969" s="89"/>
      <c r="B969" s="89"/>
      <c r="C969" s="89"/>
      <c r="D969" s="91"/>
      <c r="E969" s="83"/>
      <c r="F969" s="83"/>
      <c r="G969" s="83"/>
      <c r="H969" s="83"/>
      <c r="I969" s="83"/>
      <c r="J969" s="83"/>
      <c r="K969" s="83"/>
      <c r="L969" s="83"/>
      <c r="M969" s="82"/>
      <c r="N969" s="82"/>
      <c r="O969" s="82"/>
      <c r="P969" s="82"/>
      <c r="Q969" s="82"/>
      <c r="R969" s="82"/>
      <c r="S969" s="82"/>
      <c r="T969" s="82"/>
      <c r="U969" s="32"/>
      <c r="V969" s="32"/>
      <c r="W969" s="32"/>
      <c r="X969" s="32"/>
    </row>
    <row r="970">
      <c r="A970" s="89"/>
      <c r="B970" s="89"/>
      <c r="C970" s="89"/>
      <c r="D970" s="91"/>
      <c r="E970" s="83"/>
      <c r="F970" s="83"/>
      <c r="G970" s="83"/>
      <c r="H970" s="83"/>
      <c r="I970" s="83"/>
      <c r="J970" s="83"/>
      <c r="K970" s="83"/>
      <c r="L970" s="83"/>
      <c r="M970" s="82"/>
      <c r="N970" s="82"/>
      <c r="O970" s="82"/>
      <c r="P970" s="82"/>
      <c r="Q970" s="82"/>
      <c r="R970" s="82"/>
      <c r="S970" s="82"/>
      <c r="T970" s="82"/>
      <c r="U970" s="32"/>
      <c r="V970" s="32"/>
      <c r="W970" s="32"/>
      <c r="X970" s="32"/>
    </row>
    <row r="971">
      <c r="A971" s="89"/>
      <c r="B971" s="89"/>
      <c r="C971" s="89"/>
      <c r="D971" s="91"/>
      <c r="E971" s="83"/>
      <c r="F971" s="83"/>
      <c r="G971" s="83"/>
      <c r="H971" s="83"/>
      <c r="I971" s="83"/>
      <c r="J971" s="83"/>
      <c r="K971" s="83"/>
      <c r="L971" s="83"/>
      <c r="M971" s="82"/>
      <c r="N971" s="82"/>
      <c r="O971" s="82"/>
      <c r="P971" s="82"/>
      <c r="Q971" s="82"/>
      <c r="R971" s="82"/>
      <c r="S971" s="82"/>
      <c r="T971" s="82"/>
      <c r="U971" s="32"/>
      <c r="V971" s="32"/>
      <c r="W971" s="32"/>
      <c r="X971" s="32"/>
    </row>
    <row r="972">
      <c r="A972" s="89"/>
      <c r="B972" s="89"/>
      <c r="C972" s="89"/>
      <c r="D972" s="91"/>
      <c r="E972" s="83"/>
      <c r="F972" s="83"/>
      <c r="G972" s="83"/>
      <c r="H972" s="83"/>
      <c r="I972" s="83"/>
      <c r="J972" s="83"/>
      <c r="K972" s="83"/>
      <c r="L972" s="83"/>
      <c r="M972" s="82"/>
      <c r="N972" s="82"/>
      <c r="O972" s="82"/>
      <c r="P972" s="82"/>
      <c r="Q972" s="82"/>
      <c r="R972" s="82"/>
      <c r="S972" s="82"/>
      <c r="T972" s="82"/>
      <c r="U972" s="32"/>
      <c r="V972" s="32"/>
      <c r="W972" s="32"/>
      <c r="X972" s="32"/>
    </row>
    <row r="973">
      <c r="A973" s="89"/>
      <c r="B973" s="89"/>
      <c r="C973" s="89"/>
      <c r="D973" s="91"/>
      <c r="E973" s="83"/>
      <c r="F973" s="83"/>
      <c r="G973" s="83"/>
      <c r="H973" s="83"/>
      <c r="I973" s="83"/>
      <c r="J973" s="83"/>
      <c r="K973" s="83"/>
      <c r="L973" s="83"/>
      <c r="M973" s="82"/>
      <c r="N973" s="82"/>
      <c r="O973" s="82"/>
      <c r="P973" s="82"/>
      <c r="Q973" s="82"/>
      <c r="R973" s="82"/>
      <c r="S973" s="82"/>
      <c r="T973" s="82"/>
      <c r="U973" s="32"/>
      <c r="V973" s="32"/>
      <c r="W973" s="32"/>
      <c r="X973" s="32"/>
    </row>
    <row r="974">
      <c r="A974" s="89"/>
      <c r="B974" s="89"/>
      <c r="C974" s="89"/>
      <c r="D974" s="91"/>
      <c r="E974" s="83"/>
      <c r="F974" s="83"/>
      <c r="G974" s="83"/>
      <c r="H974" s="83"/>
      <c r="I974" s="83"/>
      <c r="J974" s="83"/>
      <c r="K974" s="83"/>
      <c r="L974" s="83"/>
      <c r="M974" s="82"/>
      <c r="N974" s="82"/>
      <c r="O974" s="82"/>
      <c r="P974" s="82"/>
      <c r="Q974" s="82"/>
      <c r="R974" s="82"/>
      <c r="S974" s="82"/>
      <c r="T974" s="82"/>
      <c r="U974" s="32"/>
      <c r="V974" s="32"/>
      <c r="W974" s="32"/>
      <c r="X974" s="32"/>
    </row>
    <row r="975">
      <c r="A975" s="89"/>
      <c r="B975" s="89"/>
      <c r="C975" s="89"/>
      <c r="D975" s="91"/>
      <c r="E975" s="83"/>
      <c r="F975" s="83"/>
      <c r="G975" s="83"/>
      <c r="H975" s="83"/>
      <c r="I975" s="83"/>
      <c r="J975" s="83"/>
      <c r="K975" s="83"/>
      <c r="L975" s="83"/>
      <c r="M975" s="82"/>
      <c r="N975" s="82"/>
      <c r="O975" s="82"/>
      <c r="P975" s="82"/>
      <c r="Q975" s="82"/>
      <c r="R975" s="82"/>
      <c r="S975" s="82"/>
      <c r="T975" s="82"/>
      <c r="U975" s="32"/>
      <c r="V975" s="32"/>
      <c r="W975" s="32"/>
      <c r="X975" s="32"/>
    </row>
    <row r="976">
      <c r="A976" s="89"/>
      <c r="B976" s="89"/>
      <c r="C976" s="89"/>
      <c r="D976" s="91"/>
      <c r="E976" s="83"/>
      <c r="F976" s="83"/>
      <c r="G976" s="83"/>
      <c r="H976" s="83"/>
      <c r="I976" s="83"/>
      <c r="J976" s="83"/>
      <c r="K976" s="83"/>
      <c r="L976" s="83"/>
      <c r="M976" s="82"/>
      <c r="N976" s="82"/>
      <c r="O976" s="82"/>
      <c r="P976" s="82"/>
      <c r="Q976" s="82"/>
      <c r="R976" s="82"/>
      <c r="S976" s="82"/>
      <c r="T976" s="82"/>
      <c r="U976" s="32"/>
      <c r="V976" s="32"/>
      <c r="W976" s="32"/>
      <c r="X976" s="32"/>
    </row>
    <row r="977">
      <c r="A977" s="89"/>
      <c r="B977" s="89"/>
      <c r="C977" s="89"/>
      <c r="D977" s="91"/>
      <c r="E977" s="83"/>
      <c r="F977" s="83"/>
      <c r="G977" s="83"/>
      <c r="H977" s="83"/>
      <c r="I977" s="83"/>
      <c r="J977" s="83"/>
      <c r="K977" s="83"/>
      <c r="L977" s="83"/>
      <c r="M977" s="82"/>
      <c r="N977" s="82"/>
      <c r="O977" s="82"/>
      <c r="P977" s="82"/>
      <c r="Q977" s="82"/>
      <c r="R977" s="82"/>
      <c r="S977" s="82"/>
      <c r="T977" s="82"/>
      <c r="U977" s="32"/>
      <c r="V977" s="32"/>
      <c r="W977" s="32"/>
      <c r="X977" s="32"/>
    </row>
    <row r="978">
      <c r="A978" s="89"/>
      <c r="B978" s="89"/>
      <c r="C978" s="89"/>
      <c r="D978" s="91"/>
      <c r="E978" s="83"/>
      <c r="F978" s="83"/>
      <c r="G978" s="83"/>
      <c r="H978" s="83"/>
      <c r="I978" s="83"/>
      <c r="J978" s="83"/>
      <c r="K978" s="83"/>
      <c r="L978" s="83"/>
      <c r="M978" s="82"/>
      <c r="N978" s="82"/>
      <c r="O978" s="82"/>
      <c r="P978" s="82"/>
      <c r="Q978" s="82"/>
      <c r="R978" s="82"/>
      <c r="S978" s="82"/>
      <c r="T978" s="82"/>
      <c r="U978" s="32"/>
      <c r="V978" s="32"/>
      <c r="W978" s="32"/>
      <c r="X978" s="32"/>
    </row>
    <row r="979">
      <c r="A979" s="89"/>
      <c r="B979" s="89"/>
      <c r="C979" s="89"/>
      <c r="D979" s="91"/>
      <c r="E979" s="83"/>
      <c r="F979" s="83"/>
      <c r="G979" s="83"/>
      <c r="H979" s="83"/>
      <c r="I979" s="83"/>
      <c r="J979" s="83"/>
      <c r="K979" s="83"/>
      <c r="L979" s="83"/>
      <c r="M979" s="82"/>
      <c r="N979" s="82"/>
      <c r="O979" s="82"/>
      <c r="P979" s="82"/>
      <c r="Q979" s="82"/>
      <c r="R979" s="82"/>
      <c r="S979" s="82"/>
      <c r="T979" s="82"/>
      <c r="U979" s="32"/>
      <c r="V979" s="32"/>
      <c r="W979" s="32"/>
      <c r="X979" s="32"/>
    </row>
    <row r="980">
      <c r="A980" s="89"/>
      <c r="B980" s="89"/>
      <c r="C980" s="89"/>
      <c r="D980" s="91"/>
      <c r="E980" s="83"/>
      <c r="F980" s="83"/>
      <c r="G980" s="83"/>
      <c r="H980" s="83"/>
      <c r="I980" s="83"/>
      <c r="J980" s="83"/>
      <c r="K980" s="83"/>
      <c r="L980" s="83"/>
      <c r="M980" s="82"/>
      <c r="N980" s="82"/>
      <c r="O980" s="82"/>
      <c r="P980" s="82"/>
      <c r="Q980" s="82"/>
      <c r="R980" s="82"/>
      <c r="S980" s="82"/>
      <c r="T980" s="82"/>
      <c r="U980" s="32"/>
      <c r="V980" s="32"/>
      <c r="W980" s="32"/>
      <c r="X980" s="32"/>
    </row>
    <row r="981">
      <c r="A981" s="89"/>
      <c r="B981" s="89"/>
      <c r="C981" s="89"/>
      <c r="D981" s="91"/>
      <c r="E981" s="83"/>
      <c r="F981" s="83"/>
      <c r="G981" s="83"/>
      <c r="H981" s="83"/>
      <c r="I981" s="83"/>
      <c r="J981" s="83"/>
      <c r="K981" s="83"/>
      <c r="L981" s="83"/>
      <c r="M981" s="82"/>
      <c r="N981" s="82"/>
      <c r="O981" s="82"/>
      <c r="P981" s="82"/>
      <c r="Q981" s="82"/>
      <c r="R981" s="82"/>
      <c r="S981" s="82"/>
      <c r="T981" s="82"/>
      <c r="U981" s="32"/>
      <c r="V981" s="32"/>
      <c r="W981" s="32"/>
      <c r="X981" s="32"/>
    </row>
    <row r="982">
      <c r="A982" s="89"/>
      <c r="B982" s="89"/>
      <c r="C982" s="89"/>
      <c r="D982" s="91"/>
      <c r="E982" s="83"/>
      <c r="F982" s="83"/>
      <c r="G982" s="83"/>
      <c r="H982" s="83"/>
      <c r="I982" s="83"/>
      <c r="J982" s="83"/>
      <c r="K982" s="83"/>
      <c r="L982" s="83"/>
      <c r="M982" s="82"/>
      <c r="N982" s="82"/>
      <c r="O982" s="82"/>
      <c r="P982" s="82"/>
      <c r="Q982" s="82"/>
      <c r="R982" s="82"/>
      <c r="S982" s="82"/>
      <c r="T982" s="82"/>
      <c r="U982" s="32"/>
      <c r="V982" s="32"/>
      <c r="W982" s="32"/>
      <c r="X982" s="32"/>
    </row>
    <row r="983">
      <c r="A983" s="89"/>
      <c r="B983" s="89"/>
      <c r="C983" s="89"/>
      <c r="D983" s="91"/>
      <c r="E983" s="83"/>
      <c r="F983" s="83"/>
      <c r="G983" s="83"/>
      <c r="H983" s="83"/>
      <c r="I983" s="83"/>
      <c r="J983" s="83"/>
      <c r="K983" s="83"/>
      <c r="L983" s="83"/>
      <c r="M983" s="82"/>
      <c r="N983" s="82"/>
      <c r="O983" s="82"/>
      <c r="P983" s="82"/>
      <c r="Q983" s="82"/>
      <c r="R983" s="82"/>
      <c r="S983" s="82"/>
      <c r="T983" s="82"/>
      <c r="U983" s="32"/>
      <c r="V983" s="32"/>
      <c r="W983" s="32"/>
      <c r="X983" s="32"/>
    </row>
    <row r="984">
      <c r="A984" s="89"/>
      <c r="B984" s="89"/>
      <c r="C984" s="89"/>
      <c r="D984" s="91"/>
      <c r="E984" s="83"/>
      <c r="F984" s="83"/>
      <c r="G984" s="83"/>
      <c r="H984" s="83"/>
      <c r="I984" s="83"/>
      <c r="J984" s="83"/>
      <c r="K984" s="83"/>
      <c r="L984" s="83"/>
      <c r="M984" s="82"/>
      <c r="N984" s="82"/>
      <c r="O984" s="82"/>
      <c r="P984" s="82"/>
      <c r="Q984" s="82"/>
      <c r="R984" s="82"/>
      <c r="S984" s="82"/>
      <c r="T984" s="82"/>
      <c r="U984" s="32"/>
      <c r="V984" s="32"/>
      <c r="W984" s="32"/>
      <c r="X984" s="32"/>
    </row>
    <row r="985">
      <c r="A985" s="89"/>
      <c r="B985" s="89"/>
      <c r="C985" s="89"/>
      <c r="D985" s="91"/>
      <c r="E985" s="83"/>
      <c r="F985" s="83"/>
      <c r="G985" s="83"/>
      <c r="H985" s="83"/>
      <c r="I985" s="83"/>
      <c r="J985" s="83"/>
      <c r="K985" s="83"/>
      <c r="L985" s="83"/>
      <c r="M985" s="82"/>
      <c r="N985" s="82"/>
      <c r="O985" s="82"/>
      <c r="P985" s="82"/>
      <c r="Q985" s="82"/>
      <c r="R985" s="82"/>
      <c r="S985" s="82"/>
      <c r="T985" s="82"/>
      <c r="U985" s="32"/>
      <c r="V985" s="32"/>
      <c r="W985" s="32"/>
      <c r="X985" s="32"/>
    </row>
    <row r="986">
      <c r="A986" s="89"/>
      <c r="B986" s="89"/>
      <c r="C986" s="89"/>
      <c r="D986" s="91"/>
      <c r="E986" s="83"/>
      <c r="F986" s="83"/>
      <c r="G986" s="83"/>
      <c r="H986" s="83"/>
      <c r="I986" s="83"/>
      <c r="J986" s="83"/>
      <c r="K986" s="83"/>
      <c r="L986" s="83"/>
      <c r="M986" s="82"/>
      <c r="N986" s="82"/>
      <c r="O986" s="82"/>
      <c r="P986" s="82"/>
      <c r="Q986" s="82"/>
      <c r="R986" s="82"/>
      <c r="S986" s="82"/>
      <c r="T986" s="82"/>
      <c r="U986" s="32"/>
      <c r="V986" s="32"/>
      <c r="W986" s="32"/>
      <c r="X986" s="32"/>
    </row>
    <row r="987">
      <c r="A987" s="89"/>
      <c r="B987" s="89"/>
      <c r="C987" s="89"/>
      <c r="D987" s="91"/>
      <c r="E987" s="83"/>
      <c r="F987" s="83"/>
      <c r="G987" s="83"/>
      <c r="H987" s="83"/>
      <c r="I987" s="83"/>
      <c r="J987" s="83"/>
      <c r="K987" s="83"/>
      <c r="L987" s="83"/>
      <c r="M987" s="82"/>
      <c r="N987" s="82"/>
      <c r="O987" s="82"/>
      <c r="P987" s="82"/>
      <c r="Q987" s="82"/>
      <c r="R987" s="82"/>
      <c r="S987" s="82"/>
      <c r="T987" s="82"/>
      <c r="U987" s="32"/>
      <c r="V987" s="32"/>
      <c r="W987" s="32"/>
      <c r="X987" s="32"/>
    </row>
    <row r="988">
      <c r="A988" s="89"/>
      <c r="B988" s="89"/>
      <c r="C988" s="89"/>
      <c r="D988" s="91"/>
      <c r="E988" s="83"/>
      <c r="F988" s="83"/>
      <c r="G988" s="83"/>
      <c r="H988" s="83"/>
      <c r="I988" s="83"/>
      <c r="J988" s="83"/>
      <c r="K988" s="83"/>
      <c r="L988" s="83"/>
      <c r="M988" s="82"/>
      <c r="N988" s="82"/>
      <c r="O988" s="82"/>
      <c r="P988" s="82"/>
      <c r="Q988" s="82"/>
      <c r="R988" s="82"/>
      <c r="S988" s="82"/>
      <c r="T988" s="82"/>
      <c r="U988" s="32"/>
      <c r="V988" s="32"/>
      <c r="W988" s="32"/>
      <c r="X988" s="32"/>
    </row>
    <row r="989">
      <c r="A989" s="89"/>
      <c r="B989" s="89"/>
      <c r="C989" s="89"/>
      <c r="D989" s="91"/>
      <c r="E989" s="83"/>
      <c r="F989" s="83"/>
      <c r="G989" s="83"/>
      <c r="H989" s="83"/>
      <c r="I989" s="83"/>
      <c r="J989" s="83"/>
      <c r="K989" s="83"/>
      <c r="L989" s="83"/>
      <c r="M989" s="82"/>
      <c r="N989" s="82"/>
      <c r="O989" s="82"/>
      <c r="P989" s="82"/>
      <c r="Q989" s="82"/>
      <c r="R989" s="82"/>
      <c r="S989" s="82"/>
      <c r="T989" s="82"/>
      <c r="U989" s="32"/>
      <c r="V989" s="32"/>
      <c r="W989" s="32"/>
      <c r="X989" s="32"/>
    </row>
    <row r="990">
      <c r="A990" s="89"/>
      <c r="B990" s="89"/>
      <c r="C990" s="89"/>
      <c r="D990" s="91"/>
      <c r="E990" s="83"/>
      <c r="F990" s="83"/>
      <c r="G990" s="83"/>
      <c r="H990" s="83"/>
      <c r="I990" s="83"/>
      <c r="J990" s="83"/>
      <c r="K990" s="83"/>
      <c r="L990" s="83"/>
      <c r="M990" s="82"/>
      <c r="N990" s="82"/>
      <c r="O990" s="82"/>
      <c r="P990" s="82"/>
      <c r="Q990" s="82"/>
      <c r="R990" s="82"/>
      <c r="S990" s="82"/>
      <c r="T990" s="82"/>
      <c r="U990" s="32"/>
      <c r="V990" s="32"/>
      <c r="W990" s="32"/>
      <c r="X990" s="32"/>
    </row>
    <row r="991">
      <c r="A991" s="89"/>
      <c r="B991" s="89"/>
      <c r="C991" s="89"/>
      <c r="D991" s="91"/>
      <c r="E991" s="83"/>
      <c r="F991" s="83"/>
      <c r="G991" s="83"/>
      <c r="H991" s="83"/>
      <c r="I991" s="83"/>
      <c r="J991" s="83"/>
      <c r="K991" s="83"/>
      <c r="L991" s="83"/>
      <c r="M991" s="82"/>
      <c r="N991" s="82"/>
      <c r="O991" s="82"/>
      <c r="P991" s="82"/>
      <c r="Q991" s="82"/>
      <c r="R991" s="82"/>
      <c r="S991" s="82"/>
      <c r="T991" s="82"/>
      <c r="U991" s="32"/>
      <c r="V991" s="32"/>
      <c r="W991" s="32"/>
      <c r="X991" s="32"/>
    </row>
    <row r="992">
      <c r="A992" s="89"/>
      <c r="B992" s="89"/>
      <c r="C992" s="89"/>
      <c r="D992" s="91"/>
      <c r="E992" s="83"/>
      <c r="F992" s="83"/>
      <c r="G992" s="83"/>
      <c r="H992" s="83"/>
      <c r="I992" s="83"/>
      <c r="J992" s="83"/>
      <c r="K992" s="83"/>
      <c r="L992" s="83"/>
      <c r="M992" s="82"/>
      <c r="N992" s="82"/>
      <c r="O992" s="82"/>
      <c r="P992" s="82"/>
      <c r="Q992" s="82"/>
      <c r="R992" s="82"/>
      <c r="S992" s="82"/>
      <c r="T992" s="82"/>
      <c r="U992" s="32"/>
      <c r="V992" s="32"/>
      <c r="W992" s="32"/>
      <c r="X992" s="32"/>
    </row>
    <row r="993">
      <c r="A993" s="89"/>
      <c r="B993" s="89"/>
      <c r="C993" s="89"/>
      <c r="D993" s="91"/>
      <c r="E993" s="83"/>
      <c r="F993" s="83"/>
      <c r="G993" s="83"/>
      <c r="H993" s="83"/>
      <c r="I993" s="83"/>
      <c r="J993" s="83"/>
      <c r="K993" s="83"/>
      <c r="L993" s="83"/>
      <c r="M993" s="82"/>
      <c r="N993" s="82"/>
      <c r="O993" s="82"/>
      <c r="P993" s="82"/>
      <c r="Q993" s="82"/>
      <c r="R993" s="82"/>
      <c r="S993" s="82"/>
      <c r="T993" s="82"/>
      <c r="U993" s="32"/>
      <c r="V993" s="32"/>
      <c r="W993" s="32"/>
      <c r="X993" s="32"/>
    </row>
    <row r="994">
      <c r="A994" s="89"/>
      <c r="B994" s="89"/>
      <c r="C994" s="89"/>
      <c r="D994" s="91"/>
      <c r="E994" s="83"/>
      <c r="F994" s="83"/>
      <c r="G994" s="83"/>
      <c r="H994" s="83"/>
      <c r="I994" s="83"/>
      <c r="J994" s="83"/>
      <c r="K994" s="83"/>
      <c r="L994" s="83"/>
      <c r="M994" s="82"/>
      <c r="N994" s="82"/>
      <c r="O994" s="82"/>
      <c r="P994" s="82"/>
      <c r="Q994" s="82"/>
      <c r="R994" s="82"/>
      <c r="S994" s="82"/>
      <c r="T994" s="82"/>
      <c r="U994" s="32"/>
      <c r="V994" s="32"/>
      <c r="W994" s="32"/>
      <c r="X994" s="32"/>
    </row>
    <row r="995">
      <c r="A995" s="89"/>
      <c r="B995" s="89"/>
      <c r="C995" s="89"/>
      <c r="D995" s="91"/>
      <c r="E995" s="83"/>
      <c r="F995" s="83"/>
      <c r="G995" s="83"/>
      <c r="H995" s="83"/>
      <c r="I995" s="83"/>
      <c r="J995" s="83"/>
      <c r="K995" s="83"/>
      <c r="L995" s="83"/>
      <c r="M995" s="82"/>
      <c r="N995" s="82"/>
      <c r="O995" s="82"/>
      <c r="P995" s="82"/>
      <c r="Q995" s="82"/>
      <c r="R995" s="82"/>
      <c r="S995" s="82"/>
      <c r="T995" s="82"/>
      <c r="U995" s="32"/>
      <c r="V995" s="32"/>
      <c r="W995" s="32"/>
      <c r="X995" s="32"/>
    </row>
    <row r="996">
      <c r="A996" s="89"/>
      <c r="B996" s="89"/>
      <c r="C996" s="89"/>
      <c r="D996" s="91"/>
      <c r="E996" s="83"/>
      <c r="F996" s="83"/>
      <c r="G996" s="83"/>
      <c r="H996" s="83"/>
      <c r="I996" s="83"/>
      <c r="J996" s="83"/>
      <c r="K996" s="83"/>
      <c r="L996" s="83"/>
      <c r="M996" s="82"/>
      <c r="N996" s="82"/>
      <c r="O996" s="82"/>
      <c r="P996" s="82"/>
      <c r="Q996" s="82"/>
      <c r="R996" s="82"/>
      <c r="S996" s="82"/>
      <c r="T996" s="82"/>
      <c r="U996" s="32"/>
      <c r="V996" s="32"/>
      <c r="W996" s="32"/>
      <c r="X996" s="32"/>
    </row>
    <row r="997">
      <c r="A997" s="89"/>
      <c r="B997" s="89"/>
      <c r="C997" s="89"/>
      <c r="D997" s="91"/>
      <c r="E997" s="83"/>
      <c r="F997" s="83"/>
      <c r="G997" s="83"/>
      <c r="H997" s="83"/>
      <c r="I997" s="83"/>
      <c r="J997" s="83"/>
      <c r="K997" s="83"/>
      <c r="L997" s="83"/>
      <c r="M997" s="82"/>
      <c r="N997" s="82"/>
      <c r="O997" s="82"/>
      <c r="P997" s="82"/>
      <c r="Q997" s="82"/>
      <c r="R997" s="82"/>
      <c r="S997" s="82"/>
      <c r="T997" s="82"/>
      <c r="U997" s="32"/>
      <c r="V997" s="32"/>
      <c r="W997" s="32"/>
      <c r="X997" s="32"/>
    </row>
    <row r="998">
      <c r="A998" s="89"/>
      <c r="B998" s="89"/>
      <c r="C998" s="89"/>
      <c r="D998" s="91"/>
      <c r="E998" s="83"/>
      <c r="F998" s="83"/>
      <c r="G998" s="83"/>
      <c r="H998" s="83"/>
      <c r="I998" s="83"/>
      <c r="J998" s="83"/>
      <c r="K998" s="83"/>
      <c r="L998" s="83"/>
      <c r="M998" s="82"/>
      <c r="N998" s="82"/>
      <c r="O998" s="82"/>
      <c r="P998" s="82"/>
      <c r="Q998" s="82"/>
      <c r="R998" s="82"/>
      <c r="S998" s="82"/>
      <c r="T998" s="82"/>
      <c r="U998" s="32"/>
      <c r="V998" s="32"/>
      <c r="W998" s="32"/>
      <c r="X998" s="32"/>
    </row>
    <row r="999">
      <c r="A999" s="89"/>
      <c r="B999" s="89"/>
      <c r="C999" s="89"/>
      <c r="D999" s="91"/>
      <c r="E999" s="83"/>
      <c r="F999" s="83"/>
      <c r="G999" s="83"/>
      <c r="H999" s="83"/>
      <c r="I999" s="83"/>
      <c r="J999" s="83"/>
      <c r="K999" s="83"/>
      <c r="L999" s="83"/>
      <c r="M999" s="82"/>
      <c r="N999" s="82"/>
      <c r="O999" s="82"/>
      <c r="P999" s="82"/>
      <c r="Q999" s="82"/>
      <c r="R999" s="82"/>
      <c r="S999" s="82"/>
      <c r="T999" s="82"/>
      <c r="U999" s="32"/>
      <c r="V999" s="32"/>
      <c r="W999" s="32"/>
      <c r="X999" s="32"/>
    </row>
    <row r="1000">
      <c r="A1000" s="89"/>
      <c r="B1000" s="89"/>
      <c r="C1000" s="89"/>
      <c r="D1000" s="91"/>
      <c r="E1000" s="83"/>
      <c r="F1000" s="83"/>
      <c r="G1000" s="83"/>
      <c r="H1000" s="83"/>
      <c r="I1000" s="83"/>
      <c r="J1000" s="83"/>
      <c r="K1000" s="83"/>
      <c r="L1000" s="83"/>
      <c r="M1000" s="82"/>
      <c r="N1000" s="82"/>
      <c r="O1000" s="82"/>
      <c r="P1000" s="82"/>
      <c r="Q1000" s="82"/>
      <c r="R1000" s="82"/>
      <c r="S1000" s="82"/>
      <c r="T1000" s="82"/>
      <c r="U1000" s="32"/>
      <c r="V1000" s="32"/>
      <c r="W1000" s="32"/>
      <c r="X1000" s="32"/>
    </row>
  </sheetData>
  <drawing r:id="rId1"/>
</worksheet>
</file>