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MP.BOGDFPCSRFOD109\Downloads\drive-download-20240619T193255Z-001\"/>
    </mc:Choice>
  </mc:AlternateContent>
  <xr:revisionPtr revIDLastSave="0" documentId="13_ncr:1_{9E0817B0-B498-437C-AAB8-0FED5C1616E3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- AYUDA -" sheetId="5" r:id="rId1"/>
    <sheet name="Equipo del usuario" sheetId="7" r:id="rId2"/>
    <sheet name="Equipo del Recursos humanos" sheetId="15" r:id="rId3"/>
    <sheet name="Equipo del desarrollador (2)" sheetId="14" r:id="rId4"/>
    <sheet name="Soporte" sheetId="8" state="hidden" r:id="rId5"/>
    <sheet name="Equipo del Administrador #1" sheetId="13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5" l="1"/>
  <c r="K13" i="15"/>
  <c r="K17" i="15"/>
  <c r="L18" i="15"/>
  <c r="L19" i="15"/>
  <c r="K20" i="15"/>
  <c r="E9" i="15"/>
  <c r="E25" i="15" s="1"/>
  <c r="L10" i="15"/>
  <c r="J12" i="15"/>
  <c r="J13" i="15"/>
  <c r="L17" i="15"/>
  <c r="K18" i="15"/>
  <c r="L21" i="15"/>
  <c r="L22" i="15"/>
  <c r="L23" i="15"/>
  <c r="J24" i="15"/>
  <c r="D9" i="15"/>
  <c r="B9" i="15"/>
  <c r="F34" i="15"/>
  <c r="E34" i="15"/>
  <c r="D34" i="15"/>
  <c r="F33" i="15"/>
  <c r="E33" i="15"/>
  <c r="D33" i="15"/>
  <c r="F32" i="15"/>
  <c r="E32" i="15"/>
  <c r="D32" i="15"/>
  <c r="I25" i="15"/>
  <c r="H25" i="15"/>
  <c r="G25" i="15"/>
  <c r="L20" i="15"/>
  <c r="L16" i="15"/>
  <c r="K16" i="15"/>
  <c r="J16" i="15"/>
  <c r="L15" i="15"/>
  <c r="K15" i="15"/>
  <c r="J15" i="15"/>
  <c r="L14" i="15"/>
  <c r="K14" i="15"/>
  <c r="J14" i="15"/>
  <c r="L13" i="15"/>
  <c r="L12" i="15"/>
  <c r="K12" i="15"/>
  <c r="L11" i="15"/>
  <c r="K11" i="15"/>
  <c r="J11" i="15"/>
  <c r="B9" i="7"/>
  <c r="D9" i="7"/>
  <c r="E9" i="7"/>
  <c r="F9" i="7"/>
  <c r="K19" i="7"/>
  <c r="L21" i="7"/>
  <c r="L24" i="7"/>
  <c r="L17" i="7"/>
  <c r="F34" i="14"/>
  <c r="E34" i="14"/>
  <c r="D34" i="14"/>
  <c r="F33" i="14"/>
  <c r="E33" i="14"/>
  <c r="D33" i="14"/>
  <c r="F32" i="14"/>
  <c r="E32" i="14"/>
  <c r="D32" i="14"/>
  <c r="I25" i="14"/>
  <c r="H25" i="14"/>
  <c r="G25" i="14"/>
  <c r="L24" i="14"/>
  <c r="K24" i="14"/>
  <c r="J24" i="14"/>
  <c r="L23" i="14"/>
  <c r="K23" i="14"/>
  <c r="J23" i="14"/>
  <c r="L22" i="14"/>
  <c r="K22" i="14"/>
  <c r="J22" i="14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F16" i="14"/>
  <c r="E16" i="14"/>
  <c r="D16" i="14"/>
  <c r="L16" i="14" s="1"/>
  <c r="B16" i="14"/>
  <c r="L15" i="14"/>
  <c r="K15" i="14"/>
  <c r="J15" i="14"/>
  <c r="F15" i="14"/>
  <c r="E15" i="14"/>
  <c r="D15" i="14"/>
  <c r="B15" i="14"/>
  <c r="F14" i="14"/>
  <c r="E14" i="14"/>
  <c r="D14" i="14"/>
  <c r="K14" i="14" s="1"/>
  <c r="B14" i="14"/>
  <c r="F13" i="14"/>
  <c r="E13" i="14"/>
  <c r="J13" i="14" s="1"/>
  <c r="D13" i="14"/>
  <c r="B13" i="14"/>
  <c r="F12" i="14"/>
  <c r="E12" i="14"/>
  <c r="D12" i="14"/>
  <c r="L12" i="14" s="1"/>
  <c r="B12" i="14"/>
  <c r="F11" i="14"/>
  <c r="E11" i="14"/>
  <c r="D11" i="14"/>
  <c r="K11" i="14" s="1"/>
  <c r="B11" i="14"/>
  <c r="F10" i="14"/>
  <c r="E10" i="14"/>
  <c r="D10" i="14"/>
  <c r="L10" i="14" s="1"/>
  <c r="B10" i="14"/>
  <c r="F9" i="14"/>
  <c r="F25" i="14" s="1"/>
  <c r="E9" i="14"/>
  <c r="E25" i="14" s="1"/>
  <c r="D9" i="14"/>
  <c r="L9" i="14" s="1"/>
  <c r="B9" i="14"/>
  <c r="D33" i="13"/>
  <c r="F16" i="13"/>
  <c r="F14" i="13"/>
  <c r="D9" i="13"/>
  <c r="K9" i="13" s="1"/>
  <c r="F11" i="13"/>
  <c r="E11" i="13"/>
  <c r="D11" i="13"/>
  <c r="B11" i="13"/>
  <c r="F12" i="13"/>
  <c r="F34" i="7"/>
  <c r="E34" i="7"/>
  <c r="D34" i="7"/>
  <c r="F33" i="7"/>
  <c r="E33" i="7"/>
  <c r="D33" i="7"/>
  <c r="F32" i="7"/>
  <c r="E32" i="7"/>
  <c r="D32" i="7"/>
  <c r="F34" i="13"/>
  <c r="E34" i="13"/>
  <c r="D34" i="13"/>
  <c r="F33" i="13"/>
  <c r="E33" i="13"/>
  <c r="F32" i="13"/>
  <c r="E32" i="13"/>
  <c r="D32" i="13"/>
  <c r="B16" i="13"/>
  <c r="E16" i="13"/>
  <c r="D16" i="13"/>
  <c r="F15" i="13"/>
  <c r="E15" i="13"/>
  <c r="D15" i="13"/>
  <c r="B15" i="13"/>
  <c r="E14" i="13"/>
  <c r="D14" i="13"/>
  <c r="B14" i="13"/>
  <c r="F13" i="13"/>
  <c r="E13" i="13"/>
  <c r="D13" i="13"/>
  <c r="B13" i="13"/>
  <c r="B12" i="13"/>
  <c r="E12" i="13"/>
  <c r="F10" i="13"/>
  <c r="E10" i="13"/>
  <c r="D10" i="13"/>
  <c r="B10" i="13"/>
  <c r="F9" i="13"/>
  <c r="E9" i="13"/>
  <c r="B9" i="13"/>
  <c r="I25" i="13"/>
  <c r="H25" i="13"/>
  <c r="G25" i="13"/>
  <c r="L24" i="13"/>
  <c r="K24" i="13"/>
  <c r="J24" i="13"/>
  <c r="L23" i="13"/>
  <c r="K23" i="13"/>
  <c r="J23" i="13"/>
  <c r="L22" i="13"/>
  <c r="K22" i="13"/>
  <c r="J22" i="13"/>
  <c r="L21" i="13"/>
  <c r="K21" i="13"/>
  <c r="J21" i="13"/>
  <c r="L20" i="13"/>
  <c r="K20" i="13"/>
  <c r="J20" i="13"/>
  <c r="L19" i="13"/>
  <c r="K19" i="13"/>
  <c r="J19" i="13"/>
  <c r="L18" i="13"/>
  <c r="K18" i="13"/>
  <c r="J18" i="13"/>
  <c r="L17" i="13"/>
  <c r="K17" i="13"/>
  <c r="J17" i="13"/>
  <c r="I25" i="7"/>
  <c r="H25" i="7"/>
  <c r="G25" i="7"/>
  <c r="L23" i="7"/>
  <c r="K23" i="7"/>
  <c r="J23" i="7"/>
  <c r="L22" i="7"/>
  <c r="K22" i="7"/>
  <c r="J22" i="7"/>
  <c r="J21" i="7"/>
  <c r="L20" i="7"/>
  <c r="K20" i="7"/>
  <c r="J20" i="7"/>
  <c r="L19" i="7"/>
  <c r="L18" i="7"/>
  <c r="K18" i="7"/>
  <c r="J18" i="7"/>
  <c r="J19" i="15" l="1"/>
  <c r="K19" i="15"/>
  <c r="J20" i="15"/>
  <c r="K9" i="15"/>
  <c r="K21" i="15"/>
  <c r="L24" i="15"/>
  <c r="K24" i="15"/>
  <c r="D25" i="15"/>
  <c r="J10" i="15"/>
  <c r="K10" i="15"/>
  <c r="J21" i="15"/>
  <c r="J22" i="15"/>
  <c r="J17" i="15"/>
  <c r="K22" i="15"/>
  <c r="J23" i="15"/>
  <c r="J18" i="15"/>
  <c r="K23" i="15"/>
  <c r="F25" i="15"/>
  <c r="J9" i="15"/>
  <c r="L9" i="15"/>
  <c r="J19" i="7"/>
  <c r="K24" i="7"/>
  <c r="J24" i="7"/>
  <c r="K21" i="7"/>
  <c r="D25" i="14"/>
  <c r="K13" i="14"/>
  <c r="L13" i="14"/>
  <c r="J9" i="14"/>
  <c r="L11" i="14"/>
  <c r="J16" i="14"/>
  <c r="K9" i="14"/>
  <c r="K16" i="14"/>
  <c r="J14" i="14"/>
  <c r="J12" i="14"/>
  <c r="L14" i="14"/>
  <c r="J11" i="14"/>
  <c r="K12" i="14"/>
  <c r="J10" i="14"/>
  <c r="K10" i="14"/>
  <c r="K17" i="7"/>
  <c r="J17" i="7"/>
  <c r="L13" i="13"/>
  <c r="L9" i="7"/>
  <c r="L14" i="13"/>
  <c r="J16" i="13"/>
  <c r="K11" i="7"/>
  <c r="L13" i="7"/>
  <c r="L15" i="7"/>
  <c r="K16" i="7"/>
  <c r="J15" i="13"/>
  <c r="D12" i="13"/>
  <c r="J12" i="13" s="1"/>
  <c r="J10" i="7"/>
  <c r="L16" i="7"/>
  <c r="K13" i="7"/>
  <c r="K12" i="13"/>
  <c r="E25" i="13"/>
  <c r="L12" i="13"/>
  <c r="J13" i="7"/>
  <c r="F25" i="13"/>
  <c r="L11" i="13"/>
  <c r="E25" i="7"/>
  <c r="L12" i="7"/>
  <c r="K15" i="7"/>
  <c r="L10" i="13"/>
  <c r="D25" i="7"/>
  <c r="K10" i="13"/>
  <c r="K16" i="13"/>
  <c r="K12" i="7"/>
  <c r="J9" i="7"/>
  <c r="K10" i="7"/>
  <c r="L11" i="7"/>
  <c r="J16" i="7"/>
  <c r="L9" i="13"/>
  <c r="J14" i="13"/>
  <c r="K15" i="13"/>
  <c r="L16" i="13"/>
  <c r="K9" i="7"/>
  <c r="L10" i="7"/>
  <c r="J15" i="7"/>
  <c r="J13" i="13"/>
  <c r="K14" i="13"/>
  <c r="L15" i="13"/>
  <c r="D25" i="13"/>
  <c r="K13" i="13"/>
  <c r="J11" i="13"/>
  <c r="J10" i="13"/>
  <c r="K11" i="13"/>
  <c r="J12" i="7"/>
  <c r="J9" i="13"/>
  <c r="J11" i="7"/>
  <c r="L14" i="7" l="1"/>
  <c r="J14" i="7"/>
  <c r="K14" i="7"/>
  <c r="F25" i="7"/>
</calcChain>
</file>

<file path=xl/sharedStrings.xml><?xml version="1.0" encoding="utf-8"?>
<sst xmlns="http://schemas.openxmlformats.org/spreadsheetml/2006/main" count="125" uniqueCount="41">
  <si>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</si>
  <si>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</si>
  <si>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</si>
  <si>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</si>
  <si>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</si>
  <si>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</si>
  <si>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</si>
  <si>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</si>
  <si>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</si>
  <si>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</si>
  <si>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</si>
  <si>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</si>
  <si>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</si>
  <si>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</si>
  <si>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</si>
  <si>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</si>
  <si>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</si>
  <si>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</si>
  <si>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COSTO DE ENVÍO</t>
  </si>
  <si>
    <t>FORMAS DE PAGO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</si>
  <si>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</si>
  <si>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</si>
  <si>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</si>
  <si>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</si>
  <si>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</si>
  <si>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</si>
  <si>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</si>
  <si>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</si>
  <si>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</si>
  <si>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</si>
  <si>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</si>
  <si>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</si>
  <si>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</si>
  <si>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</si>
  <si>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</si>
  <si>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</si>
  <si>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10 dias</t>
  </si>
  <si>
    <t>7 dias</t>
  </si>
  <si>
    <t>15 dias</t>
  </si>
  <si>
    <t xml:space="preserve">7 dias </t>
  </si>
  <si>
    <t xml:space="preserve">5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</si>
</sst>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\ #,##0.00;[Red]\-&quot;$&quot;\ #,##0.00"/>
    <numFmt numFmtId="165" formatCode="&quot;$&quot;\ #,##0.00"/>
    <numFmt numFmtId="166" formatCode="&quot;$&quot;\ #,##0.000"/>
  </numFmts>
  <fonts count="20">
    <font>
      <sz val="8"/>
      <color theme="1"/>
      <name val="Arial"/>
      <charset val="134"/>
    </font>
    <font>
      <sz val="12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2"/>
      <color theme="1" tint="0.249977111117893"/>
      <name val="Calibri"/>
      <charset val="134"/>
      <scheme val="minor"/>
    </font>
    <font>
      <sz val="16"/>
      <color theme="0" tint="-0.499984740745262"/>
      <name val="Calibri"/>
      <charset val="134"/>
      <scheme val="minor"/>
    </font>
    <font>
      <b/>
      <sz val="14"/>
      <color rgb="FF8745EC"/>
      <name val="Calibri"/>
      <charset val="134"/>
      <scheme val="minor"/>
    </font>
    <font>
      <sz val="14"/>
      <color theme="1" tint="0.34998626667073579"/>
      <name val="Calibri"/>
      <charset val="134"/>
      <scheme val="minor"/>
    </font>
    <font>
      <sz val="14"/>
      <color theme="1" tint="0.34998626667073579"/>
      <name val="Calibri"/>
      <charset val="134"/>
      <scheme val="minor"/>
    </font>
    <font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theme="1" tint="0.34998626667073579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000000"/>
      <name val="Arial"/>
      <charset val="134"/>
    </font>
    <font>
      <sz val="13.95"/>
      <color rgb="FF595959"/>
      <name val="Calibri"/>
      <charset val="134"/>
    </font>
    <font>
      <sz val="20"/>
      <color theme="1"/>
      <name val="Calibri"/>
      <charset val="134"/>
      <scheme val="minor"/>
    </font>
    <font>
      <b/>
      <sz val="14"/>
      <color theme="0" tint="-0.499984740745262"/>
      <name val="Calibri"/>
      <charset val="134"/>
      <scheme val="minor"/>
    </font>
    <font>
      <sz val="14"/>
      <color rgb="FF595959"/>
      <name val="Calibri"/>
      <charset val="1"/>
    </font>
    <font>
      <sz val="11"/>
      <color theme="1"/>
      <name val="Calibri"/>
      <charset val="134"/>
      <scheme val="minor"/>
    </font>
    <font>
      <sz val="14"/>
      <color theme="1" tint="0.34998626667073579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auto="1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3">
    <xf numFmtId="0" fontId="0" fillId="0" borderId="0"/>
    <xf numFmtId="0" fontId="18" fillId="0" borderId="0"/>
    <xf numFmtId="0" fontId="1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6" fillId="4" borderId="1" xfId="0" applyFont="1" applyFill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0" fontId="10" fillId="0" borderId="0" xfId="0" applyFont="1"/>
    <xf numFmtId="2" fontId="8" fillId="2" borderId="2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4" fontId="8" fillId="0" borderId="13" xfId="0" applyNumberFormat="1" applyFont="1" applyBorder="1" applyAlignment="1">
      <alignment horizontal="center" vertical="center"/>
    </xf>
    <xf numFmtId="4" fontId="8" fillId="0" borderId="14" xfId="0" applyNumberFormat="1" applyFont="1" applyBorder="1" applyAlignment="1">
      <alignment horizontal="center" vertical="center"/>
    </xf>
    <xf numFmtId="4" fontId="11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3" fillId="0" borderId="0" xfId="0" applyNumberFormat="1" applyFont="1" applyAlignment="1">
      <alignment vertical="center" wrapText="1"/>
    </xf>
    <xf numFmtId="164" fontId="13" fillId="0" borderId="17" xfId="0" applyNumberFormat="1" applyFont="1" applyBorder="1" applyAlignment="1">
      <alignment vertical="center" wrapText="1"/>
    </xf>
    <xf numFmtId="164" fontId="14" fillId="0" borderId="18" xfId="0" applyNumberFormat="1" applyFont="1" applyBorder="1" applyAlignment="1">
      <alignment vertical="center" wrapText="1"/>
    </xf>
    <xf numFmtId="164" fontId="13" fillId="0" borderId="19" xfId="0" applyNumberFormat="1" applyFont="1" applyBorder="1" applyAlignment="1">
      <alignment vertical="center" wrapText="1"/>
    </xf>
    <xf numFmtId="164" fontId="14" fillId="0" borderId="20" xfId="0" applyNumberFormat="1" applyFont="1" applyBorder="1" applyAlignment="1">
      <alignment vertical="center" wrapText="1"/>
    </xf>
    <xf numFmtId="0" fontId="0" fillId="3" borderId="21" xfId="0" applyFill="1" applyBorder="1"/>
    <xf numFmtId="0" fontId="15" fillId="2" borderId="0" xfId="0" applyFont="1" applyFill="1" applyAlignment="1">
      <alignment vertical="center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165" fontId="16" fillId="5" borderId="25" xfId="0" applyNumberFormat="1" applyFont="1" applyFill="1" applyBorder="1" applyAlignment="1">
      <alignment horizontal="center"/>
    </xf>
    <xf numFmtId="165" fontId="16" fillId="5" borderId="26" xfId="0" applyNumberFormat="1" applyFont="1" applyFill="1" applyBorder="1" applyAlignment="1">
      <alignment horizontal="center"/>
    </xf>
    <xf numFmtId="165" fontId="16" fillId="5" borderId="27" xfId="0" applyNumberFormat="1" applyFont="1" applyFill="1" applyBorder="1" applyAlignment="1">
      <alignment horizontal="center"/>
    </xf>
    <xf numFmtId="165" fontId="16" fillId="5" borderId="28" xfId="0" applyNumberFormat="1" applyFont="1" applyFill="1" applyBorder="1" applyAlignment="1">
      <alignment horizontal="center"/>
    </xf>
    <xf numFmtId="165" fontId="16" fillId="5" borderId="29" xfId="0" applyNumberFormat="1" applyFont="1" applyFill="1" applyBorder="1" applyAlignment="1">
      <alignment horizontal="center"/>
    </xf>
    <xf numFmtId="165" fontId="16" fillId="5" borderId="30" xfId="0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4" fontId="11" fillId="0" borderId="13" xfId="0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3" fillId="0" borderId="0" xfId="0" applyFont="1"/>
    <xf numFmtId="164" fontId="14" fillId="6" borderId="33" xfId="0" applyNumberFormat="1" applyFont="1" applyFill="1" applyBorder="1" applyAlignment="1">
      <alignment vertical="center" wrapText="1"/>
    </xf>
    <xf numFmtId="164" fontId="14" fillId="6" borderId="34" xfId="0" applyNumberFormat="1" applyFont="1" applyFill="1" applyBorder="1" applyAlignment="1">
      <alignment vertical="center" wrapText="1"/>
    </xf>
    <xf numFmtId="0" fontId="1" fillId="0" borderId="0" xfId="2"/>
    <xf numFmtId="0" fontId="4" fillId="0" borderId="0" xfId="2" applyFont="1" applyAlignment="1">
      <alignment vertical="center"/>
    </xf>
    <xf numFmtId="0" fontId="4" fillId="0" borderId="0" xfId="2" applyFont="1" applyAlignment="1">
      <alignment vertical="top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66" fontId="8" fillId="0" borderId="2" xfId="0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165" fontId="19" fillId="2" borderId="2" xfId="0" applyNumberFormat="1" applyFont="1" applyFill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65" fontId="19" fillId="0" borderId="2" xfId="0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wrapText="1"/>
    </xf>
  </cellXfs>
  <cellStyles count="3">
    <cellStyle name="Normal" xfId="0" builtinId="0"/>
    <cellStyle name="Normal 2" xfId="1" xr:uid="{00000000-0005-0000-0000-000031000000}"/>
    <cellStyle name="Normal 3" xfId="2" xr:uid="{00000000-0005-0000-0000-000032000000}"/>
  </cellStyles>
  <dxfs count="10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u val="none"/>
        <sz val="14"/>
        <color theme="1" tint="0.34998626667073579"/>
        <name val="Calibri"/>
        <scheme val="none"/>
      </font>
      <numFmt numFmtId="165" formatCode="&quot;$&quot;\ #,##0.00"/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2" formatCode="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border>
        <left style="thin">
          <color rgb="FFFFFF66"/>
        </left>
        <right style="thin">
          <color rgb="FFFFFF66"/>
        </right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strike val="0"/>
        <u val="none"/>
        <sz val="14"/>
        <color theme="1" tint="0.34998626667073579"/>
        <name val="Calibri"/>
        <scheme val="none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2" formatCode="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u val="none"/>
        <sz val="14"/>
        <color theme="1" tint="0.34998626667073579"/>
        <name val="Calibri"/>
        <scheme val="none"/>
      </font>
      <numFmt numFmtId="165" formatCode="&quot;$&quot;\ #,##0.00"/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2" formatCode="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charset val="134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u val="none"/>
        <sz val="14"/>
        <color theme="0" tint="-0.499984740745262"/>
        <name val="Calibri"/>
        <scheme val="none"/>
      </font>
      <numFmt numFmtId="165" formatCode="&quot;$&quot;\ #,##0.00"/>
      <fill>
        <patternFill patternType="solid">
          <bgColor theme="0" tint="-4.9989318521683403E-2"/>
        </patternFill>
      </fill>
      <alignment horizont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u val="none"/>
        <sz val="14"/>
        <color theme="1" tint="0.34998626667073579"/>
        <name val="Calibri"/>
        <scheme val="none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2" formatCode="0.00"/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4"/>
        <color theme="1" tint="0.34998626667073579"/>
        <name val="Calibri"/>
        <scheme val="none"/>
      </font>
      <numFmt numFmtId="165" formatCode="&quot;$&quot;\ #,##0.00"/>
      <fill>
        <patternFill patternType="solid">
          <bgColor theme="0"/>
        </patternFill>
      </fill>
      <alignment horizontal="center" vertical="center"/>
      <border>
        <left/>
        <right/>
        <top/>
        <bottom style="medium">
          <color theme="0" tint="-4.9989318521683403E-2"/>
        </bottom>
      </border>
    </dxf>
    <dxf>
      <font>
        <b/>
        <i val="0"/>
      </font>
      <fill>
        <patternFill patternType="solid"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 patternType="solid">
          <bgColor rgb="FFF8F3FF"/>
        </patternFill>
      </fill>
    </dxf>
    <dxf>
      <border>
        <top style="slantDashDot">
          <color theme="0" tint="-4.9989318521683403E-2"/>
        </top>
        <bottom style="slantDashDot">
          <color theme="0" tint="-4.9989318521683403E-2"/>
        </bottom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94AFE1CD-5C6B-4043-BD63-A34979DAE97F}">
      <tableStyleElement type="wholeTable" dxfId="107"/>
      <tableStyleElement type="headerRow" dxfId="106"/>
      <tableStyleElement type="totalRow" dxfId="105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14830"/>
          <a:ext cx="80676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4490" y="117475"/>
          <a:ext cx="6650355" cy="748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842625" y="117475"/>
          <a:ext cx="2003425" cy="748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1384617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8600" y="190500"/>
          <a:ext cx="7670800" cy="738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175168</xdr:colOff>
      <xdr:row>1</xdr:row>
      <xdr:rowOff>155780</xdr:rowOff>
    </xdr:from>
    <xdr:to>
      <xdr:col>11</xdr:col>
      <xdr:colOff>282166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957050" y="346075"/>
          <a:ext cx="301244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1384617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0500C4-8169-4E9E-8AA8-28AA27E77652}"/>
            </a:ext>
          </a:extLst>
        </xdr:cNvPr>
        <xdr:cNvSpPr txBox="1"/>
      </xdr:nvSpPr>
      <xdr:spPr>
        <a:xfrm>
          <a:off x="228600" y="190500"/>
          <a:ext cx="7671117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175168</xdr:colOff>
      <xdr:row>1</xdr:row>
      <xdr:rowOff>155780</xdr:rowOff>
    </xdr:from>
    <xdr:to>
      <xdr:col>11</xdr:col>
      <xdr:colOff>282166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DBE95D-2D07-491C-AE71-D5931276C7D6}"/>
            </a:ext>
          </a:extLst>
        </xdr:cNvPr>
        <xdr:cNvSpPr txBox="1"/>
      </xdr:nvSpPr>
      <xdr:spPr>
        <a:xfrm>
          <a:off x="11957593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1384617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52B2DF-F9D1-4815-8435-8530023D24A6}"/>
            </a:ext>
          </a:extLst>
        </xdr:cNvPr>
        <xdr:cNvSpPr txBox="1"/>
      </xdr:nvSpPr>
      <xdr:spPr>
        <a:xfrm>
          <a:off x="228600" y="190500"/>
          <a:ext cx="7671117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175168</xdr:colOff>
      <xdr:row>1</xdr:row>
      <xdr:rowOff>155780</xdr:rowOff>
    </xdr:from>
    <xdr:to>
      <xdr:col>11</xdr:col>
      <xdr:colOff>282166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BCFA6A-ACDE-43DB-87B5-A790FC5C5AEA}"/>
            </a:ext>
          </a:extLst>
        </xdr:cNvPr>
        <xdr:cNvSpPr txBox="1"/>
      </xdr:nvSpPr>
      <xdr:spPr>
        <a:xfrm>
          <a:off x="11957593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473392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28600" y="190500"/>
          <a:ext cx="7673975" cy="738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702218</xdr:colOff>
      <xdr:row>1</xdr:row>
      <xdr:rowOff>155780</xdr:rowOff>
    </xdr:from>
    <xdr:to>
      <xdr:col>11</xdr:col>
      <xdr:colOff>809216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960225" y="346075"/>
          <a:ext cx="301244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-de-Cotizaciones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UEVA%20CARPETA\Descargas\Cuadro-de-Cot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rollador"/>
      <sheetName val="Usuario"/>
      <sheetName val="Recursos humanos"/>
      <sheetName val="Server Admin"/>
      <sheetName val="Teclados"/>
      <sheetName val="mouses"/>
      <sheetName val="Monitores"/>
      <sheetName val="Windows"/>
      <sheetName val="Office 2021"/>
      <sheetName val="hosting"/>
      <sheetName val="Visual Studio Profesional"/>
    </sheetNames>
    <sheetDataSet>
      <sheetData sheetId="0">
        <row r="8">
          <cell r="D8" t="str">
            <v xml:space="preserve">Ryzen 7
NVIDIA RTX 4060
</v>
          </cell>
          <cell r="H8">
            <v>5605000</v>
          </cell>
          <cell r="I8" t="str">
            <v>Contado</v>
          </cell>
        </row>
        <row r="9">
          <cell r="H9">
            <v>5583433.4709999999</v>
          </cell>
          <cell r="I9" t="str">
            <v>contado</v>
          </cell>
        </row>
        <row r="10">
          <cell r="H10">
            <v>4709500</v>
          </cell>
          <cell r="I10" t="str">
            <v>contado</v>
          </cell>
        </row>
      </sheetData>
      <sheetData sheetId="1">
        <row r="8">
          <cell r="D8" t="str">
            <v>Computador All in One HP 23.8" Pulgadas Cb1010la - INTEL Core i3 - RAM 8GB - Disco SSD 512GB - Blanco</v>
          </cell>
          <cell r="E8">
            <v>1799000</v>
          </cell>
        </row>
        <row r="9">
          <cell r="E9">
            <v>1889500</v>
          </cell>
        </row>
        <row r="10">
          <cell r="E10">
            <v>1599900</v>
          </cell>
        </row>
      </sheetData>
      <sheetData sheetId="2">
        <row r="8">
          <cell r="E8">
            <v>1799000</v>
          </cell>
        </row>
        <row r="9">
          <cell r="E9">
            <v>1749000</v>
          </cell>
        </row>
        <row r="10">
          <cell r="D10" t="str">
            <v>Usuario Computación: Avanzado
Modelo Procesador: Intel® Core™ i3-1215U
Capacidad Memoria RAM: 8 GB
Capacidad Disco Duro: 512 GB SSD</v>
          </cell>
          <cell r="E10">
            <v>1699000</v>
          </cell>
        </row>
      </sheetData>
      <sheetData sheetId="3">
        <row r="8">
          <cell r="D8" t="str">
            <v>HP Z640 Workstation Xeon E5-2686 V4 | 64GB RAM | 8TB HDD/500GB SSD | nVidia Quadro K4200 4GB Graphics | Windows 10 Pro</v>
          </cell>
          <cell r="H8">
            <v>4186809</v>
          </cell>
          <cell r="I8" t="str">
            <v>contado</v>
          </cell>
        </row>
        <row r="9">
          <cell r="H9">
            <v>2849904</v>
          </cell>
          <cell r="I9" t="str">
            <v>Contado</v>
          </cell>
        </row>
        <row r="10">
          <cell r="H10">
            <v>2674425</v>
          </cell>
          <cell r="I10" t="str">
            <v>Contado</v>
          </cell>
        </row>
      </sheetData>
      <sheetData sheetId="4">
        <row r="8">
          <cell r="D8" t="str">
            <v>Logitech K380, Teclado Multi-dispositivo Bluetooth Color del teclado Grafito Idioma Español</v>
          </cell>
          <cell r="H8">
            <v>139000</v>
          </cell>
        </row>
        <row r="9">
          <cell r="H9">
            <v>174741.16</v>
          </cell>
        </row>
        <row r="10">
          <cell r="H10">
            <v>175000</v>
          </cell>
        </row>
      </sheetData>
      <sheetData sheetId="5">
        <row r="8">
          <cell r="D8" t="str">
            <v xml:space="preserve">Mouse Alambrico Genius Dx-120 Usb Negro Usb
</v>
          </cell>
          <cell r="H8">
            <v>15300</v>
          </cell>
        </row>
        <row r="9">
          <cell r="H9">
            <v>15000</v>
          </cell>
        </row>
        <row r="10">
          <cell r="H10">
            <v>13000</v>
          </cell>
        </row>
      </sheetData>
      <sheetData sheetId="6">
        <row r="8">
          <cell r="D8" t="str">
            <v>Acer KB272 EBI Monitor de oficina para juegos de marco cero IPS Full HD (1920 x 1080) de 27 pulgadas | Tecnología AMD FreeSync | Actualización de hasta 100 Hz | 1 ms (VRB) | Luz azul baja |</v>
          </cell>
          <cell r="H8">
            <v>390960.89999999997</v>
          </cell>
        </row>
        <row r="9">
          <cell r="H9">
            <v>1973900</v>
          </cell>
        </row>
        <row r="10">
          <cell r="H10">
            <v>1025900</v>
          </cell>
        </row>
      </sheetData>
      <sheetData sheetId="7">
        <row r="8">
          <cell r="D8" t="str">
            <v>Windows 10 Pro Key Original</v>
          </cell>
          <cell r="H8">
            <v>43000</v>
          </cell>
          <cell r="I8" t="str">
            <v>Contado</v>
          </cell>
        </row>
        <row r="9">
          <cell r="H9">
            <v>55900</v>
          </cell>
        </row>
        <row r="10">
          <cell r="H10">
            <v>79700</v>
          </cell>
        </row>
      </sheetData>
      <sheetData sheetId="8">
        <row r="8">
          <cell r="D8" t="str">
            <v>Microsoft 365 Personal
Por año
MS WordMS ExcelMS PowerPointMS DefenderMS OneDriveMS OutlookMS EditorMS ClipchampMS OneNote
Para una persona
Inicia sesión en cinco dispositivos simultáneamente
Úsalo en PC, Mac, teléfonos y tabletas
1 TB de almacenamiento en la nube
Aplicaciones con características exclusivas y acceso sin conexión
Seguridad para los datos y los dispositivos
Correo electrónico seguro sin anuncios
Comprar ahora</v>
          </cell>
          <cell r="H8">
            <v>259999</v>
          </cell>
          <cell r="I8" t="str">
            <v>Contado</v>
          </cell>
        </row>
        <row r="9">
          <cell r="H9">
            <v>86900</v>
          </cell>
          <cell r="I9" t="str">
            <v>Contado</v>
          </cell>
        </row>
        <row r="10">
          <cell r="H10">
            <v>129700</v>
          </cell>
          <cell r="I10" t="str">
            <v>contado</v>
          </cell>
        </row>
      </sheetData>
      <sheetData sheetId="9">
        <row r="8">
          <cell r="D8" t="str">
            <v>Cloud Startup 
Rendimiento máximo (hasta 10x)
300 sitios web
200 GB de almacenamiento NVMe
Copias de seguridad diarias (valor:CO$ 71.148)
SSL ilimitado gratis
Ancho de banda ilimitado
Email gratis
Dominio gratis (CO$ 41.900)
CDN Gratis
IP dedicada</v>
          </cell>
          <cell r="H8">
            <v>118800</v>
          </cell>
          <cell r="I8" t="str">
            <v>Contado</v>
          </cell>
        </row>
        <row r="9">
          <cell r="H9">
            <v>300000</v>
          </cell>
        </row>
        <row r="10">
          <cell r="H10">
            <v>264000</v>
          </cell>
        </row>
      </sheetData>
      <sheetData sheetId="10">
        <row r="8">
          <cell r="D8" t="str">
            <v>Suscripción a Visual Studio Professional (nueva)</v>
          </cell>
          <cell r="H8">
            <v>5042042</v>
          </cell>
        </row>
        <row r="9">
          <cell r="H9">
            <v>977750</v>
          </cell>
        </row>
        <row r="10">
          <cell r="H10">
            <v>2099099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 Admin"/>
      <sheetName val="Desarollador"/>
      <sheetName val="Teclados"/>
      <sheetName val="mouses"/>
      <sheetName val="Monitores"/>
      <sheetName val="Windows"/>
      <sheetName val="Office 2021"/>
      <sheetName val="hosting"/>
      <sheetName val="Visual Studio Profesional"/>
    </sheetNames>
    <sheetDataSet>
      <sheetData sheetId="0">
        <row r="8">
          <cell r="D8" t="str">
            <v>HP Z640 Workstation Xeon E5-2686 V4 | 64GB RAM | 8TB HDD/500GB SSD | nVidia Quadro K4200 4GB Graphics | Windows 10 Pro</v>
          </cell>
        </row>
      </sheetData>
      <sheetData sheetId="1">
        <row r="8">
          <cell r="D8" t="str">
            <v xml:space="preserve">Ryzen 7
NVIDIA RTX 4060
</v>
          </cell>
        </row>
      </sheetData>
      <sheetData sheetId="2">
        <row r="8">
          <cell r="D8" t="str">
            <v>Logitech K380, Teclado Multi-dispositivo Bluetooth Color del teclado Grafito Idioma Español</v>
          </cell>
        </row>
      </sheetData>
      <sheetData sheetId="3">
        <row r="8">
          <cell r="E8">
            <v>45900</v>
          </cell>
        </row>
      </sheetData>
      <sheetData sheetId="4">
        <row r="8">
          <cell r="H8">
            <v>390960.89999999997</v>
          </cell>
        </row>
      </sheetData>
      <sheetData sheetId="5">
        <row r="8">
          <cell r="D8" t="str">
            <v>Windows 10 Pro Key Original</v>
          </cell>
        </row>
      </sheetData>
      <sheetData sheetId="6">
        <row r="8">
          <cell r="D8" t="str">
            <v>Microsoft 365 Personal
Por año
MS WordMS ExcelMS PowerPointMS DefenderMS OneDriveMS OutlookMS EditorMS ClipchampMS OneNote
Para una persona
Inicia sesión en cinco dispositivos simultáneamente
Úsalo en PC, Mac, teléfonos y tabletas
1 TB de almacenamiento en la nube
Aplicaciones con características exclusivas y acceso sin conexión
Seguridad para los datos y los dispositivos
Correo electrónico seguro sin anuncios
Comprar ahora</v>
          </cell>
        </row>
      </sheetData>
      <sheetData sheetId="7">
        <row r="8">
          <cell r="D8" t="str">
            <v>Cloud Startup 
Rendimiento máximo (hasta 10x)
300 sitios web
200 GB de almacenamiento NVMe
Copias de seguridad diarias (valor:CO$ 71.148)
SSL ilimitado gratis
Ancho de banda ilimitado
Email gratis
Dominio gratis (CO$ 41.900)
CDN Gratis
IP dedicada</v>
          </cell>
        </row>
      </sheetData>
      <sheetData sheetId="8">
        <row r="8">
          <cell r="D8" t="str">
            <v>Suscripción a Visual Studio Professional (nueva)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aración_precios" displayName="Comparación_precios" ref="B8:L25" totalsRowCount="1">
  <tableColumns count="11">
    <tableColumn id="1" xr3:uid="{00000000-0010-0000-0000-000001000000}" name="PRODUCTO" totalsRowLabel="Total" dataDxfId="30"/>
    <tableColumn id="8" xr3:uid="{00000000-0010-0000-0000-000008000000}" name="CANTIDAD" dataDxfId="82" totalsRowDxfId="37"/>
    <tableColumn id="2" xr3:uid="{00000000-0010-0000-0000-000002000000}" name="PROVEEDOR 1" totalsRowFunction="custom" dataDxfId="29">
      <totalsRowFormula>ROUND(SUMPRODUCT(Comparación_precios[CANTIDAD],Comparación_precios[PROVEEDOR 1]),2)</totalsRowFormula>
    </tableColumn>
    <tableColumn id="3" xr3:uid="{00000000-0010-0000-0000-000003000000}" name="PROVEEDOR 2" totalsRowFunction="custom" dataDxfId="28">
      <calculatedColumnFormula>[2]Desarollador!$H$9</calculatedColumnFormula>
      <totalsRowFormula>ROUND(SUMPRODUCT(Comparación_precios[CANTIDAD],Comparación_precios[PROVEEDOR 2]),2)</totalsRowFormula>
    </tableColumn>
    <tableColumn id="4" xr3:uid="{00000000-0010-0000-0000-000004000000}" name="PROVEEDOR 3" totalsRowFunction="custom" dataDxfId="27">
      <calculatedColumnFormula>[2]Desarollador!$H$10</calculatedColumnFormula>
      <totalsRowFormula>ROUND(SUMPRODUCT(Comparación_precios[CANTIDAD],Comparación_precios[PROVEEDOR 3]),2)</totalsRowFormula>
    </tableColumn>
    <tableColumn id="5" xr3:uid="{00000000-0010-0000-0000-000005000000}" name="PROVEEDOR 4" totalsRowFunction="custom" dataDxfId="81" totalsRowDxfId="36">
      <totalsRowFormula>ROUND(SUMPRODUCT(Comparación_precios[CANTIDAD],Comparación_precios[PROVEEDOR 4]),2)</totalsRowFormula>
    </tableColumn>
    <tableColumn id="6" xr3:uid="{00000000-0010-0000-0000-000006000000}" name="PROVEEDOR 5" totalsRowFunction="custom" dataDxfId="80" totalsRowDxfId="35">
      <totalsRowFormula>ROUND(SUMPRODUCT(Comparación_precios[CANTIDAD],Comparación_precios[PROVEEDOR 5]),2)</totalsRowFormula>
    </tableColumn>
    <tableColumn id="7" xr3:uid="{00000000-0010-0000-0000-000007000000}" name="PROVEEDOR 6" totalsRowFunction="custom" dataDxfId="79" totalsRowDxfId="34">
      <totalsRowFormula>ROUND(SUMPRODUCT(Comparación_precios[CANTIDAD],Comparación_precios[PROVEEDOR 6]),2)</totalsRowFormula>
    </tableColumn>
    <tableColumn id="11" xr3:uid="{00000000-0010-0000-0000-00000B000000}" name="PRECIO MÁS BAJO" dataDxfId="78" totalsRowDxfId="33">
      <calculatedColumnFormula>MIN(Comparación_precios[[#This Row],[PROVEEDOR 1]:[PROVEEDOR 6]])</calculatedColumnFormula>
    </tableColumn>
    <tableColumn id="12" xr3:uid="{00000000-0010-0000-0000-00000C000000}" name="PRECIO PROMEDIO" dataDxfId="77" totalsRowDxfId="32">
      <calculatedColumnFormula>IFERROR(AVERAGE(Comparación_precios[[#This Row],[PROVEEDOR 1]:[PROVEEDOR 6]]),0)</calculatedColumnFormula>
    </tableColumn>
    <tableColumn id="13" xr3:uid="{00000000-0010-0000-0000-00000D000000}" name="PRECIO MÁS ALTO" dataDxfId="76" totalsRowDxfId="31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BA1111-03C0-4F26-8C8E-510E54D9AA1B}" name="Comparación_precios4" displayName="Comparación_precios4" ref="B8:L25" totalsRowCount="1">
  <tableColumns count="11">
    <tableColumn id="1" xr3:uid="{98DDF846-EC2B-4AF9-90ED-86BDD9C4490F}" name="PRODUCTO" totalsRowLabel="Total" dataDxfId="14" totalsRowDxfId="10">
      <calculatedColumnFormula>'[1]Recursos humanos'!$D$10</calculatedColumnFormula>
    </tableColumn>
    <tableColumn id="8" xr3:uid="{1D80BEC5-D354-459F-A4B9-6A50B0712EA4}" name="CANTIDAD" dataDxfId="21" totalsRowDxfId="9"/>
    <tableColumn id="2" xr3:uid="{D0D58DCD-C09D-49DA-9A80-8543531F957C}" name="PROVEEDOR 1" totalsRowFunction="custom" dataDxfId="13" totalsRowDxfId="8">
      <calculatedColumnFormula>'[1]Recursos humanos'!$E$10</calculatedColumnFormula>
      <totalsRowFormula>ROUND(SUMPRODUCT(Comparación_precios4[CANTIDAD],Comparación_precios4[PROVEEDOR 1]),2)</totalsRowFormula>
    </tableColumn>
    <tableColumn id="3" xr3:uid="{6D389E98-9B5F-49BE-8B40-736425B3A79D}" name="PROVEEDOR 2" totalsRowFunction="custom" dataDxfId="12" totalsRowDxfId="7">
      <calculatedColumnFormula>'[1]Recursos humanos'!$E$9</calculatedColumnFormula>
      <totalsRowFormula>ROUND(SUMPRODUCT(Comparación_precios4[CANTIDAD],Comparación_precios4[PROVEEDOR 2]),2)</totalsRowFormula>
    </tableColumn>
    <tableColumn id="4" xr3:uid="{C77ED4CA-F26F-4675-A671-615E36049BE7}" name="PROVEEDOR 3" totalsRowFunction="custom" dataDxfId="11" totalsRowDxfId="6">
      <calculatedColumnFormula>'[1]Recursos humanos'!$E$8</calculatedColumnFormula>
      <totalsRowFormula>ROUND(SUMPRODUCT(Comparación_precios4[CANTIDAD],Comparación_precios4[PROVEEDOR 3]),2)</totalsRowFormula>
    </tableColumn>
    <tableColumn id="5" xr3:uid="{66A4ECFC-1FE3-4FEF-BBD5-6702CE8F59BC}" name="PROVEEDOR 4" totalsRowFunction="custom" dataDxfId="20" totalsRowDxfId="5">
      <totalsRowFormula>ROUND(SUMPRODUCT(Comparación_precios4[CANTIDAD],Comparación_precios4[PROVEEDOR 4]),2)</totalsRowFormula>
    </tableColumn>
    <tableColumn id="6" xr3:uid="{CB7B5E86-9A2D-4BF8-812A-0AD509BD74E5}" name="PROVEEDOR 5" totalsRowFunction="custom" dataDxfId="19" totalsRowDxfId="4">
      <totalsRowFormula>ROUND(SUMPRODUCT(Comparación_precios4[CANTIDAD],Comparación_precios4[PROVEEDOR 5]),2)</totalsRowFormula>
    </tableColumn>
    <tableColumn id="7" xr3:uid="{DDC691B7-C475-4BB9-83A0-BD5DBB57B69C}" name="PROVEEDOR 6" totalsRowFunction="custom" dataDxfId="18" totalsRowDxfId="3">
      <totalsRowFormula>ROUND(SUMPRODUCT(Comparación_precios4[CANTIDAD],Comparación_precios4[PROVEEDOR 6]),2)</totalsRowFormula>
    </tableColumn>
    <tableColumn id="11" xr3:uid="{83F266A7-4882-46BD-9AF1-BC7B3EBAEAE1}" name="PRECIO MÁS BAJO" dataDxfId="17" totalsRowDxfId="2">
      <calculatedColumnFormula>MIN(Comparación_precios4[[#This Row],[PROVEEDOR 1]:[PROVEEDOR 6]])</calculatedColumnFormula>
    </tableColumn>
    <tableColumn id="12" xr3:uid="{21EA36A9-F58A-4C4C-BD98-A0C97D010770}" name="PRECIO PROMEDIO" dataDxfId="16" totalsRowDxfId="1">
      <calculatedColumnFormula>IFERROR(AVERAGE(Comparación_precios4[[#This Row],[PROVEEDOR 1]:[PROVEEDOR 6]]),0)</calculatedColumnFormula>
    </tableColumn>
    <tableColumn id="13" xr3:uid="{F4AFCD08-9230-46C5-9F62-B3679CA1D890}" name="PRECIO MÁS ALTO" dataDxfId="15" totalsRowDxfId="0">
      <calculatedColumnFormula>MAX(Comparación_precios4[[#This Row],[PROVEEDOR 1]:[PROVEEDOR 6]])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68F46-03F1-403E-9B7A-9B0CCAC626BB}" name="Comparación_precios2" displayName="Comparación_precios2" ref="B8:L25" totalsRowCount="1">
  <tableColumns count="11">
    <tableColumn id="1" xr3:uid="{B0B122D6-C12E-4B86-A08F-38DD0E58DD84}" name="PRODUCTO" totalsRowLabel="Total" dataDxfId="74" totalsRowDxfId="75"/>
    <tableColumn id="8" xr3:uid="{3AA75536-10D5-4CDA-B051-20AC9D100108}" name="CANTIDAD" dataDxfId="72" totalsRowDxfId="73"/>
    <tableColumn id="2" xr3:uid="{B54C5F59-38FB-4A34-8FCB-66435F9F99E2}" name="PROVEEDOR 1" totalsRowFunction="custom" dataDxfId="70" totalsRowDxfId="71">
      <totalsRowFormula>ROUND(SUMPRODUCT(Comparación_precios2[CANTIDAD],Comparación_precios2[PROVEEDOR 1]),2)</totalsRowFormula>
    </tableColumn>
    <tableColumn id="3" xr3:uid="{6EB5D4D6-BA84-4CC0-BF44-687001E4F23F}" name="PROVEEDOR 2" totalsRowFunction="custom" dataDxfId="68" totalsRowDxfId="69">
      <calculatedColumnFormula>[2]Desarollador!$H$9</calculatedColumnFormula>
      <totalsRowFormula>ROUND(SUMPRODUCT(Comparación_precios2[CANTIDAD],Comparación_precios2[PROVEEDOR 2]),2)</totalsRowFormula>
    </tableColumn>
    <tableColumn id="4" xr3:uid="{6DF1A60B-C15B-4CE8-BCF2-424BBFD89845}" name="PROVEEDOR 3" totalsRowFunction="custom" dataDxfId="66" totalsRowDxfId="67">
      <calculatedColumnFormula>[2]Desarollador!$H$10</calculatedColumnFormula>
      <totalsRowFormula>ROUND(SUMPRODUCT(Comparación_precios2[CANTIDAD],Comparación_precios2[PROVEEDOR 3]),2)</totalsRowFormula>
    </tableColumn>
    <tableColumn id="5" xr3:uid="{2A70D6B0-99EA-4DEE-A805-ED1E5B181646}" name="PROVEEDOR 4" totalsRowFunction="custom" dataDxfId="64" totalsRowDxfId="65">
      <totalsRowFormula>ROUND(SUMPRODUCT(Comparación_precios2[CANTIDAD],Comparación_precios2[PROVEEDOR 4]),2)</totalsRowFormula>
    </tableColumn>
    <tableColumn id="6" xr3:uid="{589263E4-E649-48E8-822F-E3E1A777526A}" name="PROVEEDOR 5" totalsRowFunction="custom" dataDxfId="62" totalsRowDxfId="63">
      <totalsRowFormula>ROUND(SUMPRODUCT(Comparación_precios2[CANTIDAD],Comparación_precios2[PROVEEDOR 5]),2)</totalsRowFormula>
    </tableColumn>
    <tableColumn id="7" xr3:uid="{C3867CCE-ED4D-4755-A42E-FC717CED9028}" name="PROVEEDOR 6" totalsRowFunction="custom" dataDxfId="60" totalsRowDxfId="61">
      <totalsRowFormula>ROUND(SUMPRODUCT(Comparación_precios2[CANTIDAD],Comparación_precios2[PROVEEDOR 6]),2)</totalsRowFormula>
    </tableColumn>
    <tableColumn id="11" xr3:uid="{088175F7-B109-473C-B7F2-24C5410C22AE}" name="PRECIO MÁS BAJO" dataDxfId="58" totalsRowDxfId="59">
      <calculatedColumnFormula>MIN(Comparación_precios2[[#This Row],[PROVEEDOR 1]:[PROVEEDOR 6]])</calculatedColumnFormula>
    </tableColumn>
    <tableColumn id="12" xr3:uid="{F2B0A5B7-536C-4B65-A6DD-EFE4D62021CC}" name="PRECIO PROMEDIO" dataDxfId="56" totalsRowDxfId="57">
      <calculatedColumnFormula>IFERROR(AVERAGE(Comparación_precios2[[#This Row],[PROVEEDOR 1]:[PROVEEDOR 6]]),0)</calculatedColumnFormula>
    </tableColumn>
    <tableColumn id="13" xr3:uid="{7224B28B-E059-4EF1-9D71-F7698038EAFC}" name="PRECIO MÁS ALTO" dataDxfId="54" totalsRowDxfId="55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Comparación_precios24567" displayName="Comparación_precios24567" ref="B8:L25" totalsRowCount="1">
  <tableColumns count="11">
    <tableColumn id="1" xr3:uid="{00000000-0010-0000-0100-000001000000}" name="PRODUCTO" totalsRowLabel="Total" dataDxfId="104" totalsRowDxfId="103"/>
    <tableColumn id="8" xr3:uid="{00000000-0010-0000-0100-000008000000}" name="CANTIDAD" dataDxfId="102" totalsRowDxfId="101"/>
    <tableColumn id="2" xr3:uid="{00000000-0010-0000-0100-000002000000}" name="PROVEEDOR 1" totalsRowFunction="custom" dataDxfId="100" totalsRowDxfId="99">
      <totalsRowFormula>ROUND(SUMPRODUCT(Comparación_precios24567[[CANTIDAD]:[CANTIDAD]],Comparación_precios24567[PROVEEDOR 1]),2)</totalsRowFormula>
    </tableColumn>
    <tableColumn id="3" xr3:uid="{00000000-0010-0000-0100-000003000000}" name="PROVEEDOR 2" totalsRowFunction="custom" dataDxfId="98" totalsRowDxfId="97">
      <totalsRowFormula>ROUND(SUMPRODUCT(Comparación_precios24567[[CANTIDAD]:[CANTIDAD]],Comparación_precios24567[PROVEEDOR 2]),2)</totalsRowFormula>
    </tableColumn>
    <tableColumn id="4" xr3:uid="{00000000-0010-0000-0100-000004000000}" name="PROVEEDOR 3" totalsRowFunction="custom" dataDxfId="96" totalsRowDxfId="95">
      <totalsRowFormula>ROUND(SUMPRODUCT(Comparación_precios24567[[CANTIDAD]:[CANTIDAD]],Comparación_precios24567[PROVEEDOR 3]),2)</totalsRowFormula>
    </tableColumn>
    <tableColumn id="5" xr3:uid="{00000000-0010-0000-0100-000005000000}" name="PROVEEDOR 4" totalsRowFunction="custom" dataDxfId="94" totalsRowDxfId="93">
      <totalsRowFormula>ROUND(SUMPRODUCT(Comparación_precios24567[[CANTIDAD]:[CANTIDAD]],Comparación_precios24567[PROVEEDOR 4]),2)</totalsRowFormula>
    </tableColumn>
    <tableColumn id="6" xr3:uid="{00000000-0010-0000-0100-000006000000}" name="PROVEEDOR 5" totalsRowFunction="custom" dataDxfId="92" totalsRowDxfId="91">
      <totalsRowFormula>ROUND(SUMPRODUCT(Comparación_precios24567[[CANTIDAD]:[CANTIDAD]],Comparación_precios24567[PROVEEDOR 5]),2)</totalsRowFormula>
    </tableColumn>
    <tableColumn id="7" xr3:uid="{00000000-0010-0000-0100-000007000000}" name="PROVEEDOR 6" totalsRowFunction="custom" dataDxfId="90" totalsRowDxfId="89">
      <totalsRowFormula>ROUND(SUMPRODUCT(Comparación_precios24567[[CANTIDAD]:[CANTIDAD]],Comparación_precios24567[PROVEEDOR 6]),2)</totalsRowFormula>
    </tableColumn>
    <tableColumn id="11" xr3:uid="{00000000-0010-0000-0100-00000B000000}" name="PRECIO MÁS BAJO" dataDxfId="88" totalsRowDxfId="87">
      <calculatedColumnFormula>MIN(Comparación_precios24567[[#This Row],[PROVEEDOR 1]:[PROVEEDOR 6]])</calculatedColumnFormula>
    </tableColumn>
    <tableColumn id="12" xr3:uid="{00000000-0010-0000-0100-00000C000000}" name="PRECIO PROMEDIO" dataDxfId="86" totalsRowDxfId="85">
      <calculatedColumnFormula>IFERROR(AVERAGE(Comparación_precios24567[[#This Row],[PROVEEDOR 1]:[PROVEEDOR 6]]),0)</calculatedColumnFormula>
    </tableColumn>
    <tableColumn id="13" xr3:uid="{00000000-0010-0000-0100-00000D000000}" name="PRECIO MÁS ALTO" dataDxfId="84" totalsRowDxfId="83">
      <calculatedColumnFormula>MAX(Comparación_precios24567[[#This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topLeftCell="A23" zoomScale="80" zoomScaleNormal="80" workbookViewId="0">
      <selection activeCell="H6" sqref="H6"/>
    </sheetView>
  </sheetViews>
  <sheetFormatPr baseColWidth="10" defaultColWidth="12" defaultRowHeight="15.75"/>
  <cols>
    <col min="1" max="1" width="4.83203125" style="60" customWidth="1"/>
    <col min="2" max="11" width="22.1640625" style="60" customWidth="1"/>
    <col min="12" max="16384" width="12" style="60"/>
  </cols>
  <sheetData>
    <row r="1" spans="2:11" ht="9.9499999999999993" customHeight="1"/>
    <row r="2" spans="2:11" customFormat="1" ht="54.95" customHeight="1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ht="24" customHeight="1"/>
    <row r="4" spans="2:11" ht="42" customHeight="1">
      <c r="B4" s="61" t="s">
        <v>0</v>
      </c>
      <c r="C4" s="62"/>
      <c r="D4" s="62"/>
      <c r="E4" s="62"/>
      <c r="F4" s="62"/>
      <c r="G4" s="62"/>
      <c r="H4" s="62"/>
      <c r="I4" s="62"/>
      <c r="J4" s="62"/>
      <c r="K4" s="62"/>
    </row>
    <row r="5" spans="2:11" ht="1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2"/>
  <sheetViews>
    <sheetView showGridLines="0" zoomScale="90" zoomScaleNormal="90" workbookViewId="0">
      <selection activeCell="C20" sqref="C20"/>
    </sheetView>
  </sheetViews>
  <sheetFormatPr baseColWidth="10" defaultColWidth="9.33203125" defaultRowHeight="12.75"/>
  <cols>
    <col min="1" max="1" width="4" style="4" customWidth="1"/>
    <col min="2" max="2" width="23.5" style="4" customWidth="1"/>
    <col min="3" max="3" width="31.5" style="4" customWidth="1"/>
    <col min="4" max="5" width="27.5" style="4" customWidth="1"/>
    <col min="6" max="6" width="25.1640625" style="4" customWidth="1"/>
    <col min="7" max="9" width="22.33203125" style="4" customWidth="1"/>
    <col min="10" max="10" width="27.33203125" style="4" customWidth="1"/>
    <col min="11" max="11" width="23.5" style="5" customWidth="1"/>
    <col min="12" max="12" width="24.83203125" style="5" customWidth="1"/>
    <col min="13" max="13" width="20.5" style="4" customWidth="1"/>
    <col min="14" max="14" width="20.6640625" style="4" customWidth="1"/>
    <col min="15" max="16384" width="9.33203125" style="4"/>
  </cols>
  <sheetData>
    <row r="1" spans="2:14" ht="15" customHeight="1"/>
    <row r="2" spans="2:14" customFormat="1" ht="54.95" customHeight="1">
      <c r="B2" s="6"/>
      <c r="C2" s="6"/>
      <c r="D2" s="6"/>
      <c r="E2" s="6"/>
      <c r="F2" s="6"/>
      <c r="G2" s="6"/>
      <c r="H2" s="6"/>
      <c r="I2" s="40"/>
      <c r="J2" s="40"/>
      <c r="K2" s="40"/>
      <c r="L2" s="40"/>
    </row>
    <row r="3" spans="2:14" ht="15" customHeight="1"/>
    <row r="4" spans="2:14" ht="15" customHeight="1"/>
    <row r="5" spans="2:14" ht="28.5">
      <c r="B5" s="7" t="s">
        <v>1</v>
      </c>
      <c r="C5" s="7"/>
    </row>
    <row r="6" spans="2:14" ht="28.5">
      <c r="B6" s="8" t="s">
        <v>2</v>
      </c>
      <c r="C6" s="8"/>
      <c r="D6" s="7"/>
      <c r="E6" s="7"/>
      <c r="F6" s="7"/>
      <c r="G6" s="7"/>
      <c r="H6" s="7"/>
      <c r="I6" s="7"/>
      <c r="J6" s="41"/>
      <c r="K6" s="41"/>
      <c r="L6" s="41"/>
      <c r="M6" s="41"/>
      <c r="N6" s="41"/>
    </row>
    <row r="7" spans="2:14" ht="24.75" customHeight="1">
      <c r="J7" s="67" t="s">
        <v>3</v>
      </c>
      <c r="K7" s="68"/>
      <c r="L7" s="69"/>
    </row>
    <row r="8" spans="2:14" s="1" customFormat="1" ht="46.5" customHeight="1" thickBot="1">
      <c r="B8" s="9" t="s">
        <v>4</v>
      </c>
      <c r="C8" s="9" t="s">
        <v>5</v>
      </c>
      <c r="D8" s="9" t="s">
        <v>6</v>
      </c>
      <c r="E8" s="9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42" t="s">
        <v>12</v>
      </c>
      <c r="K8" s="43" t="s">
        <v>13</v>
      </c>
      <c r="L8" s="44" t="s">
        <v>14</v>
      </c>
    </row>
    <row r="9" spans="2:14" s="2" customFormat="1" ht="173.25" customHeight="1" thickBot="1">
      <c r="B9" s="74" t="str">
        <f>[1]Usuario!$D$8</f>
        <v>Computador All in One HP 23.8" Pulgadas Cb1010la - INTEL Core i3 - RAM 8GB - Disco SSD 512GB - Blanco</v>
      </c>
      <c r="C9" s="80">
        <v>1</v>
      </c>
      <c r="D9" s="74">
        <f>[1]Usuario!$E$8</f>
        <v>1799000</v>
      </c>
      <c r="E9" s="74">
        <f>[1]Usuario!$E$9</f>
        <v>1889500</v>
      </c>
      <c r="F9" s="74">
        <f>[1]Usuario!$E$10</f>
        <v>1599900</v>
      </c>
      <c r="G9" s="11"/>
      <c r="H9" s="11"/>
      <c r="I9" s="11"/>
      <c r="J9" s="45">
        <f>MIN(Comparación_precios[[#This Row],[PROVEEDOR 1]:[PROVEEDOR 6]])</f>
        <v>1599900</v>
      </c>
      <c r="K9" s="46">
        <f>IFERROR(AVERAGE(Comparación_precios[[#This Row],[PROVEEDOR 1]:[PROVEEDOR 6]]),0)</f>
        <v>1762800</v>
      </c>
      <c r="L9" s="47">
        <f>MAX(Comparación_precios[[#This Row],[PROVEEDOR 1]:[PROVEEDOR 6]])</f>
        <v>1889500</v>
      </c>
    </row>
    <row r="10" spans="2:14" s="2" customFormat="1" ht="23.25" customHeight="1" thickBot="1">
      <c r="B10" s="12"/>
      <c r="C10" s="76"/>
      <c r="D10" s="12"/>
      <c r="E10" s="12"/>
      <c r="F10" s="12"/>
      <c r="G10" s="11"/>
      <c r="H10" s="11"/>
      <c r="I10" s="11"/>
      <c r="J10" s="45">
        <f>MIN(Comparación_precios[[#This Row],[PROVEEDOR 1]:[PROVEEDOR 6]])</f>
        <v>0</v>
      </c>
      <c r="K10" s="46">
        <f>IFERROR(AVERAGE(Comparación_precios[[#This Row],[PROVEEDOR 1]:[PROVEEDOR 6]]),0)</f>
        <v>0</v>
      </c>
      <c r="L10" s="47">
        <f>MAX(Comparación_precios[[#This Row],[PROVEEDOR 1]:[PROVEEDOR 6]])</f>
        <v>0</v>
      </c>
    </row>
    <row r="11" spans="2:14" s="2" customFormat="1" ht="19.5" thickBot="1">
      <c r="B11" s="12"/>
      <c r="C11" s="76"/>
      <c r="D11" s="12"/>
      <c r="E11" s="12"/>
      <c r="F11" s="12"/>
      <c r="G11" s="11"/>
      <c r="H11" s="11"/>
      <c r="I11" s="11"/>
      <c r="J11" s="45">
        <f>MIN(Comparación_precios[[#This Row],[PROVEEDOR 1]:[PROVEEDOR 6]])</f>
        <v>0</v>
      </c>
      <c r="K11" s="46">
        <f>IFERROR(AVERAGE(Comparación_precios[[#This Row],[PROVEEDOR 1]:[PROVEEDOR 6]]),0)</f>
        <v>0</v>
      </c>
      <c r="L11" s="47">
        <f>MAX(Comparación_precios[[#This Row],[PROVEEDOR 1]:[PROVEEDOR 6]])</f>
        <v>0</v>
      </c>
    </row>
    <row r="12" spans="2:14" s="2" customFormat="1" ht="19.5" thickBot="1">
      <c r="B12" s="78"/>
      <c r="C12" s="76"/>
      <c r="D12" s="12"/>
      <c r="E12" s="12"/>
      <c r="F12" s="12"/>
      <c r="G12" s="11"/>
      <c r="H12" s="11"/>
      <c r="I12" s="11"/>
      <c r="J12" s="45">
        <f>MIN(Comparación_precios[[#This Row],[PROVEEDOR 1]:[PROVEEDOR 6]])</f>
        <v>0</v>
      </c>
      <c r="K12" s="46">
        <f>IFERROR(AVERAGE(Comparación_precios[[#This Row],[PROVEEDOR 1]:[PROVEEDOR 6]]),0)</f>
        <v>0</v>
      </c>
      <c r="L12" s="47">
        <f>MAX(Comparación_precios[[#This Row],[PROVEEDOR 1]:[PROVEEDOR 6]])</f>
        <v>0</v>
      </c>
    </row>
    <row r="13" spans="2:14" s="2" customFormat="1" ht="19.5" thickBot="1">
      <c r="B13" s="12"/>
      <c r="C13" s="76"/>
      <c r="D13" s="12"/>
      <c r="E13" s="12"/>
      <c r="F13" s="12"/>
      <c r="G13" s="11"/>
      <c r="H13" s="11"/>
      <c r="I13" s="11"/>
      <c r="J13" s="45">
        <f>MIN(Comparación_precios[[#This Row],[PROVEEDOR 1]:[PROVEEDOR 6]])</f>
        <v>0</v>
      </c>
      <c r="K13" s="46">
        <f>IFERROR(AVERAGE(Comparación_precios[[#This Row],[PROVEEDOR 1]:[PROVEEDOR 6]]),0)</f>
        <v>0</v>
      </c>
      <c r="L13" s="47">
        <f>MAX(Comparación_precios[[#This Row],[PROVEEDOR 1]:[PROVEEDOR 6]])</f>
        <v>0</v>
      </c>
    </row>
    <row r="14" spans="2:14" s="2" customFormat="1" ht="19.5" thickBot="1">
      <c r="B14" s="12"/>
      <c r="C14" s="76"/>
      <c r="D14" s="12"/>
      <c r="E14" s="12"/>
      <c r="F14" s="79"/>
      <c r="G14" s="11"/>
      <c r="H14" s="11"/>
      <c r="I14" s="11"/>
      <c r="J14" s="48">
        <f>MIN(Comparación_precios[[#This Row],[PROVEEDOR 1]:[PROVEEDOR 6]])</f>
        <v>0</v>
      </c>
      <c r="K14" s="49">
        <f>IFERROR(AVERAGE(Comparación_precios[[#This Row],[PROVEEDOR 1]:[PROVEEDOR 6]]),0)</f>
        <v>0</v>
      </c>
      <c r="L14" s="50">
        <f>MAX(Comparación_precios[[#This Row],[PROVEEDOR 1]:[PROVEEDOR 6]])</f>
        <v>0</v>
      </c>
    </row>
    <row r="15" spans="2:14" s="3" customFormat="1" ht="19.5" thickBot="1">
      <c r="B15" s="74"/>
      <c r="C15" s="80"/>
      <c r="D15" s="74"/>
      <c r="E15" s="74"/>
      <c r="F15" s="74"/>
      <c r="G15" s="13"/>
      <c r="H15" s="13"/>
      <c r="I15" s="13"/>
      <c r="J15" s="48">
        <f>MIN(Comparación_precios[[#This Row],[PROVEEDOR 1]:[PROVEEDOR 6]])</f>
        <v>0</v>
      </c>
      <c r="K15" s="46">
        <f>IFERROR(AVERAGE(Comparación_precios[[#This Row],[PROVEEDOR 1]:[PROVEEDOR 6]]),0)</f>
        <v>0</v>
      </c>
      <c r="L15" s="47">
        <f>MAX(Comparación_precios[[#This Row],[PROVEEDOR 1]:[PROVEEDOR 6]])</f>
        <v>0</v>
      </c>
    </row>
    <row r="16" spans="2:14" s="3" customFormat="1" ht="19.5" thickBot="1">
      <c r="B16" s="74"/>
      <c r="C16" s="80"/>
      <c r="D16" s="74"/>
      <c r="E16" s="74"/>
      <c r="F16" s="74"/>
      <c r="G16" s="13"/>
      <c r="H16" s="13"/>
      <c r="I16" s="13"/>
      <c r="J16" s="48">
        <f>MIN(Comparación_precios[[#This Row],[PROVEEDOR 1]:[PROVEEDOR 6]])</f>
        <v>0</v>
      </c>
      <c r="K16" s="46">
        <f>IFERROR(AVERAGE(Comparación_precios[[#This Row],[PROVEEDOR 1]:[PROVEEDOR 6]]),0)</f>
        <v>0</v>
      </c>
      <c r="L16" s="47">
        <f>MAX(Comparación_precios[[#This Row],[PROVEEDOR 1]:[PROVEEDOR 6]])</f>
        <v>0</v>
      </c>
    </row>
    <row r="17" spans="2:12" s="3" customFormat="1" ht="19.5" thickBot="1">
      <c r="B17" s="81"/>
      <c r="C17" s="82"/>
      <c r="D17" s="81"/>
      <c r="E17" s="83"/>
      <c r="F17" s="83"/>
      <c r="G17" s="13"/>
      <c r="H17" s="13"/>
      <c r="I17" s="13"/>
      <c r="J17" s="48">
        <f>MIN(Comparación_precios[[#This Row],[PROVEEDOR 1]:[PROVEEDOR 6]])</f>
        <v>0</v>
      </c>
      <c r="K17" s="49">
        <f>IFERROR(AVERAGE(Comparación_precios[[#This Row],[PROVEEDOR 1]:[PROVEEDOR 6]]),0)</f>
        <v>0</v>
      </c>
      <c r="L17" s="50">
        <f>MAX(Comparación_precios[[#This Row],[PROVEEDOR 1]:[PROVEEDOR 6]])</f>
        <v>0</v>
      </c>
    </row>
    <row r="18" spans="2:12" s="3" customFormat="1" ht="19.5" thickBot="1">
      <c r="B18" s="18"/>
      <c r="C18" s="16"/>
      <c r="D18" s="17"/>
      <c r="E18" s="17"/>
      <c r="F18" s="17"/>
      <c r="G18" s="17"/>
      <c r="H18" s="18"/>
      <c r="I18" s="51"/>
      <c r="J18" s="48">
        <f>MIN(Comparación_precios[[#This Row],[PROVEEDOR 1]:[PROVEEDOR 6]])</f>
        <v>0</v>
      </c>
      <c r="K18" s="46">
        <f>IFERROR(AVERAGE(Comparación_precios[[#This Row],[PROVEEDOR 1]:[PROVEEDOR 6]]),0)</f>
        <v>0</v>
      </c>
      <c r="L18" s="47">
        <f>MAX(Comparación_precios[[#This Row],[PROVEEDOR 1]:[PROVEEDOR 6]])</f>
        <v>0</v>
      </c>
    </row>
    <row r="19" spans="2:12" s="3" customFormat="1" ht="18.75">
      <c r="B19" s="18"/>
      <c r="C19" s="16"/>
      <c r="D19" s="17"/>
      <c r="E19" s="17"/>
      <c r="F19" s="17"/>
      <c r="G19" s="17"/>
      <c r="H19" s="18"/>
      <c r="I19" s="51"/>
      <c r="J19" s="48">
        <f>MIN(Comparación_precios[[#This Row],[PROVEEDOR 1]:[PROVEEDOR 6]])</f>
        <v>0</v>
      </c>
      <c r="K19" s="46">
        <f>IFERROR(AVERAGE(Comparación_precios[[#This Row],[PROVEEDOR 1]:[PROVEEDOR 6]]),0)</f>
        <v>0</v>
      </c>
      <c r="L19" s="47">
        <f>MAX(Comparación_precios[[#This Row],[PROVEEDOR 1]:[PROVEEDOR 6]])</f>
        <v>0</v>
      </c>
    </row>
    <row r="20" spans="2:12" s="3" customFormat="1" ht="18.75">
      <c r="B20" s="18"/>
      <c r="C20" s="16"/>
      <c r="D20" s="17"/>
      <c r="E20" s="17"/>
      <c r="F20" s="17"/>
      <c r="G20" s="17"/>
      <c r="H20" s="18"/>
      <c r="I20" s="51"/>
      <c r="J20" s="48">
        <f>MIN(Comparación_precios[[#This Row],[PROVEEDOR 1]:[PROVEEDOR 6]])</f>
        <v>0</v>
      </c>
      <c r="K20" s="46">
        <f>IFERROR(AVERAGE(Comparación_precios[[#This Row],[PROVEEDOR 1]:[PROVEEDOR 6]]),0)</f>
        <v>0</v>
      </c>
      <c r="L20" s="47">
        <f>MAX(Comparación_precios[[#This Row],[PROVEEDOR 1]:[PROVEEDOR 6]])</f>
        <v>0</v>
      </c>
    </row>
    <row r="21" spans="2:12" s="3" customFormat="1" ht="18.75">
      <c r="B21" s="18"/>
      <c r="C21" s="16"/>
      <c r="D21" s="17"/>
      <c r="E21" s="17"/>
      <c r="F21" s="17"/>
      <c r="G21" s="17"/>
      <c r="H21" s="18"/>
      <c r="I21" s="51"/>
      <c r="J21" s="48">
        <f>MIN(Comparación_precios[[#This Row],[PROVEEDOR 1]:[PROVEEDOR 6]])</f>
        <v>0</v>
      </c>
      <c r="K21" s="46">
        <f>IFERROR(AVERAGE(Comparación_precios[[#This Row],[PROVEEDOR 1]:[PROVEEDOR 6]]),0)</f>
        <v>0</v>
      </c>
      <c r="L21" s="47">
        <f>MAX(Comparación_precios[[#This Row],[PROVEEDOR 1]:[PROVEEDOR 6]])</f>
        <v>0</v>
      </c>
    </row>
    <row r="22" spans="2:12" s="3" customFormat="1" ht="18.75">
      <c r="B22" s="18"/>
      <c r="C22" s="16"/>
      <c r="D22" s="17"/>
      <c r="E22" s="17"/>
      <c r="F22" s="17"/>
      <c r="G22" s="17"/>
      <c r="H22" s="18"/>
      <c r="I22" s="51"/>
      <c r="J22" s="48">
        <f>MIN(Comparación_precios[[#This Row],[PROVEEDOR 1]:[PROVEEDOR 6]])</f>
        <v>0</v>
      </c>
      <c r="K22" s="46">
        <f>IFERROR(AVERAGE(Comparación_precios[[#This Row],[PROVEEDOR 1]:[PROVEEDOR 6]]),0)</f>
        <v>0</v>
      </c>
      <c r="L22" s="47">
        <f>MAX(Comparación_precios[[#This Row],[PROVEEDOR 1]:[PROVEEDOR 6]])</f>
        <v>0</v>
      </c>
    </row>
    <row r="23" spans="2:12" s="3" customFormat="1" ht="18.75">
      <c r="B23" s="18"/>
      <c r="C23" s="16"/>
      <c r="D23" s="17"/>
      <c r="E23" s="17"/>
      <c r="F23" s="17"/>
      <c r="G23" s="17"/>
      <c r="H23" s="18"/>
      <c r="I23" s="51"/>
      <c r="J23" s="48">
        <f>MIN(Comparación_precios[[#This Row],[PROVEEDOR 1]:[PROVEEDOR 6]])</f>
        <v>0</v>
      </c>
      <c r="K23" s="46">
        <f>IFERROR(AVERAGE(Comparación_precios[[#This Row],[PROVEEDOR 1]:[PROVEEDOR 6]]),0)</f>
        <v>0</v>
      </c>
      <c r="L23" s="47">
        <f>MAX(Comparación_precios[[#This Row],[PROVEEDOR 1]:[PROVEEDOR 6]])</f>
        <v>0</v>
      </c>
    </row>
    <row r="24" spans="2:12" s="3" customFormat="1" ht="19.5" thickBot="1">
      <c r="B24" s="18"/>
      <c r="C24" s="16"/>
      <c r="D24" s="17"/>
      <c r="E24" s="17"/>
      <c r="F24" s="17"/>
      <c r="G24" s="17"/>
      <c r="H24" s="18"/>
      <c r="I24" s="51"/>
      <c r="J24" s="48">
        <f>MIN(Comparación_precios[[#This Row],[PROVEEDOR 1]:[PROVEEDOR 6]])</f>
        <v>0</v>
      </c>
      <c r="K24" s="46">
        <f>IFERROR(AVERAGE(Comparación_precios[[#This Row],[PROVEEDOR 1]:[PROVEEDOR 6]]),0)</f>
        <v>0</v>
      </c>
      <c r="L24" s="47">
        <f>MAX(Comparación_precios[[#This Row],[PROVEEDOR 1]:[PROVEEDOR 6]])</f>
        <v>0</v>
      </c>
    </row>
    <row r="25" spans="2:12" s="3" customFormat="1" ht="19.5" thickBot="1">
      <c r="B25" s="19" t="s">
        <v>15</v>
      </c>
      <c r="C25" s="19"/>
      <c r="D25" s="20">
        <f>ROUND(SUMPRODUCT(Comparación_precios[CANTIDAD],Comparación_precios[PROVEEDOR 1]),2)</f>
        <v>1799000</v>
      </c>
      <c r="E25" s="20">
        <f>ROUND(SUMPRODUCT(Comparación_precios[CANTIDAD],Comparación_precios[PROVEEDOR 2]),2)</f>
        <v>1889500</v>
      </c>
      <c r="F25" s="20">
        <f>ROUND(SUMPRODUCT(Comparación_precios[CANTIDAD],Comparación_precios[PROVEEDOR 3]),2)</f>
        <v>1599900</v>
      </c>
      <c r="G25" s="20">
        <f>ROUND(SUMPRODUCT(Comparación_precios[CANTIDAD],Comparación_precios[PROVEEDOR 4]),2)</f>
        <v>0</v>
      </c>
      <c r="H25" s="20">
        <f>ROUND(SUMPRODUCT(Comparación_precios[CANTIDAD],Comparación_precios[PROVEEDOR 5]),2)</f>
        <v>0</v>
      </c>
      <c r="I25" s="20">
        <f>ROUND(SUMPRODUCT(Comparación_precios[CANTIDAD],Comparación_precios[PROVEEDOR 6]),2)</f>
        <v>0</v>
      </c>
      <c r="J25" s="52"/>
      <c r="K25" s="52"/>
      <c r="L25" s="53"/>
    </row>
    <row r="26" spans="2:12" s="3" customFormat="1">
      <c r="B26" s="4"/>
      <c r="C26" s="4"/>
      <c r="D26" s="4"/>
      <c r="E26" s="4"/>
      <c r="F26" s="4"/>
      <c r="G26" s="4"/>
      <c r="H26" s="4"/>
      <c r="I26" s="4"/>
      <c r="J26" s="4"/>
      <c r="K26" s="5"/>
      <c r="L26" s="5"/>
    </row>
    <row r="27" spans="2:12" s="3" customFormat="1">
      <c r="B27" s="4"/>
      <c r="C27" s="4"/>
      <c r="D27" s="4"/>
      <c r="E27" s="4"/>
      <c r="F27" s="4"/>
      <c r="G27" s="4"/>
      <c r="H27" s="4"/>
      <c r="I27" s="4"/>
      <c r="J27" s="4"/>
      <c r="K27" s="5"/>
      <c r="L27" s="5"/>
    </row>
    <row r="28" spans="2:12" s="3" customFormat="1" ht="48.6" customHeight="1">
      <c r="B28" s="70" t="s">
        <v>16</v>
      </c>
      <c r="C28" s="71"/>
      <c r="D28" s="21"/>
      <c r="E28" s="21"/>
      <c r="F28" s="21"/>
      <c r="G28" s="21"/>
      <c r="H28" s="21"/>
    </row>
    <row r="29" spans="2:12" s="3" customFormat="1" ht="33.6" customHeight="1">
      <c r="B29" s="72" t="s">
        <v>17</v>
      </c>
      <c r="C29" s="73"/>
      <c r="D29" s="63" t="s">
        <v>39</v>
      </c>
      <c r="E29" s="64" t="s">
        <v>40</v>
      </c>
      <c r="F29" s="64" t="s">
        <v>36</v>
      </c>
      <c r="G29" s="23"/>
      <c r="H29" s="23"/>
      <c r="I29" s="23"/>
    </row>
    <row r="30" spans="2:12" s="3" customFormat="1" ht="25.9" customHeight="1">
      <c r="B30" s="72" t="s">
        <v>18</v>
      </c>
      <c r="C30" s="73"/>
      <c r="D30" s="65" t="s">
        <v>26</v>
      </c>
      <c r="E30" s="66" t="s">
        <v>26</v>
      </c>
      <c r="F30" s="66" t="s">
        <v>26</v>
      </c>
      <c r="G30" s="23"/>
      <c r="H30" s="25"/>
      <c r="I30" s="25"/>
    </row>
    <row r="31" spans="2:12" s="3" customFormat="1" ht="18" customHeight="1">
      <c r="B31" s="72" t="s">
        <v>19</v>
      </c>
      <c r="C31" s="73"/>
      <c r="D31" s="26"/>
      <c r="E31" s="27"/>
      <c r="F31" s="27"/>
      <c r="G31" s="27"/>
      <c r="H31" s="27"/>
      <c r="I31" s="27"/>
    </row>
    <row r="32" spans="2:12" s="3" customFormat="1" ht="18.75">
      <c r="B32" s="72"/>
      <c r="C32" s="73"/>
      <c r="D32" s="28" t="str">
        <f>[1]Desarollador!$I$8</f>
        <v>Contado</v>
      </c>
      <c r="E32" s="29" t="str">
        <f>[1]Desarollador!$I$9</f>
        <v>contado</v>
      </c>
      <c r="F32" s="29" t="str">
        <f>[1]Desarollador!$I$10</f>
        <v>contado</v>
      </c>
      <c r="G32" s="29"/>
      <c r="H32" s="29"/>
      <c r="I32" s="29"/>
    </row>
    <row r="33" spans="2:12" s="3" customFormat="1" ht="18.75">
      <c r="B33" s="72"/>
      <c r="C33" s="73"/>
      <c r="D33" s="30" t="str">
        <f>'[1]Office 2021'!$I$8</f>
        <v>Contado</v>
      </c>
      <c r="E33" s="31" t="str">
        <f>'[1]Office 2021'!$I$9</f>
        <v>Contado</v>
      </c>
      <c r="F33" s="31" t="str">
        <f>'[1]Office 2021'!$I$10</f>
        <v>contado</v>
      </c>
      <c r="G33" s="32"/>
      <c r="H33" s="32"/>
      <c r="I33" s="32"/>
    </row>
    <row r="34" spans="2:12" ht="18.75">
      <c r="B34" s="72"/>
      <c r="C34" s="73"/>
      <c r="D34" s="55" t="str">
        <f>[1]hosting!$I$8</f>
        <v>Contado</v>
      </c>
      <c r="E34" s="56" t="str">
        <f>'[1]Office 2021'!$I$9</f>
        <v>Contado</v>
      </c>
      <c r="F34" s="56" t="str">
        <f>'[1]Office 2021'!$I$10</f>
        <v>contado</v>
      </c>
      <c r="G34" s="56"/>
      <c r="H34" s="56"/>
      <c r="I34" s="56"/>
      <c r="J34" s="3"/>
      <c r="K34" s="4"/>
      <c r="L34" s="4"/>
    </row>
    <row r="35" spans="2:12">
      <c r="J35" s="5"/>
      <c r="K35" s="4"/>
      <c r="L35" s="4"/>
    </row>
    <row r="36" spans="2:12">
      <c r="J36" s="5"/>
      <c r="K36" s="4"/>
      <c r="L36" s="4"/>
    </row>
    <row r="37" spans="2:12" ht="18.75">
      <c r="D37" s="35"/>
      <c r="E37" s="35"/>
      <c r="F37" s="36"/>
      <c r="G37" s="37"/>
      <c r="H37" s="38"/>
      <c r="I37" s="35"/>
      <c r="J37" s="5"/>
      <c r="K37" s="4"/>
      <c r="L37" s="4"/>
    </row>
    <row r="38" spans="2:12" ht="18.75">
      <c r="D38" s="35"/>
      <c r="E38" s="35"/>
      <c r="F38" s="36"/>
      <c r="G38" s="39"/>
      <c r="H38" s="38"/>
      <c r="I38" s="35"/>
    </row>
    <row r="39" spans="2:12" ht="18.75">
      <c r="D39" s="35"/>
      <c r="E39" s="35"/>
      <c r="F39" s="36"/>
      <c r="G39" s="39"/>
      <c r="H39" s="38"/>
      <c r="I39" s="35"/>
    </row>
    <row r="40" spans="2:12" ht="18.75">
      <c r="D40" s="35"/>
      <c r="E40" s="35"/>
      <c r="F40" s="36"/>
      <c r="G40" s="39"/>
      <c r="H40" s="38"/>
      <c r="I40" s="35"/>
    </row>
    <row r="41" spans="2:12" ht="18.75">
      <c r="D41" s="35"/>
      <c r="E41" s="35"/>
      <c r="F41" s="36"/>
      <c r="G41" s="39"/>
      <c r="H41" s="38"/>
      <c r="I41" s="35"/>
    </row>
    <row r="42" spans="2:12" ht="18.75">
      <c r="D42" s="35"/>
      <c r="E42" s="35"/>
      <c r="F42" s="36"/>
      <c r="G42" s="39"/>
      <c r="H42" s="38"/>
      <c r="I42" s="3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53" priority="6">
      <formula>AND(B$25=MIN($D$25:$I$25),B$25&lt;&gt;0)</formula>
    </cfRule>
  </conditionalFormatting>
  <conditionalFormatting sqref="D10:D11 D14 D16">
    <cfRule type="expression" dxfId="52" priority="4">
      <formula>AND(D$25=MIN($D$25:$I$25),D$25&lt;&gt;0)</formula>
    </cfRule>
  </conditionalFormatting>
  <conditionalFormatting sqref="D12">
    <cfRule type="expression" dxfId="51" priority="3">
      <formula>AND(D$25=MIN($D$25:$I$25),D$25&lt;&gt;0)</formula>
    </cfRule>
  </conditionalFormatting>
  <conditionalFormatting sqref="D13">
    <cfRule type="expression" dxfId="50" priority="2">
      <formula>AND(D$25=MIN($D$25:$I$25),D$25&lt;&gt;0)</formula>
    </cfRule>
  </conditionalFormatting>
  <conditionalFormatting sqref="D15">
    <cfRule type="expression" dxfId="49" priority="1">
      <formula>AND(D$25=MIN($D$25:$I$25),D$25&lt;&gt;0)</formula>
    </cfRule>
  </conditionalFormatting>
  <pageMargins left="0.7" right="0.7" top="0.75" bottom="0.75" header="0.3" footer="0.3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2DA7-8DE3-4C31-876B-E4804145C2F6}">
  <dimension ref="B1:N42"/>
  <sheetViews>
    <sheetView showGridLines="0" tabSelected="1" zoomScale="90" zoomScaleNormal="90" workbookViewId="0">
      <selection activeCell="G17" sqref="G17"/>
    </sheetView>
  </sheetViews>
  <sheetFormatPr baseColWidth="10" defaultColWidth="9.33203125" defaultRowHeight="12.75"/>
  <cols>
    <col min="1" max="1" width="4" style="4" customWidth="1"/>
    <col min="2" max="2" width="23.5" style="4" customWidth="1"/>
    <col min="3" max="3" width="31.5" style="4" customWidth="1"/>
    <col min="4" max="5" width="27.5" style="4" customWidth="1"/>
    <col min="6" max="6" width="25.1640625" style="4" customWidth="1"/>
    <col min="7" max="9" width="22.33203125" style="4" customWidth="1"/>
    <col min="10" max="10" width="27.33203125" style="4" customWidth="1"/>
    <col min="11" max="11" width="23.5" style="5" customWidth="1"/>
    <col min="12" max="12" width="24.83203125" style="5" customWidth="1"/>
    <col min="13" max="13" width="20.5" style="4" customWidth="1"/>
    <col min="14" max="14" width="20.6640625" style="4" customWidth="1"/>
    <col min="15" max="16384" width="9.33203125" style="4"/>
  </cols>
  <sheetData>
    <row r="1" spans="2:14" ht="15" customHeight="1"/>
    <row r="2" spans="2:14" customFormat="1" ht="54.95" customHeight="1">
      <c r="B2" s="6"/>
      <c r="C2" s="6"/>
      <c r="D2" s="6"/>
      <c r="E2" s="6"/>
      <c r="F2" s="6"/>
      <c r="G2" s="6"/>
      <c r="H2" s="6"/>
      <c r="I2" s="40"/>
      <c r="J2" s="40"/>
      <c r="K2" s="40"/>
      <c r="L2" s="40"/>
    </row>
    <row r="3" spans="2:14" ht="15" customHeight="1"/>
    <row r="4" spans="2:14" ht="15" customHeight="1"/>
    <row r="5" spans="2:14" ht="28.5">
      <c r="B5" s="7" t="s">
        <v>1</v>
      </c>
      <c r="C5" s="7"/>
    </row>
    <row r="6" spans="2:14" ht="29.25" thickBot="1">
      <c r="B6" s="8" t="s">
        <v>2</v>
      </c>
      <c r="C6" s="8"/>
      <c r="D6" s="7"/>
      <c r="E6" s="7"/>
      <c r="F6" s="7"/>
      <c r="G6" s="7"/>
      <c r="H6" s="7"/>
      <c r="I6" s="7"/>
      <c r="J6" s="41"/>
      <c r="K6" s="41"/>
      <c r="L6" s="41"/>
      <c r="M6" s="41"/>
      <c r="N6" s="41"/>
    </row>
    <row r="7" spans="2:14" ht="24.75" customHeight="1" thickBot="1">
      <c r="J7" s="67" t="s">
        <v>3</v>
      </c>
      <c r="K7" s="68"/>
      <c r="L7" s="69"/>
    </row>
    <row r="8" spans="2:14" s="1" customFormat="1" ht="46.5" customHeight="1" thickBot="1">
      <c r="B8" s="9" t="s">
        <v>4</v>
      </c>
      <c r="C8" s="9" t="s">
        <v>5</v>
      </c>
      <c r="D8" s="9" t="s">
        <v>6</v>
      </c>
      <c r="E8" s="9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42" t="s">
        <v>12</v>
      </c>
      <c r="K8" s="43" t="s">
        <v>13</v>
      </c>
      <c r="L8" s="44" t="s">
        <v>14</v>
      </c>
    </row>
    <row r="9" spans="2:14" s="2" customFormat="1" ht="173.25" customHeight="1" thickBot="1">
      <c r="B9" s="74" t="str">
        <f>'[1]Recursos humanos'!$D$10</f>
        <v>Usuario Computación: Avanzado
Modelo Procesador: Intel® Core™ i3-1215U
Capacidad Memoria RAM: 8 GB
Capacidad Disco Duro: 512 GB SSD</v>
      </c>
      <c r="C9" s="80">
        <v>1</v>
      </c>
      <c r="D9" s="74">
        <f>'[1]Recursos humanos'!$E$10</f>
        <v>1699000</v>
      </c>
      <c r="E9" s="74">
        <f>'[1]Recursos humanos'!$E$9</f>
        <v>1749000</v>
      </c>
      <c r="F9" s="74">
        <f>'[1]Recursos humanos'!$E$8</f>
        <v>1799000</v>
      </c>
      <c r="G9" s="11"/>
      <c r="H9" s="11"/>
      <c r="I9" s="11"/>
      <c r="J9" s="45">
        <f>MIN(Comparación_precios4[[#This Row],[PROVEEDOR 1]:[PROVEEDOR 6]])</f>
        <v>1699000</v>
      </c>
      <c r="K9" s="46">
        <f>IFERROR(AVERAGE(Comparación_precios4[[#This Row],[PROVEEDOR 1]:[PROVEEDOR 6]]),0)</f>
        <v>1749000</v>
      </c>
      <c r="L9" s="47">
        <f>MAX(Comparación_precios4[[#This Row],[PROVEEDOR 1]:[PROVEEDOR 6]])</f>
        <v>1799000</v>
      </c>
    </row>
    <row r="10" spans="2:14" s="2" customFormat="1" ht="23.25" customHeight="1" thickBot="1">
      <c r="B10" s="12"/>
      <c r="C10" s="76"/>
      <c r="D10" s="12"/>
      <c r="E10" s="12"/>
      <c r="F10" s="12"/>
      <c r="G10" s="11"/>
      <c r="H10" s="11"/>
      <c r="I10" s="11"/>
      <c r="J10" s="45">
        <f>MIN(Comparación_precios4[[#This Row],[PROVEEDOR 1]:[PROVEEDOR 6]])</f>
        <v>0</v>
      </c>
      <c r="K10" s="46">
        <f>IFERROR(AVERAGE(Comparación_precios4[[#This Row],[PROVEEDOR 1]:[PROVEEDOR 6]]),0)</f>
        <v>0</v>
      </c>
      <c r="L10" s="47">
        <f>MAX(Comparación_precios4[[#This Row],[PROVEEDOR 1]:[PROVEEDOR 6]])</f>
        <v>0</v>
      </c>
    </row>
    <row r="11" spans="2:14" s="2" customFormat="1" ht="19.5" thickBot="1">
      <c r="B11" s="12"/>
      <c r="C11" s="76"/>
      <c r="D11" s="12"/>
      <c r="E11" s="12"/>
      <c r="F11" s="12"/>
      <c r="G11" s="11"/>
      <c r="H11" s="11"/>
      <c r="I11" s="11"/>
      <c r="J11" s="45">
        <f>MIN(Comparación_precios4[[#This Row],[PROVEEDOR 1]:[PROVEEDOR 6]])</f>
        <v>0</v>
      </c>
      <c r="K11" s="46">
        <f>IFERROR(AVERAGE(Comparación_precios4[[#This Row],[PROVEEDOR 1]:[PROVEEDOR 6]]),0)</f>
        <v>0</v>
      </c>
      <c r="L11" s="47">
        <f>MAX(Comparación_precios4[[#This Row],[PROVEEDOR 1]:[PROVEEDOR 6]])</f>
        <v>0</v>
      </c>
    </row>
    <row r="12" spans="2:14" s="2" customFormat="1" ht="19.5" thickBot="1">
      <c r="B12" s="84"/>
      <c r="C12" s="76"/>
      <c r="D12" s="12"/>
      <c r="E12" s="12"/>
      <c r="F12" s="12"/>
      <c r="G12" s="11"/>
      <c r="H12" s="11"/>
      <c r="I12" s="11"/>
      <c r="J12" s="45">
        <f>MIN(Comparación_precios4[[#This Row],[PROVEEDOR 1]:[PROVEEDOR 6]])</f>
        <v>0</v>
      </c>
      <c r="K12" s="46">
        <f>IFERROR(AVERAGE(Comparación_precios4[[#This Row],[PROVEEDOR 1]:[PROVEEDOR 6]]),0)</f>
        <v>0</v>
      </c>
      <c r="L12" s="47">
        <f>MAX(Comparación_precios4[[#This Row],[PROVEEDOR 1]:[PROVEEDOR 6]])</f>
        <v>0</v>
      </c>
    </row>
    <row r="13" spans="2:14" s="2" customFormat="1" ht="19.5" thickBot="1">
      <c r="B13" s="12"/>
      <c r="C13" s="76"/>
      <c r="D13" s="12"/>
      <c r="E13" s="12"/>
      <c r="F13" s="12"/>
      <c r="G13" s="11"/>
      <c r="H13" s="11"/>
      <c r="I13" s="11"/>
      <c r="J13" s="45">
        <f>MIN(Comparación_precios4[[#This Row],[PROVEEDOR 1]:[PROVEEDOR 6]])</f>
        <v>0</v>
      </c>
      <c r="K13" s="46">
        <f>IFERROR(AVERAGE(Comparación_precios4[[#This Row],[PROVEEDOR 1]:[PROVEEDOR 6]]),0)</f>
        <v>0</v>
      </c>
      <c r="L13" s="47">
        <f>MAX(Comparación_precios4[[#This Row],[PROVEEDOR 1]:[PROVEEDOR 6]])</f>
        <v>0</v>
      </c>
    </row>
    <row r="14" spans="2:14" s="2" customFormat="1" ht="19.5" thickBot="1">
      <c r="B14" s="12"/>
      <c r="C14" s="76"/>
      <c r="D14" s="12"/>
      <c r="E14" s="12"/>
      <c r="F14" s="79"/>
      <c r="G14" s="11"/>
      <c r="H14" s="11"/>
      <c r="I14" s="11"/>
      <c r="J14" s="48">
        <f>MIN(Comparación_precios4[[#This Row],[PROVEEDOR 1]:[PROVEEDOR 6]])</f>
        <v>0</v>
      </c>
      <c r="K14" s="49">
        <f>IFERROR(AVERAGE(Comparación_precios4[[#This Row],[PROVEEDOR 1]:[PROVEEDOR 6]]),0)</f>
        <v>0</v>
      </c>
      <c r="L14" s="50">
        <f>MAX(Comparación_precios4[[#This Row],[PROVEEDOR 1]:[PROVEEDOR 6]])</f>
        <v>0</v>
      </c>
    </row>
    <row r="15" spans="2:14" s="3" customFormat="1" ht="19.5" thickBot="1">
      <c r="B15" s="74"/>
      <c r="C15" s="80"/>
      <c r="D15" s="74"/>
      <c r="E15" s="74"/>
      <c r="F15" s="74"/>
      <c r="G15" s="13"/>
      <c r="H15" s="13"/>
      <c r="I15" s="13"/>
      <c r="J15" s="48">
        <f>MIN(Comparación_precios4[[#This Row],[PROVEEDOR 1]:[PROVEEDOR 6]])</f>
        <v>0</v>
      </c>
      <c r="K15" s="46">
        <f>IFERROR(AVERAGE(Comparación_precios4[[#This Row],[PROVEEDOR 1]:[PROVEEDOR 6]]),0)</f>
        <v>0</v>
      </c>
      <c r="L15" s="47">
        <f>MAX(Comparación_precios4[[#This Row],[PROVEEDOR 1]:[PROVEEDOR 6]])</f>
        <v>0</v>
      </c>
    </row>
    <row r="16" spans="2:14" s="3" customFormat="1" ht="19.5" thickBot="1">
      <c r="B16" s="74"/>
      <c r="C16" s="80"/>
      <c r="D16" s="74"/>
      <c r="E16" s="74"/>
      <c r="F16" s="74"/>
      <c r="G16" s="13"/>
      <c r="H16" s="13"/>
      <c r="I16" s="13"/>
      <c r="J16" s="48">
        <f>MIN(Comparación_precios4[[#This Row],[PROVEEDOR 1]:[PROVEEDOR 6]])</f>
        <v>0</v>
      </c>
      <c r="K16" s="46">
        <f>IFERROR(AVERAGE(Comparación_precios4[[#This Row],[PROVEEDOR 1]:[PROVEEDOR 6]]),0)</f>
        <v>0</v>
      </c>
      <c r="L16" s="47">
        <f>MAX(Comparación_precios4[[#This Row],[PROVEEDOR 1]:[PROVEEDOR 6]])</f>
        <v>0</v>
      </c>
    </row>
    <row r="17" spans="2:12" s="3" customFormat="1" ht="19.5" thickBot="1">
      <c r="B17" s="81"/>
      <c r="C17" s="82"/>
      <c r="D17" s="81"/>
      <c r="E17" s="83"/>
      <c r="F17" s="83"/>
      <c r="G17" s="13"/>
      <c r="H17" s="13"/>
      <c r="I17" s="13"/>
      <c r="J17" s="48">
        <f>MIN(Comparación_precios4[[#This Row],[PROVEEDOR 1]:[PROVEEDOR 6]])</f>
        <v>0</v>
      </c>
      <c r="K17" s="49">
        <f>IFERROR(AVERAGE(Comparación_precios4[[#This Row],[PROVEEDOR 1]:[PROVEEDOR 6]]),0)</f>
        <v>0</v>
      </c>
      <c r="L17" s="50">
        <f>MAX(Comparación_precios4[[#This Row],[PROVEEDOR 1]:[PROVEEDOR 6]])</f>
        <v>0</v>
      </c>
    </row>
    <row r="18" spans="2:12" s="3" customFormat="1" ht="19.5" thickBot="1">
      <c r="B18" s="18"/>
      <c r="C18" s="16"/>
      <c r="D18" s="17"/>
      <c r="E18" s="17"/>
      <c r="F18" s="17"/>
      <c r="G18" s="17"/>
      <c r="H18" s="18"/>
      <c r="I18" s="51"/>
      <c r="J18" s="48">
        <f>MIN(Comparación_precios4[[#This Row],[PROVEEDOR 1]:[PROVEEDOR 6]])</f>
        <v>0</v>
      </c>
      <c r="K18" s="46">
        <f>IFERROR(AVERAGE(Comparación_precios4[[#This Row],[PROVEEDOR 1]:[PROVEEDOR 6]]),0)</f>
        <v>0</v>
      </c>
      <c r="L18" s="47">
        <f>MAX(Comparación_precios4[[#This Row],[PROVEEDOR 1]:[PROVEEDOR 6]])</f>
        <v>0</v>
      </c>
    </row>
    <row r="19" spans="2:12" s="3" customFormat="1" ht="19.5" thickBot="1">
      <c r="B19" s="18"/>
      <c r="C19" s="16"/>
      <c r="D19" s="17"/>
      <c r="E19" s="17"/>
      <c r="F19" s="17"/>
      <c r="G19" s="17"/>
      <c r="H19" s="18"/>
      <c r="I19" s="51"/>
      <c r="J19" s="48">
        <f>MIN(Comparación_precios4[[#This Row],[PROVEEDOR 1]:[PROVEEDOR 6]])</f>
        <v>0</v>
      </c>
      <c r="K19" s="46">
        <f>IFERROR(AVERAGE(Comparación_precios4[[#This Row],[PROVEEDOR 1]:[PROVEEDOR 6]]),0)</f>
        <v>0</v>
      </c>
      <c r="L19" s="47">
        <f>MAX(Comparación_precios4[[#This Row],[PROVEEDOR 1]:[PROVEEDOR 6]])</f>
        <v>0</v>
      </c>
    </row>
    <row r="20" spans="2:12" s="3" customFormat="1" ht="19.5" thickBot="1">
      <c r="B20" s="18"/>
      <c r="C20" s="16"/>
      <c r="D20" s="17"/>
      <c r="E20" s="17"/>
      <c r="F20" s="17"/>
      <c r="G20" s="17"/>
      <c r="H20" s="18"/>
      <c r="I20" s="51"/>
      <c r="J20" s="48">
        <f>MIN(Comparación_precios4[[#This Row],[PROVEEDOR 1]:[PROVEEDOR 6]])</f>
        <v>0</v>
      </c>
      <c r="K20" s="46">
        <f>IFERROR(AVERAGE(Comparación_precios4[[#This Row],[PROVEEDOR 1]:[PROVEEDOR 6]]),0)</f>
        <v>0</v>
      </c>
      <c r="L20" s="47">
        <f>MAX(Comparación_precios4[[#This Row],[PROVEEDOR 1]:[PROVEEDOR 6]])</f>
        <v>0</v>
      </c>
    </row>
    <row r="21" spans="2:12" s="3" customFormat="1" ht="19.5" thickBot="1">
      <c r="B21" s="18"/>
      <c r="C21" s="16"/>
      <c r="D21" s="17"/>
      <c r="E21" s="17"/>
      <c r="F21" s="17"/>
      <c r="G21" s="17"/>
      <c r="H21" s="18"/>
      <c r="I21" s="51"/>
      <c r="J21" s="48">
        <f>MIN(Comparación_precios4[[#This Row],[PROVEEDOR 1]:[PROVEEDOR 6]])</f>
        <v>0</v>
      </c>
      <c r="K21" s="46">
        <f>IFERROR(AVERAGE(Comparación_precios4[[#This Row],[PROVEEDOR 1]:[PROVEEDOR 6]]),0)</f>
        <v>0</v>
      </c>
      <c r="L21" s="47">
        <f>MAX(Comparación_precios4[[#This Row],[PROVEEDOR 1]:[PROVEEDOR 6]])</f>
        <v>0</v>
      </c>
    </row>
    <row r="22" spans="2:12" s="3" customFormat="1" ht="19.5" thickBot="1">
      <c r="B22" s="18"/>
      <c r="C22" s="16"/>
      <c r="D22" s="17"/>
      <c r="E22" s="17"/>
      <c r="F22" s="17"/>
      <c r="G22" s="17"/>
      <c r="H22" s="18"/>
      <c r="I22" s="51"/>
      <c r="J22" s="48">
        <f>MIN(Comparación_precios4[[#This Row],[PROVEEDOR 1]:[PROVEEDOR 6]])</f>
        <v>0</v>
      </c>
      <c r="K22" s="46">
        <f>IFERROR(AVERAGE(Comparación_precios4[[#This Row],[PROVEEDOR 1]:[PROVEEDOR 6]]),0)</f>
        <v>0</v>
      </c>
      <c r="L22" s="47">
        <f>MAX(Comparación_precios4[[#This Row],[PROVEEDOR 1]:[PROVEEDOR 6]])</f>
        <v>0</v>
      </c>
    </row>
    <row r="23" spans="2:12" s="3" customFormat="1" ht="19.5" thickBot="1">
      <c r="B23" s="18"/>
      <c r="C23" s="16"/>
      <c r="D23" s="17"/>
      <c r="E23" s="17"/>
      <c r="F23" s="17"/>
      <c r="G23" s="17"/>
      <c r="H23" s="18"/>
      <c r="I23" s="51"/>
      <c r="J23" s="48">
        <f>MIN(Comparación_precios4[[#This Row],[PROVEEDOR 1]:[PROVEEDOR 6]])</f>
        <v>0</v>
      </c>
      <c r="K23" s="46">
        <f>IFERROR(AVERAGE(Comparación_precios4[[#This Row],[PROVEEDOR 1]:[PROVEEDOR 6]]),0)</f>
        <v>0</v>
      </c>
      <c r="L23" s="47">
        <f>MAX(Comparación_precios4[[#This Row],[PROVEEDOR 1]:[PROVEEDOR 6]])</f>
        <v>0</v>
      </c>
    </row>
    <row r="24" spans="2:12" s="3" customFormat="1" ht="19.5" thickBot="1">
      <c r="B24" s="18"/>
      <c r="C24" s="16"/>
      <c r="D24" s="17"/>
      <c r="E24" s="17"/>
      <c r="F24" s="17"/>
      <c r="G24" s="17"/>
      <c r="H24" s="18"/>
      <c r="I24" s="51"/>
      <c r="J24" s="48">
        <f>MIN(Comparación_precios4[[#This Row],[PROVEEDOR 1]:[PROVEEDOR 6]])</f>
        <v>0</v>
      </c>
      <c r="K24" s="46">
        <f>IFERROR(AVERAGE(Comparación_precios4[[#This Row],[PROVEEDOR 1]:[PROVEEDOR 6]]),0)</f>
        <v>0</v>
      </c>
      <c r="L24" s="47">
        <f>MAX(Comparación_precios4[[#This Row],[PROVEEDOR 1]:[PROVEEDOR 6]])</f>
        <v>0</v>
      </c>
    </row>
    <row r="25" spans="2:12" s="3" customFormat="1" ht="19.5" thickBot="1">
      <c r="B25" s="19" t="s">
        <v>15</v>
      </c>
      <c r="C25" s="19"/>
      <c r="D25" s="20">
        <f>ROUND(SUMPRODUCT(Comparación_precios4[CANTIDAD],Comparación_precios4[PROVEEDOR 1]),2)</f>
        <v>1699000</v>
      </c>
      <c r="E25" s="20">
        <f>ROUND(SUMPRODUCT(Comparación_precios4[CANTIDAD],Comparación_precios4[PROVEEDOR 2]),2)</f>
        <v>1749000</v>
      </c>
      <c r="F25" s="20">
        <f>ROUND(SUMPRODUCT(Comparación_precios4[CANTIDAD],Comparación_precios4[PROVEEDOR 3]),2)</f>
        <v>1799000</v>
      </c>
      <c r="G25" s="20">
        <f>ROUND(SUMPRODUCT(Comparación_precios4[CANTIDAD],Comparación_precios4[PROVEEDOR 4]),2)</f>
        <v>0</v>
      </c>
      <c r="H25" s="20">
        <f>ROUND(SUMPRODUCT(Comparación_precios4[CANTIDAD],Comparación_precios4[PROVEEDOR 5]),2)</f>
        <v>0</v>
      </c>
      <c r="I25" s="20">
        <f>ROUND(SUMPRODUCT(Comparación_precios4[CANTIDAD],Comparación_precios4[PROVEEDOR 6]),2)</f>
        <v>0</v>
      </c>
      <c r="J25" s="52"/>
      <c r="K25" s="52"/>
      <c r="L25" s="53"/>
    </row>
    <row r="26" spans="2:12" s="3" customFormat="1">
      <c r="B26" s="4"/>
      <c r="C26" s="4"/>
      <c r="D26" s="4"/>
      <c r="E26" s="4"/>
      <c r="F26" s="4"/>
      <c r="G26" s="4"/>
      <c r="H26" s="4"/>
      <c r="I26" s="4"/>
      <c r="J26" s="4"/>
      <c r="K26" s="5"/>
      <c r="L26" s="5"/>
    </row>
    <row r="27" spans="2:12" s="3" customFormat="1" ht="13.5" thickBot="1">
      <c r="B27" s="4"/>
      <c r="C27" s="4"/>
      <c r="D27" s="4"/>
      <c r="E27" s="4"/>
      <c r="F27" s="4"/>
      <c r="G27" s="4"/>
      <c r="H27" s="4"/>
      <c r="I27" s="4"/>
      <c r="J27" s="4"/>
      <c r="K27" s="5"/>
      <c r="L27" s="5"/>
    </row>
    <row r="28" spans="2:12" s="3" customFormat="1" ht="48.6" customHeight="1">
      <c r="B28" s="70" t="s">
        <v>16</v>
      </c>
      <c r="C28" s="71"/>
      <c r="D28" s="21"/>
      <c r="E28" s="21"/>
      <c r="F28" s="21"/>
      <c r="G28" s="21"/>
      <c r="H28" s="21"/>
    </row>
    <row r="29" spans="2:12" s="3" customFormat="1" ht="33.6" customHeight="1">
      <c r="B29" s="72" t="s">
        <v>17</v>
      </c>
      <c r="C29" s="73"/>
      <c r="D29" s="63" t="s">
        <v>39</v>
      </c>
      <c r="E29" s="64" t="s">
        <v>40</v>
      </c>
      <c r="F29" s="64" t="s">
        <v>36</v>
      </c>
      <c r="G29" s="23"/>
      <c r="H29" s="23"/>
      <c r="I29" s="23"/>
    </row>
    <row r="30" spans="2:12" s="3" customFormat="1" ht="25.9" customHeight="1">
      <c r="B30" s="72" t="s">
        <v>18</v>
      </c>
      <c r="C30" s="73"/>
      <c r="D30" s="65" t="s">
        <v>26</v>
      </c>
      <c r="E30" s="66" t="s">
        <v>26</v>
      </c>
      <c r="F30" s="66" t="s">
        <v>26</v>
      </c>
      <c r="G30" s="23"/>
      <c r="H30" s="25"/>
      <c r="I30" s="25"/>
    </row>
    <row r="31" spans="2:12" s="3" customFormat="1" ht="18" customHeight="1">
      <c r="B31" s="72" t="s">
        <v>19</v>
      </c>
      <c r="C31" s="73"/>
      <c r="D31" s="26"/>
      <c r="E31" s="27"/>
      <c r="F31" s="27"/>
      <c r="G31" s="27"/>
      <c r="H31" s="27"/>
      <c r="I31" s="27"/>
    </row>
    <row r="32" spans="2:12" s="3" customFormat="1" ht="18.75">
      <c r="B32" s="72"/>
      <c r="C32" s="73"/>
      <c r="D32" s="28" t="str">
        <f>[1]Desarollador!$I$8</f>
        <v>Contado</v>
      </c>
      <c r="E32" s="29" t="str">
        <f>[1]Desarollador!$I$9</f>
        <v>contado</v>
      </c>
      <c r="F32" s="29" t="str">
        <f>[1]Desarollador!$I$10</f>
        <v>contado</v>
      </c>
      <c r="G32" s="29"/>
      <c r="H32" s="29"/>
      <c r="I32" s="29"/>
    </row>
    <row r="33" spans="2:12" s="3" customFormat="1" ht="18.75">
      <c r="B33" s="72"/>
      <c r="C33" s="73"/>
      <c r="D33" s="30" t="str">
        <f>'[1]Office 2021'!$I$8</f>
        <v>Contado</v>
      </c>
      <c r="E33" s="31" t="str">
        <f>'[1]Office 2021'!$I$9</f>
        <v>Contado</v>
      </c>
      <c r="F33" s="31" t="str">
        <f>'[1]Office 2021'!$I$10</f>
        <v>contado</v>
      </c>
      <c r="G33" s="32"/>
      <c r="H33" s="32"/>
      <c r="I33" s="32"/>
    </row>
    <row r="34" spans="2:12" ht="18.75">
      <c r="B34" s="72"/>
      <c r="C34" s="73"/>
      <c r="D34" s="55" t="str">
        <f>[1]hosting!$I$8</f>
        <v>Contado</v>
      </c>
      <c r="E34" s="56" t="str">
        <f>'[1]Office 2021'!$I$9</f>
        <v>Contado</v>
      </c>
      <c r="F34" s="56" t="str">
        <f>'[1]Office 2021'!$I$10</f>
        <v>contado</v>
      </c>
      <c r="G34" s="56"/>
      <c r="H34" s="56"/>
      <c r="I34" s="56"/>
      <c r="J34" s="3"/>
      <c r="K34" s="4"/>
      <c r="L34" s="4"/>
    </row>
    <row r="35" spans="2:12">
      <c r="J35" s="5"/>
      <c r="K35" s="4"/>
      <c r="L35" s="4"/>
    </row>
    <row r="36" spans="2:12">
      <c r="J36" s="5"/>
      <c r="K36" s="4"/>
      <c r="L36" s="4"/>
    </row>
    <row r="37" spans="2:12" ht="18.75">
      <c r="D37" s="35"/>
      <c r="E37" s="35"/>
      <c r="F37" s="36"/>
      <c r="G37" s="37"/>
      <c r="H37" s="38"/>
      <c r="I37" s="35"/>
      <c r="J37" s="5"/>
      <c r="K37" s="4"/>
      <c r="L37" s="4"/>
    </row>
    <row r="38" spans="2:12" ht="18.75">
      <c r="D38" s="35"/>
      <c r="E38" s="35"/>
      <c r="F38" s="36"/>
      <c r="G38" s="39"/>
      <c r="H38" s="38"/>
      <c r="I38" s="35"/>
    </row>
    <row r="39" spans="2:12" ht="18.75">
      <c r="D39" s="35"/>
      <c r="E39" s="35"/>
      <c r="F39" s="36"/>
      <c r="G39" s="39"/>
      <c r="H39" s="38"/>
      <c r="I39" s="35"/>
    </row>
    <row r="40" spans="2:12" ht="18.75">
      <c r="D40" s="35"/>
      <c r="E40" s="35"/>
      <c r="F40" s="36"/>
      <c r="G40" s="39"/>
      <c r="H40" s="38"/>
      <c r="I40" s="35"/>
    </row>
    <row r="41" spans="2:12" ht="18.75">
      <c r="D41" s="35"/>
      <c r="E41" s="35"/>
      <c r="F41" s="36"/>
      <c r="G41" s="39"/>
      <c r="H41" s="38"/>
      <c r="I41" s="35"/>
    </row>
    <row r="42" spans="2:12" ht="18.75">
      <c r="D42" s="35"/>
      <c r="E42" s="35"/>
      <c r="F42" s="36"/>
      <c r="G42" s="39"/>
      <c r="H42" s="38"/>
      <c r="I42" s="3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26" priority="5">
      <formula>AND(B$25=MIN($D$25:$I$25),B$25&lt;&gt;0)</formula>
    </cfRule>
  </conditionalFormatting>
  <conditionalFormatting sqref="D10:D11 D14 D16">
    <cfRule type="expression" dxfId="25" priority="4">
      <formula>AND(D$25=MIN($D$25:$I$25),D$25&lt;&gt;0)</formula>
    </cfRule>
  </conditionalFormatting>
  <conditionalFormatting sqref="D12">
    <cfRule type="expression" dxfId="24" priority="3">
      <formula>AND(D$25=MIN($D$25:$I$25),D$25&lt;&gt;0)</formula>
    </cfRule>
  </conditionalFormatting>
  <conditionalFormatting sqref="D13">
    <cfRule type="expression" dxfId="23" priority="2">
      <formula>AND(D$25=MIN($D$25:$I$25),D$25&lt;&gt;0)</formula>
    </cfRule>
  </conditionalFormatting>
  <conditionalFormatting sqref="D15">
    <cfRule type="expression" dxfId="22" priority="1">
      <formula>AND(D$25=MIN($D$25:$I$25),D$25&lt;&gt;0)</formula>
    </cfRule>
  </conditionalFormatting>
  <pageMargins left="0.7" right="0.7" top="0.75" bottom="0.75" header="0.3" footer="0.3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7AAC-DC0C-43D2-A239-BF5FCF59A2DF}">
  <dimension ref="B1:N42"/>
  <sheetViews>
    <sheetView showGridLines="0" topLeftCell="A19" zoomScale="90" zoomScaleNormal="90" workbookViewId="0">
      <selection activeCell="G11" sqref="G11"/>
    </sheetView>
  </sheetViews>
  <sheetFormatPr baseColWidth="10" defaultColWidth="9.33203125" defaultRowHeight="12.75"/>
  <cols>
    <col min="1" max="1" width="4" style="4" customWidth="1"/>
    <col min="2" max="2" width="23.5" style="4" customWidth="1"/>
    <col min="3" max="3" width="31.5" style="4" customWidth="1"/>
    <col min="4" max="5" width="27.5" style="4" customWidth="1"/>
    <col min="6" max="6" width="25.1640625" style="4" customWidth="1"/>
    <col min="7" max="9" width="22.33203125" style="4" customWidth="1"/>
    <col min="10" max="10" width="27.33203125" style="4" customWidth="1"/>
    <col min="11" max="11" width="23.5" style="5" customWidth="1"/>
    <col min="12" max="12" width="24.83203125" style="5" customWidth="1"/>
    <col min="13" max="13" width="20.5" style="4" customWidth="1"/>
    <col min="14" max="14" width="20.6640625" style="4" customWidth="1"/>
    <col min="15" max="16384" width="9.33203125" style="4"/>
  </cols>
  <sheetData>
    <row r="1" spans="2:14" ht="15" customHeight="1"/>
    <row r="2" spans="2:14" customFormat="1" ht="54.95" customHeight="1">
      <c r="B2" s="6"/>
      <c r="C2" s="6"/>
      <c r="D2" s="6"/>
      <c r="E2" s="6"/>
      <c r="F2" s="6"/>
      <c r="G2" s="6"/>
      <c r="H2" s="6"/>
      <c r="I2" s="40"/>
      <c r="J2" s="40"/>
      <c r="K2" s="40"/>
      <c r="L2" s="40"/>
    </row>
    <row r="3" spans="2:14" ht="15" customHeight="1"/>
    <row r="4" spans="2:14" ht="15" customHeight="1"/>
    <row r="5" spans="2:14" ht="28.5">
      <c r="B5" s="7" t="s">
        <v>1</v>
      </c>
      <c r="C5" s="7"/>
    </row>
    <row r="6" spans="2:14" ht="29.25" thickBot="1">
      <c r="B6" s="8" t="s">
        <v>2</v>
      </c>
      <c r="C6" s="8"/>
      <c r="D6" s="7"/>
      <c r="E6" s="7"/>
      <c r="F6" s="7"/>
      <c r="G6" s="7"/>
      <c r="H6" s="7"/>
      <c r="I6" s="7"/>
      <c r="J6" s="41"/>
      <c r="K6" s="41"/>
      <c r="L6" s="41"/>
      <c r="M6" s="41"/>
      <c r="N6" s="41"/>
    </row>
    <row r="7" spans="2:14" ht="24.75" customHeight="1" thickBot="1">
      <c r="J7" s="67" t="s">
        <v>3</v>
      </c>
      <c r="K7" s="68"/>
      <c r="L7" s="69"/>
    </row>
    <row r="8" spans="2:14" s="1" customFormat="1" ht="46.5" customHeight="1" thickBot="1">
      <c r="B8" s="9" t="s">
        <v>4</v>
      </c>
      <c r="C8" s="9" t="s">
        <v>5</v>
      </c>
      <c r="D8" s="9" t="s">
        <v>6</v>
      </c>
      <c r="E8" s="9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42" t="s">
        <v>12</v>
      </c>
      <c r="K8" s="43" t="s">
        <v>13</v>
      </c>
      <c r="L8" s="44" t="s">
        <v>14</v>
      </c>
    </row>
    <row r="9" spans="2:14" s="2" customFormat="1" ht="25.5" customHeight="1" thickBot="1">
      <c r="B9" s="75" t="str">
        <f>[1]Desarollador!$D$8</f>
        <v xml:space="preserve">Ryzen 7
NVIDIA RTX 4060
</v>
      </c>
      <c r="C9" s="76">
        <v>1</v>
      </c>
      <c r="D9" s="77">
        <f>[1]Desarollador!$H$8</f>
        <v>5605000</v>
      </c>
      <c r="E9" s="77">
        <f>[1]Desarollador!$H$9</f>
        <v>5583433.4709999999</v>
      </c>
      <c r="F9" s="12">
        <f>[1]Desarollador!$H$10</f>
        <v>4709500</v>
      </c>
      <c r="G9" s="11"/>
      <c r="H9" s="11"/>
      <c r="I9" s="11"/>
      <c r="J9" s="45">
        <f>MIN(Comparación_precios2[[#This Row],[PROVEEDOR 1]:[PROVEEDOR 6]])</f>
        <v>4709500</v>
      </c>
      <c r="K9" s="46">
        <f>IFERROR(AVERAGE(Comparación_precios2[[#This Row],[PROVEEDOR 1]:[PROVEEDOR 6]]),0)</f>
        <v>5299311.1570000006</v>
      </c>
      <c r="L9" s="47">
        <f>MAX(Comparación_precios2[[#This Row],[PROVEEDOR 1]:[PROVEEDOR 6]])</f>
        <v>5605000</v>
      </c>
    </row>
    <row r="10" spans="2:14" s="2" customFormat="1" ht="23.25" customHeight="1" thickBot="1">
      <c r="B10" s="12" t="str">
        <f>[1]Teclados!$D$8</f>
        <v>Logitech K380, Teclado Multi-dispositivo Bluetooth Color del teclado Grafito Idioma Español</v>
      </c>
      <c r="C10" s="76">
        <v>1</v>
      </c>
      <c r="D10" s="12">
        <f>[1]Teclados!$H$8</f>
        <v>139000</v>
      </c>
      <c r="E10" s="12">
        <f>[1]Teclados!$H$9</f>
        <v>174741.16</v>
      </c>
      <c r="F10" s="12">
        <f>[1]Teclados!$H$10</f>
        <v>175000</v>
      </c>
      <c r="G10" s="11"/>
      <c r="H10" s="11"/>
      <c r="I10" s="11"/>
      <c r="J10" s="45">
        <f>MIN(Comparación_precios2[[#This Row],[PROVEEDOR 1]:[PROVEEDOR 6]])</f>
        <v>139000</v>
      </c>
      <c r="K10" s="46">
        <f>IFERROR(AVERAGE(Comparación_precios2[[#This Row],[PROVEEDOR 1]:[PROVEEDOR 6]]),0)</f>
        <v>162913.72</v>
      </c>
      <c r="L10" s="47">
        <f>MAX(Comparación_precios2[[#This Row],[PROVEEDOR 1]:[PROVEEDOR 6]])</f>
        <v>175000</v>
      </c>
    </row>
    <row r="11" spans="2:14" s="2" customFormat="1" ht="94.5" thickBot="1">
      <c r="B11" s="12" t="str">
        <f>[1]mouses!$D$8</f>
        <v xml:space="preserve">Mouse Alambrico Genius Dx-120 Usb Negro Usb
</v>
      </c>
      <c r="C11" s="76">
        <v>1</v>
      </c>
      <c r="D11" s="12">
        <f>[1]mouses!$H$8</f>
        <v>15300</v>
      </c>
      <c r="E11" s="12">
        <f>[1]mouses!$H$9</f>
        <v>15000</v>
      </c>
      <c r="F11" s="12">
        <f>[1]mouses!$H$10</f>
        <v>13000</v>
      </c>
      <c r="G11" s="11"/>
      <c r="H11" s="11"/>
      <c r="I11" s="11"/>
      <c r="J11" s="45">
        <f>MIN(Comparación_precios2[[#This Row],[PROVEEDOR 1]:[PROVEEDOR 6]])</f>
        <v>13000</v>
      </c>
      <c r="K11" s="46">
        <f>IFERROR(AVERAGE(Comparación_precios2[[#This Row],[PROVEEDOR 1]:[PROVEEDOR 6]]),0)</f>
        <v>14433.333333333334</v>
      </c>
      <c r="L11" s="47">
        <f>MAX(Comparación_precios2[[#This Row],[PROVEEDOR 1]:[PROVEEDOR 6]])</f>
        <v>15300</v>
      </c>
    </row>
    <row r="12" spans="2:14" s="2" customFormat="1" ht="187.5" thickBot="1">
      <c r="B12" s="78" t="str">
        <f>[1]Monitores!$D$8</f>
        <v>Acer KB272 EBI Monitor de oficina para juegos de marco cero IPS Full HD (1920 x 1080) de 27 pulgadas | Tecnología AMD FreeSync | Actualización de hasta 100 Hz | 1 ms (VRB) | Luz azul baja |</v>
      </c>
      <c r="C12" s="76">
        <v>2</v>
      </c>
      <c r="D12" s="12">
        <f>[1]Monitores!$H$8</f>
        <v>390960.89999999997</v>
      </c>
      <c r="E12" s="12">
        <f>[1]Monitores!$H$9</f>
        <v>1973900</v>
      </c>
      <c r="F12" s="12">
        <f>[1]Monitores!$H$10</f>
        <v>1025900</v>
      </c>
      <c r="G12" s="11"/>
      <c r="H12" s="11"/>
      <c r="I12" s="11"/>
      <c r="J12" s="45">
        <f>MIN(Comparación_precios2[[#This Row],[PROVEEDOR 1]:[PROVEEDOR 6]])</f>
        <v>390960.89999999997</v>
      </c>
      <c r="K12" s="46">
        <f>IFERROR(AVERAGE(Comparación_precios2[[#This Row],[PROVEEDOR 1]:[PROVEEDOR 6]]),0)</f>
        <v>1130253.6333333333</v>
      </c>
      <c r="L12" s="47">
        <f>MAX(Comparación_precios2[[#This Row],[PROVEEDOR 1]:[PROVEEDOR 6]])</f>
        <v>1973900</v>
      </c>
    </row>
    <row r="13" spans="2:14" s="2" customFormat="1" ht="38.25" thickBot="1">
      <c r="B13" s="12" t="str">
        <f>[1]Windows!$D$8</f>
        <v>Windows 10 Pro Key Original</v>
      </c>
      <c r="C13" s="76">
        <v>1</v>
      </c>
      <c r="D13" s="12">
        <f>[1]Windows!$H$8</f>
        <v>43000</v>
      </c>
      <c r="E13" s="12">
        <f>[1]Windows!$H$9</f>
        <v>55900</v>
      </c>
      <c r="F13" s="12">
        <f>[1]Windows!$H$10</f>
        <v>79700</v>
      </c>
      <c r="G13" s="11"/>
      <c r="H13" s="11"/>
      <c r="I13" s="11"/>
      <c r="J13" s="45">
        <f>MIN(Comparación_precios2[[#This Row],[PROVEEDOR 1]:[PROVEEDOR 6]])</f>
        <v>43000</v>
      </c>
      <c r="K13" s="46">
        <f>IFERROR(AVERAGE(Comparación_precios2[[#This Row],[PROVEEDOR 1]:[PROVEEDOR 6]]),0)</f>
        <v>59533.333333333336</v>
      </c>
      <c r="L13" s="47">
        <f>MAX(Comparación_precios2[[#This Row],[PROVEEDOR 1]:[PROVEEDOR 6]])</f>
        <v>79700</v>
      </c>
    </row>
    <row r="14" spans="2:14" s="2" customFormat="1" ht="409.6" thickBot="1">
      <c r="B14" s="12" t="str">
        <f>'[1]Office 2021'!$D$8</f>
        <v>Microsoft 365 Personal
Por año
MS WordMS ExcelMS PowerPointMS DefenderMS OneDriveMS OutlookMS EditorMS ClipchampMS OneNote
Para una persona
Inicia sesión en cinco dispositivos simultáneamente
Úsalo en PC, Mac, teléfonos y tabletas
1 TB de almacenamiento en la nube
Aplicaciones con características exclusivas y acceso sin conexión
Seguridad para los datos y los dispositivos
Correo electrónico seguro sin anuncios
Comprar ahora</v>
      </c>
      <c r="C14" s="76">
        <v>1</v>
      </c>
      <c r="D14" s="12">
        <f>'[1]Office 2021'!$H$8</f>
        <v>259999</v>
      </c>
      <c r="E14" s="12">
        <f>'[1]Office 2021'!$H$9</f>
        <v>86900</v>
      </c>
      <c r="F14" s="79">
        <f>'[1]Office 2021'!$H$10</f>
        <v>129700</v>
      </c>
      <c r="G14" s="11"/>
      <c r="H14" s="11"/>
      <c r="I14" s="11"/>
      <c r="J14" s="48">
        <f>MIN(Comparación_precios2[[#This Row],[PROVEEDOR 1]:[PROVEEDOR 6]])</f>
        <v>86900</v>
      </c>
      <c r="K14" s="49">
        <f>IFERROR(AVERAGE(Comparación_precios2[[#This Row],[PROVEEDOR 1]:[PROVEEDOR 6]]),0)</f>
        <v>158866.33333333334</v>
      </c>
      <c r="L14" s="50">
        <f>MAX(Comparación_precios2[[#This Row],[PROVEEDOR 1]:[PROVEEDOR 6]])</f>
        <v>259999</v>
      </c>
    </row>
    <row r="15" spans="2:14" s="3" customFormat="1" ht="409.6" thickBot="1">
      <c r="B15" s="74" t="str">
        <f>[1]hosting!$D$8</f>
        <v>Cloud Startup 
Rendimiento máximo (hasta 10x)
300 sitios web
200 GB de almacenamiento NVMe
Copias de seguridad diarias (valor:CO$ 71.148)
SSL ilimitado gratis
Ancho de banda ilimitado
Email gratis
Dominio gratis (CO$ 41.900)
CDN Gratis
IP dedicada</v>
      </c>
      <c r="C15" s="80">
        <v>1</v>
      </c>
      <c r="D15" s="74">
        <f>[1]hosting!$H$8</f>
        <v>118800</v>
      </c>
      <c r="E15" s="74">
        <f>[1]hosting!$H$9</f>
        <v>300000</v>
      </c>
      <c r="F15" s="74">
        <f>[1]hosting!$H$10</f>
        <v>264000</v>
      </c>
      <c r="G15" s="13"/>
      <c r="H15" s="13"/>
      <c r="I15" s="13"/>
      <c r="J15" s="48">
        <f>MIN(Comparación_precios2[[#This Row],[PROVEEDOR 1]:[PROVEEDOR 6]])</f>
        <v>118800</v>
      </c>
      <c r="K15" s="46">
        <f>IFERROR(AVERAGE(Comparación_precios2[[#This Row],[PROVEEDOR 1]:[PROVEEDOR 6]]),0)</f>
        <v>227600</v>
      </c>
      <c r="L15" s="47">
        <f>MAX(Comparación_precios2[[#This Row],[PROVEEDOR 1]:[PROVEEDOR 6]])</f>
        <v>300000</v>
      </c>
    </row>
    <row r="16" spans="2:14" s="3" customFormat="1" ht="75.75" thickBot="1">
      <c r="B16" s="74" t="str">
        <f>'[1]Visual Studio Profesional'!$D$8</f>
        <v>Suscripción a Visual Studio Professional (nueva)</v>
      </c>
      <c r="C16" s="80">
        <v>1</v>
      </c>
      <c r="D16" s="74">
        <f>'[1]Visual Studio Profesional'!$H$8</f>
        <v>5042042</v>
      </c>
      <c r="E16" s="74">
        <f>'[1]Visual Studio Profesional'!$H$9</f>
        <v>977750</v>
      </c>
      <c r="F16" s="74">
        <f>'[1]Visual Studio Profesional'!$H$10</f>
        <v>2099099</v>
      </c>
      <c r="G16" s="13"/>
      <c r="H16" s="13"/>
      <c r="I16" s="13"/>
      <c r="J16" s="48">
        <f>MIN(Comparación_precios2[[#This Row],[PROVEEDOR 1]:[PROVEEDOR 6]])</f>
        <v>977750</v>
      </c>
      <c r="K16" s="46">
        <f>IFERROR(AVERAGE(Comparación_precios2[[#This Row],[PROVEEDOR 1]:[PROVEEDOR 6]]),0)</f>
        <v>2706297</v>
      </c>
      <c r="L16" s="47">
        <f>MAX(Comparación_precios2[[#This Row],[PROVEEDOR 1]:[PROVEEDOR 6]])</f>
        <v>5042042</v>
      </c>
    </row>
    <row r="17" spans="2:12" s="3" customFormat="1" ht="19.5" thickBot="1">
      <c r="B17" s="74"/>
      <c r="C17" s="14"/>
      <c r="D17" s="13"/>
      <c r="E17" s="13"/>
      <c r="F17" s="13"/>
      <c r="G17" s="13"/>
      <c r="H17" s="13"/>
      <c r="I17" s="13"/>
      <c r="J17" s="48">
        <f>MIN(Comparación_precios2[[#This Row],[PROVEEDOR 1]:[PROVEEDOR 6]])</f>
        <v>0</v>
      </c>
      <c r="K17" s="49">
        <f>IFERROR(AVERAGE(Comparación_precios2[[#This Row],[PROVEEDOR 1]:[PROVEEDOR 6]]),0)</f>
        <v>0</v>
      </c>
      <c r="L17" s="50">
        <f>MAX(Comparación_precios2[[#This Row],[PROVEEDOR 1]:[PROVEEDOR 6]])</f>
        <v>0</v>
      </c>
    </row>
    <row r="18" spans="2:12" s="3" customFormat="1" ht="19.5" thickBot="1">
      <c r="B18" s="18"/>
      <c r="C18" s="16"/>
      <c r="D18" s="17"/>
      <c r="E18" s="17"/>
      <c r="F18" s="17"/>
      <c r="G18" s="17"/>
      <c r="H18" s="18"/>
      <c r="I18" s="51"/>
      <c r="J18" s="48">
        <f>MIN(Comparación_precios2[[#This Row],[PROVEEDOR 1]:[PROVEEDOR 6]])</f>
        <v>0</v>
      </c>
      <c r="K18" s="46">
        <f>IFERROR(AVERAGE(Comparación_precios2[[#This Row],[PROVEEDOR 1]:[PROVEEDOR 6]]),0)</f>
        <v>0</v>
      </c>
      <c r="L18" s="47">
        <f>MAX(Comparación_precios2[[#This Row],[PROVEEDOR 1]:[PROVEEDOR 6]])</f>
        <v>0</v>
      </c>
    </row>
    <row r="19" spans="2:12" s="3" customFormat="1" ht="19.5" thickBot="1">
      <c r="B19" s="18"/>
      <c r="C19" s="16"/>
      <c r="D19" s="17"/>
      <c r="E19" s="17"/>
      <c r="F19" s="17"/>
      <c r="G19" s="17"/>
      <c r="H19" s="18"/>
      <c r="I19" s="51"/>
      <c r="J19" s="48">
        <f>MIN(Comparación_precios2[[#This Row],[PROVEEDOR 1]:[PROVEEDOR 6]])</f>
        <v>0</v>
      </c>
      <c r="K19" s="46">
        <f>IFERROR(AVERAGE(Comparación_precios2[[#This Row],[PROVEEDOR 1]:[PROVEEDOR 6]]),0)</f>
        <v>0</v>
      </c>
      <c r="L19" s="47">
        <f>MAX(Comparación_precios2[[#This Row],[PROVEEDOR 1]:[PROVEEDOR 6]])</f>
        <v>0</v>
      </c>
    </row>
    <row r="20" spans="2:12" s="3" customFormat="1" ht="19.5" thickBot="1">
      <c r="B20" s="18"/>
      <c r="C20" s="16"/>
      <c r="D20" s="17"/>
      <c r="E20" s="17"/>
      <c r="F20" s="17"/>
      <c r="G20" s="17"/>
      <c r="H20" s="18"/>
      <c r="I20" s="51"/>
      <c r="J20" s="48">
        <f>MIN(Comparación_precios2[[#This Row],[PROVEEDOR 1]:[PROVEEDOR 6]])</f>
        <v>0</v>
      </c>
      <c r="K20" s="46">
        <f>IFERROR(AVERAGE(Comparación_precios2[[#This Row],[PROVEEDOR 1]:[PROVEEDOR 6]]),0)</f>
        <v>0</v>
      </c>
      <c r="L20" s="47">
        <f>MAX(Comparación_precios2[[#This Row],[PROVEEDOR 1]:[PROVEEDOR 6]])</f>
        <v>0</v>
      </c>
    </row>
    <row r="21" spans="2:12" s="3" customFormat="1" ht="19.5" thickBot="1">
      <c r="B21" s="18"/>
      <c r="C21" s="16"/>
      <c r="D21" s="17"/>
      <c r="E21" s="17"/>
      <c r="F21" s="17"/>
      <c r="G21" s="17"/>
      <c r="H21" s="18"/>
      <c r="I21" s="51"/>
      <c r="J21" s="48">
        <f>MIN(Comparación_precios2[[#This Row],[PROVEEDOR 1]:[PROVEEDOR 6]])</f>
        <v>0</v>
      </c>
      <c r="K21" s="46">
        <f>IFERROR(AVERAGE(Comparación_precios2[[#This Row],[PROVEEDOR 1]:[PROVEEDOR 6]]),0)</f>
        <v>0</v>
      </c>
      <c r="L21" s="47">
        <f>MAX(Comparación_precios2[[#This Row],[PROVEEDOR 1]:[PROVEEDOR 6]])</f>
        <v>0</v>
      </c>
    </row>
    <row r="22" spans="2:12" s="3" customFormat="1" ht="19.5" thickBot="1">
      <c r="B22" s="18"/>
      <c r="C22" s="16"/>
      <c r="D22" s="17"/>
      <c r="E22" s="17"/>
      <c r="F22" s="17"/>
      <c r="G22" s="17"/>
      <c r="H22" s="18"/>
      <c r="I22" s="51"/>
      <c r="J22" s="48">
        <f>MIN(Comparación_precios2[[#This Row],[PROVEEDOR 1]:[PROVEEDOR 6]])</f>
        <v>0</v>
      </c>
      <c r="K22" s="46">
        <f>IFERROR(AVERAGE(Comparación_precios2[[#This Row],[PROVEEDOR 1]:[PROVEEDOR 6]]),0)</f>
        <v>0</v>
      </c>
      <c r="L22" s="47">
        <f>MAX(Comparación_precios2[[#This Row],[PROVEEDOR 1]:[PROVEEDOR 6]])</f>
        <v>0</v>
      </c>
    </row>
    <row r="23" spans="2:12" s="3" customFormat="1" ht="19.5" thickBot="1">
      <c r="B23" s="18"/>
      <c r="C23" s="16"/>
      <c r="D23" s="17"/>
      <c r="E23" s="17"/>
      <c r="F23" s="17"/>
      <c r="G23" s="17"/>
      <c r="H23" s="18"/>
      <c r="I23" s="51"/>
      <c r="J23" s="48">
        <f>MIN(Comparación_precios2[[#This Row],[PROVEEDOR 1]:[PROVEEDOR 6]])</f>
        <v>0</v>
      </c>
      <c r="K23" s="46">
        <f>IFERROR(AVERAGE(Comparación_precios2[[#This Row],[PROVEEDOR 1]:[PROVEEDOR 6]]),0)</f>
        <v>0</v>
      </c>
      <c r="L23" s="47">
        <f>MAX(Comparación_precios2[[#This Row],[PROVEEDOR 1]:[PROVEEDOR 6]])</f>
        <v>0</v>
      </c>
    </row>
    <row r="24" spans="2:12" s="3" customFormat="1" ht="19.5" thickBot="1">
      <c r="B24" s="18"/>
      <c r="C24" s="16"/>
      <c r="D24" s="17"/>
      <c r="E24" s="17"/>
      <c r="F24" s="17"/>
      <c r="G24" s="17"/>
      <c r="H24" s="18"/>
      <c r="I24" s="51"/>
      <c r="J24" s="48">
        <f>MIN(Comparación_precios2[[#This Row],[PROVEEDOR 1]:[PROVEEDOR 6]])</f>
        <v>0</v>
      </c>
      <c r="K24" s="46">
        <f>IFERROR(AVERAGE(Comparación_precios2[[#This Row],[PROVEEDOR 1]:[PROVEEDOR 6]]),0)</f>
        <v>0</v>
      </c>
      <c r="L24" s="47">
        <f>MAX(Comparación_precios2[[#This Row],[PROVEEDOR 1]:[PROVEEDOR 6]])</f>
        <v>0</v>
      </c>
    </row>
    <row r="25" spans="2:12" s="3" customFormat="1" ht="19.5" thickBot="1">
      <c r="B25" s="19" t="s">
        <v>15</v>
      </c>
      <c r="C25" s="19"/>
      <c r="D25" s="20">
        <f>ROUND(SUMPRODUCT(Comparación_precios2[CANTIDAD],Comparación_precios2[PROVEEDOR 1]),2)</f>
        <v>12005062.800000001</v>
      </c>
      <c r="E25" s="20">
        <f>ROUND(SUMPRODUCT(Comparación_precios2[CANTIDAD],Comparación_precios2[PROVEEDOR 2]),2)</f>
        <v>11141524.630000001</v>
      </c>
      <c r="F25" s="20">
        <f>ROUND(SUMPRODUCT(Comparación_precios2[CANTIDAD],Comparación_precios2[PROVEEDOR 3]),2)</f>
        <v>9521799</v>
      </c>
      <c r="G25" s="20">
        <f>ROUND(SUMPRODUCT(Comparación_precios2[CANTIDAD],Comparación_precios2[PROVEEDOR 4]),2)</f>
        <v>0</v>
      </c>
      <c r="H25" s="20">
        <f>ROUND(SUMPRODUCT(Comparación_precios2[CANTIDAD],Comparación_precios2[PROVEEDOR 5]),2)</f>
        <v>0</v>
      </c>
      <c r="I25" s="20">
        <f>ROUND(SUMPRODUCT(Comparación_precios2[CANTIDAD],Comparación_precios2[PROVEEDOR 6]),2)</f>
        <v>0</v>
      </c>
      <c r="J25" s="52"/>
      <c r="K25" s="52"/>
      <c r="L25" s="53"/>
    </row>
    <row r="26" spans="2:12" s="3" customFormat="1">
      <c r="B26" s="4"/>
      <c r="C26" s="4"/>
      <c r="D26" s="4"/>
      <c r="E26" s="4"/>
      <c r="F26" s="4"/>
      <c r="G26" s="4"/>
      <c r="H26" s="4"/>
      <c r="I26" s="4"/>
      <c r="J26" s="4"/>
      <c r="K26" s="5"/>
      <c r="L26" s="5"/>
    </row>
    <row r="27" spans="2:12" s="3" customFormat="1" ht="13.5" thickBot="1">
      <c r="B27" s="4"/>
      <c r="C27" s="4"/>
      <c r="D27" s="4"/>
      <c r="E27" s="4"/>
      <c r="F27" s="4"/>
      <c r="G27" s="4"/>
      <c r="H27" s="4"/>
      <c r="I27" s="4"/>
      <c r="J27" s="4"/>
      <c r="K27" s="5"/>
      <c r="L27" s="5"/>
    </row>
    <row r="28" spans="2:12" s="3" customFormat="1" ht="48.6" customHeight="1">
      <c r="B28" s="70" t="s">
        <v>16</v>
      </c>
      <c r="C28" s="71"/>
      <c r="D28" s="21"/>
      <c r="E28" s="21"/>
      <c r="F28" s="21"/>
      <c r="G28" s="21"/>
      <c r="H28" s="21"/>
    </row>
    <row r="29" spans="2:12" s="3" customFormat="1" ht="33.6" customHeight="1">
      <c r="B29" s="72" t="s">
        <v>17</v>
      </c>
      <c r="C29" s="73"/>
      <c r="D29" s="63" t="s">
        <v>39</v>
      </c>
      <c r="E29" s="64" t="s">
        <v>40</v>
      </c>
      <c r="F29" s="64" t="s">
        <v>36</v>
      </c>
      <c r="G29" s="23"/>
      <c r="H29" s="23"/>
      <c r="I29" s="23"/>
    </row>
    <row r="30" spans="2:12" s="3" customFormat="1" ht="25.9" customHeight="1">
      <c r="B30" s="72" t="s">
        <v>18</v>
      </c>
      <c r="C30" s="73"/>
      <c r="D30" s="65" t="s">
        <v>26</v>
      </c>
      <c r="E30" s="66" t="s">
        <v>26</v>
      </c>
      <c r="F30" s="66" t="s">
        <v>26</v>
      </c>
      <c r="G30" s="23"/>
      <c r="H30" s="25"/>
      <c r="I30" s="25"/>
    </row>
    <row r="31" spans="2:12" s="3" customFormat="1" ht="18" customHeight="1">
      <c r="B31" s="72" t="s">
        <v>19</v>
      </c>
      <c r="C31" s="73"/>
      <c r="D31" s="26"/>
      <c r="E31" s="27"/>
      <c r="F31" s="27"/>
      <c r="G31" s="27"/>
      <c r="H31" s="27"/>
      <c r="I31" s="27"/>
    </row>
    <row r="32" spans="2:12" s="3" customFormat="1" ht="18.75">
      <c r="B32" s="72"/>
      <c r="C32" s="73"/>
      <c r="D32" s="28" t="str">
        <f>[1]Desarollador!$I$8</f>
        <v>Contado</v>
      </c>
      <c r="E32" s="29" t="str">
        <f>[1]Desarollador!$I$9</f>
        <v>contado</v>
      </c>
      <c r="F32" s="29" t="str">
        <f>[1]Desarollador!$I$10</f>
        <v>contado</v>
      </c>
      <c r="G32" s="29"/>
      <c r="H32" s="29"/>
      <c r="I32" s="29"/>
    </row>
    <row r="33" spans="2:12" s="3" customFormat="1" ht="18.75">
      <c r="B33" s="72"/>
      <c r="C33" s="73"/>
      <c r="D33" s="30" t="str">
        <f>'[1]Office 2021'!$I$8</f>
        <v>Contado</v>
      </c>
      <c r="E33" s="31" t="str">
        <f>'[1]Office 2021'!$I$9</f>
        <v>Contado</v>
      </c>
      <c r="F33" s="31" t="str">
        <f>'[1]Office 2021'!$I$10</f>
        <v>contado</v>
      </c>
      <c r="G33" s="32"/>
      <c r="H33" s="32"/>
      <c r="I33" s="32"/>
    </row>
    <row r="34" spans="2:12" ht="18.75">
      <c r="B34" s="72"/>
      <c r="C34" s="73"/>
      <c r="D34" s="55" t="str">
        <f>[1]hosting!$I$8</f>
        <v>Contado</v>
      </c>
      <c r="E34" s="56" t="str">
        <f>'[1]Office 2021'!$I$9</f>
        <v>Contado</v>
      </c>
      <c r="F34" s="56" t="str">
        <f>'[1]Office 2021'!$I$10</f>
        <v>contado</v>
      </c>
      <c r="G34" s="56"/>
      <c r="H34" s="56"/>
      <c r="I34" s="56"/>
      <c r="J34" s="3"/>
      <c r="K34" s="4"/>
      <c r="L34" s="4"/>
    </row>
    <row r="35" spans="2:12">
      <c r="J35" s="5"/>
      <c r="K35" s="4"/>
      <c r="L35" s="4"/>
    </row>
    <row r="36" spans="2:12">
      <c r="J36" s="5"/>
      <c r="K36" s="4"/>
      <c r="L36" s="4"/>
    </row>
    <row r="37" spans="2:12" ht="18.75">
      <c r="D37" s="35"/>
      <c r="E37" s="35"/>
      <c r="F37" s="36"/>
      <c r="G37" s="37"/>
      <c r="H37" s="38"/>
      <c r="I37" s="35"/>
      <c r="J37" s="5"/>
      <c r="K37" s="4"/>
      <c r="L37" s="4"/>
    </row>
    <row r="38" spans="2:12" ht="18.75">
      <c r="D38" s="35"/>
      <c r="E38" s="35"/>
      <c r="F38" s="36"/>
      <c r="G38" s="39"/>
      <c r="H38" s="38"/>
      <c r="I38" s="35"/>
    </row>
    <row r="39" spans="2:12" ht="18.75">
      <c r="D39" s="35"/>
      <c r="E39" s="35"/>
      <c r="F39" s="36"/>
      <c r="G39" s="39"/>
      <c r="H39" s="38"/>
      <c r="I39" s="35"/>
    </row>
    <row r="40" spans="2:12" ht="18.75">
      <c r="D40" s="35"/>
      <c r="E40" s="35"/>
      <c r="F40" s="36"/>
      <c r="G40" s="39"/>
      <c r="H40" s="38"/>
      <c r="I40" s="35"/>
    </row>
    <row r="41" spans="2:12" ht="18.75">
      <c r="D41" s="35"/>
      <c r="E41" s="35"/>
      <c r="F41" s="36"/>
      <c r="G41" s="39"/>
      <c r="H41" s="38"/>
      <c r="I41" s="35"/>
    </row>
    <row r="42" spans="2:12" ht="18.75">
      <c r="D42" s="35"/>
      <c r="E42" s="35"/>
      <c r="F42" s="36"/>
      <c r="G42" s="39"/>
      <c r="H42" s="38"/>
      <c r="I42" s="3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48" priority="5">
      <formula>AND(B$25=MIN($D$25:$I$25),B$25&lt;&gt;0)</formula>
    </cfRule>
  </conditionalFormatting>
  <conditionalFormatting sqref="D10:D11 D14 D16">
    <cfRule type="expression" dxfId="47" priority="4">
      <formula>AND(D$25=MIN($D$25:$I$25),D$25&lt;&gt;0)</formula>
    </cfRule>
  </conditionalFormatting>
  <conditionalFormatting sqref="D12">
    <cfRule type="expression" dxfId="46" priority="3">
      <formula>AND(D$25=MIN($D$25:$I$25),D$25&lt;&gt;0)</formula>
    </cfRule>
  </conditionalFormatting>
  <conditionalFormatting sqref="D13">
    <cfRule type="expression" dxfId="45" priority="2">
      <formula>AND(D$25=MIN($D$25:$I$25),D$25&lt;&gt;0)</formula>
    </cfRule>
  </conditionalFormatting>
  <conditionalFormatting sqref="D15">
    <cfRule type="expression" dxfId="44" priority="1">
      <formula>AND(D$25=MIN($D$25:$I$25),D$25&lt;&gt;0)</formula>
    </cfRule>
  </conditionalFormatting>
  <pageMargins left="0.7" right="0.7" top="0.75" bottom="0.75" header="0.3" footer="0.3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I41"/>
  <sheetViews>
    <sheetView topLeftCell="A6" workbookViewId="0">
      <selection activeCell="B28" sqref="B28:I30"/>
    </sheetView>
  </sheetViews>
  <sheetFormatPr baseColWidth="10" defaultColWidth="12" defaultRowHeight="11.25"/>
  <cols>
    <col min="2" max="2" width="19.83203125" customWidth="1"/>
    <col min="4" max="9" width="18.5" customWidth="1"/>
  </cols>
  <sheetData>
    <row r="7" spans="2:9" ht="18.75">
      <c r="B7" s="13" t="s">
        <v>20</v>
      </c>
      <c r="C7" s="14">
        <v>1</v>
      </c>
      <c r="D7" s="13">
        <v>498</v>
      </c>
      <c r="E7" s="13">
        <v>420</v>
      </c>
      <c r="F7" s="13">
        <v>450</v>
      </c>
      <c r="G7" s="13">
        <v>230</v>
      </c>
      <c r="H7" s="13">
        <v>600</v>
      </c>
      <c r="I7" s="13">
        <v>520</v>
      </c>
    </row>
    <row r="8" spans="2:9" ht="18.75">
      <c r="B8" s="13" t="s">
        <v>21</v>
      </c>
      <c r="C8" s="14">
        <v>2</v>
      </c>
      <c r="D8" s="13">
        <v>450</v>
      </c>
      <c r="E8" s="13">
        <v>220</v>
      </c>
      <c r="F8" s="13">
        <v>405</v>
      </c>
      <c r="G8" s="13">
        <v>495</v>
      </c>
      <c r="H8" s="13">
        <v>540</v>
      </c>
      <c r="I8" s="13">
        <v>200</v>
      </c>
    </row>
    <row r="9" spans="2:9" ht="18.75">
      <c r="B9" s="13" t="s">
        <v>22</v>
      </c>
      <c r="C9" s="14">
        <v>2</v>
      </c>
      <c r="D9" s="13">
        <v>650</v>
      </c>
      <c r="E9" s="13">
        <v>620</v>
      </c>
      <c r="F9" s="13">
        <v>666</v>
      </c>
      <c r="G9" s="13">
        <v>400</v>
      </c>
      <c r="H9" s="13">
        <v>648</v>
      </c>
      <c r="I9" s="13">
        <v>452.4</v>
      </c>
    </row>
    <row r="10" spans="2:9" ht="18.75">
      <c r="B10" s="13" t="s">
        <v>23</v>
      </c>
      <c r="C10" s="14">
        <v>1</v>
      </c>
      <c r="D10" s="13">
        <v>585</v>
      </c>
      <c r="E10" s="13">
        <v>558</v>
      </c>
      <c r="F10" s="13">
        <v>320</v>
      </c>
      <c r="G10" s="13">
        <v>360</v>
      </c>
      <c r="H10" s="13">
        <v>583.20000000000005</v>
      </c>
      <c r="I10" s="13">
        <v>407.16</v>
      </c>
    </row>
    <row r="11" spans="2:9" ht="18.75">
      <c r="B11" s="13" t="s">
        <v>24</v>
      </c>
      <c r="C11" s="14">
        <v>3</v>
      </c>
      <c r="D11" s="13">
        <v>526.5</v>
      </c>
      <c r="E11" s="13">
        <v>502.2</v>
      </c>
      <c r="F11" s="13">
        <v>539.46</v>
      </c>
      <c r="G11" s="13">
        <v>300</v>
      </c>
      <c r="H11" s="13">
        <v>500</v>
      </c>
      <c r="I11" s="13">
        <v>366.44</v>
      </c>
    </row>
    <row r="12" spans="2:9" ht="18.75">
      <c r="B12" s="13" t="s">
        <v>25</v>
      </c>
      <c r="C12" s="14">
        <v>1</v>
      </c>
      <c r="D12" s="13">
        <v>473.8</v>
      </c>
      <c r="E12" s="13">
        <v>200</v>
      </c>
      <c r="F12" s="13">
        <v>485.51</v>
      </c>
      <c r="G12" s="13">
        <v>291.60000000000002</v>
      </c>
      <c r="H12" s="13">
        <v>270</v>
      </c>
      <c r="I12" s="13">
        <v>220</v>
      </c>
    </row>
    <row r="19" spans="2:9" ht="18.75">
      <c r="D19" s="22">
        <v>30</v>
      </c>
      <c r="E19" s="23">
        <v>10</v>
      </c>
      <c r="F19" s="23">
        <v>15</v>
      </c>
      <c r="G19" s="23">
        <v>15</v>
      </c>
      <c r="H19" s="23">
        <v>15</v>
      </c>
      <c r="I19" s="23">
        <v>10</v>
      </c>
    </row>
    <row r="20" spans="2:9" ht="18.75">
      <c r="D20" s="24">
        <v>10</v>
      </c>
      <c r="E20" s="25">
        <v>10</v>
      </c>
      <c r="F20" s="25">
        <v>10</v>
      </c>
      <c r="G20" s="23" t="s">
        <v>26</v>
      </c>
      <c r="H20" s="25">
        <v>5</v>
      </c>
      <c r="I20" s="25" t="s">
        <v>26</v>
      </c>
    </row>
    <row r="21" spans="2:9" ht="18.75">
      <c r="D21" s="26" t="s">
        <v>27</v>
      </c>
      <c r="E21" s="27" t="s">
        <v>27</v>
      </c>
      <c r="F21" s="27" t="s">
        <v>28</v>
      </c>
      <c r="G21" s="27" t="s">
        <v>29</v>
      </c>
      <c r="H21" s="27" t="s">
        <v>28</v>
      </c>
      <c r="I21" s="27" t="s">
        <v>28</v>
      </c>
    </row>
    <row r="22" spans="2:9" ht="18.75">
      <c r="D22" s="28" t="s">
        <v>30</v>
      </c>
      <c r="E22" s="29" t="s">
        <v>30</v>
      </c>
      <c r="F22" s="29" t="s">
        <v>31</v>
      </c>
      <c r="G22" s="29" t="s">
        <v>28</v>
      </c>
      <c r="H22" s="29" t="s">
        <v>31</v>
      </c>
      <c r="I22" s="29" t="s">
        <v>31</v>
      </c>
    </row>
    <row r="23" spans="2:9" ht="18.75">
      <c r="D23" s="54"/>
      <c r="E23" s="32"/>
      <c r="F23" s="32"/>
      <c r="G23" s="32"/>
      <c r="H23" s="32"/>
      <c r="I23" s="32"/>
    </row>
    <row r="24" spans="2:9" ht="18.75">
      <c r="D24" s="55"/>
      <c r="E24" s="56"/>
      <c r="F24" s="56"/>
      <c r="G24" s="56"/>
      <c r="H24" s="56"/>
      <c r="I24" s="56"/>
    </row>
    <row r="28" spans="2:9" ht="18.75">
      <c r="B28" s="13" t="s">
        <v>32</v>
      </c>
      <c r="C28" s="14">
        <v>1</v>
      </c>
      <c r="D28" s="13">
        <v>340</v>
      </c>
      <c r="E28" s="13">
        <v>330</v>
      </c>
      <c r="F28" s="13">
        <v>440</v>
      </c>
      <c r="G28" s="13">
        <v>400</v>
      </c>
      <c r="H28" s="13">
        <v>320</v>
      </c>
      <c r="I28" s="13">
        <v>330</v>
      </c>
    </row>
    <row r="29" spans="2:9" ht="18.75">
      <c r="B29" s="13" t="s">
        <v>33</v>
      </c>
      <c r="C29" s="14">
        <v>1</v>
      </c>
      <c r="D29" s="13">
        <v>220</v>
      </c>
      <c r="E29" s="13">
        <v>230</v>
      </c>
      <c r="F29" s="13">
        <v>240</v>
      </c>
      <c r="G29" s="13">
        <v>220</v>
      </c>
      <c r="H29" s="13">
        <v>219</v>
      </c>
      <c r="I29" s="13">
        <v>218</v>
      </c>
    </row>
    <row r="30" spans="2:9" ht="18.75">
      <c r="B30" s="13" t="s">
        <v>34</v>
      </c>
      <c r="C30" s="14">
        <v>2</v>
      </c>
      <c r="D30" s="13">
        <v>560</v>
      </c>
      <c r="E30" s="13">
        <v>580</v>
      </c>
      <c r="F30" s="13">
        <v>550</v>
      </c>
      <c r="G30" s="13">
        <v>520</v>
      </c>
      <c r="H30" s="13">
        <v>551</v>
      </c>
      <c r="I30" s="13">
        <v>550</v>
      </c>
    </row>
    <row r="35" spans="2:2" ht="14.25">
      <c r="B35" s="57" t="s">
        <v>35</v>
      </c>
    </row>
    <row r="36" spans="2:2" ht="18.75">
      <c r="B36" s="58">
        <v>250</v>
      </c>
    </row>
    <row r="37" spans="2:2" ht="18.75">
      <c r="B37" s="59">
        <v>440</v>
      </c>
    </row>
    <row r="38" spans="2:2" ht="18.75">
      <c r="B38" s="59">
        <v>440</v>
      </c>
    </row>
    <row r="39" spans="2:2" ht="18.75">
      <c r="B39" s="59">
        <v>350</v>
      </c>
    </row>
    <row r="40" spans="2:2" ht="18.75">
      <c r="B40" s="59">
        <v>420</v>
      </c>
    </row>
    <row r="41" spans="2:2" ht="18.75">
      <c r="B41" s="59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2"/>
  <sheetViews>
    <sheetView showGridLines="0" zoomScale="90" zoomScaleNormal="90" workbookViewId="0">
      <selection activeCell="G10" sqref="G10"/>
    </sheetView>
  </sheetViews>
  <sheetFormatPr baseColWidth="10" defaultColWidth="9.33203125" defaultRowHeight="12.75"/>
  <cols>
    <col min="1" max="1" width="4" style="4" customWidth="1"/>
    <col min="2" max="2" width="23.5" style="4" customWidth="1"/>
    <col min="3" max="3" width="31.5" style="4" customWidth="1"/>
    <col min="4" max="4" width="23.5" style="4" customWidth="1"/>
    <col min="5" max="5" width="22.33203125" style="4" customWidth="1"/>
    <col min="6" max="6" width="25.1640625" style="4" customWidth="1"/>
    <col min="7" max="9" width="22.33203125" style="4" customWidth="1"/>
    <col min="10" max="10" width="27.33203125" style="4" customWidth="1"/>
    <col min="11" max="11" width="23.5" style="5" customWidth="1"/>
    <col min="12" max="12" width="24.83203125" style="5" customWidth="1"/>
    <col min="13" max="13" width="20.5" style="4" customWidth="1"/>
    <col min="14" max="14" width="20.6640625" style="4" customWidth="1"/>
    <col min="15" max="16384" width="9.33203125" style="4"/>
  </cols>
  <sheetData>
    <row r="1" spans="2:14" ht="15" customHeight="1"/>
    <row r="2" spans="2:14" customFormat="1" ht="54.95" customHeight="1">
      <c r="B2" s="6"/>
      <c r="C2" s="6"/>
      <c r="D2" s="6"/>
      <c r="E2" s="6"/>
      <c r="F2" s="6"/>
      <c r="G2" s="6"/>
      <c r="H2" s="6"/>
      <c r="I2" s="40"/>
      <c r="J2" s="40"/>
      <c r="K2" s="40"/>
      <c r="L2" s="40"/>
    </row>
    <row r="3" spans="2:14" ht="15" customHeight="1"/>
    <row r="4" spans="2:14" ht="15" customHeight="1"/>
    <row r="5" spans="2:14" ht="28.5">
      <c r="B5" s="7" t="s">
        <v>1</v>
      </c>
      <c r="C5" s="7"/>
    </row>
    <row r="6" spans="2:14" ht="28.5">
      <c r="B6" s="8" t="s">
        <v>2</v>
      </c>
      <c r="C6" s="8"/>
      <c r="D6" s="7"/>
      <c r="E6" s="7"/>
      <c r="F6" s="7"/>
      <c r="G6" s="7"/>
      <c r="H6" s="7"/>
      <c r="I6" s="7"/>
      <c r="J6" s="41"/>
      <c r="K6" s="41"/>
      <c r="L6" s="41"/>
      <c r="M6" s="41"/>
      <c r="N6" s="41"/>
    </row>
    <row r="7" spans="2:14" ht="24.75" customHeight="1">
      <c r="J7" s="67" t="s">
        <v>3</v>
      </c>
      <c r="K7" s="68"/>
      <c r="L7" s="69"/>
    </row>
    <row r="8" spans="2:14" s="1" customFormat="1" ht="46.5" customHeight="1" thickBot="1">
      <c r="B8" s="9" t="s">
        <v>4</v>
      </c>
      <c r="C8" s="9" t="s">
        <v>5</v>
      </c>
      <c r="D8" s="9" t="s">
        <v>6</v>
      </c>
      <c r="E8" s="9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42" t="s">
        <v>12</v>
      </c>
      <c r="K8" s="43" t="s">
        <v>13</v>
      </c>
      <c r="L8" s="44" t="s">
        <v>14</v>
      </c>
    </row>
    <row r="9" spans="2:14" s="2" customFormat="1" ht="32.25" customHeight="1" thickBot="1">
      <c r="B9" s="10" t="str">
        <f>'[1]Server Admin'!$D$8</f>
        <v>HP Z640 Workstation Xeon E5-2686 V4 | 64GB RAM | 8TB HDD/500GB SSD | nVidia Quadro K4200 4GB Graphics | Windows 10 Pro</v>
      </c>
      <c r="C9" s="76">
        <v>1</v>
      </c>
      <c r="D9" s="10">
        <f>'[1]Server Admin'!$H$8</f>
        <v>4186809</v>
      </c>
      <c r="E9" s="12">
        <f>'[1]Server Admin'!$H$9</f>
        <v>2849904</v>
      </c>
      <c r="F9" s="12">
        <f>'[1]Server Admin'!$H$10</f>
        <v>2674425</v>
      </c>
      <c r="G9" s="11"/>
      <c r="H9" s="11"/>
      <c r="I9" s="11"/>
      <c r="J9" s="45">
        <f>MIN(Comparación_precios24567[[#This Row],[PROVEEDOR 1]:[PROVEEDOR 6]])</f>
        <v>2674425</v>
      </c>
      <c r="K9" s="46">
        <f>IFERROR(AVERAGE(Comparación_precios24567[[#This Row],[PROVEEDOR 1]:[PROVEEDOR 6]]),0)</f>
        <v>3237046</v>
      </c>
      <c r="L9" s="47">
        <f>MAX(Comparación_precios24567[[#This Row],[PROVEEDOR 1]:[PROVEEDOR 6]])</f>
        <v>4186809</v>
      </c>
    </row>
    <row r="10" spans="2:14" s="2" customFormat="1" ht="34.5" customHeight="1" thickBot="1">
      <c r="B10" s="12" t="str">
        <f>[1]Teclados!$D$8</f>
        <v>Logitech K380, Teclado Multi-dispositivo Bluetooth Color del teclado Grafito Idioma Español</v>
      </c>
      <c r="C10" s="76">
        <v>1</v>
      </c>
      <c r="D10" s="12">
        <f>[1]Teclados!$H$8</f>
        <v>139000</v>
      </c>
      <c r="E10" s="12">
        <f>[1]Teclados!$H$9</f>
        <v>174741.16</v>
      </c>
      <c r="F10" s="12">
        <f>[1]Teclados!$H$10</f>
        <v>175000</v>
      </c>
      <c r="G10" s="11"/>
      <c r="H10" s="11"/>
      <c r="I10" s="11"/>
      <c r="J10" s="45">
        <f>MIN(Comparación_precios24567[[#This Row],[PROVEEDOR 1]:[PROVEEDOR 6]])</f>
        <v>139000</v>
      </c>
      <c r="K10" s="46">
        <f>IFERROR(AVERAGE(Comparación_precios24567[[#This Row],[PROVEEDOR 1]:[PROVEEDOR 6]]),0)</f>
        <v>162913.72</v>
      </c>
      <c r="L10" s="47">
        <f>MAX(Comparación_precios24567[[#This Row],[PROVEEDOR 1]:[PROVEEDOR 6]])</f>
        <v>175000</v>
      </c>
    </row>
    <row r="11" spans="2:14" s="2" customFormat="1" ht="94.5" thickBot="1">
      <c r="B11" s="12" t="str">
        <f>[1]mouses!$D$8</f>
        <v xml:space="preserve">Mouse Alambrico Genius Dx-120 Usb Negro Usb
</v>
      </c>
      <c r="C11" s="76">
        <v>1</v>
      </c>
      <c r="D11" s="12">
        <f>[1]mouses!$H$8</f>
        <v>15300</v>
      </c>
      <c r="E11" s="12">
        <f>[1]mouses!$H$9</f>
        <v>15000</v>
      </c>
      <c r="F11" s="12">
        <f>[1]mouses!$H$10</f>
        <v>13000</v>
      </c>
      <c r="G11" s="11"/>
      <c r="H11" s="11"/>
      <c r="I11" s="11"/>
      <c r="J11" s="45">
        <f>MIN(Comparación_precios24567[[#This Row],[PROVEEDOR 1]:[PROVEEDOR 6]])</f>
        <v>13000</v>
      </c>
      <c r="K11" s="46">
        <f>IFERROR(AVERAGE(Comparación_precios24567[[#This Row],[PROVEEDOR 1]:[PROVEEDOR 6]]),0)</f>
        <v>14433.333333333334</v>
      </c>
      <c r="L11" s="47">
        <f>MAX(Comparación_precios24567[[#This Row],[PROVEEDOR 1]:[PROVEEDOR 6]])</f>
        <v>15300</v>
      </c>
    </row>
    <row r="12" spans="2:14" s="2" customFormat="1" ht="187.5" thickBot="1">
      <c r="B12" s="78" t="str">
        <f>[1]Monitores!$D$8</f>
        <v>Acer KB272 EBI Monitor de oficina para juegos de marco cero IPS Full HD (1920 x 1080) de 27 pulgadas | Tecnología AMD FreeSync | Actualización de hasta 100 Hz | 1 ms (VRB) | Luz azul baja |</v>
      </c>
      <c r="C12" s="76">
        <v>2</v>
      </c>
      <c r="D12" s="12">
        <f>[1]Monitores!$H$8</f>
        <v>390960.89999999997</v>
      </c>
      <c r="E12" s="12">
        <f>[1]Monitores!$H$9</f>
        <v>1973900</v>
      </c>
      <c r="F12" s="12">
        <f>[1]Monitores!$H$10</f>
        <v>1025900</v>
      </c>
      <c r="G12" s="11"/>
      <c r="H12" s="11"/>
      <c r="I12" s="11"/>
      <c r="J12" s="45">
        <f>MIN(Comparación_precios24567[[#This Row],[PROVEEDOR 1]:[PROVEEDOR 6]])</f>
        <v>390960.89999999997</v>
      </c>
      <c r="K12" s="46">
        <f>IFERROR(AVERAGE(Comparación_precios24567[[#This Row],[PROVEEDOR 1]:[PROVEEDOR 6]]),0)</f>
        <v>1130253.6333333333</v>
      </c>
      <c r="L12" s="47">
        <f>MAX(Comparación_precios24567[[#This Row],[PROVEEDOR 1]:[PROVEEDOR 6]])</f>
        <v>1973900</v>
      </c>
    </row>
    <row r="13" spans="2:14" s="2" customFormat="1" ht="38.25" thickBot="1">
      <c r="B13" s="12" t="str">
        <f>[1]Windows!$D$8</f>
        <v>Windows 10 Pro Key Original</v>
      </c>
      <c r="C13" s="76">
        <v>1</v>
      </c>
      <c r="D13" s="12">
        <f>[1]Windows!$H$8</f>
        <v>43000</v>
      </c>
      <c r="E13" s="12">
        <f>[1]Windows!$H$9</f>
        <v>55900</v>
      </c>
      <c r="F13" s="12">
        <f>[1]Windows!$H$10</f>
        <v>79700</v>
      </c>
      <c r="G13" s="11"/>
      <c r="H13" s="11"/>
      <c r="I13" s="11"/>
      <c r="J13" s="45">
        <f>MIN(Comparación_precios24567[[#This Row],[PROVEEDOR 1]:[PROVEEDOR 6]])</f>
        <v>43000</v>
      </c>
      <c r="K13" s="46">
        <f>IFERROR(AVERAGE(Comparación_precios24567[[#This Row],[PROVEEDOR 1]:[PROVEEDOR 6]]),0)</f>
        <v>59533.333333333336</v>
      </c>
      <c r="L13" s="47">
        <f>MAX(Comparación_precios24567[[#This Row],[PROVEEDOR 1]:[PROVEEDOR 6]])</f>
        <v>79700</v>
      </c>
    </row>
    <row r="14" spans="2:14" s="2" customFormat="1" ht="409.6" thickBot="1">
      <c r="B14" s="12" t="str">
        <f>'[1]Office 2021'!$D$8</f>
        <v>Microsoft 365 Personal
Por año
MS WordMS ExcelMS PowerPointMS DefenderMS OneDriveMS OutlookMS EditorMS ClipchampMS OneNote
Para una persona
Inicia sesión en cinco dispositivos simultáneamente
Úsalo en PC, Mac, teléfonos y tabletas
1 TB de almacenamiento en la nube
Aplicaciones con características exclusivas y acceso sin conexión
Seguridad para los datos y los dispositivos
Correo electrónico seguro sin anuncios
Comprar ahora</v>
      </c>
      <c r="C14" s="76">
        <v>1</v>
      </c>
      <c r="D14" s="12">
        <f>'[1]Office 2021'!$H$8</f>
        <v>259999</v>
      </c>
      <c r="E14" s="12">
        <f>'[1]Office 2021'!$H$9</f>
        <v>86900</v>
      </c>
      <c r="F14" s="79">
        <f>'[1]Office 2021'!$H$10</f>
        <v>129700</v>
      </c>
      <c r="G14" s="11"/>
      <c r="H14" s="11"/>
      <c r="I14" s="11"/>
      <c r="J14" s="48">
        <f>MIN(Comparación_precios24567[[#This Row],[PROVEEDOR 1]:[PROVEEDOR 6]])</f>
        <v>86900</v>
      </c>
      <c r="K14" s="49">
        <f>IFERROR(AVERAGE(Comparación_precios24567[[#This Row],[PROVEEDOR 1]:[PROVEEDOR 6]]),0)</f>
        <v>158866.33333333334</v>
      </c>
      <c r="L14" s="50">
        <f>MAX(Comparación_precios24567[[#This Row],[PROVEEDOR 1]:[PROVEEDOR 6]])</f>
        <v>259999</v>
      </c>
    </row>
    <row r="15" spans="2:14" s="3" customFormat="1" ht="409.6" thickBot="1">
      <c r="B15" s="74" t="str">
        <f>[1]hosting!$D$8</f>
        <v>Cloud Startup 
Rendimiento máximo (hasta 10x)
300 sitios web
200 GB de almacenamiento NVMe
Copias de seguridad diarias (valor:CO$ 71.148)
SSL ilimitado gratis
Ancho de banda ilimitado
Email gratis
Dominio gratis (CO$ 41.900)
CDN Gratis
IP dedicada</v>
      </c>
      <c r="C15" s="80">
        <v>1</v>
      </c>
      <c r="D15" s="74">
        <f>[1]hosting!$H$8</f>
        <v>118800</v>
      </c>
      <c r="E15" s="74">
        <f>[1]hosting!$H$9</f>
        <v>300000</v>
      </c>
      <c r="F15" s="74">
        <f>[1]hosting!$H$10</f>
        <v>264000</v>
      </c>
      <c r="G15" s="13"/>
      <c r="H15" s="13"/>
      <c r="I15" s="13"/>
      <c r="J15" s="48">
        <f>MIN(Comparación_precios24567[[#This Row],[PROVEEDOR 1]:[PROVEEDOR 6]])</f>
        <v>118800</v>
      </c>
      <c r="K15" s="46">
        <f>IFERROR(AVERAGE(Comparación_precios24567[[#This Row],[PROVEEDOR 1]:[PROVEEDOR 6]]),0)</f>
        <v>227600</v>
      </c>
      <c r="L15" s="47">
        <f>MAX(Comparación_precios24567[[#This Row],[PROVEEDOR 1]:[PROVEEDOR 6]])</f>
        <v>300000</v>
      </c>
    </row>
    <row r="16" spans="2:14" s="3" customFormat="1" ht="75.75" thickBot="1">
      <c r="B16" s="74" t="str">
        <f>'[1]Visual Studio Profesional'!$D$8</f>
        <v>Suscripción a Visual Studio Professional (nueva)</v>
      </c>
      <c r="C16" s="80">
        <v>1</v>
      </c>
      <c r="D16" s="74">
        <f>'[1]Visual Studio Profesional'!$H$8</f>
        <v>5042042</v>
      </c>
      <c r="E16" s="74">
        <f>'[1]Visual Studio Profesional'!$H$9</f>
        <v>977750</v>
      </c>
      <c r="F16" s="74">
        <f>'[1]Visual Studio Profesional'!$H$10</f>
        <v>2099099</v>
      </c>
      <c r="G16" s="13"/>
      <c r="H16" s="13"/>
      <c r="I16" s="13"/>
      <c r="J16" s="48">
        <f>MIN(Comparación_precios24567[[#This Row],[PROVEEDOR 1]:[PROVEEDOR 6]])</f>
        <v>977750</v>
      </c>
      <c r="K16" s="46">
        <f>IFERROR(AVERAGE(Comparación_precios24567[[#This Row],[PROVEEDOR 1]:[PROVEEDOR 6]]),0)</f>
        <v>2706297</v>
      </c>
      <c r="L16" s="47">
        <f>MAX(Comparación_precios24567[[#This Row],[PROVEEDOR 1]:[PROVEEDOR 6]])</f>
        <v>5042042</v>
      </c>
    </row>
    <row r="17" spans="2:12" s="3" customFormat="1" ht="19.5" thickBot="1">
      <c r="B17" s="13"/>
      <c r="C17" s="14"/>
      <c r="D17" s="13"/>
      <c r="E17" s="13"/>
      <c r="F17" s="13"/>
      <c r="G17" s="13"/>
      <c r="H17" s="13"/>
      <c r="I17" s="13"/>
      <c r="J17" s="48">
        <f>MIN(Comparación_precios24567[[#This Row],[PROVEEDOR 1]:[PROVEEDOR 6]])</f>
        <v>0</v>
      </c>
      <c r="K17" s="49">
        <f>IFERROR(AVERAGE(Comparación_precios24567[[#This Row],[PROVEEDOR 1]:[PROVEEDOR 6]]),0)</f>
        <v>0</v>
      </c>
      <c r="L17" s="50">
        <f>MAX(Comparación_precios24567[[#This Row],[PROVEEDOR 1]:[PROVEEDOR 6]])</f>
        <v>0</v>
      </c>
    </row>
    <row r="18" spans="2:12" s="3" customFormat="1" ht="18.75">
      <c r="B18" s="15"/>
      <c r="C18" s="16"/>
      <c r="D18" s="17"/>
      <c r="E18" s="17"/>
      <c r="F18" s="17"/>
      <c r="G18" s="17"/>
      <c r="H18" s="18"/>
      <c r="I18" s="51"/>
      <c r="J18" s="48">
        <f>MIN(Comparación_precios24567[[#This Row],[PROVEEDOR 1]:[PROVEEDOR 6]])</f>
        <v>0</v>
      </c>
      <c r="K18" s="46">
        <f>IFERROR(AVERAGE(Comparación_precios24567[[#This Row],[PROVEEDOR 1]:[PROVEEDOR 6]]),0)</f>
        <v>0</v>
      </c>
      <c r="L18" s="47">
        <f>MAX(Comparación_precios24567[[#This Row],[PROVEEDOR 1]:[PROVEEDOR 6]])</f>
        <v>0</v>
      </c>
    </row>
    <row r="19" spans="2:12" s="3" customFormat="1" ht="18.75">
      <c r="B19" s="18"/>
      <c r="C19" s="16"/>
      <c r="D19" s="17"/>
      <c r="E19" s="17"/>
      <c r="F19" s="17"/>
      <c r="G19" s="17"/>
      <c r="H19" s="18"/>
      <c r="I19" s="51"/>
      <c r="J19" s="48">
        <f>MIN(Comparación_precios24567[[#This Row],[PROVEEDOR 1]:[PROVEEDOR 6]])</f>
        <v>0</v>
      </c>
      <c r="K19" s="46">
        <f>IFERROR(AVERAGE(Comparación_precios24567[[#This Row],[PROVEEDOR 1]:[PROVEEDOR 6]]),0)</f>
        <v>0</v>
      </c>
      <c r="L19" s="47">
        <f>MAX(Comparación_precios24567[[#This Row],[PROVEEDOR 1]:[PROVEEDOR 6]])</f>
        <v>0</v>
      </c>
    </row>
    <row r="20" spans="2:12" s="3" customFormat="1" ht="18.75">
      <c r="B20" s="18"/>
      <c r="C20" s="16"/>
      <c r="D20" s="17"/>
      <c r="E20" s="17"/>
      <c r="F20" s="17"/>
      <c r="G20" s="17"/>
      <c r="H20" s="18"/>
      <c r="I20" s="51"/>
      <c r="J20" s="48">
        <f>MIN(Comparación_precios24567[[#This Row],[PROVEEDOR 1]:[PROVEEDOR 6]])</f>
        <v>0</v>
      </c>
      <c r="K20" s="46">
        <f>IFERROR(AVERAGE(Comparación_precios24567[[#This Row],[PROVEEDOR 1]:[PROVEEDOR 6]]),0)</f>
        <v>0</v>
      </c>
      <c r="L20" s="47">
        <f>MAX(Comparación_precios24567[[#This Row],[PROVEEDOR 1]:[PROVEEDOR 6]])</f>
        <v>0</v>
      </c>
    </row>
    <row r="21" spans="2:12" s="3" customFormat="1" ht="18.75">
      <c r="B21" s="18"/>
      <c r="C21" s="16"/>
      <c r="D21" s="17"/>
      <c r="E21" s="17"/>
      <c r="F21" s="17"/>
      <c r="G21" s="17"/>
      <c r="H21" s="18"/>
      <c r="I21" s="51"/>
      <c r="J21" s="48">
        <f>MIN(Comparación_precios24567[[#This Row],[PROVEEDOR 1]:[PROVEEDOR 6]])</f>
        <v>0</v>
      </c>
      <c r="K21" s="46">
        <f>IFERROR(AVERAGE(Comparación_precios24567[[#This Row],[PROVEEDOR 1]:[PROVEEDOR 6]]),0)</f>
        <v>0</v>
      </c>
      <c r="L21" s="47">
        <f>MAX(Comparación_precios24567[[#This Row],[PROVEEDOR 1]:[PROVEEDOR 6]])</f>
        <v>0</v>
      </c>
    </row>
    <row r="22" spans="2:12" s="3" customFormat="1" ht="18.75">
      <c r="B22" s="18"/>
      <c r="C22" s="16"/>
      <c r="D22" s="17"/>
      <c r="E22" s="17"/>
      <c r="F22" s="17"/>
      <c r="G22" s="17"/>
      <c r="H22" s="18"/>
      <c r="I22" s="51"/>
      <c r="J22" s="48">
        <f>MIN(Comparación_precios24567[[#This Row],[PROVEEDOR 1]:[PROVEEDOR 6]])</f>
        <v>0</v>
      </c>
      <c r="K22" s="46">
        <f>IFERROR(AVERAGE(Comparación_precios24567[[#This Row],[PROVEEDOR 1]:[PROVEEDOR 6]]),0)</f>
        <v>0</v>
      </c>
      <c r="L22" s="47">
        <f>MAX(Comparación_precios24567[[#This Row],[PROVEEDOR 1]:[PROVEEDOR 6]])</f>
        <v>0</v>
      </c>
    </row>
    <row r="23" spans="2:12" s="3" customFormat="1" ht="18.75">
      <c r="B23" s="18"/>
      <c r="C23" s="16"/>
      <c r="D23" s="17"/>
      <c r="E23" s="17"/>
      <c r="F23" s="17"/>
      <c r="G23" s="17"/>
      <c r="H23" s="18"/>
      <c r="I23" s="51"/>
      <c r="J23" s="48">
        <f>MIN(Comparación_precios24567[[#This Row],[PROVEEDOR 1]:[PROVEEDOR 6]])</f>
        <v>0</v>
      </c>
      <c r="K23" s="46">
        <f>IFERROR(AVERAGE(Comparación_precios24567[[#This Row],[PROVEEDOR 1]:[PROVEEDOR 6]]),0)</f>
        <v>0</v>
      </c>
      <c r="L23" s="47">
        <f>MAX(Comparación_precios24567[[#This Row],[PROVEEDOR 1]:[PROVEEDOR 6]])</f>
        <v>0</v>
      </c>
    </row>
    <row r="24" spans="2:12" s="3" customFormat="1" ht="19.5" thickBot="1">
      <c r="B24" s="18"/>
      <c r="C24" s="16"/>
      <c r="D24" s="17"/>
      <c r="E24" s="17"/>
      <c r="F24" s="17"/>
      <c r="G24" s="17"/>
      <c r="H24" s="18"/>
      <c r="I24" s="51"/>
      <c r="J24" s="48">
        <f>MIN(Comparación_precios24567[[#This Row],[PROVEEDOR 1]:[PROVEEDOR 6]])</f>
        <v>0</v>
      </c>
      <c r="K24" s="46">
        <f>IFERROR(AVERAGE(Comparación_precios24567[[#This Row],[PROVEEDOR 1]:[PROVEEDOR 6]]),0)</f>
        <v>0</v>
      </c>
      <c r="L24" s="47">
        <f>MAX(Comparación_precios24567[[#This Row],[PROVEEDOR 1]:[PROVEEDOR 6]])</f>
        <v>0</v>
      </c>
    </row>
    <row r="25" spans="2:12" s="3" customFormat="1" ht="19.5" thickBot="1">
      <c r="B25" s="19" t="s">
        <v>15</v>
      </c>
      <c r="C25" s="19"/>
      <c r="D25" s="20">
        <f>ROUND(SUMPRODUCT(Comparación_precios24567[[CANTIDAD]:[CANTIDAD]],Comparación_precios24567[PROVEEDOR 1]),2)</f>
        <v>10586871.800000001</v>
      </c>
      <c r="E25" s="20">
        <f>ROUND(SUMPRODUCT(Comparación_precios24567[[CANTIDAD]:[CANTIDAD]],Comparación_precios24567[PROVEEDOR 2]),2)</f>
        <v>8407995.1600000001</v>
      </c>
      <c r="F25" s="20">
        <f>ROUND(SUMPRODUCT(Comparación_precios24567[[CANTIDAD]:[CANTIDAD]],Comparación_precios24567[PROVEEDOR 3]),2)</f>
        <v>7486724</v>
      </c>
      <c r="G25" s="20">
        <f>ROUND(SUMPRODUCT(Comparación_precios24567[[CANTIDAD]:[CANTIDAD]],Comparación_precios24567[PROVEEDOR 4]),2)</f>
        <v>0</v>
      </c>
      <c r="H25" s="20">
        <f>ROUND(SUMPRODUCT(Comparación_precios24567[[CANTIDAD]:[CANTIDAD]],Comparación_precios24567[PROVEEDOR 5]),2)</f>
        <v>0</v>
      </c>
      <c r="I25" s="20">
        <f>ROUND(SUMPRODUCT(Comparación_precios24567[[CANTIDAD]:[CANTIDAD]],Comparación_precios24567[PROVEEDOR 6]),2)</f>
        <v>0</v>
      </c>
      <c r="J25" s="52"/>
      <c r="K25" s="52"/>
      <c r="L25" s="53"/>
    </row>
    <row r="26" spans="2:12" s="3" customFormat="1">
      <c r="B26" s="4"/>
      <c r="C26" s="4"/>
      <c r="D26" s="4"/>
      <c r="E26" s="4"/>
      <c r="F26" s="4"/>
      <c r="G26" s="4"/>
      <c r="H26" s="4"/>
      <c r="I26" s="4"/>
      <c r="J26" s="4"/>
      <c r="K26" s="5"/>
      <c r="L26" s="5"/>
    </row>
    <row r="27" spans="2:12" s="3" customFormat="1">
      <c r="B27" s="4"/>
      <c r="C27" s="4"/>
      <c r="D27" s="4"/>
      <c r="E27" s="4"/>
      <c r="F27" s="4"/>
      <c r="G27" s="4"/>
      <c r="H27" s="4"/>
      <c r="I27" s="4"/>
      <c r="J27" s="4"/>
      <c r="K27" s="5"/>
      <c r="L27" s="5"/>
    </row>
    <row r="28" spans="2:12" s="3" customFormat="1" ht="48.6" customHeight="1">
      <c r="B28" s="70" t="s">
        <v>16</v>
      </c>
      <c r="C28" s="71"/>
      <c r="D28" s="21"/>
      <c r="E28" s="21"/>
      <c r="F28" s="21"/>
      <c r="G28" s="21"/>
      <c r="H28" s="21"/>
    </row>
    <row r="29" spans="2:12" s="3" customFormat="1" ht="33.6" customHeight="1">
      <c r="B29" s="72" t="s">
        <v>17</v>
      </c>
      <c r="C29" s="73"/>
      <c r="D29" s="63" t="s">
        <v>36</v>
      </c>
      <c r="E29" s="64" t="s">
        <v>37</v>
      </c>
      <c r="F29" s="64" t="s">
        <v>38</v>
      </c>
      <c r="G29" s="23"/>
      <c r="H29" s="23"/>
      <c r="I29" s="23"/>
    </row>
    <row r="30" spans="2:12" s="3" customFormat="1" ht="25.9" customHeight="1">
      <c r="B30" s="72" t="s">
        <v>18</v>
      </c>
      <c r="C30" s="73"/>
      <c r="D30" s="65" t="s">
        <v>26</v>
      </c>
      <c r="E30" s="66" t="s">
        <v>26</v>
      </c>
      <c r="F30" s="66" t="s">
        <v>26</v>
      </c>
      <c r="G30" s="23"/>
      <c r="H30" s="25"/>
      <c r="I30" s="25"/>
    </row>
    <row r="31" spans="2:12" s="3" customFormat="1" ht="18" customHeight="1">
      <c r="B31" s="72" t="s">
        <v>19</v>
      </c>
      <c r="C31" s="73"/>
      <c r="D31" s="26"/>
      <c r="E31" s="27"/>
      <c r="F31" s="27"/>
      <c r="G31" s="27"/>
      <c r="H31" s="27"/>
      <c r="I31" s="27"/>
    </row>
    <row r="32" spans="2:12" s="3" customFormat="1" ht="18.75">
      <c r="B32" s="72"/>
      <c r="C32" s="73"/>
      <c r="D32" s="28" t="str">
        <f>'[1]Server Admin'!$I$8</f>
        <v>contado</v>
      </c>
      <c r="E32" s="29" t="str">
        <f>'[1]Server Admin'!$I$9</f>
        <v>Contado</v>
      </c>
      <c r="F32" s="29" t="str">
        <f>'[1]Server Admin'!$I$10</f>
        <v>Contado</v>
      </c>
      <c r="G32" s="29"/>
      <c r="H32" s="29"/>
      <c r="I32" s="29"/>
    </row>
    <row r="33" spans="2:12" s="3" customFormat="1" ht="18.75">
      <c r="B33" s="72"/>
      <c r="C33" s="73"/>
      <c r="D33" s="30" t="str">
        <f>'[1]Server Admin'!$I$9</f>
        <v>Contado</v>
      </c>
      <c r="E33" s="31" t="str">
        <f>'[1]Server Admin'!$I$9</f>
        <v>Contado</v>
      </c>
      <c r="F33" s="31" t="str">
        <f>'[1]Server Admin'!$I$10</f>
        <v>Contado</v>
      </c>
      <c r="G33" s="32"/>
      <c r="H33" s="32"/>
      <c r="I33" s="32"/>
    </row>
    <row r="34" spans="2:12" ht="18.75">
      <c r="B34" s="72"/>
      <c r="C34" s="73"/>
      <c r="D34" s="33" t="str">
        <f>[1]Windows!$I$8</f>
        <v>Contado</v>
      </c>
      <c r="E34" s="34" t="str">
        <f>'[1]Server Admin'!$I$9</f>
        <v>Contado</v>
      </c>
      <c r="F34" s="34" t="str">
        <f>'[1]Server Admin'!$I$10</f>
        <v>Contado</v>
      </c>
      <c r="G34" s="34"/>
      <c r="H34" s="34"/>
      <c r="I34" s="34"/>
      <c r="J34" s="3"/>
      <c r="K34" s="4"/>
      <c r="L34" s="4"/>
    </row>
    <row r="35" spans="2:12">
      <c r="J35" s="5"/>
      <c r="K35" s="4"/>
      <c r="L35" s="4"/>
    </row>
    <row r="36" spans="2:12">
      <c r="J36" s="5"/>
      <c r="K36" s="4"/>
      <c r="L36" s="4"/>
    </row>
    <row r="37" spans="2:12" ht="18.75">
      <c r="D37" s="35"/>
      <c r="E37" s="35"/>
      <c r="F37" s="36"/>
      <c r="G37" s="37"/>
      <c r="H37" s="38"/>
      <c r="I37" s="35"/>
      <c r="J37" s="5"/>
      <c r="K37" s="4"/>
      <c r="L37" s="4"/>
    </row>
    <row r="38" spans="2:12" ht="18.75">
      <c r="D38" s="35"/>
      <c r="E38" s="35"/>
      <c r="F38" s="36"/>
      <c r="G38" s="39"/>
      <c r="H38" s="38"/>
      <c r="I38" s="35"/>
    </row>
    <row r="39" spans="2:12" ht="18.75">
      <c r="D39" s="35"/>
      <c r="E39" s="35"/>
      <c r="F39" s="36"/>
      <c r="G39" s="39"/>
      <c r="H39" s="38"/>
      <c r="I39" s="35"/>
    </row>
    <row r="40" spans="2:12" ht="18.75">
      <c r="D40" s="35"/>
      <c r="E40" s="35"/>
      <c r="F40" s="36"/>
      <c r="G40" s="39"/>
      <c r="H40" s="38"/>
      <c r="I40" s="35"/>
    </row>
    <row r="41" spans="2:12" ht="18.75">
      <c r="D41" s="35"/>
      <c r="E41" s="35"/>
      <c r="F41" s="36"/>
      <c r="G41" s="39"/>
      <c r="H41" s="38"/>
      <c r="I41" s="35"/>
    </row>
    <row r="42" spans="2:12" ht="18.75">
      <c r="D42" s="35"/>
      <c r="E42" s="35"/>
      <c r="F42" s="36"/>
      <c r="G42" s="39"/>
      <c r="H42" s="38"/>
      <c r="I42" s="3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43" priority="9">
      <formula>AND(B$25=MIN($D$25:$I$25),B$25&lt;&gt;0)</formula>
    </cfRule>
  </conditionalFormatting>
  <conditionalFormatting sqref="D12:D13 D15">
    <cfRule type="expression" dxfId="42" priority="6">
      <formula>AND(D$25=MIN($D$25:$I$25),D$25&lt;&gt;0)</formula>
    </cfRule>
  </conditionalFormatting>
  <conditionalFormatting sqref="D10">
    <cfRule type="expression" dxfId="41" priority="5">
      <formula>AND(D$25=MIN($D$25:$I$25),D$25&lt;&gt;0)</formula>
    </cfRule>
  </conditionalFormatting>
  <conditionalFormatting sqref="D14">
    <cfRule type="expression" dxfId="40" priority="3">
      <formula>AND(D$25=MIN($D$25:$I$25),D$25&lt;&gt;0)</formula>
    </cfRule>
  </conditionalFormatting>
  <conditionalFormatting sqref="D16">
    <cfRule type="expression" dxfId="39" priority="2">
      <formula>AND(D$25=MIN($D$25:$I$25),D$25&lt;&gt;0)</formula>
    </cfRule>
  </conditionalFormatting>
  <conditionalFormatting sqref="D11">
    <cfRule type="expression" dxfId="38" priority="1">
      <formula>AND(D$25=MIN($D$25:$I$25),D$25&lt;&gt;0)</formula>
    </cfRule>
  </conditionalFormatting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- AYUDA -</vt:lpstr>
      <vt:lpstr>Equipo del usuario</vt:lpstr>
      <vt:lpstr>Equipo del Recursos humanos</vt:lpstr>
      <vt:lpstr>Equipo del desarrollador (2)</vt:lpstr>
      <vt:lpstr>Soporte</vt:lpstr>
      <vt:lpstr>Equipo del Administrador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Aprendiz</cp:lastModifiedBy>
  <dcterms:created xsi:type="dcterms:W3CDTF">2013-10-17T12:18:00Z</dcterms:created>
  <dcterms:modified xsi:type="dcterms:W3CDTF">2024-06-19T19:40:25Z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AD00855EFA4F4D799DE403E31AFF502F_12</vt:lpwstr>
  </property>
  <property fmtid="{D5CDD505-2E9C-101B-9397-08002B2CF9AE}" pid="3" name="KSOProductBuildVer">
    <vt:lpwstr>1033-12.2.0.16731</vt:lpwstr>
  </property>
</Properties>
</file>