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Temperature\"/>
    </mc:Choice>
  </mc:AlternateContent>
  <xr:revisionPtr revIDLastSave="0" documentId="13_ncr:1_{FB42F9DA-4CA6-484F-AF2C-D0EE9FFD645F}" xr6:coauthVersionLast="36" xr6:coauthVersionMax="45" xr10:uidLastSave="{00000000-0000-0000-0000-000000000000}"/>
  <bookViews>
    <workbookView xWindow="-108" yWindow="-108" windowWidth="23256" windowHeight="12720" activeTab="2" xr2:uid="{B4D95E1D-7DF1-45F9-84A6-56C0FCEE3758}"/>
  </bookViews>
  <sheets>
    <sheet name="Эксперимент" sheetId="1" r:id="rId1"/>
    <sheet name="Аппроксимации" sheetId="3" r:id="rId2"/>
    <sheet name="Плотности" sheetId="4" r:id="rId3"/>
    <sheet name="Расчеты(старое)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F5" i="4"/>
  <c r="F6" i="4"/>
  <c r="G6" i="4" s="1"/>
  <c r="G7" i="4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C5" i="4"/>
  <c r="C6" i="4"/>
  <c r="C7" i="4"/>
  <c r="C8" i="4"/>
  <c r="C9" i="4"/>
  <c r="C10" i="4"/>
  <c r="C11" i="4"/>
  <c r="C12" i="4"/>
  <c r="C13" i="4"/>
  <c r="C14" i="4"/>
  <c r="B5" i="4"/>
  <c r="B6" i="4"/>
  <c r="B7" i="4"/>
  <c r="B8" i="4"/>
  <c r="B9" i="4"/>
  <c r="B10" i="4"/>
  <c r="B11" i="4"/>
  <c r="B12" i="4"/>
  <c r="B13" i="4"/>
  <c r="B14" i="4"/>
  <c r="H2" i="3"/>
  <c r="H3" i="3"/>
  <c r="H4" i="3"/>
  <c r="H5" i="3"/>
  <c r="H6" i="3"/>
  <c r="H7" i="3"/>
  <c r="H8" i="3"/>
  <c r="H9" i="3"/>
  <c r="H10" i="3"/>
  <c r="H11" i="3"/>
  <c r="A14" i="1" l="1"/>
  <c r="D14" i="1"/>
  <c r="G14" i="1"/>
  <c r="K14" i="1"/>
  <c r="L14" i="1"/>
  <c r="M14" i="1"/>
  <c r="N14" i="1" s="1"/>
  <c r="O14" i="1" l="1"/>
  <c r="M5" i="1"/>
  <c r="N5" i="1" s="1"/>
  <c r="M6" i="1"/>
  <c r="M8" i="1"/>
  <c r="O8" i="1" s="1"/>
  <c r="M9" i="1"/>
  <c r="N9" i="1" s="1"/>
  <c r="M10" i="1"/>
  <c r="N10" i="1" s="1"/>
  <c r="M11" i="1"/>
  <c r="N11" i="1" s="1"/>
  <c r="M12" i="1"/>
  <c r="N12" i="1" s="1"/>
  <c r="M13" i="1"/>
  <c r="O13" i="1" s="1"/>
  <c r="O6" i="1"/>
  <c r="O7" i="1"/>
  <c r="N6" i="1"/>
  <c r="N7" i="1"/>
  <c r="O12" i="1" l="1"/>
  <c r="O10" i="1"/>
  <c r="N8" i="1"/>
  <c r="O5" i="1"/>
  <c r="N13" i="1"/>
  <c r="O11" i="1"/>
  <c r="O9" i="1"/>
  <c r="K5" i="1"/>
  <c r="K6" i="1"/>
  <c r="K7" i="1"/>
  <c r="K8" i="1"/>
  <c r="K9" i="1"/>
  <c r="K10" i="1"/>
  <c r="K11" i="1"/>
  <c r="K12" i="1"/>
  <c r="K13" i="1"/>
  <c r="D5" i="1"/>
  <c r="D6" i="1"/>
  <c r="D7" i="1"/>
  <c r="D8" i="1"/>
  <c r="D9" i="1"/>
  <c r="D10" i="1"/>
  <c r="D11" i="1"/>
  <c r="D12" i="1"/>
  <c r="D13" i="1"/>
  <c r="D2" i="2" l="1"/>
  <c r="C2" i="2" l="1"/>
  <c r="F4" i="2"/>
  <c r="F5" i="2"/>
  <c r="F6" i="2"/>
  <c r="F7" i="2"/>
  <c r="F8" i="2"/>
  <c r="F9" i="2"/>
  <c r="F10" i="2"/>
  <c r="F11" i="2"/>
  <c r="F12" i="2"/>
  <c r="C12" i="2"/>
  <c r="E12" i="2" s="1"/>
  <c r="I12" i="2" s="1"/>
  <c r="A4" i="2"/>
  <c r="C4" i="2"/>
  <c r="E4" i="2" s="1"/>
  <c r="I4" i="2" s="1"/>
  <c r="C5" i="2"/>
  <c r="E5" i="2" s="1"/>
  <c r="I5" i="2" s="1"/>
  <c r="C6" i="2"/>
  <c r="E6" i="2" s="1"/>
  <c r="I6" i="2" s="1"/>
  <c r="C7" i="2"/>
  <c r="E7" i="2" s="1"/>
  <c r="I7" i="2" s="1"/>
  <c r="C8" i="2"/>
  <c r="E8" i="2" s="1"/>
  <c r="I8" i="2" s="1"/>
  <c r="C9" i="2"/>
  <c r="E9" i="2" s="1"/>
  <c r="I9" i="2" s="1"/>
  <c r="C10" i="2"/>
  <c r="E10" i="2" s="1"/>
  <c r="I10" i="2" s="1"/>
  <c r="C11" i="2"/>
  <c r="E11" i="2" s="1"/>
  <c r="I11" i="2" s="1"/>
  <c r="G7" i="2" l="1"/>
  <c r="H7" i="2" s="1"/>
  <c r="G4" i="2"/>
  <c r="H4" i="2" s="1"/>
  <c r="G6" i="2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A6" i="1" l="1"/>
  <c r="L6" i="1"/>
  <c r="L9" i="1"/>
  <c r="L10" i="1"/>
  <c r="L11" i="1"/>
  <c r="L12" i="1"/>
  <c r="L13" i="1"/>
  <c r="G6" i="1"/>
  <c r="G7" i="1" s="1"/>
  <c r="G9" i="1" s="1"/>
  <c r="G10" i="1" s="1"/>
  <c r="G11" i="1" s="1"/>
  <c r="G12" i="1" s="1"/>
  <c r="G13" i="1" s="1"/>
  <c r="L8" i="1"/>
  <c r="L5" i="1"/>
  <c r="P5" i="1" s="1"/>
  <c r="L7" i="1"/>
  <c r="A7" i="1" l="1"/>
  <c r="A5" i="2"/>
  <c r="H5" i="1"/>
  <c r="I5" i="1" s="1"/>
  <c r="A8" i="1" l="1"/>
  <c r="A6" i="2"/>
  <c r="E6" i="1"/>
  <c r="B4" i="2"/>
  <c r="F6" i="1"/>
  <c r="H6" i="1" l="1"/>
  <c r="I6" i="1" s="1"/>
  <c r="P6" i="1"/>
  <c r="B5" i="2" s="1"/>
  <c r="A9" i="1"/>
  <c r="A7" i="2"/>
  <c r="A10" i="1" l="1"/>
  <c r="A8" i="2"/>
  <c r="E7" i="1"/>
  <c r="F7" i="1"/>
  <c r="H7" i="1" l="1"/>
  <c r="I7" i="1" s="1"/>
  <c r="P7" i="1"/>
  <c r="E8" i="1" s="1"/>
  <c r="A11" i="1"/>
  <c r="A9" i="2"/>
  <c r="F8" i="1" l="1"/>
  <c r="B6" i="2"/>
  <c r="A12" i="1"/>
  <c r="A10" i="2"/>
  <c r="P8" i="1" l="1"/>
  <c r="E9" i="1" s="1"/>
  <c r="H8" i="1"/>
  <c r="I8" i="1" s="1"/>
  <c r="A13" i="1"/>
  <c r="A12" i="2" s="1"/>
  <c r="A11" i="2"/>
  <c r="B7" i="2" l="1"/>
  <c r="F9" i="1"/>
  <c r="H9" i="1" s="1"/>
  <c r="I9" i="1" s="1"/>
  <c r="P9" i="1" l="1"/>
  <c r="E10" i="1" s="1"/>
  <c r="B8" i="2" l="1"/>
  <c r="F10" i="1"/>
  <c r="P10" i="1" s="1"/>
  <c r="E11" i="1" s="1"/>
  <c r="H10" i="1"/>
  <c r="I10" i="1" s="1"/>
  <c r="B9" i="2"/>
  <c r="F11" i="1"/>
  <c r="P11" i="1" s="1"/>
  <c r="H11" i="1" l="1"/>
  <c r="I11" i="1" s="1"/>
  <c r="E12" i="1" l="1"/>
  <c r="B10" i="2"/>
  <c r="F12" i="1"/>
  <c r="P12" i="1" s="1"/>
  <c r="H12" i="1" l="1"/>
  <c r="I12" i="1" s="1"/>
  <c r="E13" i="1" l="1"/>
  <c r="B11" i="2"/>
  <c r="F13" i="1"/>
  <c r="P13" i="1" s="1"/>
  <c r="E14" i="1" l="1"/>
  <c r="F14" i="1"/>
  <c r="H13" i="1"/>
  <c r="I13" i="1" s="1"/>
  <c r="B12" i="2"/>
  <c r="P14" i="1" l="1"/>
  <c r="H14" i="1"/>
  <c r="I14" i="1" s="1"/>
  <c r="G3" i="3"/>
  <c r="G6" i="3"/>
  <c r="G2" i="3"/>
  <c r="G4" i="3"/>
  <c r="G7" i="3"/>
  <c r="G9" i="3"/>
  <c r="G5" i="3"/>
  <c r="G11" i="3"/>
  <c r="G8" i="3"/>
  <c r="G10" i="3"/>
</calcChain>
</file>

<file path=xl/sharedStrings.xml><?xml version="1.0" encoding="utf-8"?>
<sst xmlns="http://schemas.openxmlformats.org/spreadsheetml/2006/main" count="60" uniqueCount="55">
  <si>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</si>
  <si>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</si>
  <si>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</si>
  <si>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</si>
  <si>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</si>
  <si>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</si>
  <si>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</si>
  <si>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</si>
  <si>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</si>
  <si>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</si>
  <si>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</si>
  <si>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</si>
  <si>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</si>
  <si>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</si>
  <si>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</si>
  <si>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</si>
  <si>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</si>
  <si>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</si>
  <si>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</si>
  <si>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</si>
  <si>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</si>
  <si>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n cПз</t>
  </si>
  <si>
    <t>с</t>
  </si>
  <si>
    <t>D2 см2/сут
(шар)</t>
  </si>
  <si>
    <t>D0 см2/сут
(просто)</t>
  </si>
  <si>
    <t>Столбец1</t>
  </si>
  <si>
    <t>m2
смесь
стакан</t>
  </si>
  <si>
    <t>m2
смеси</t>
  </si>
  <si>
    <t>m+
ОКМ</t>
  </si>
  <si>
    <t>добавка ОКМ</t>
  </si>
  <si>
    <t>Exp0_up</t>
  </si>
  <si>
    <t>Отклонения при высоких T</t>
  </si>
  <si>
    <t>Exp1_up</t>
  </si>
  <si>
    <t>Exp2_down</t>
  </si>
  <si>
    <t>Exp3_down</t>
  </si>
  <si>
    <t>Exp4_up</t>
  </si>
  <si>
    <t>Exp5_down</t>
  </si>
  <si>
    <t>Exp6_up</t>
  </si>
  <si>
    <t>Exp7_up</t>
  </si>
  <si>
    <t>Exp8_down</t>
  </si>
  <si>
    <t>Добавка</t>
  </si>
  <si>
    <t>w% масс 
теор</t>
  </si>
  <si>
    <t>w% масс 
прак</t>
  </si>
  <si>
    <t>Е КДж</t>
  </si>
  <si>
    <t>d Е КДж</t>
  </si>
  <si>
    <t>nu0 сПуаз</t>
  </si>
  <si>
    <t>d nu0 сПуаз</t>
  </si>
  <si>
    <t>Эксперимент</t>
  </si>
  <si>
    <t>Описание</t>
  </si>
  <si>
    <t>T C</t>
  </si>
  <si>
    <t>V пик мл</t>
  </si>
  <si>
    <t>m г
пик</t>
  </si>
  <si>
    <t xml:space="preserve">m0 г
смесь    
пик </t>
  </si>
  <si>
    <t xml:space="preserve">m г
смесь     </t>
  </si>
  <si>
    <t xml:space="preserve">ro
смесь г/мл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</si>
</sst>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00%"/>
    <numFmt numFmtId="167" formatCode="0.000"/>
    <numFmt numFmtId="170" formatCode="0E+00"/>
    <numFmt numFmtId="171" formatCode="0.0%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i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  <xf numFmtId="164" fontId="0" fillId="4" borderId="0" xfId="0" applyNumberFormat="1" applyFill="1"/>
    <xf numFmtId="164" fontId="0" fillId="4" borderId="5" xfId="0" applyNumberFormat="1" applyFont="1" applyFill="1" applyBorder="1"/>
    <xf numFmtId="2" fontId="0" fillId="0" borderId="0" xfId="0" applyNumberFormat="1"/>
    <xf numFmtId="2" fontId="0" fillId="0" borderId="0" xfId="0" applyNumberFormat="1" applyProtection="1">
      <protection locked="0"/>
    </xf>
    <xf numFmtId="164" fontId="0" fillId="0" borderId="0" xfId="0" applyNumberFormat="1" applyFill="1" applyProtection="1">
      <protection locked="0"/>
    </xf>
    <xf numFmtId="164" fontId="0" fillId="0" borderId="0" xfId="0" applyNumberFormat="1" applyFill="1"/>
    <xf numFmtId="1" fontId="6" fillId="5" borderId="0" xfId="0" applyNumberFormat="1" applyFont="1" applyFill="1" applyAlignment="1" applyProtection="1">
      <alignment horizontal="center" vertical="center"/>
    </xf>
    <xf numFmtId="0" fontId="0" fillId="5" borderId="0" xfId="0" applyFill="1"/>
    <xf numFmtId="164" fontId="0" fillId="5" borderId="2" xfId="0" applyNumberFormat="1" applyFill="1" applyBorder="1" applyProtection="1">
      <protection locked="0"/>
    </xf>
    <xf numFmtId="164" fontId="5" fillId="5" borderId="0" xfId="0" applyNumberFormat="1" applyFont="1" applyFill="1"/>
    <xf numFmtId="164" fontId="2" fillId="5" borderId="0" xfId="0" applyNumberFormat="1" applyFont="1" applyFill="1"/>
    <xf numFmtId="164" fontId="3" fillId="5" borderId="0" xfId="0" applyNumberFormat="1" applyFont="1" applyFill="1"/>
    <xf numFmtId="10" fontId="4" fillId="5" borderId="0" xfId="0" applyNumberFormat="1" applyFont="1" applyFill="1"/>
    <xf numFmtId="164" fontId="0" fillId="5" borderId="0" xfId="0" applyNumberFormat="1" applyFill="1"/>
    <xf numFmtId="2" fontId="1" fillId="5" borderId="0" xfId="0" applyNumberFormat="1" applyFont="1" applyFill="1"/>
    <xf numFmtId="164" fontId="0" fillId="5" borderId="5" xfId="0" applyNumberFormat="1" applyFont="1" applyFill="1" applyBorder="1"/>
    <xf numFmtId="10" fontId="4" fillId="5" borderId="2" xfId="0" applyNumberFormat="1" applyFont="1" applyFill="1" applyBorder="1"/>
    <xf numFmtId="2" fontId="0" fillId="5" borderId="0" xfId="0" applyNumberFormat="1" applyFill="1"/>
    <xf numFmtId="164" fontId="2" fillId="0" borderId="0" xfId="0" applyNumberFormat="1" applyFont="1" applyProtection="1">
      <protection locked="0"/>
    </xf>
    <xf numFmtId="10" fontId="4" fillId="0" borderId="0" xfId="0" applyNumberFormat="1" applyFont="1" applyFill="1" applyProtection="1">
      <protection locked="0"/>
    </xf>
    <xf numFmtId="166" fontId="4" fillId="2" borderId="2" xfId="0" applyNumberFormat="1" applyFont="1" applyFill="1" applyBorder="1" applyProtection="1">
      <protection locked="0"/>
    </xf>
    <xf numFmtId="49" fontId="0" fillId="0" borderId="0" xfId="0" applyNumberFormat="1"/>
    <xf numFmtId="0" fontId="7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2" fontId="10" fillId="0" borderId="0" xfId="0" applyNumberFormat="1" applyFont="1"/>
    <xf numFmtId="170" fontId="11" fillId="0" borderId="0" xfId="0" applyNumberFormat="1" applyFont="1"/>
    <xf numFmtId="10" fontId="6" fillId="0" borderId="0" xfId="0" applyNumberFormat="1" applyFont="1"/>
    <xf numFmtId="167" fontId="8" fillId="6" borderId="0" xfId="0" applyNumberFormat="1" applyFont="1" applyFill="1"/>
    <xf numFmtId="11" fontId="8" fillId="7" borderId="0" xfId="0" applyNumberFormat="1" applyFont="1" applyFill="1"/>
    <xf numFmtId="0" fontId="12" fillId="0" borderId="6" xfId="0" applyFont="1" applyBorder="1" applyAlignment="1">
      <alignment horizontal="center" vertical="top"/>
    </xf>
    <xf numFmtId="49" fontId="9" fillId="0" borderId="6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171" fontId="0" fillId="8" borderId="0" xfId="0" applyNumberFormat="1" applyFill="1"/>
    <xf numFmtId="10" fontId="0" fillId="8" borderId="0" xfId="0" applyNumberFormat="1" applyFill="1"/>
    <xf numFmtId="10" fontId="8" fillId="0" borderId="0" xfId="0" applyNumberFormat="1" applyFont="1"/>
    <xf numFmtId="0" fontId="8" fillId="9" borderId="0" xfId="0" applyFont="1" applyFill="1"/>
    <xf numFmtId="1" fontId="0" fillId="10" borderId="0" xfId="0" applyNumberFormat="1" applyFill="1"/>
    <xf numFmtId="10" fontId="0" fillId="10" borderId="0" xfId="0" applyNumberFormat="1" applyFill="1"/>
    <xf numFmtId="10" fontId="8" fillId="10" borderId="0" xfId="0" applyNumberFormat="1" applyFont="1" applyFill="1"/>
    <xf numFmtId="0" fontId="0" fillId="10" borderId="0" xfId="0" applyFill="1"/>
    <xf numFmtId="0" fontId="8" fillId="10" borderId="0" xfId="0" applyFont="1" applyFill="1"/>
    <xf numFmtId="0" fontId="12" fillId="10" borderId="6" xfId="0" applyFont="1" applyFill="1" applyBorder="1" applyAlignment="1">
      <alignment horizontal="center" vertical="top"/>
    </xf>
    <xf numFmtId="167" fontId="8" fillId="10" borderId="0" xfId="0" applyNumberFormat="1" applyFont="1" applyFill="1"/>
    <xf numFmtId="2" fontId="10" fillId="10" borderId="0" xfId="0" applyNumberFormat="1" applyFont="1" applyFill="1"/>
    <xf numFmtId="11" fontId="8" fillId="10" borderId="0" xfId="0" applyNumberFormat="1" applyFont="1" applyFill="1"/>
    <xf numFmtId="170" fontId="11" fillId="10" borderId="0" xfId="0" applyNumberFormat="1" applyFont="1" applyFill="1"/>
    <xf numFmtId="49" fontId="0" fillId="10" borderId="0" xfId="0" applyNumberFormat="1" applyFill="1"/>
    <xf numFmtId="171" fontId="0" fillId="10" borderId="0" xfId="0" applyNumberFormat="1" applyFill="1"/>
    <xf numFmtId="10" fontId="6" fillId="10" borderId="0" xfId="0" applyNumberFormat="1" applyFont="1" applyFill="1"/>
  </cellXfs>
  <cellStyles count="1">
    <cellStyle name="Обычный" xfId="0" builtinId="0"/>
  </cellStyles>
  <dxfs count="47">
    <dxf>
      <font>
        <b/>
      </font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font>
        <b/>
      </font>
      <numFmt numFmtId="14" formatCode="0.00%"/>
    </dxf>
    <dxf>
      <numFmt numFmtId="14" formatCode="0.00%"/>
      <fill>
        <patternFill>
          <fgColor indexed="64"/>
          <bgColor theme="2" tint="-9.9978637043366805E-2"/>
        </patternFill>
      </fill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charset val="204"/>
        <scheme val="minor"/>
      </font>
      <numFmt numFmtId="171" formatCode="0.0%"/>
      <fill>
        <patternFill>
          <fgColor indexed="64"/>
          <bgColor theme="2" tint="-9.9978637043366805E-2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none">
          <fgColor theme="1"/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</font>
      <numFmt numFmtId="167" formatCode="0.000"/>
      <fill>
        <patternFill>
          <fgColor indexed="64"/>
          <bgColor theme="9" tint="0.59999389629810485"/>
        </patternFill>
      </fill>
    </dxf>
    <dxf>
      <font>
        <b/>
      </font>
      <numFmt numFmtId="15" formatCode="0.00E+00"/>
      <fill>
        <patternFill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charset val="204"/>
        <scheme val="minor"/>
      </font>
      <numFmt numFmtId="170" formatCode="0E+0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" formatCode="0"/>
    </dxf>
    <dxf>
      <alignment horizontal="center" vertical="center" textRotation="0" indent="0" justifyLastLine="0" shrinkToFit="0" readingOrder="0"/>
    </dxf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fill>
        <patternFill patternType="none">
          <fgColor indexed="64"/>
          <bgColor auto="1"/>
        </patternFill>
      </fill>
      <protection locked="0" hidden="0"/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'Расчеты(старое)'!$B$4:$B$12</c:f>
              <c:numCache>
                <c:formatCode>0.00%</c:formatCode>
                <c:ptCount val="9"/>
                <c:pt idx="0">
                  <c:v>0</c:v>
                </c:pt>
                <c:pt idx="1">
                  <c:v>2.3944155058826376E-2</c:v>
                </c:pt>
                <c:pt idx="2">
                  <c:v>2.1915807405558006E-2</c:v>
                </c:pt>
                <c:pt idx="3">
                  <c:v>4.9824267685908662E-2</c:v>
                </c:pt>
                <c:pt idx="4">
                  <c:v>7.6005085117237983E-2</c:v>
                </c:pt>
                <c:pt idx="5">
                  <c:v>0.10071871677750344</c:v>
                </c:pt>
                <c:pt idx="6">
                  <c:v>0.12304530681084216</c:v>
                </c:pt>
                <c:pt idx="7">
                  <c:v>0.14917583903957765</c:v>
                </c:pt>
                <c:pt idx="8">
                  <c:v>0.17491828063571971</c:v>
                </c:pt>
              </c:numCache>
            </c:numRef>
          </c:xVal>
          <c:yVal>
            <c:numRef>
              <c:f>'Расчеты(старое)'!$I$4:$I$12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7-4F0F-A074-E88CC2A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3520"/>
        <c:axId val="396831488"/>
      </c:scatterChart>
      <c:valAx>
        <c:axId val="1013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31488"/>
        <c:crosses val="autoZero"/>
        <c:crossBetween val="midCat"/>
      </c:valAx>
      <c:valAx>
        <c:axId val="39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135876</xdr:colOff>
      <xdr:row>1</xdr:row>
      <xdr:rowOff>18560</xdr:rowOff>
    </xdr:from>
    <xdr:to>
      <xdr:col>16</xdr:col>
      <xdr:colOff>443273</xdr:colOff>
      <xdr:row>15</xdr:row>
      <xdr:rowOff>10767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A06A-5465-4837-B66D-15AA6B6A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Q14" totalsRowShown="0" headerRowDxfId="46" dataDxfId="45">
  <autoFilter ref="A4:Q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</autoFilter>
  <tableColumns count="17">
    <tableColumn id="14" xr3:uid="{77FFFFAD-27FE-4585-A8A5-4920141174AB}" name="#" dataDxfId="44">
      <calculatedColumnFormula>A4+1</calculatedColumnFormula>
    </tableColumn>
    <tableColumn id="12" xr3:uid="{1871877F-C7B7-4C72-AF32-DB1A3FABAFCC}" name="m_x000a_стакан"/>
    <tableColumn id="1" xr3:uid="{6A216FEE-C1E1-40E4-815E-5380A5321732}" name="m0_x000a_смесь    _x000a_стакан" dataDxfId="43"/>
    <tableColumn id="2" xr3:uid="{D1757256-BC6C-420E-BEA8-B604BC77F285}" name="m0_x000a_смесь" dataDxfId="42">
      <calculatedColumnFormula>Таблица1[[#This Row],[m0
смесь    
стакан]]-Таблица1[[#This Row],[m
стакан]]</calculatedColumnFormula>
    </tableColumn>
    <tableColumn id="3" xr3:uid="{5E2A2C51-8E70-4FD9-9B53-E7837EF2D163}" name="m0_x000a_ОКМ" dataDxfId="41">
      <calculatedColumnFormula>Таблица1[[#This Row],[m0
смесь]]*(1-P4)</calculatedColumnFormula>
    </tableColumn>
    <tableColumn id="4" xr3:uid="{D1940891-C2DF-4AB7-A8E2-AF06FDA60F0D}" name="m0_x000a_спирт" dataDxfId="40">
      <calculatedColumnFormula>Таблица1[[#This Row],[m0
смесь]]*P4</calculatedColumnFormula>
    </tableColumn>
    <tableColumn id="6" xr3:uid="{78FAF393-3070-4836-B8E9-4D79C52F839F}" name="w%1 т_x000a_спирт " dataDxfId="39">
      <calculatedColumnFormula>G4+0.025</calculatedColumnFormula>
    </tableColumn>
    <tableColumn id="7" xr3:uid="{EA5712E3-E93C-456A-9EDE-9A8CA94753D1}" name="m+ т_x000a_спирт" dataDxfId="38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37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36"/>
    <tableColumn id="10" xr3:uid="{F3443B4E-6300-47B1-8E7C-FC3BF1A5E3CD}" name="m1_x000a_смеси" dataDxfId="35">
      <calculatedColumnFormula>Таблица1[[#This Row],[m1 
смесь
стакан]]-Таблица1[[#This Row],[m
стакан]]</calculatedColumnFormula>
    </tableColumn>
    <tableColumn id="11" xr3:uid="{D23B2127-A60A-4E45-A0EF-767833FF7A03}" name="m+_x000a_спирта" dataDxfId="34">
      <calculatedColumnFormula>Таблица1[[#This Row],[m1 
смесь
стакан]]-Таблица1[[#This Row],[m0
смесь    
стакан]]</calculatedColumnFormula>
    </tableColumn>
    <tableColumn id="15" xr3:uid="{13B47A94-234C-4A1B-B993-FBE523863A83}" name="m2_x000a_смесь_x000a_стакан" dataDxfId="33">
      <calculatedColumnFormula>Таблица1[[#This Row],[m1 
смесь
стакан]]</calculatedColumnFormula>
    </tableColumn>
    <tableColumn id="13" xr3:uid="{22F644F7-5CB7-438A-9D0D-9E88DE87DE4D}" name="m2_x000a_смеси" dataDxfId="32">
      <calculatedColumnFormula>Таблица1[[#This Row],[m2
смесь
стакан]]-Таблица1[[#This Row],[m
стакан]]</calculatedColumnFormula>
    </tableColumn>
    <tableColumn id="16" xr3:uid="{96247A00-C27E-4AC1-85FF-B6D781503BD2}" name="m+_x000a_ОКМ" dataDxfId="31">
      <calculatedColumnFormula>Таблица1[[#This Row],[m2
смесь
стакан]]-Таблица1[[#This Row],[m1 
смесь
стакан]]</calculatedColumnFormula>
    </tableColumn>
    <tableColumn id="5" xr3:uid="{896470BD-9890-41DA-8AB1-D5964728C2BF}" name="w%1 _x000a_" dataDxfId="30">
      <calculatedColumnFormula>(Таблица1[[#This Row],[m0
спирт]]+Таблица1[[#This Row],[m+
спирта]])/Таблица1[[#This Row],[m2
смеси]]</calculatedColumnFormula>
    </tableColumn>
    <tableColumn id="17" xr3:uid="{48747F86-4026-4D8A-857D-4C04ECCD38B1}" name="Столбец1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B2" totalsRowShown="0" headerRowDxfId="28" dataDxfId="27">
  <autoFilter ref="B1:B2" xr:uid="{FE5521C9-5D13-479F-9E53-564B5B98F3E0}">
    <filterColumn colId="0" hiddenButton="1"/>
  </autoFilter>
  <tableColumns count="1">
    <tableColumn id="2" xr3:uid="{A6AA64F7-0B92-4711-9CE9-3080CD0125E2}" name="ro _x000a_спирт" dataDxfId="2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CF4CA-8DD5-42D3-9E5E-E0CF631B7806}" name="Таблица5" displayName="Таблица5" ref="A1:I11" totalsRowShown="0" headerRowDxfId="15">
  <autoFilter ref="A1:I11" xr:uid="{A4C063FA-10B5-4E12-9B60-1F11F9CEE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BD1F57E-225E-4952-B218-B70E607E4506}" name="#" dataDxfId="10"/>
    <tableColumn id="2" xr3:uid="{20B7447A-B783-44F2-B1A4-EC86581E32E5}" name="Е КДж" dataDxfId="11"/>
    <tableColumn id="3" xr3:uid="{DF17DCAE-D682-463C-9861-C2D5B36736D4}" name="d Е КДж" dataDxfId="14"/>
    <tableColumn id="4" xr3:uid="{EF4548E5-7C26-4D63-A0F2-B091A7D76087}" name="nu0 сПуаз" dataDxfId="12"/>
    <tableColumn id="5" xr3:uid="{E91881F4-89DF-4CA8-8787-443661255C2B}" name="d nu0 сПуаз" dataDxfId="13"/>
    <tableColumn id="6" xr3:uid="{2BC6AEF4-16A6-4036-AD2F-70EB2ED37C83}" name="Эксперимент" dataDxfId="7"/>
    <tableColumn id="7" xr3:uid="{4F002E9F-0B0A-4293-A906-6AAACB660E5F}" name="w% масс _x000a_теор" dataDxfId="5">
      <calculatedColumnFormula>Таблица5[[#This Row],[w% масс 
теор]]/100</calculatedColumnFormula>
    </tableColumn>
    <tableColumn id="9" xr3:uid="{EFA2CF13-E204-4162-ACE5-6D1EB6C8441D}" name="w% масс _x000a_прак" dataDxfId="6">
      <calculatedColumnFormula>Эксперимент!P5</calculatedColumnFormula>
    </tableColumn>
    <tableColumn id="8" xr3:uid="{9F7FD215-509F-4DE2-A3C7-D0FF03814D4C}" name="Описание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5BABE5-9A76-4631-AEF6-52373D9F10EF}" name="Таблица6" displayName="Таблица6" ref="B1:C2" totalsRowShown="0">
  <autoFilter ref="B1:C2" xr:uid="{6E646EF6-E751-4289-A9A7-DD03060250D7}">
    <filterColumn colId="0" hiddenButton="1"/>
  </autoFilter>
  <tableColumns count="2">
    <tableColumn id="1" xr3:uid="{85CFD282-EC82-405E-B9E1-B6D88E8BE22D}" name="V пик мл"/>
    <tableColumn id="2" xr3:uid="{82AE83F0-E0CE-4727-9385-CBC5130EEE68}" name="T C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382A89-02D3-493D-95C3-D140C1C3C4BF}" name="Таблица7" displayName="Таблица7" ref="A4:G14" totalsRowShown="0" headerRowDxfId="8" tableBorderDxfId="9">
  <autoFilter ref="A4:G14" xr:uid="{AF0225F5-3DF3-4AFC-9B1F-C8B14966D627}"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xr3:uid="{8FFC1275-87D5-4F7E-A3E2-506D3528542B}" name="#" dataDxfId="4"/>
    <tableColumn id="5" xr3:uid="{6FF50A90-09CF-41C5-ADD8-A2F8DB8819C7}" name="w% масс _x000a_теор" dataDxfId="3">
      <calculatedColumnFormula>Таблица1[[#This Row],[w%1 т
спирт ]]</calculatedColumnFormula>
    </tableColumn>
    <tableColumn id="6" xr3:uid="{E4BAD8A6-3F5C-4654-A94F-4999895D9589}" name="w% масс _x000a_прак" dataDxfId="2">
      <calculatedColumnFormula>Таблица1[[#This Row],[w%1 
]]</calculatedColumnFormula>
    </tableColumn>
    <tableColumn id="1" xr3:uid="{ECE0A9E4-6EA3-44D2-8D7A-9AADCE33DB76}" name="m г_x000a_пик"/>
    <tableColumn id="2" xr3:uid="{35A018C8-0123-4735-A41D-51B570AAFB7E}" name="m0 г_x000a_смесь    _x000a_пик "/>
    <tableColumn id="3" xr3:uid="{CB26C39D-A997-4D10-8025-1322B26AA44F}" name="m г_x000a_смесь     " dataDxfId="1">
      <calculatedColumnFormula>Таблица7[[#This Row],[m0 г
смесь    
пик ]]-Таблица7[[#This Row],[m г
пик]]</calculatedColumnFormula>
    </tableColumn>
    <tableColumn id="4" xr3:uid="{957C21AB-A418-4939-879B-4FDE3C82DC47}" name="ro_x000a_смесь г/мл   " dataDxfId="0">
      <calculatedColumnFormula>Таблица7[[#This Row],[m г
смесь     ]]/Таблица6[V пик мл]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B1:D2" totalsRowShown="0">
  <autoFilter ref="B1:D2" xr:uid="{DF755A78-2234-47B4-A4F0-FDFFE382EF19}">
    <filterColumn colId="0" hiddenButton="1"/>
    <filterColumn colId="1" hiddenButton="1"/>
    <filterColumn colId="2" hiddenButton="1"/>
  </autoFilter>
  <tableColumns count="3">
    <tableColumn id="1" xr3:uid="{3774E3D5-6290-45BF-B35C-03CB2E245F7C}" name="k Дж/К" dataDxfId="25"/>
    <tableColumn id="2" xr3:uid="{55F504B1-719F-4E9C-8CDF-B05309EA8CE7}" name="a">
      <calculatedColumnFormula>130*0.000000001</calculatedColumnFormula>
    </tableColumn>
    <tableColumn id="3" xr3:uid="{056BA55C-CA76-4348-A678-F9A779B4DCD3}" name="с">
      <calculatedColumnFormula>100*60*60*24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I12" totalsRowShown="0" headerRowDxfId="24">
  <autoFilter ref="A3:I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862F0D-0FA5-428B-8BDE-548DB2AB7E13}" name="#" dataDxfId="23">
      <calculatedColumnFormula>Эксперимент!A5</calculatedColumnFormula>
    </tableColumn>
    <tableColumn id="4" xr3:uid="{75F02D5D-53D0-4237-8DD4-E258E5A352D0}" name="w" dataDxfId="22">
      <calculatedColumnFormula>Эксперимент!P5</calculatedColumnFormula>
    </tableColumn>
    <tableColumn id="2" xr3:uid="{89A2AB49-E643-4792-891C-B4B387D04709}" name="n cПз" dataDxfId="21">
      <calculatedColumnFormula>Эксперимент!#REF!</calculatedColumnFormula>
    </tableColumn>
    <tableColumn id="3" xr3:uid="{CA6E2CAA-7252-4CF1-B360-1276BB443A61}" name="T С"/>
    <tableColumn id="8" xr3:uid="{3AE2087B-AA31-4E3C-9AB9-19AF10173DC6}" name="n Па*с" dataDxfId="20">
      <calculatedColumnFormula>Таблица4[[#This Row],[n cПз]]*0.001</calculatedColumnFormula>
    </tableColumn>
    <tableColumn id="7" xr3:uid="{C0B73B63-48A8-4C9C-90A8-771CE2A4E2C3}" name="T K" dataDxfId="19">
      <calculatedColumnFormula>Таблица4[[#This Row],[T С]]+273.15</calculatedColumnFormula>
    </tableColumn>
    <tableColumn id="5" xr3:uid="{F1400D6F-3EFB-4E45-BFB3-9D931FE20A6D}" name="D м2/с" dataDxfId="18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см2/сут_x000a_(шар)" dataDxfId="17">
      <calculatedColumnFormula>Таблица4[[#This Row],[D м2/с]]</calculatedColumnFormula>
    </tableColumn>
    <tableColumn id="9" xr3:uid="{DC4F818A-DEC1-4A2F-A44C-B7C8B0779905}" name="D0 см2/сут_x000a_(просто)" dataDxfId="16">
      <calculatedColumnFormula>Таблица4[[#This Row],[n Па*с]]/1000*Таблица3[с]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rgb="FF00B050"/>
  </sheetPr>
  <dimension ref="A1:Q144"/>
  <sheetViews>
    <sheetView topLeftCell="A4" zoomScale="145" zoomScaleNormal="145" workbookViewId="0">
      <selection activeCell="G17" sqref="G17"/>
    </sheetView>
  </sheetViews>
  <sheetFormatPr defaultRowHeight="14.4" x14ac:dyDescent="0.3"/>
  <cols>
    <col min="1" max="1" width="3.44140625" customWidth="1"/>
    <col min="2" max="12" width="8" customWidth="1"/>
    <col min="13" max="13" width="11.33203125" customWidth="1"/>
  </cols>
  <sheetData>
    <row r="1" spans="1:17" ht="28.8" x14ac:dyDescent="0.3">
      <c r="B1" s="1" t="s">
        <v>0</v>
      </c>
    </row>
    <row r="2" spans="1:17" x14ac:dyDescent="0.3">
      <c r="B2" s="2">
        <v>0.86</v>
      </c>
      <c r="M2" s="28">
        <v>35.976700000000001</v>
      </c>
    </row>
    <row r="4" spans="1:17" s="2" customFormat="1" ht="43.8" thickBot="1" x14ac:dyDescent="0.35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11</v>
      </c>
      <c r="H4" s="1" t="s">
        <v>9</v>
      </c>
      <c r="I4" s="1" t="s">
        <v>10</v>
      </c>
      <c r="J4" s="1" t="s">
        <v>6</v>
      </c>
      <c r="K4" s="1" t="s">
        <v>7</v>
      </c>
      <c r="L4" s="1" t="s">
        <v>8</v>
      </c>
      <c r="M4" s="1" t="s">
        <v>26</v>
      </c>
      <c r="N4" s="1" t="s">
        <v>27</v>
      </c>
      <c r="O4" s="1" t="s">
        <v>28</v>
      </c>
      <c r="P4" s="1" t="s">
        <v>12</v>
      </c>
      <c r="Q4" s="1" t="s">
        <v>25</v>
      </c>
    </row>
    <row r="5" spans="1:17" x14ac:dyDescent="0.3">
      <c r="A5" s="14">
        <v>1</v>
      </c>
      <c r="B5">
        <v>25.568200000000001</v>
      </c>
      <c r="C5" s="15">
        <v>34.882399999999997</v>
      </c>
      <c r="D5" s="7">
        <f>Таблица1[[#This Row],[m0
смесь    
стакан]]-Таблица1[[#This Row],[m
стакан]]</f>
        <v>9.314199999999996</v>
      </c>
      <c r="E5" s="4">
        <v>9.3141999999999996</v>
      </c>
      <c r="F5" s="5">
        <v>0</v>
      </c>
      <c r="G5" s="8">
        <v>0</v>
      </c>
      <c r="H5" s="3">
        <f>(Таблица1[[#This Row],[m0
смесь]]*Таблица1[[#This Row],[w%1 т
спирт ]]-Таблица1[[#This Row],[m0
спирт]])/(1-Таблица1[[#This Row],[w%1 т
спирт ]])</f>
        <v>0</v>
      </c>
      <c r="I5" s="6">
        <f>Таблица1[[#This Row],[m+ т
спирт]]/Таблица2[ro 
спирт]*1000</f>
        <v>0</v>
      </c>
      <c r="J5" s="15">
        <v>34.882399999999997</v>
      </c>
      <c r="K5" s="7">
        <f>Таблица1[[#This Row],[m1 
смесь
стакан]]-Таблица1[[#This Row],[m
стакан]]</f>
        <v>9.314199999999996</v>
      </c>
      <c r="L5" s="3">
        <f>Таблица1[[#This Row],[m1 
смесь
стакан]]-Таблица1[[#This Row],[m0
смесь    
стакан]]</f>
        <v>0</v>
      </c>
      <c r="M5" s="32">
        <f>Таблица1[[#This Row],[m1 
смесь
стакан]]</f>
        <v>34.882399999999997</v>
      </c>
      <c r="N5" s="3">
        <f>Таблица1[[#This Row],[m2
смесь
стакан]]-Таблица1[[#This Row],[m
стакан]]</f>
        <v>9.314199999999996</v>
      </c>
      <c r="O5" s="3">
        <f>Таблица1[[#This Row],[m2
смесь
стакан]]-Таблица1[[#This Row],[m1 
смесь
стакан]]</f>
        <v>0</v>
      </c>
      <c r="P5" s="18">
        <f>(Таблица1[[#This Row],[m0
спирт]]+Таблица1[[#This Row],[m+
спирта]])/Таблица1[[#This Row],[m2
смеси]]</f>
        <v>0</v>
      </c>
      <c r="Q5" s="29"/>
    </row>
    <row r="6" spans="1:17" x14ac:dyDescent="0.3">
      <c r="A6" s="14">
        <f t="shared" ref="A6:A13" si="0">A5+1</f>
        <v>2</v>
      </c>
      <c r="B6">
        <v>26.550599999999999</v>
      </c>
      <c r="C6" s="16">
        <v>35.750999999999998</v>
      </c>
      <c r="D6" s="7">
        <f>Таблица1[[#This Row],[m0
смесь    
стакан]]-Таблица1[[#This Row],[m
стакан]]</f>
        <v>9.2003999999999984</v>
      </c>
      <c r="E6" s="4">
        <f>Таблица1[[#This Row],[m0
смесь]]*(1-P5)</f>
        <v>9.2003999999999984</v>
      </c>
      <c r="F6" s="5">
        <f>Таблица1[[#This Row],[m0
смесь]]*P5</f>
        <v>0</v>
      </c>
      <c r="G6" s="8">
        <f t="shared" ref="G6:G13" si="1">G5+0.025</f>
        <v>2.5000000000000001E-2</v>
      </c>
      <c r="H6" s="3">
        <f>(Таблица1[[#This Row],[m0
смесь]]*Таблица1[[#This Row],[w%1 т
спирт ]]-Таблица1[[#This Row],[m0
спирт]])/(1-Таблица1[[#This Row],[w%1 т
спирт ]])</f>
        <v>0.23590769230769229</v>
      </c>
      <c r="I6" s="6">
        <f>Таблица1[[#This Row],[m+ т
спирт]]/Таблица2[ro 
спирт]*1000</f>
        <v>274.31127012522359</v>
      </c>
      <c r="J6" s="16">
        <v>35.976700000000001</v>
      </c>
      <c r="K6" s="7">
        <f>Таблица1[[#This Row],[m1 
смесь
стакан]]-Таблица1[[#This Row],[m
стакан]]</f>
        <v>9.4261000000000017</v>
      </c>
      <c r="L6" s="3">
        <f>Таблица1[[#This Row],[m1 
смесь
стакан]]-Таблица1[[#This Row],[m0
смесь    
стакан]]</f>
        <v>0.22570000000000334</v>
      </c>
      <c r="M6" s="32">
        <f>Таблица1[[#This Row],[m1 
смесь
стакан]]</f>
        <v>35.976700000000001</v>
      </c>
      <c r="N6" s="3">
        <f>Таблица1[[#This Row],[m2
смесь
стакан]]-Таблица1[[#This Row],[m
стакан]]</f>
        <v>9.4261000000000017</v>
      </c>
      <c r="O6" s="3">
        <f>Таблица1[[#This Row],[m2
смесь
стакан]]-Таблица1[[#This Row],[m1 
смесь
стакан]]</f>
        <v>0</v>
      </c>
      <c r="P6" s="19">
        <f>(Таблица1[[#This Row],[m0
спирт]]+Таблица1[[#This Row],[m+
спирта]])/Таблица1[[#This Row],[m2
смеси]]</f>
        <v>2.3944155058826376E-2</v>
      </c>
      <c r="Q6" s="29"/>
    </row>
    <row r="7" spans="1:17" x14ac:dyDescent="0.3">
      <c r="A7" s="33">
        <f t="shared" si="0"/>
        <v>3</v>
      </c>
      <c r="B7" s="34">
        <v>26.550599999999999</v>
      </c>
      <c r="C7" s="35">
        <v>35.178199999999997</v>
      </c>
      <c r="D7" s="36">
        <f>Таблица1[[#This Row],[m0
смесь    
стакан]]-Таблица1[[#This Row],[m
стакан]]</f>
        <v>8.6275999999999975</v>
      </c>
      <c r="E7" s="37">
        <f>Таблица1[[#This Row],[m0
смесь]]*(1-P6)</f>
        <v>8.421019407814466</v>
      </c>
      <c r="F7" s="38">
        <f>Таблица1[[#This Row],[m0
смесь]]*P6</f>
        <v>0.20658059218553038</v>
      </c>
      <c r="G7" s="39">
        <f t="shared" si="1"/>
        <v>0.05</v>
      </c>
      <c r="H7" s="40">
        <f>(Таблица1[[#This Row],[m0
смесь]]*Таблица1[[#This Row],[w%1 т
спирт ]]-Таблица1[[#This Row],[m0
спирт]])/(1-Таблица1[[#This Row],[w%1 т
спирт ]])</f>
        <v>0.23663095559417843</v>
      </c>
      <c r="I7" s="41">
        <f>Таблица1[[#This Row],[m+ т
спирт]]/Таблица2[ro 
спирт]*1000</f>
        <v>275.15227394671911</v>
      </c>
      <c r="J7" s="35">
        <v>35.178199999999997</v>
      </c>
      <c r="K7" s="36">
        <f>Таблица1[[#This Row],[m1 
смесь
стакан]]-Таблица1[[#This Row],[m
стакан]]</f>
        <v>8.6275999999999975</v>
      </c>
      <c r="L7" s="40">
        <f>Таблица1[[#This Row],[m1 
смесь
стакан]]-Таблица1[[#This Row],[m0
смесь    
стакан]]</f>
        <v>0</v>
      </c>
      <c r="M7" s="42">
        <v>35.976700000000001</v>
      </c>
      <c r="N7" s="40">
        <f>Таблица1[[#This Row],[m2
смесь
стакан]]-Таблица1[[#This Row],[m
стакан]]</f>
        <v>9.4261000000000017</v>
      </c>
      <c r="O7" s="40">
        <f>Таблица1[[#This Row],[m2
смесь
стакан]]-Таблица1[[#This Row],[m1 
смесь
стакан]]</f>
        <v>0.79850000000000421</v>
      </c>
      <c r="P7" s="43">
        <f>(Таблица1[[#This Row],[m0
спирт]]+Таблица1[[#This Row],[m+
спирта]])/Таблица1[[#This Row],[m2
смеси]]</f>
        <v>2.1915807405558006E-2</v>
      </c>
      <c r="Q7" s="44" t="s">
        <v>29</v>
      </c>
    </row>
    <row r="8" spans="1:17" x14ac:dyDescent="0.3">
      <c r="A8" s="14">
        <f t="shared" si="0"/>
        <v>4</v>
      </c>
      <c r="B8">
        <v>26.550599999999999</v>
      </c>
      <c r="C8" s="27">
        <v>44.033299999999997</v>
      </c>
      <c r="D8" s="7">
        <f>Таблица1[[#This Row],[m0
смесь    
стакан]]-Таблица1[[#This Row],[m
стакан]]</f>
        <v>17.482699999999998</v>
      </c>
      <c r="E8" s="4">
        <f>Таблица1[[#This Row],[m0
смесь]]*(1-P7)</f>
        <v>17.099552513870851</v>
      </c>
      <c r="F8" s="5">
        <f>Таблица1[[#This Row],[m0
смесь]]*P7</f>
        <v>0.3831474861291489</v>
      </c>
      <c r="G8" s="8">
        <v>0.05</v>
      </c>
      <c r="H8" s="3">
        <f>(Таблица1[[#This Row],[m0
смесь]]*Таблица1[[#This Row],[w%1 т
спирт ]]-Таблица1[[#This Row],[m0
спирт]])/(1-Таблица1[[#This Row],[w%1 т
спирт ]])</f>
        <v>0.51682896196931682</v>
      </c>
      <c r="I8" s="6">
        <f>Таблица1[[#This Row],[m+ т
спирт]]/Таблица2[ro 
спирт]*1000</f>
        <v>600.96390926664742</v>
      </c>
      <c r="J8" s="16">
        <v>44.546799999999998</v>
      </c>
      <c r="K8" s="7">
        <f>Таблица1[[#This Row],[m1 
смесь
стакан]]-Таблица1[[#This Row],[m
стакан]]</f>
        <v>17.996199999999998</v>
      </c>
      <c r="L8" s="3">
        <f>Таблица1[[#This Row],[m1 
смесь
стакан]]-Таблица1[[#This Row],[m0
смесь    
стакан]]</f>
        <v>0.51350000000000051</v>
      </c>
      <c r="M8" s="31">
        <f>Таблица1[[#This Row],[m1 
смесь
стакан]]</f>
        <v>44.546799999999998</v>
      </c>
      <c r="N8" s="3">
        <f>Таблица1[[#This Row],[m2
смесь
стакан]]-Таблица1[[#This Row],[m
стакан]]</f>
        <v>17.996199999999998</v>
      </c>
      <c r="O8" s="3">
        <f>Таблица1[[#This Row],[m2
смесь
стакан]]-Таблица1[[#This Row],[m1 
смесь
стакан]]</f>
        <v>0</v>
      </c>
      <c r="P8" s="19">
        <f>(Таблица1[[#This Row],[m0
спирт]]+Таблица1[[#This Row],[m+
спирта]])/Таблица1[[#This Row],[m2
смеси]]</f>
        <v>4.9824267685908662E-2</v>
      </c>
      <c r="Q8" s="29"/>
    </row>
    <row r="9" spans="1:17" s="9" customFormat="1" x14ac:dyDescent="0.3">
      <c r="A9" s="14">
        <f t="shared" si="0"/>
        <v>5</v>
      </c>
      <c r="B9">
        <v>28.312799999999999</v>
      </c>
      <c r="C9" s="16">
        <v>43.848700000000001</v>
      </c>
      <c r="D9" s="10">
        <f>Таблица1[[#This Row],[m0
смесь    
стакан]]-Таблица1[[#This Row],[m
стакан]]</f>
        <v>15.535900000000002</v>
      </c>
      <c r="E9" s="4">
        <f>Таблица1[[#This Row],[m0
смесь]]*(1-P8)</f>
        <v>14.761835159658494</v>
      </c>
      <c r="F9" s="11">
        <f>Таблица1[[#This Row],[m0
смесь]]*P8</f>
        <v>0.77406484034150846</v>
      </c>
      <c r="G9" s="8">
        <f t="shared" si="1"/>
        <v>7.5000000000000011E-2</v>
      </c>
      <c r="H9" s="12">
        <f>(Таблица1[[#This Row],[m0
смесь]]*Таблица1[[#This Row],[w%1 т
спирт ]]-Таблица1[[#This Row],[m0
спирт]])/(1-Таблица1[[#This Row],[w%1 т
спирт ]])</f>
        <v>0.42284071314431548</v>
      </c>
      <c r="I9" s="13">
        <f>Таблица1[[#This Row],[m+ т
спирт]]/Таблица2[ro 
спирт]*1000</f>
        <v>491.67524784222735</v>
      </c>
      <c r="J9" s="16">
        <v>44.288899999999998</v>
      </c>
      <c r="K9" s="10">
        <f>Таблица1[[#This Row],[m1 
смесь
стакан]]-Таблица1[[#This Row],[m
стакан]]</f>
        <v>15.976099999999999</v>
      </c>
      <c r="L9" s="12">
        <f>Таблица1[[#This Row],[m1 
смесь
стакан]]-Таблица1[[#This Row],[m0
смесь    
стакан]]</f>
        <v>0.44019999999999726</v>
      </c>
      <c r="M9" s="31">
        <f>Таблица1[[#This Row],[m1 
смесь
стакан]]</f>
        <v>44.288899999999998</v>
      </c>
      <c r="N9" s="12">
        <f>Таблица1[[#This Row],[m2
смесь
стакан]]-Таблица1[[#This Row],[m
стакан]]</f>
        <v>15.976099999999999</v>
      </c>
      <c r="O9" s="12">
        <f>Таблица1[[#This Row],[m2
смесь
стакан]]-Таблица1[[#This Row],[m1 
смесь
стакан]]</f>
        <v>0</v>
      </c>
      <c r="P9" s="20">
        <f>(Таблица1[[#This Row],[m0
спирт]]+Таблица1[[#This Row],[m+
спирта]])/Таблица1[[#This Row],[m2
смеси]]</f>
        <v>7.6005085117237983E-2</v>
      </c>
      <c r="Q9" s="30"/>
    </row>
    <row r="10" spans="1:17" s="9" customFormat="1" x14ac:dyDescent="0.3">
      <c r="A10" s="14">
        <f t="shared" si="0"/>
        <v>6</v>
      </c>
      <c r="B10">
        <v>28.312799999999999</v>
      </c>
      <c r="C10" s="16">
        <v>43.315600000000003</v>
      </c>
      <c r="D10" s="10">
        <f>Таблица1[[#This Row],[m0
смесь    
стакан]]-Таблица1[[#This Row],[m
стакан]]</f>
        <v>15.002800000000004</v>
      </c>
      <c r="E10" s="4">
        <f>Таблица1[[#This Row],[m0
смесь]]*(1-P9)</f>
        <v>13.862510909003106</v>
      </c>
      <c r="F10" s="11">
        <f>Таблица1[[#This Row],[m0
смесь]]*P9</f>
        <v>1.1402890909968983</v>
      </c>
      <c r="G10" s="8">
        <f t="shared" si="1"/>
        <v>0.1</v>
      </c>
      <c r="H10" s="12">
        <f>(Таблица1[[#This Row],[m0
смесь]]*Таблица1[[#This Row],[w%1 т
спирт ]]-Таблица1[[#This Row],[m0
спирт]])/(1-Таблица1[[#This Row],[w%1 т
спирт ]])</f>
        <v>0.39998989889233572</v>
      </c>
      <c r="I10" s="13">
        <f>Таблица1[[#This Row],[m+ т
спирт]]/Таблица2[ro 
спирт]*1000</f>
        <v>465.10453359573921</v>
      </c>
      <c r="J10" s="16">
        <v>43.727899999999998</v>
      </c>
      <c r="K10" s="10">
        <f>Таблица1[[#This Row],[m1 
смесь
стакан]]-Таблица1[[#This Row],[m
стакан]]</f>
        <v>15.415099999999999</v>
      </c>
      <c r="L10" s="12">
        <f>Таблица1[[#This Row],[m1 
смесь
стакан]]-Таблица1[[#This Row],[m0
смесь    
стакан]]</f>
        <v>0.41229999999999478</v>
      </c>
      <c r="M10" s="31">
        <f>Таблица1[[#This Row],[m1 
смесь
стакан]]</f>
        <v>43.727899999999998</v>
      </c>
      <c r="N10" s="12">
        <f>Таблица1[[#This Row],[m2
смесь
стакан]]-Таблица1[[#This Row],[m
стакан]]</f>
        <v>15.415099999999999</v>
      </c>
      <c r="O10" s="12">
        <f>Таблица1[[#This Row],[m2
смесь
стакан]]-Таблица1[[#This Row],[m1 
смесь
стакан]]</f>
        <v>0</v>
      </c>
      <c r="P10" s="20">
        <f>(Таблица1[[#This Row],[m0
спирт]]+Таблица1[[#This Row],[m+
спирта]])/Таблица1[[#This Row],[m2
смеси]]</f>
        <v>0.10071871677750344</v>
      </c>
      <c r="Q10" s="30"/>
    </row>
    <row r="11" spans="1:17" s="9" customFormat="1" x14ac:dyDescent="0.3">
      <c r="A11" s="14">
        <f t="shared" si="0"/>
        <v>7</v>
      </c>
      <c r="B11">
        <v>28.312799999999999</v>
      </c>
      <c r="C11" s="16">
        <v>43.065800000000003</v>
      </c>
      <c r="D11" s="10">
        <f>Таблица1[[#This Row],[m0
смесь    
стакан]]-Таблица1[[#This Row],[m
стакан]]</f>
        <v>14.753000000000004</v>
      </c>
      <c r="E11" s="4">
        <f>Таблица1[[#This Row],[m0
смесь]]*(1-P10)</f>
        <v>13.267096771381494</v>
      </c>
      <c r="F11" s="11">
        <f>Таблица1[[#This Row],[m0
смесь]]*P10</f>
        <v>1.4859032286185085</v>
      </c>
      <c r="G11" s="8">
        <f t="shared" si="1"/>
        <v>0.125</v>
      </c>
      <c r="H11" s="12">
        <f>(Таблица1[[#This Row],[m0
смесь]]*Таблица1[[#This Row],[w%1 т
спирт ]]-Таблица1[[#This Row],[m0
спирт]])/(1-Таблица1[[#This Row],[w%1 т
спирт ]])</f>
        <v>0.4093963101502765</v>
      </c>
      <c r="I11" s="13">
        <f>Таблица1[[#This Row],[m+ т
спирт]]/Таблица2[ro 
спирт]*1000</f>
        <v>476.04222110497267</v>
      </c>
      <c r="J11" s="16">
        <v>43.441400000000002</v>
      </c>
      <c r="K11" s="10">
        <f>Таблица1[[#This Row],[m1 
смесь
стакан]]-Таблица1[[#This Row],[m
стакан]]</f>
        <v>15.128600000000002</v>
      </c>
      <c r="L11" s="12">
        <f>Таблица1[[#This Row],[m1 
смесь
стакан]]-Таблица1[[#This Row],[m0
смесь    
стакан]]</f>
        <v>0.3755999999999986</v>
      </c>
      <c r="M11" s="31">
        <f>Таблица1[[#This Row],[m1 
смесь
стакан]]</f>
        <v>43.441400000000002</v>
      </c>
      <c r="N11" s="12">
        <f>Таблица1[[#This Row],[m2
смесь
стакан]]-Таблица1[[#This Row],[m
стакан]]</f>
        <v>15.128600000000002</v>
      </c>
      <c r="O11" s="12">
        <f>Таблица1[[#This Row],[m2
смесь
стакан]]-Таблица1[[#This Row],[m1 
смесь
стакан]]</f>
        <v>0</v>
      </c>
      <c r="P11" s="20">
        <f>(Таблица1[[#This Row],[m0
спирт]]+Таблица1[[#This Row],[m+
спирта]])/Таблица1[[#This Row],[m2
смеси]]</f>
        <v>0.12304530681084216</v>
      </c>
      <c r="Q11" s="30"/>
    </row>
    <row r="12" spans="1:17" s="9" customFormat="1" x14ac:dyDescent="0.3">
      <c r="A12" s="14">
        <f t="shared" si="0"/>
        <v>8</v>
      </c>
      <c r="B12">
        <v>32.1828</v>
      </c>
      <c r="C12" s="16">
        <v>45.037700000000001</v>
      </c>
      <c r="D12" s="10">
        <f>Таблица1[[#This Row],[m0
смесь    
стакан]]-Таблица1[[#This Row],[m
стакан]]</f>
        <v>12.854900000000001</v>
      </c>
      <c r="E12" s="4">
        <f>Таблица1[[#This Row],[m0
смесь]]*(1-P11)</f>
        <v>11.273164885477305</v>
      </c>
      <c r="F12" s="11">
        <f>Таблица1[[#This Row],[m0
смесь]]*P11</f>
        <v>1.581735114522695</v>
      </c>
      <c r="G12" s="8">
        <f t="shared" si="1"/>
        <v>0.15</v>
      </c>
      <c r="H12" s="12">
        <f>(Таблица1[[#This Row],[m0
смесь]]*Таблица1[[#This Row],[w%1 т
спирт ]]-Таблица1[[#This Row],[m0
спирт]])/(1-Таблица1[[#This Row],[w%1 т
спирт ]])</f>
        <v>0.40764692409094699</v>
      </c>
      <c r="I12" s="13">
        <f>Таблица1[[#This Row],[m+ т
спирт]]/Таблица2[ro 
спирт]*1000</f>
        <v>474.008051268543</v>
      </c>
      <c r="J12" s="16">
        <v>45.432499999999997</v>
      </c>
      <c r="K12" s="10">
        <f>Таблица1[[#This Row],[m1 
смесь
стакан]]-Таблица1[[#This Row],[m
стакан]]</f>
        <v>13.249699999999997</v>
      </c>
      <c r="L12" s="12">
        <f>Таблица1[[#This Row],[m1 
смесь
стакан]]-Таблица1[[#This Row],[m0
смесь    
стакан]]</f>
        <v>0.39479999999999649</v>
      </c>
      <c r="M12" s="31">
        <f>Таблица1[[#This Row],[m1 
смесь
стакан]]</f>
        <v>45.432499999999997</v>
      </c>
      <c r="N12" s="12">
        <f>Таблица1[[#This Row],[m2
смесь
стакан]]-Таблица1[[#This Row],[m
стакан]]</f>
        <v>13.249699999999997</v>
      </c>
      <c r="O12" s="12">
        <f>Таблица1[[#This Row],[m2
смесь
стакан]]-Таблица1[[#This Row],[m1 
смесь
стакан]]</f>
        <v>0</v>
      </c>
      <c r="P12" s="20">
        <f>(Таблица1[[#This Row],[m0
спирт]]+Таблица1[[#This Row],[m+
спирта]])/Таблица1[[#This Row],[m2
смеси]]</f>
        <v>0.14917583903957765</v>
      </c>
      <c r="Q12" s="30"/>
    </row>
    <row r="13" spans="1:17" s="9" customFormat="1" ht="15" thickBot="1" x14ac:dyDescent="0.35">
      <c r="A13" s="14">
        <f t="shared" si="0"/>
        <v>9</v>
      </c>
      <c r="B13">
        <v>32.1828</v>
      </c>
      <c r="C13" s="17">
        <v>44.400799999999997</v>
      </c>
      <c r="D13" s="10">
        <f>Таблица1[[#This Row],[m0
смесь    
стакан]]-Таблица1[[#This Row],[m
стакан]]</f>
        <v>12.217999999999996</v>
      </c>
      <c r="E13" s="4">
        <f>Таблица1[[#This Row],[m0
смесь]]*(1-P12)</f>
        <v>10.395369598614437</v>
      </c>
      <c r="F13" s="11">
        <f>Таблица1[[#This Row],[m0
смесь]]*P12</f>
        <v>1.8226304013855592</v>
      </c>
      <c r="G13" s="8">
        <f t="shared" si="1"/>
        <v>0.17499999999999999</v>
      </c>
      <c r="H13" s="12">
        <f>(Таблица1[[#This Row],[m0
смесь]]*Таблица1[[#This Row],[w%1 т
спирт ]]-Таблица1[[#This Row],[m0
спирт]])/(1-Таблица1[[#This Row],[w%1 т
спирт ]])</f>
        <v>0.38244799832053322</v>
      </c>
      <c r="I13" s="13">
        <f>Таблица1[[#This Row],[m+ т
спирт]]/Таблица2[ro 
спирт]*1000</f>
        <v>444.70697479131769</v>
      </c>
      <c r="J13" s="17">
        <v>44.781999999999996</v>
      </c>
      <c r="K13" s="10">
        <f>Таблица1[[#This Row],[m1 
смесь
стакан]]-Таблица1[[#This Row],[m
стакан]]</f>
        <v>12.599199999999996</v>
      </c>
      <c r="L13" s="12">
        <f>Таблица1[[#This Row],[m1 
смесь
стакан]]-Таблица1[[#This Row],[m0
смесь    
стакан]]</f>
        <v>0.38119999999999976</v>
      </c>
      <c r="M13" s="31">
        <f>Таблица1[[#This Row],[m1 
смесь
стакан]]</f>
        <v>44.781999999999996</v>
      </c>
      <c r="N13" s="12">
        <f>Таблица1[[#This Row],[m2
смесь
стакан]]-Таблица1[[#This Row],[m
стакан]]</f>
        <v>12.599199999999996</v>
      </c>
      <c r="O13" s="12">
        <f>Таблица1[[#This Row],[m2
смесь
стакан]]-Таблица1[[#This Row],[m1 
смесь
стакан]]</f>
        <v>0</v>
      </c>
      <c r="P13" s="21">
        <f>(Таблица1[[#This Row],[m0
спирт]]+Таблица1[[#This Row],[m+
спирта]])/Таблица1[[#This Row],[m2
смеси]]</f>
        <v>0.17491828063571971</v>
      </c>
      <c r="Q13" s="30"/>
    </row>
    <row r="14" spans="1:17" s="9" customFormat="1" x14ac:dyDescent="0.3">
      <c r="A14" s="14">
        <f>A13+1</f>
        <v>10</v>
      </c>
      <c r="B14" s="9">
        <v>21.125800000000002</v>
      </c>
      <c r="C14" s="16">
        <v>31.729299999999999</v>
      </c>
      <c r="D14" s="10">
        <f>Таблица1[[#This Row],[m0
смесь    
стакан]]-Таблица1[[#This Row],[m
стакан]]</f>
        <v>10.603499999999997</v>
      </c>
      <c r="E14" s="45">
        <f>Таблица1[[#This Row],[m0
смесь]]*(1-P13)</f>
        <v>8.7487540112791429</v>
      </c>
      <c r="F14" s="11">
        <f>Таблица1[[#This Row],[m0
смесь]]*P13</f>
        <v>1.8547459887208533</v>
      </c>
      <c r="G14" s="46">
        <f>G13+0.025</f>
        <v>0.19999999999999998</v>
      </c>
      <c r="H14" s="12">
        <f>(Таблица1[[#This Row],[m0
смесь]]*Таблица1[[#This Row],[w%1 т
спирт ]]-Таблица1[[#This Row],[m0
спирт]])/(1-Таблица1[[#This Row],[w%1 т
спирт ]])</f>
        <v>0.33244251409893261</v>
      </c>
      <c r="I14" s="13">
        <f>Таблица1[[#This Row],[m+ т
спирт]]/Таблица2[ro 
спирт]*1000</f>
        <v>386.56106290573558</v>
      </c>
      <c r="J14" s="16">
        <v>32.061</v>
      </c>
      <c r="K14" s="10">
        <f>Таблица1[[#This Row],[m1 
смесь
стакан]]-Таблица1[[#This Row],[m
стакан]]</f>
        <v>10.935199999999998</v>
      </c>
      <c r="L14" s="12">
        <f>Таблица1[[#This Row],[m1 
смесь
стакан]]-Таблица1[[#This Row],[m0
смесь    
стакан]]</f>
        <v>0.33170000000000144</v>
      </c>
      <c r="M14" s="31">
        <f>Таблица1[[#This Row],[m1 
смесь
стакан]]</f>
        <v>32.061</v>
      </c>
      <c r="N14" s="12">
        <f>Таблица1[[#This Row],[m2
смесь
стакан]]-Таблица1[[#This Row],[m
стакан]]</f>
        <v>10.935199999999998</v>
      </c>
      <c r="O14" s="12">
        <f>Таблица1[[#This Row],[m2
смесь
стакан]]-Таблица1[[#This Row],[m1 
смесь
стакан]]</f>
        <v>0</v>
      </c>
      <c r="P14" s="47">
        <f>(Таблица1[[#This Row],[m0
спирт]]+Таблица1[[#This Row],[m+
спирта]])/Таблица1[[#This Row],[m2
смеси]]</f>
        <v>0.19994567897439963</v>
      </c>
      <c r="Q14" s="30"/>
    </row>
    <row r="15" spans="1:17" s="9" customFormat="1" x14ac:dyDescent="0.3"/>
    <row r="16" spans="1:17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69D-F7E2-4A6F-B56C-69A3DD7B28E0}">
  <sheetPr>
    <tabColor rgb="FF00B0F0"/>
  </sheetPr>
  <dimension ref="A1:I11"/>
  <sheetViews>
    <sheetView zoomScale="175" zoomScaleNormal="175" workbookViewId="0">
      <selection activeCell="D14" sqref="D14"/>
    </sheetView>
  </sheetViews>
  <sheetFormatPr defaultRowHeight="14.4" x14ac:dyDescent="0.3"/>
  <cols>
    <col min="1" max="1" width="4.33203125" customWidth="1"/>
    <col min="2" max="3" width="9.6640625" customWidth="1"/>
    <col min="4" max="5" width="12.44140625" customWidth="1"/>
    <col min="6" max="6" width="12.77734375" customWidth="1"/>
    <col min="7" max="8" width="9.44140625" customWidth="1"/>
    <col min="9" max="9" width="24.44140625" bestFit="1" customWidth="1"/>
  </cols>
  <sheetData>
    <row r="1" spans="1:9" ht="28.8" x14ac:dyDescent="0.3">
      <c r="A1" s="49" t="s">
        <v>13</v>
      </c>
      <c r="B1" s="50" t="s">
        <v>43</v>
      </c>
      <c r="C1" s="50" t="s">
        <v>44</v>
      </c>
      <c r="D1" s="50" t="s">
        <v>45</v>
      </c>
      <c r="E1" s="50" t="s">
        <v>46</v>
      </c>
      <c r="F1" s="50" t="s">
        <v>47</v>
      </c>
      <c r="G1" s="51" t="s">
        <v>41</v>
      </c>
      <c r="H1" s="51" t="s">
        <v>42</v>
      </c>
      <c r="I1" s="50" t="s">
        <v>48</v>
      </c>
    </row>
    <row r="2" spans="1:9" x14ac:dyDescent="0.3">
      <c r="A2" s="57">
        <v>1</v>
      </c>
      <c r="B2" s="55">
        <v>57.308994106791218</v>
      </c>
      <c r="C2" s="52">
        <v>9.5369126267094373E-2</v>
      </c>
      <c r="D2" s="56">
        <v>1.178113197003577E-8</v>
      </c>
      <c r="E2" s="53">
        <v>4.56452840393914E-10</v>
      </c>
      <c r="F2" s="48" t="s">
        <v>30</v>
      </c>
      <c r="G2" s="61">
        <f ca="1">Таблица5[[#This Row],[w% масс 
теор]]/100</f>
        <v>0</v>
      </c>
      <c r="H2" s="54">
        <f>Эксперимент!P5</f>
        <v>0</v>
      </c>
      <c r="I2" t="s">
        <v>31</v>
      </c>
    </row>
    <row r="3" spans="1:9" x14ac:dyDescent="0.3">
      <c r="A3" s="57">
        <v>2</v>
      </c>
      <c r="B3" s="55">
        <v>49.847994012296063</v>
      </c>
      <c r="C3" s="52">
        <v>0.15223222030175171</v>
      </c>
      <c r="D3" s="56">
        <v>1.7200005603909319E-7</v>
      </c>
      <c r="E3" s="53">
        <v>1.036206814829991E-8</v>
      </c>
      <c r="F3" s="48" t="s">
        <v>32</v>
      </c>
      <c r="G3" s="61">
        <f ca="1">Таблица5[[#This Row],[w% масс 
теор]]/100</f>
        <v>2.5000000000000001E-2</v>
      </c>
      <c r="H3" s="54">
        <f>Эксперимент!P6</f>
        <v>2.3944155058826376E-2</v>
      </c>
    </row>
    <row r="4" spans="1:9" x14ac:dyDescent="0.3">
      <c r="A4" s="70">
        <v>3</v>
      </c>
      <c r="B4" s="71"/>
      <c r="C4" s="72"/>
      <c r="D4" s="73"/>
      <c r="E4" s="74"/>
      <c r="F4" s="75"/>
      <c r="G4" s="76">
        <f ca="1">Таблица5[[#This Row],[w% масс 
теор]]/100</f>
        <v>0</v>
      </c>
      <c r="H4" s="77">
        <f>Эксперимент!P7</f>
        <v>2.1915807405558006E-2</v>
      </c>
      <c r="I4" s="68" t="s">
        <v>40</v>
      </c>
    </row>
    <row r="5" spans="1:9" x14ac:dyDescent="0.3">
      <c r="A5" s="57">
        <v>4</v>
      </c>
      <c r="B5" s="55">
        <v>49.805519375865757</v>
      </c>
      <c r="C5" s="52">
        <v>0.13807673174168039</v>
      </c>
      <c r="D5" s="56">
        <v>1.3824063760869289E-7</v>
      </c>
      <c r="E5" s="53">
        <v>7.7180897758757693E-9</v>
      </c>
      <c r="F5" s="48" t="s">
        <v>33</v>
      </c>
      <c r="G5" s="61">
        <f ca="1">Таблица5[[#This Row],[w% масс 
теор]]/100</f>
        <v>0.05</v>
      </c>
      <c r="H5" s="54">
        <f>Эксперимент!P8</f>
        <v>4.9824267685908662E-2</v>
      </c>
    </row>
    <row r="6" spans="1:9" x14ac:dyDescent="0.3">
      <c r="A6" s="57">
        <v>5</v>
      </c>
      <c r="B6" s="55">
        <v>45.193687036460702</v>
      </c>
      <c r="C6" s="52">
        <v>0.16591155016473641</v>
      </c>
      <c r="D6" s="56">
        <v>6.7665117322632459E-7</v>
      </c>
      <c r="E6" s="53">
        <v>4.5059385738774732E-8</v>
      </c>
      <c r="F6" s="48" t="s">
        <v>34</v>
      </c>
      <c r="G6" s="61">
        <f ca="1">Таблица5[[#This Row],[w% масс 
теор]]/100</f>
        <v>7.4999999999999997E-2</v>
      </c>
      <c r="H6" s="54">
        <f>Эксперимент!P9</f>
        <v>7.6005085117237983E-2</v>
      </c>
    </row>
    <row r="7" spans="1:9" x14ac:dyDescent="0.3">
      <c r="A7" s="57">
        <v>6</v>
      </c>
      <c r="B7" s="55">
        <v>40.779651191999328</v>
      </c>
      <c r="C7" s="52">
        <v>0.1248973519913186</v>
      </c>
      <c r="D7" s="56">
        <v>3.193288160121095E-6</v>
      </c>
      <c r="E7" s="53">
        <v>1.5820023514922191E-7</v>
      </c>
      <c r="F7" s="48" t="s">
        <v>35</v>
      </c>
      <c r="G7" s="61">
        <f ca="1">Таблица5[[#This Row],[w% масс 
теор]]/100</f>
        <v>0.1</v>
      </c>
      <c r="H7" s="54">
        <f>Эксперимент!P10</f>
        <v>0.10071871677750344</v>
      </c>
    </row>
    <row r="8" spans="1:9" x14ac:dyDescent="0.3">
      <c r="A8" s="57">
        <v>7</v>
      </c>
      <c r="B8" s="55">
        <v>42.259748749228137</v>
      </c>
      <c r="C8" s="52">
        <v>9.8496463504233134E-2</v>
      </c>
      <c r="D8" s="56">
        <v>1.4991554928338761E-6</v>
      </c>
      <c r="E8" s="53">
        <v>5.9740134564524842E-8</v>
      </c>
      <c r="F8" s="48" t="s">
        <v>36</v>
      </c>
      <c r="G8" s="61">
        <f ca="1">Таблица5[[#This Row],[w% масс 
теор]]/100</f>
        <v>0.125</v>
      </c>
      <c r="H8" s="54">
        <f>Эксперимент!P11</f>
        <v>0.12304530681084216</v>
      </c>
    </row>
    <row r="9" spans="1:9" x14ac:dyDescent="0.3">
      <c r="A9" s="57">
        <v>8</v>
      </c>
      <c r="B9" s="55">
        <v>38.162234976018958</v>
      </c>
      <c r="C9" s="52">
        <v>9.9940624759899066E-2</v>
      </c>
      <c r="D9" s="56">
        <v>6.4857140827831011E-6</v>
      </c>
      <c r="E9" s="53">
        <v>2.6012368310347772E-7</v>
      </c>
      <c r="F9" s="48" t="s">
        <v>37</v>
      </c>
      <c r="G9" s="61">
        <f ca="1">Таблица5[[#This Row],[w% масс 
теор]]/100</f>
        <v>0.15</v>
      </c>
      <c r="H9" s="54">
        <f>Эксперимент!P12</f>
        <v>0.14917583903957765</v>
      </c>
    </row>
    <row r="10" spans="1:9" x14ac:dyDescent="0.3">
      <c r="A10" s="57">
        <v>9</v>
      </c>
      <c r="B10" s="55">
        <v>38.113817416143988</v>
      </c>
      <c r="C10" s="52">
        <v>9.2017913830858333E-2</v>
      </c>
      <c r="D10" s="56">
        <v>5.8282016880635814E-6</v>
      </c>
      <c r="E10" s="53">
        <v>2.1786897207357509E-7</v>
      </c>
      <c r="F10" s="48" t="s">
        <v>38</v>
      </c>
      <c r="G10" s="61">
        <f ca="1">Таблица5[[#This Row],[w% масс 
теор]]/100</f>
        <v>0.17499999999999999</v>
      </c>
      <c r="H10" s="54">
        <f>Эксперимент!P13</f>
        <v>0.17491828063571971</v>
      </c>
    </row>
    <row r="11" spans="1:9" x14ac:dyDescent="0.3">
      <c r="A11" s="57">
        <v>10</v>
      </c>
      <c r="B11" s="55">
        <v>37.810807316407811</v>
      </c>
      <c r="C11" s="52">
        <v>9.1114957061982693E-2</v>
      </c>
      <c r="D11" s="56">
        <v>5.8702924578367343E-6</v>
      </c>
      <c r="E11" s="53">
        <v>2.1572073373871701E-7</v>
      </c>
      <c r="F11" s="48" t="s">
        <v>39</v>
      </c>
      <c r="G11" s="61">
        <f ca="1">Таблица5[[#This Row],[w% масс 
теор]]/100</f>
        <v>0.2</v>
      </c>
      <c r="H11" s="54">
        <f>Эксперимент!P14</f>
        <v>0.19994567897439963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39F9C-8973-4936-A467-A38F70620E39}">
  <sheetPr>
    <tabColor rgb="FFFFC000"/>
  </sheetPr>
  <dimension ref="A1:G14"/>
  <sheetViews>
    <sheetView tabSelected="1" topLeftCell="A4" zoomScale="190" zoomScaleNormal="190" workbookViewId="0">
      <selection activeCell="H7" sqref="H7"/>
    </sheetView>
  </sheetViews>
  <sheetFormatPr defaultRowHeight="14.4" x14ac:dyDescent="0.3"/>
  <cols>
    <col min="1" max="1" width="4.88671875" customWidth="1"/>
  </cols>
  <sheetData>
    <row r="1" spans="1:7" x14ac:dyDescent="0.3">
      <c r="B1" t="s">
        <v>50</v>
      </c>
      <c r="C1" t="s">
        <v>49</v>
      </c>
    </row>
    <row r="2" spans="1:7" x14ac:dyDescent="0.3">
      <c r="B2">
        <v>5</v>
      </c>
      <c r="C2">
        <v>25</v>
      </c>
    </row>
    <row r="4" spans="1:7" ht="43.2" x14ac:dyDescent="0.3">
      <c r="A4" s="60" t="s">
        <v>13</v>
      </c>
      <c r="B4" s="58" t="s">
        <v>41</v>
      </c>
      <c r="C4" s="58" t="s">
        <v>42</v>
      </c>
      <c r="D4" s="59" t="s">
        <v>51</v>
      </c>
      <c r="E4" s="59" t="s">
        <v>52</v>
      </c>
      <c r="F4" s="59" t="s">
        <v>53</v>
      </c>
      <c r="G4" s="59" t="s">
        <v>54</v>
      </c>
    </row>
    <row r="5" spans="1:7" x14ac:dyDescent="0.3">
      <c r="A5" s="24">
        <v>1</v>
      </c>
      <c r="B5" s="62">
        <f>Таблица1[[#This Row],[w%1 т
спирт ]]</f>
        <v>0</v>
      </c>
      <c r="C5" s="63">
        <f>Таблица1[[#This Row],[w%1 
]]</f>
        <v>0</v>
      </c>
      <c r="D5">
        <v>1</v>
      </c>
      <c r="E5">
        <v>6</v>
      </c>
      <c r="F5">
        <f>Таблица7[[#This Row],[m0 г
смесь    
пик ]]-Таблица7[[#This Row],[m г
пик]]</f>
        <v>5</v>
      </c>
      <c r="G5" s="64">
        <f>Таблица7[[#This Row],[m г
смесь     ]]/Таблица6[V пик мл]</f>
        <v>1</v>
      </c>
    </row>
    <row r="6" spans="1:7" x14ac:dyDescent="0.3">
      <c r="A6" s="24">
        <v>2</v>
      </c>
      <c r="B6" s="62">
        <f>Таблица1[[#This Row],[w%1 т
спирт ]]</f>
        <v>2.5000000000000001E-2</v>
      </c>
      <c r="C6" s="63">
        <f>Таблица1[[#This Row],[w%1 
]]</f>
        <v>2.3944155058826376E-2</v>
      </c>
      <c r="D6">
        <v>1</v>
      </c>
      <c r="E6">
        <v>6</v>
      </c>
      <c r="F6">
        <f>Таблица7[[#This Row],[m0 г
смесь    
пик ]]-Таблица7[[#This Row],[m г
пик]]</f>
        <v>5</v>
      </c>
      <c r="G6" s="64">
        <f>Таблица7[[#This Row],[m г
смесь     ]]/Таблица6[V пик мл]</f>
        <v>1</v>
      </c>
    </row>
    <row r="7" spans="1:7" x14ac:dyDescent="0.3">
      <c r="A7" s="65">
        <v>3</v>
      </c>
      <c r="B7" s="66">
        <f>Таблица1[[#This Row],[w%1 т
спирт ]]</f>
        <v>0.05</v>
      </c>
      <c r="C7" s="67">
        <f>Таблица1[[#This Row],[w%1 
]]</f>
        <v>2.1915807405558006E-2</v>
      </c>
      <c r="F7" s="68"/>
      <c r="G7" s="69">
        <f>Таблица7[[#This Row],[m г
смесь     ]]/Таблица6[V пик мл]</f>
        <v>0</v>
      </c>
    </row>
    <row r="8" spans="1:7" x14ac:dyDescent="0.3">
      <c r="A8" s="24">
        <v>4</v>
      </c>
      <c r="B8" s="62">
        <f>Таблица1[[#This Row],[w%1 т
спирт ]]</f>
        <v>0.05</v>
      </c>
      <c r="C8" s="63">
        <f>Таблица1[[#This Row],[w%1 
]]</f>
        <v>4.9824267685908662E-2</v>
      </c>
      <c r="D8">
        <v>1</v>
      </c>
      <c r="E8">
        <v>6</v>
      </c>
      <c r="F8">
        <f>Таблица7[[#This Row],[m0 г
смесь    
пик ]]-Таблица7[[#This Row],[m г
пик]]</f>
        <v>5</v>
      </c>
      <c r="G8" s="64">
        <f>Таблица7[[#This Row],[m г
смесь     ]]/Таблица6[V пик мл]</f>
        <v>1</v>
      </c>
    </row>
    <row r="9" spans="1:7" x14ac:dyDescent="0.3">
      <c r="A9" s="24">
        <v>5</v>
      </c>
      <c r="B9" s="62">
        <f>Таблица1[[#This Row],[w%1 т
спирт ]]</f>
        <v>7.5000000000000011E-2</v>
      </c>
      <c r="C9" s="63">
        <f>Таблица1[[#This Row],[w%1 
]]</f>
        <v>7.6005085117237983E-2</v>
      </c>
      <c r="D9">
        <v>1</v>
      </c>
      <c r="E9">
        <v>6</v>
      </c>
      <c r="F9">
        <f>Таблица7[[#This Row],[m0 г
смесь    
пик ]]-Таблица7[[#This Row],[m г
пик]]</f>
        <v>5</v>
      </c>
      <c r="G9" s="64">
        <f>Таблица7[[#This Row],[m г
смесь     ]]/Таблица6[V пик мл]</f>
        <v>1</v>
      </c>
    </row>
    <row r="10" spans="1:7" x14ac:dyDescent="0.3">
      <c r="A10" s="24">
        <v>6</v>
      </c>
      <c r="B10" s="62">
        <f>Таблица1[[#This Row],[w%1 т
спирт ]]</f>
        <v>0.1</v>
      </c>
      <c r="C10" s="63">
        <f>Таблица1[[#This Row],[w%1 
]]</f>
        <v>0.10071871677750344</v>
      </c>
      <c r="D10">
        <v>1</v>
      </c>
      <c r="E10">
        <v>6</v>
      </c>
      <c r="F10">
        <f>Таблица7[[#This Row],[m0 г
смесь    
пик ]]-Таблица7[[#This Row],[m г
пик]]</f>
        <v>5</v>
      </c>
      <c r="G10" s="64">
        <f>Таблица7[[#This Row],[m г
смесь     ]]/Таблица6[V пик мл]</f>
        <v>1</v>
      </c>
    </row>
    <row r="11" spans="1:7" x14ac:dyDescent="0.3">
      <c r="A11" s="24">
        <v>7</v>
      </c>
      <c r="B11" s="62">
        <f>Таблица1[[#This Row],[w%1 т
спирт ]]</f>
        <v>0.125</v>
      </c>
      <c r="C11" s="63">
        <f>Таблица1[[#This Row],[w%1 
]]</f>
        <v>0.12304530681084216</v>
      </c>
      <c r="D11">
        <v>1</v>
      </c>
      <c r="E11">
        <v>6</v>
      </c>
      <c r="F11">
        <f>Таблица7[[#This Row],[m0 г
смесь    
пик ]]-Таблица7[[#This Row],[m г
пик]]</f>
        <v>5</v>
      </c>
      <c r="G11" s="64">
        <f>Таблица7[[#This Row],[m г
смесь     ]]/Таблица6[V пик мл]</f>
        <v>1</v>
      </c>
    </row>
    <row r="12" spans="1:7" x14ac:dyDescent="0.3">
      <c r="A12" s="24">
        <v>8</v>
      </c>
      <c r="B12" s="62">
        <f>Таблица1[[#This Row],[w%1 т
спирт ]]</f>
        <v>0.15</v>
      </c>
      <c r="C12" s="63">
        <f>Таблица1[[#This Row],[w%1 
]]</f>
        <v>0.14917583903957765</v>
      </c>
      <c r="D12">
        <v>1</v>
      </c>
      <c r="E12">
        <v>6</v>
      </c>
      <c r="F12">
        <f>Таблица7[[#This Row],[m0 г
смесь    
пик ]]-Таблица7[[#This Row],[m г
пик]]</f>
        <v>5</v>
      </c>
      <c r="G12" s="64">
        <f>Таблица7[[#This Row],[m г
смесь     ]]/Таблица6[V пик мл]</f>
        <v>1</v>
      </c>
    </row>
    <row r="13" spans="1:7" x14ac:dyDescent="0.3">
      <c r="A13" s="24">
        <v>9</v>
      </c>
      <c r="B13" s="62">
        <f>Таблица1[[#This Row],[w%1 т
спирт ]]</f>
        <v>0.17499999999999999</v>
      </c>
      <c r="C13" s="63">
        <f>Таблица1[[#This Row],[w%1 
]]</f>
        <v>0.17491828063571971</v>
      </c>
      <c r="D13">
        <v>1</v>
      </c>
      <c r="E13">
        <v>6</v>
      </c>
      <c r="F13">
        <f>Таблица7[[#This Row],[m0 г
смесь    
пик ]]-Таблица7[[#This Row],[m г
пик]]</f>
        <v>5</v>
      </c>
      <c r="G13" s="64">
        <f>Таблица7[[#This Row],[m г
смесь     ]]/Таблица6[V пик мл]</f>
        <v>1</v>
      </c>
    </row>
    <row r="14" spans="1:7" x14ac:dyDescent="0.3">
      <c r="A14" s="24">
        <v>10</v>
      </c>
      <c r="B14" s="62">
        <f>Таблица1[[#This Row],[w%1 т
спирт ]]</f>
        <v>0.19999999999999998</v>
      </c>
      <c r="C14" s="63">
        <f>Таблица1[[#This Row],[w%1 
]]</f>
        <v>0.19994567897439963</v>
      </c>
      <c r="D14">
        <v>1</v>
      </c>
      <c r="E14">
        <v>2</v>
      </c>
      <c r="F14">
        <f>Таблица7[[#This Row],[m0 г
смесь    
пик ]]-Таблица7[[#This Row],[m г
пик]]</f>
        <v>1</v>
      </c>
      <c r="G14" s="64">
        <f>Таблица7[[#This Row],[m г
смесь     ]]/Таблица6[V пик мл]</f>
        <v>0.2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I12"/>
  <sheetViews>
    <sheetView zoomScale="130" zoomScaleNormal="130" workbookViewId="0">
      <selection activeCell="H16" sqref="H16"/>
    </sheetView>
  </sheetViews>
  <sheetFormatPr defaultRowHeight="14.4" x14ac:dyDescent="0.3"/>
  <cols>
    <col min="1" max="1" width="2.5546875" customWidth="1"/>
    <col min="8" max="8" width="15.6640625" bestFit="1" customWidth="1"/>
    <col min="9" max="9" width="10.5546875" bestFit="1" customWidth="1"/>
  </cols>
  <sheetData>
    <row r="1" spans="1:9" x14ac:dyDescent="0.3">
      <c r="B1" t="s">
        <v>17</v>
      </c>
      <c r="C1" t="s">
        <v>14</v>
      </c>
      <c r="D1" t="s">
        <v>22</v>
      </c>
    </row>
    <row r="2" spans="1:9" x14ac:dyDescent="0.3">
      <c r="B2" s="26">
        <v>1.3806490000000001E-23</v>
      </c>
      <c r="C2" s="22">
        <f>130*0.000000001</f>
        <v>1.3E-7</v>
      </c>
      <c r="D2">
        <f>100*60*60*24</f>
        <v>8640000</v>
      </c>
    </row>
    <row r="3" spans="1:9" s="2" customFormat="1" ht="28.8" x14ac:dyDescent="0.3">
      <c r="A3" s="2" t="s">
        <v>13</v>
      </c>
      <c r="B3" s="2" t="s">
        <v>15</v>
      </c>
      <c r="C3" s="2" t="s">
        <v>21</v>
      </c>
      <c r="D3" s="2" t="s">
        <v>16</v>
      </c>
      <c r="E3" s="2" t="s">
        <v>18</v>
      </c>
      <c r="F3" s="2" t="s">
        <v>19</v>
      </c>
      <c r="G3" s="2" t="s">
        <v>20</v>
      </c>
      <c r="H3" s="1" t="s">
        <v>23</v>
      </c>
      <c r="I3" s="1" t="s">
        <v>24</v>
      </c>
    </row>
    <row r="4" spans="1:9" x14ac:dyDescent="0.3">
      <c r="A4" s="24">
        <f>Эксперимент!A5</f>
        <v>1</v>
      </c>
      <c r="B4" s="25">
        <f>Эксперимент!P5</f>
        <v>0</v>
      </c>
      <c r="C4" s="23" t="e">
        <f>Эксперимент!#REF!</f>
        <v>#REF!</v>
      </c>
      <c r="D4">
        <v>24.5</v>
      </c>
      <c r="E4" t="e">
        <f>Таблица4[[#This Row],[n cПз]]*0.001</f>
        <v>#REF!</v>
      </c>
      <c r="F4">
        <f>Таблица4[[#This Row],[T С]]+273.15</f>
        <v>297.64999999999998</v>
      </c>
      <c r="G4" s="22" t="e">
        <f>Таблица3[k Дж/К]*Таблица4[[#This Row],[T K]]/(6*PI()*Таблица4[[#This Row],[n Па*с]]*Таблица3[a])</f>
        <v>#REF!</v>
      </c>
      <c r="H4" s="22" t="e">
        <f>Таблица4[[#This Row],[D м2/с]]</f>
        <v>#REF!</v>
      </c>
      <c r="I4" t="e">
        <f>Таблица4[[#This Row],[n Па*с]]/1000*Таблица3[с]</f>
        <v>#REF!</v>
      </c>
    </row>
    <row r="5" spans="1:9" x14ac:dyDescent="0.3">
      <c r="A5" s="24">
        <f>Эксперимент!A6</f>
        <v>2</v>
      </c>
      <c r="B5" s="25">
        <f>Эксперимент!P6</f>
        <v>2.3944155058826376E-2</v>
      </c>
      <c r="C5" s="23" t="e">
        <f>Эксперимент!#REF!</f>
        <v>#REF!</v>
      </c>
      <c r="D5">
        <v>24.2</v>
      </c>
      <c r="E5" t="e">
        <f>Таблица4[[#This Row],[n cПз]]*0.001</f>
        <v>#REF!</v>
      </c>
      <c r="F5">
        <f>Таблица4[[#This Row],[T С]]+273.15</f>
        <v>297.34999999999997</v>
      </c>
      <c r="G5" s="22" t="e">
        <f>Таблица3[k Дж/К]*Таблица4[[#This Row],[T K]]/(6*PI()*Таблица4[[#This Row],[n Па*с]]*Таблица3[a])</f>
        <v>#REF!</v>
      </c>
      <c r="H5" s="22" t="e">
        <f>Таблица4[[#This Row],[D м2/с]]</f>
        <v>#REF!</v>
      </c>
      <c r="I5" t="e">
        <f>Таблица4[[#This Row],[n Па*с]]/1000*Таблица3[с]</f>
        <v>#REF!</v>
      </c>
    </row>
    <row r="6" spans="1:9" x14ac:dyDescent="0.3">
      <c r="A6" s="24">
        <f>Эксперимент!A7</f>
        <v>3</v>
      </c>
      <c r="B6" s="25">
        <f>Эксперимент!P7</f>
        <v>2.1915807405558006E-2</v>
      </c>
      <c r="C6" s="23" t="e">
        <f>Эксперимент!#REF!</f>
        <v>#REF!</v>
      </c>
      <c r="D6">
        <v>23.9</v>
      </c>
      <c r="E6" t="e">
        <f>Таблица4[[#This Row],[n cПз]]*0.001</f>
        <v>#REF!</v>
      </c>
      <c r="F6">
        <f>Таблица4[[#This Row],[T С]]+273.15</f>
        <v>297.04999999999995</v>
      </c>
      <c r="G6" s="22" t="e">
        <f>Таблица3[k Дж/К]*Таблица4[[#This Row],[T K]]/(6*PI()*Таблица4[[#This Row],[n Па*с]]*Таблица3[a])</f>
        <v>#REF!</v>
      </c>
      <c r="H6" s="22" t="e">
        <f>Таблица4[[#This Row],[D м2/с]]</f>
        <v>#REF!</v>
      </c>
      <c r="I6" t="e">
        <f>Таблица4[[#This Row],[n Па*с]]/1000*Таблица3[с]</f>
        <v>#REF!</v>
      </c>
    </row>
    <row r="7" spans="1:9" x14ac:dyDescent="0.3">
      <c r="A7" s="24">
        <f>Эксперимент!A8</f>
        <v>4</v>
      </c>
      <c r="B7" s="25">
        <f>Эксперимент!P8</f>
        <v>4.9824267685908662E-2</v>
      </c>
      <c r="C7" s="23" t="e">
        <f>Эксперимент!#REF!</f>
        <v>#REF!</v>
      </c>
      <c r="D7">
        <v>23.4</v>
      </c>
      <c r="E7" t="e">
        <f>Таблица4[[#This Row],[n cПз]]*0.001</f>
        <v>#REF!</v>
      </c>
      <c r="F7">
        <f>Таблица4[[#This Row],[T С]]+273.15</f>
        <v>296.54999999999995</v>
      </c>
      <c r="G7" s="22" t="e">
        <f>Таблица3[k Дж/К]*Таблица4[[#This Row],[T K]]/(6*PI()*Таблица4[[#This Row],[n Па*с]]*Таблица3[a])</f>
        <v>#REF!</v>
      </c>
      <c r="H7" s="22" t="e">
        <f>Таблица4[[#This Row],[D м2/с]]</f>
        <v>#REF!</v>
      </c>
      <c r="I7" t="e">
        <f>Таблица4[[#This Row],[n Па*с]]/1000*Таблица3[с]</f>
        <v>#REF!</v>
      </c>
    </row>
    <row r="8" spans="1:9" x14ac:dyDescent="0.3">
      <c r="A8" s="24">
        <f>Эксперимент!A9</f>
        <v>5</v>
      </c>
      <c r="B8" s="25">
        <f>Эксперимент!P9</f>
        <v>7.6005085117237983E-2</v>
      </c>
      <c r="C8" s="23" t="e">
        <f>Эксперимент!#REF!</f>
        <v>#REF!</v>
      </c>
      <c r="D8">
        <v>22.9</v>
      </c>
      <c r="E8" t="e">
        <f>Таблица4[[#This Row],[n cПз]]*0.001</f>
        <v>#REF!</v>
      </c>
      <c r="F8">
        <f>Таблица4[[#This Row],[T С]]+273.15</f>
        <v>296.04999999999995</v>
      </c>
      <c r="G8" s="22" t="e">
        <f>Таблица3[k Дж/К]*Таблица4[[#This Row],[T K]]/(6*PI()*Таблица4[[#This Row],[n Па*с]]*Таблица3[a])</f>
        <v>#REF!</v>
      </c>
      <c r="H8" s="22" t="e">
        <f>Таблица4[[#This Row],[D м2/с]]</f>
        <v>#REF!</v>
      </c>
      <c r="I8" t="e">
        <f>Таблица4[[#This Row],[n Па*с]]/1000*Таблица3[с]</f>
        <v>#REF!</v>
      </c>
    </row>
    <row r="9" spans="1:9" x14ac:dyDescent="0.3">
      <c r="A9" s="24">
        <f>Эксперимент!A10</f>
        <v>6</v>
      </c>
      <c r="B9" s="25">
        <f>Эксперимент!P10</f>
        <v>0.10071871677750344</v>
      </c>
      <c r="C9" s="23" t="e">
        <f>Эксперимент!#REF!</f>
        <v>#REF!</v>
      </c>
      <c r="D9">
        <v>22.9</v>
      </c>
      <c r="E9" t="e">
        <f>Таблица4[[#This Row],[n cПз]]*0.001</f>
        <v>#REF!</v>
      </c>
      <c r="F9">
        <f>Таблица4[[#This Row],[T С]]+273.15</f>
        <v>296.04999999999995</v>
      </c>
      <c r="G9" s="22" t="e">
        <f>Таблица3[k Дж/К]*Таблица4[[#This Row],[T K]]/(6*PI()*Таблица4[[#This Row],[n Па*с]]*Таблица3[a])</f>
        <v>#REF!</v>
      </c>
      <c r="H9" s="22" t="e">
        <f>Таблица4[[#This Row],[D м2/с]]</f>
        <v>#REF!</v>
      </c>
      <c r="I9" t="e">
        <f>Таблица4[[#This Row],[n Па*с]]/1000*Таблица3[с]</f>
        <v>#REF!</v>
      </c>
    </row>
    <row r="10" spans="1:9" x14ac:dyDescent="0.3">
      <c r="A10" s="24">
        <f>Эксперимент!A11</f>
        <v>7</v>
      </c>
      <c r="B10" s="25">
        <f>Эксперимент!P11</f>
        <v>0.12304530681084216</v>
      </c>
      <c r="C10" s="23" t="e">
        <f>Эксперимент!#REF!</f>
        <v>#REF!</v>
      </c>
      <c r="D10">
        <v>23.5</v>
      </c>
      <c r="E10" t="e">
        <f>Таблица4[[#This Row],[n cПз]]*0.001</f>
        <v>#REF!</v>
      </c>
      <c r="F10">
        <f>Таблица4[[#This Row],[T С]]+273.15</f>
        <v>296.64999999999998</v>
      </c>
      <c r="G10" s="22" t="e">
        <f>Таблица3[k Дж/К]*Таблица4[[#This Row],[T K]]/(6*PI()*Таблица4[[#This Row],[n Па*с]]*Таблица3[a])</f>
        <v>#REF!</v>
      </c>
      <c r="H10" s="22" t="e">
        <f>Таблица4[[#This Row],[D м2/с]]</f>
        <v>#REF!</v>
      </c>
      <c r="I10" t="e">
        <f>Таблица4[[#This Row],[n Па*с]]/1000*Таблица3[с]</f>
        <v>#REF!</v>
      </c>
    </row>
    <row r="11" spans="1:9" x14ac:dyDescent="0.3">
      <c r="A11" s="24">
        <f>Эксперимент!A12</f>
        <v>8</v>
      </c>
      <c r="B11" s="25">
        <f>Эксперимент!P12</f>
        <v>0.14917583903957765</v>
      </c>
      <c r="C11" s="23" t="e">
        <f>Эксперимент!#REF!</f>
        <v>#REF!</v>
      </c>
      <c r="D11">
        <v>23.1</v>
      </c>
      <c r="E11" t="e">
        <f>Таблица4[[#This Row],[n cПз]]*0.001</f>
        <v>#REF!</v>
      </c>
      <c r="F11">
        <f>Таблица4[[#This Row],[T С]]+273.15</f>
        <v>296.25</v>
      </c>
      <c r="G11" s="22" t="e">
        <f>Таблица3[k Дж/К]*Таблица4[[#This Row],[T K]]/(6*PI()*Таблица4[[#This Row],[n Па*с]]*Таблица3[a])</f>
        <v>#REF!</v>
      </c>
      <c r="H11" s="22" t="e">
        <f>Таблица4[[#This Row],[D м2/с]]</f>
        <v>#REF!</v>
      </c>
      <c r="I11" t="e">
        <f>Таблица4[[#This Row],[n Па*с]]/1000*Таблица3[с]</f>
        <v>#REF!</v>
      </c>
    </row>
    <row r="12" spans="1:9" x14ac:dyDescent="0.3">
      <c r="A12" s="24">
        <f>Эксперимент!A13</f>
        <v>9</v>
      </c>
      <c r="B12" s="25">
        <f>Эксперимент!P13</f>
        <v>0.17491828063571971</v>
      </c>
      <c r="C12" s="23" t="e">
        <f>Эксперимент!#REF!</f>
        <v>#REF!</v>
      </c>
      <c r="D12">
        <v>21.8</v>
      </c>
      <c r="E12" t="e">
        <f>Таблица4[[#This Row],[n cПз]]*0.001</f>
        <v>#REF!</v>
      </c>
      <c r="F12">
        <f>Таблица4[[#This Row],[T С]]+273.15</f>
        <v>294.95</v>
      </c>
      <c r="G12" s="22" t="e">
        <f>Таблица3[k Дж/К]*Таблица4[[#This Row],[T K]]/(6*PI()*Таблица4[[#This Row],[n Па*с]]*Таблица3[a])</f>
        <v>#REF!</v>
      </c>
      <c r="H12" s="22" t="e">
        <f>Таблица4[[#This Row],[D м2/с]]</f>
        <v>#REF!</v>
      </c>
      <c r="I12" t="e">
        <f>Таблица4[[#This Row],[n Па*с]]/1000*Таблица3[с]</f>
        <v>#REF!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Эксперимент</vt:lpstr>
      <vt:lpstr>Аппроксимации</vt:lpstr>
      <vt:lpstr>Плотности</vt:lpstr>
      <vt:lpstr>Расчеты(старое)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2023-11-12T20:33:55Z</dcterms:modified>
</cp:coreProperties>
</file>