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"/>
    </mc:Choice>
  </mc:AlternateContent>
  <xr:revisionPtr revIDLastSave="0" documentId="13_ncr:1_{3F570250-251E-4595-BE2A-6EE106108B23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F11" i="1" l="1"/>
  <c r="F12" i="1"/>
  <c r="E11" i="1"/>
  <c r="K11" i="1" s="1"/>
  <c r="H11" i="1" s="1"/>
  <c r="E12" i="1"/>
  <c r="F4" i="1"/>
  <c r="F5" i="1"/>
  <c r="F6" i="1"/>
  <c r="F7" i="1"/>
  <c r="F8" i="1"/>
  <c r="S15" i="1"/>
  <c r="T15" i="1" s="1"/>
  <c r="M15" i="1"/>
  <c r="N15" i="1" s="1"/>
  <c r="J15" i="1"/>
  <c r="E15" i="1"/>
  <c r="S14" i="1"/>
  <c r="T14" i="1" s="1"/>
  <c r="M14" i="1"/>
  <c r="O14" i="1" s="1"/>
  <c r="J14" i="1"/>
  <c r="L14" i="1" s="1"/>
  <c r="E14" i="1"/>
  <c r="S13" i="1"/>
  <c r="T13" i="1" s="1"/>
  <c r="M13" i="1"/>
  <c r="N13" i="1" s="1"/>
  <c r="J13" i="1"/>
  <c r="E13" i="1"/>
  <c r="S12" i="1"/>
  <c r="T12" i="1" s="1"/>
  <c r="M12" i="1"/>
  <c r="O12" i="1" s="1"/>
  <c r="J12" i="1"/>
  <c r="S11" i="1"/>
  <c r="T11" i="1" s="1"/>
  <c r="M11" i="1"/>
  <c r="O11" i="1" s="1"/>
  <c r="J11" i="1"/>
  <c r="L13" i="1" l="1"/>
  <c r="L11" i="1"/>
  <c r="L12" i="1"/>
  <c r="L15" i="1"/>
  <c r="N14" i="1"/>
  <c r="O13" i="1"/>
  <c r="O15" i="1"/>
  <c r="N12" i="1"/>
  <c r="N11" i="1"/>
  <c r="M7" i="1"/>
  <c r="M5" i="1"/>
  <c r="M6" i="1"/>
  <c r="M8" i="1"/>
  <c r="M4" i="1"/>
  <c r="P11" i="1" l="1"/>
  <c r="E5" i="1"/>
  <c r="J5" i="1"/>
  <c r="N5" i="1"/>
  <c r="S5" i="1"/>
  <c r="T5" i="1" s="1"/>
  <c r="E6" i="1"/>
  <c r="J6" i="1"/>
  <c r="N6" i="1"/>
  <c r="O6" i="1"/>
  <c r="S6" i="1"/>
  <c r="T6" i="1" s="1"/>
  <c r="E7" i="1"/>
  <c r="J7" i="1"/>
  <c r="N7" i="1"/>
  <c r="S7" i="1"/>
  <c r="T7" i="1" s="1"/>
  <c r="E8" i="1"/>
  <c r="J8" i="1"/>
  <c r="L8" i="1" s="1"/>
  <c r="N8" i="1"/>
  <c r="S8" i="1"/>
  <c r="T8" i="1" s="1"/>
  <c r="V11" i="1" l="1"/>
  <c r="G12" i="1"/>
  <c r="P12" i="1" s="1"/>
  <c r="F13" i="1" s="1"/>
  <c r="U11" i="1"/>
  <c r="L6" i="1"/>
  <c r="L5" i="1"/>
  <c r="L7" i="1"/>
  <c r="O7" i="1"/>
  <c r="O8" i="1"/>
  <c r="O5" i="1"/>
  <c r="S4" i="1"/>
  <c r="T4" i="1" s="1"/>
  <c r="K12" i="1" l="1"/>
  <c r="H12" i="1" s="1"/>
  <c r="G13" i="1"/>
  <c r="U12" i="1"/>
  <c r="V12" i="1"/>
  <c r="N4" i="1"/>
  <c r="P13" i="1" l="1"/>
  <c r="F14" i="1" s="1"/>
  <c r="K13" i="1"/>
  <c r="H13" i="1" s="1"/>
  <c r="O4" i="1"/>
  <c r="J4" i="1"/>
  <c r="E4" i="1"/>
  <c r="G14" i="1" l="1"/>
  <c r="V13" i="1"/>
  <c r="U13" i="1"/>
  <c r="L4" i="1"/>
  <c r="P4" i="1" s="1"/>
  <c r="P14" i="1" l="1"/>
  <c r="F15" i="1" s="1"/>
  <c r="K14" i="1"/>
  <c r="H14" i="1" s="1"/>
  <c r="V4" i="1"/>
  <c r="G5" i="1"/>
  <c r="U4" i="1"/>
  <c r="K4" i="1"/>
  <c r="H4" i="1" s="1"/>
  <c r="U14" i="1" l="1"/>
  <c r="G15" i="1"/>
  <c r="V14" i="1"/>
  <c r="P5" i="1"/>
  <c r="K5" i="1"/>
  <c r="H5" i="1" s="1"/>
  <c r="P15" i="1" l="1"/>
  <c r="K15" i="1"/>
  <c r="H15" i="1" s="1"/>
  <c r="U5" i="1"/>
  <c r="V5" i="1"/>
  <c r="G6" i="1"/>
  <c r="V15" i="1" l="1"/>
  <c r="U15" i="1"/>
  <c r="P6" i="1"/>
  <c r="K6" i="1"/>
  <c r="H6" i="1" s="1"/>
  <c r="G7" i="1" l="1"/>
  <c r="V6" i="1"/>
  <c r="U6" i="1"/>
  <c r="P7" i="1" l="1"/>
  <c r="K7" i="1"/>
  <c r="H7" i="1" s="1"/>
  <c r="U7" i="1" l="1"/>
  <c r="V7" i="1"/>
  <c r="G8" i="1"/>
  <c r="K8" i="1" l="1"/>
  <c r="H8" i="1" s="1"/>
  <c r="P8" i="1"/>
  <c r="U8" i="1" l="1"/>
  <c r="V8" i="1"/>
</calcChain>
</file>

<file path=xl/sharedStrings.xml><?xml version="1.0" encoding="utf-8"?>
<sst xmlns="http://schemas.openxmlformats.org/spreadsheetml/2006/main" count="49" uniqueCount="28">
  <si>
    <t>ro 
спирт</t>
  </si>
  <si>
    <t>m
стакан</t>
  </si>
  <si>
    <t>m0
смесь    
стакан</t>
  </si>
  <si>
    <t>m0
смесь</t>
  </si>
  <si>
    <t>m0
спирт</t>
  </si>
  <si>
    <t>m1 
смесь
стакан</t>
  </si>
  <si>
    <t>m+ т
спирт</t>
  </si>
  <si>
    <t>V+ т
спирт</t>
  </si>
  <si>
    <t xml:space="preserve">w%1 
</t>
  </si>
  <si>
    <t>m2
смесь
стакан</t>
  </si>
  <si>
    <t>V пик мл</t>
  </si>
  <si>
    <t xml:space="preserve">ro
смесь г/мл   </t>
  </si>
  <si>
    <t>M спирт г/моль</t>
  </si>
  <si>
    <t xml:space="preserve">C спирт М </t>
  </si>
  <si>
    <t>m0
основа</t>
  </si>
  <si>
    <t>m+
основа</t>
  </si>
  <si>
    <t xml:space="preserve">w%
спирт </t>
  </si>
  <si>
    <t>m+
спирт</t>
  </si>
  <si>
    <t>m3 г
пик</t>
  </si>
  <si>
    <t xml:space="preserve">m3 г
смесь    
пик </t>
  </si>
  <si>
    <t xml:space="preserve">m3 г
смесь     </t>
  </si>
  <si>
    <t>PETA + бутанол1</t>
  </si>
  <si>
    <t>m1
смесь</t>
  </si>
  <si>
    <t>m2
смесь</t>
  </si>
  <si>
    <t>M PETA г/моль</t>
  </si>
  <si>
    <t>С основа
М</t>
  </si>
  <si>
    <t>DMAG + бутанол1</t>
  </si>
  <si>
    <t>спирт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</si>
</sst>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64" fontId="5" fillId="4" borderId="1" xfId="0" applyNumberFormat="1" applyFont="1" applyFill="1" applyBorder="1" applyProtection="1">
      <protection locked="0"/>
    </xf>
    <xf numFmtId="49" fontId="4" fillId="9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Protection="1"/>
    <xf numFmtId="2" fontId="8" fillId="3" borderId="1" xfId="0" applyNumberFormat="1" applyFont="1" applyFill="1" applyBorder="1" applyProtection="1"/>
    <xf numFmtId="164" fontId="5" fillId="4" borderId="1" xfId="0" applyNumberFormat="1" applyFont="1" applyFill="1" applyBorder="1" applyProtection="1"/>
    <xf numFmtId="164" fontId="5" fillId="7" borderId="1" xfId="0" applyNumberFormat="1" applyFont="1" applyFill="1" applyBorder="1" applyProtection="1"/>
    <xf numFmtId="2" fontId="2" fillId="0" borderId="0" xfId="0" applyNumberFormat="1" applyFont="1" applyBorder="1" applyProtection="1"/>
    <xf numFmtId="2" fontId="0" fillId="2" borderId="0" xfId="0" applyNumberFormat="1" applyFont="1" applyFill="1" applyBorder="1" applyProtection="1"/>
    <xf numFmtId="2" fontId="3" fillId="6" borderId="1" xfId="0" applyNumberFormat="1" applyFont="1" applyFill="1" applyBorder="1" applyProtection="1"/>
    <xf numFmtId="2" fontId="5" fillId="8" borderId="0" xfId="0" applyNumberFormat="1" applyFont="1" applyFill="1" applyProtection="1"/>
    <xf numFmtId="0" fontId="0" fillId="0" borderId="0" xfId="0" applyProtection="1"/>
    <xf numFmtId="10" fontId="11" fillId="0" borderId="0" xfId="0" applyNumberFormat="1" applyFont="1" applyFill="1" applyBorder="1" applyProtection="1"/>
    <xf numFmtId="164" fontId="7" fillId="0" borderId="0" xfId="0" applyNumberFormat="1" applyFont="1" applyFill="1" applyBorder="1" applyProtection="1"/>
    <xf numFmtId="164" fontId="9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0" fontId="5" fillId="10" borderId="1" xfId="0" applyFont="1" applyFill="1" applyBorder="1" applyProtection="1"/>
    <xf numFmtId="164" fontId="5" fillId="7" borderId="1" xfId="0" applyNumberFormat="1" applyFont="1" applyFill="1" applyBorder="1" applyProtection="1">
      <protection locked="0"/>
    </xf>
    <xf numFmtId="0" fontId="0" fillId="11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wrapText="1"/>
    </xf>
    <xf numFmtId="10" fontId="10" fillId="5" borderId="1" xfId="0" applyNumberFormat="1" applyFont="1" applyFill="1" applyBorder="1" applyProtection="1"/>
    <xf numFmtId="164" fontId="13" fillId="0" borderId="0" xfId="0" applyNumberFormat="1" applyFont="1" applyBorder="1" applyProtection="1"/>
    <xf numFmtId="164" fontId="13" fillId="0" borderId="0" xfId="0" applyNumberFormat="1" applyFont="1" applyFill="1" applyBorder="1" applyProtection="1"/>
    <xf numFmtId="0" fontId="4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vertical="center"/>
    </xf>
    <xf numFmtId="0" fontId="14" fillId="14" borderId="0" xfId="0" applyFont="1" applyFill="1" applyAlignment="1">
      <alignment vertical="center"/>
    </xf>
    <xf numFmtId="0" fontId="0" fillId="0" borderId="0" xfId="0" applyAlignment="1" applyProtection="1">
      <alignment horizontal="center" vertical="center" wrapText="1"/>
    </xf>
  </cellXfs>
  <cellStyles count="1">
    <cellStyle name="Обычный" xfId="0" builtinId="0"/>
  </cellStyles>
  <dxfs count="50"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protection hidden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protection hidden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B3:V8" totalsRowShown="0" headerRowDxfId="49" dataDxfId="48">
  <autoFilter ref="B3:V8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6" xr3:uid="{78FAF393-3070-4836-B8E9-4D79C52F839F}" name="w%_x000a_спирт " dataDxfId="47"/>
    <tableColumn id="12" xr3:uid="{1871877F-C7B7-4C72-AF32-DB1A3FABAFCC}" name="m_x000a_стакан" dataDxfId="46"/>
    <tableColumn id="1" xr3:uid="{6A216FEE-C1E1-40E4-815E-5380A5321732}" name="m0_x000a_смесь    _x000a_стакан" dataDxfId="45"/>
    <tableColumn id="2" xr3:uid="{D1757256-BC6C-420E-BEA8-B604BC77F285}" name="m0_x000a_смесь" dataDxfId="44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снова" dataDxfId="43">
      <calculatedColumnFormula>Эксперимент[[#This Row],[m0
смесь]]*(1-P3)</calculatedColumnFormula>
    </tableColumn>
    <tableColumn id="4" xr3:uid="{D1940891-C2DF-4AB7-A8E2-AF06FDA60F0D}" name="m0_x000a_спирт" dataDxfId="42">
      <calculatedColumnFormula>Эксперимент[[#This Row],[m0
смесь]]*P3</calculatedColumnFormula>
    </tableColumn>
    <tableColumn id="8" xr3:uid="{BCA134A9-8EEF-453E-9616-5112E6D2B5D5}" name="V+ т_x000a_спирт" dataDxfId="41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40"/>
    <tableColumn id="10" xr3:uid="{F3443B4E-6300-47B1-8E7C-FC3BF1A5E3CD}" name="m1_x000a_смесь" dataDxfId="39"/>
    <tableColumn id="7" xr3:uid="{EA5712E3-E93C-456A-9EDE-9A8CA94753D1}" name="m+ т_x000a_спирт" dataDxfId="38">
      <calculatedColumnFormula>(Эксперимент[[#This Row],[m0
смесь]]*Эксперимент[[#This Row],[w%
спирт ]]-Эксперимент[[#This Row],[m0
спирт]])/(1-Эксперимент[[#This Row],[w%
спирт ]])</calculatedColumnFormula>
    </tableColumn>
    <tableColumn id="11" xr3:uid="{D23B2127-A60A-4E45-A0EF-767833FF7A03}" name="m+_x000a_спирт" dataDxfId="37">
      <calculatedColumnFormula>Эксперимент[[#This Row],[m1
смесь]]-Эксперимент[[#This Row],[m0
смесь]]</calculatedColumnFormula>
    </tableColumn>
    <tableColumn id="15" xr3:uid="{13B47A94-234C-4A1B-B993-FBE523863A83}" name="m2_x000a_смесь_x000a_стакан" dataDxfId="36">
      <calculatedColumnFormula>Эксперимент[[#This Row],[m1 
смесь
стакан]]</calculatedColumnFormula>
    </tableColumn>
    <tableColumn id="13" xr3:uid="{22F644F7-5CB7-438A-9D0D-9E88DE87DE4D}" name="m2_x000a_смесь" dataDxfId="35"/>
    <tableColumn id="16" xr3:uid="{96247A00-C27E-4AC1-85FF-B6D781503BD2}" name="m+_x000a_основа" dataDxfId="34"/>
    <tableColumn id="5" xr3:uid="{896470BD-9890-41DA-8AB1-D5964728C2BF}" name="w%1 _x000a_" dataDxfId="33"/>
    <tableColumn id="18" xr3:uid="{0820FB03-01B9-44DB-82B9-D6B83878BDC8}" name="m3 г_x000a_пик" dataDxfId="32"/>
    <tableColumn id="19" xr3:uid="{26D687AE-1683-4A1E-B7EF-88F7CDAEA278}" name="m3 г_x000a_смесь    _x000a_пик " dataDxfId="31"/>
    <tableColumn id="20" xr3:uid="{A0C32414-2F25-4C19-AB7C-56D7E5582549}" name="m3 г_x000a_смесь     " dataDxfId="30">
      <calculatedColumnFormula>Эксперимент[[#This Row],[m3 г
смесь    
пик ]]-Эксперимент[[#This Row],[m3 г
пик]]</calculatedColumnFormula>
    </tableColumn>
    <tableColumn id="21" xr3:uid="{9EDFC20E-DF6D-40C2-BDD4-FD2ADF247B6C}" name="ro_x000a_смесь г/мл   " dataDxfId="29">
      <calculatedColumnFormula>Эксперимент[[#This Row],[m3 г
смесь     ]]/Плотности_доп[V пик мл]</calculatedColumnFormula>
    </tableColumn>
    <tableColumn id="22" xr3:uid="{C0681BE5-CAF9-4795-84C4-D0BAD37D47FB}" name="C спирт М " dataDxfId="28">
      <calculatedColumnFormula>Эксперимент[[#This Row],[w%1 
]]*Эксперимент[[#This Row],[m3 г
смесь     ]]/Плотности_доп[M спирт г/моль]*1000</calculatedColumnFormula>
    </tableColumn>
    <tableColumn id="23" xr3:uid="{BCE0D3E6-5855-4685-8CB4-47083FF3D99D}" name="С основа_x000a_М" dataDxfId="27">
      <calculatedColumnFormula>(1-Эксперимент[[#This Row],[w%1 
]])*Эксперимент[[#This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H1:H2" totalsRowShown="0" headerRowDxfId="26" dataDxfId="25">
  <autoFilter ref="H1:H2" xr:uid="{FE5521C9-5D13-479F-9E53-564B5B98F3E0}">
    <filterColumn colId="0" hiddenButton="1"/>
  </autoFilter>
  <tableColumns count="1">
    <tableColumn id="2" xr3:uid="{A6AA64F7-0B92-4711-9CE9-3080CD0125E2}" name="ro _x000a_спирт" dataDxfId="2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Q1:S2" totalsRowShown="0" headerRowDxfId="23">
  <autoFilter ref="Q1:S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PETA г/моль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5B867F-D8CD-447A-8E8A-8E6EF0A34F0B}" name="Эксперимент4" displayName="Эксперимент4" ref="B10:V15" totalsRowShown="0" headerRowDxfId="22" dataDxfId="21">
  <autoFilter ref="B10:V15" xr:uid="{5C9C155A-EA36-4613-9A58-A0552F934C86}"/>
  <tableColumns count="21">
    <tableColumn id="6" xr3:uid="{9B58110A-1E2E-49D7-8736-B143A65AD081}" name="w%_x000a_спирт " dataDxfId="20"/>
    <tableColumn id="12" xr3:uid="{BC2FA3FB-D4F1-48F3-913D-1D1A514F7F89}" name="m_x000a_стакан" dataDxfId="19"/>
    <tableColumn id="1" xr3:uid="{EAD83506-1932-4D98-80B3-87D93ECEEAF8}" name="m0_x000a_смесь    _x000a_стакан" dataDxfId="18"/>
    <tableColumn id="2" xr3:uid="{9411E5F6-21B0-4559-8CE1-0A3BA332DC20}" name="m0_x000a_смесь" dataDxfId="17">
      <calculatedColumnFormula>Эксперимент4[[#This Row],[m0
смесь    
стакан]]-Эксперимент4[[#This Row],[m
стакан]]</calculatedColumnFormula>
    </tableColumn>
    <tableColumn id="3" xr3:uid="{423AC4A4-21BE-49FC-9433-167AFE642CC3}" name="m0_x000a_основа" dataDxfId="16">
      <calculatedColumnFormula>Эксперимент4[[#This Row],[m0
смесь]]*(1-P10)</calculatedColumnFormula>
    </tableColumn>
    <tableColumn id="4" xr3:uid="{DA6A591A-2853-4418-82E0-5CF32E1264DB}" name="m0_x000a_спирт" dataDxfId="15">
      <calculatedColumnFormula>Эксперимент4[[#This Row],[m0
смесь]]*P10</calculatedColumnFormula>
    </tableColumn>
    <tableColumn id="8" xr3:uid="{BA76B9BC-9840-40ED-9785-A9539425F03E}" name="V+ т_x000a_спирт" dataDxfId="14">
      <calculatedColumnFormula>Эксперимент4[[#This Row],[m+ т
спирт]]/Эксперимент_доп[ro 
спирт]*1000</calculatedColumnFormula>
    </tableColumn>
    <tableColumn id="9" xr3:uid="{378D6E8D-B5AB-44E3-B915-CF55A6D074FB}" name="m1 _x000a_смесь_x000a_стакан" dataDxfId="13"/>
    <tableColumn id="10" xr3:uid="{CF39265A-C218-42B5-B840-9114ADF9A972}" name="m1_x000a_смесь" dataDxfId="12">
      <calculatedColumnFormula>Эксперимент4[[#This Row],[m1 
смесь
стакан]]-Эксперимент4[[#This Row],[m
стакан]]</calculatedColumnFormula>
    </tableColumn>
    <tableColumn id="7" xr3:uid="{135AD849-5AEA-4E9B-A064-899AB8205CD6}" name="m+ т_x000a_спирт" dataDxfId="11">
      <calculatedColumnFormula>(Эксперимент4[[#This Row],[m0
смесь]]*Эксперимент4[[#This Row],[w%
спирт ]]-Эксперимент4[[#This Row],[m0
спирт]])/(1-Эксперимент4[[#This Row],[w%
спирт ]])</calculatedColumnFormula>
    </tableColumn>
    <tableColumn id="11" xr3:uid="{58D419CE-B8D7-41DC-BB4F-031B0EED3CC2}" name="m+_x000a_спирт" dataDxfId="10">
      <calculatedColumnFormula>Эксперимент4[[#This Row],[m1
смесь]]-Эксперимент4[[#This Row],[m0
смесь]]</calculatedColumnFormula>
    </tableColumn>
    <tableColumn id="15" xr3:uid="{C83597A6-A78F-4627-8C48-5B5B1199C79E}" name="m2_x000a_смесь_x000a_стакан" dataDxfId="9">
      <calculatedColumnFormula>Эксперимент4[[#This Row],[m1 
смесь
стакан]]</calculatedColumnFormula>
    </tableColumn>
    <tableColumn id="13" xr3:uid="{0FBADC72-0112-46D1-ABE4-7C1133AD7333}" name="m2_x000a_смесь" dataDxfId="8">
      <calculatedColumnFormula>Эксперимент4[[#This Row],[m2
смесь
стакан]]-Эксперимент4[[#This Row],[m
стакан]]</calculatedColumnFormula>
    </tableColumn>
    <tableColumn id="16" xr3:uid="{FBB646F6-F7E9-4DA0-A18F-D5F45B1DDAA2}" name="m+_x000a_основа" dataDxfId="7">
      <calculatedColumnFormula>Эксперимент4[[#This Row],[m2
смесь
стакан]]-Эксперимент4[[#This Row],[m1 
смесь
стакан]]</calculatedColumnFormula>
    </tableColumn>
    <tableColumn id="5" xr3:uid="{A71C9B2E-9DE3-4A6F-AE67-99ACC0734AC4}" name="w%1 _x000a_" dataDxfId="6">
      <calculatedColumnFormula>(Эксперимент4[[#This Row],[m0
спирт]]+Эксперимент4[[#This Row],[m+
спирт]])/Эксперимент4[[#This Row],[m2
смесь]]</calculatedColumnFormula>
    </tableColumn>
    <tableColumn id="18" xr3:uid="{F5F29640-ABAD-46C6-8E71-A0892582CBE8}" name="m3 г_x000a_пик" dataDxfId="5"/>
    <tableColumn id="19" xr3:uid="{B64E6BD3-AF85-4582-BD4F-677587B64137}" name="m3 г_x000a_смесь    _x000a_пик " dataDxfId="4"/>
    <tableColumn id="20" xr3:uid="{3959EE2F-BFF7-4AE3-B77C-44062C2E5D53}" name="m3 г_x000a_смесь     " dataDxfId="3">
      <calculatedColumnFormula>Эксперимент4[[#This Row],[m3 г
смесь    
пик ]]-Эксперимент4[[#This Row],[m3 г
пик]]</calculatedColumnFormula>
    </tableColumn>
    <tableColumn id="21" xr3:uid="{B4D7640C-FBB2-4A28-B283-B25E5AE69BD1}" name="ro_x000a_смесь г/мл   " dataDxfId="2">
      <calculatedColumnFormula>Эксперимент4[[#This Row],[m3 г
смесь     ]]/Плотности_доп[V пик мл]</calculatedColumnFormula>
    </tableColumn>
    <tableColumn id="22" xr3:uid="{8F69145E-8AEE-4CCC-AE51-FC13903A6A48}" name="C спирт М " dataDxfId="1">
      <calculatedColumnFormula>Эксперимент4[[#This Row],[w%1 
]]*Эксперимент4[[#This Row],[m3 г
смесь     ]]/Плотности_доп[M спирт г/моль]*1000</calculatedColumnFormula>
    </tableColumn>
    <tableColumn id="23" xr3:uid="{7FE6C2C6-CCCE-4DC1-B3A8-3168754E8355}" name="С основа_x000a_М" dataDxfId="0">
      <calculatedColumnFormula>(1-Эксперимент4[[#This Row],[w%1 
]])*Эксперимент4[[#This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Z138"/>
  <sheetViews>
    <sheetView tabSelected="1" topLeftCell="A8" zoomScale="160" zoomScaleNormal="160" workbookViewId="0">
      <selection activeCell="K18" sqref="K18"/>
    </sheetView>
  </sheetViews>
  <sheetFormatPr defaultRowHeight="14.4" x14ac:dyDescent="0.3"/>
  <cols>
    <col min="2" max="2" width="8.109375" customWidth="1"/>
    <col min="3" max="12" width="8" customWidth="1"/>
    <col min="13" max="15" width="8" hidden="1" customWidth="1"/>
    <col min="17" max="17" width="9.44140625" customWidth="1"/>
    <col min="18" max="18" width="9.5546875" customWidth="1"/>
  </cols>
  <sheetData>
    <row r="1" spans="1:26" ht="28.8" x14ac:dyDescent="0.3">
      <c r="H1" s="1" t="s">
        <v>0</v>
      </c>
      <c r="L1" s="5"/>
      <c r="Q1" s="2" t="s">
        <v>10</v>
      </c>
      <c r="R1" s="4" t="s">
        <v>12</v>
      </c>
      <c r="S1" s="4" t="s">
        <v>24</v>
      </c>
      <c r="W1" s="30" t="s">
        <v>27</v>
      </c>
      <c r="X1" s="31">
        <v>4.7346000000000004</v>
      </c>
      <c r="Y1" s="31">
        <v>8.8680000000000003</v>
      </c>
      <c r="Z1" s="32">
        <f>(Y1-X1)/5</f>
        <v>0.82667999999999997</v>
      </c>
    </row>
    <row r="2" spans="1:26" x14ac:dyDescent="0.3">
      <c r="H2" s="2">
        <v>0.86</v>
      </c>
      <c r="L2" s="5"/>
      <c r="Q2">
        <v>5</v>
      </c>
      <c r="R2">
        <v>74.12</v>
      </c>
      <c r="S2">
        <v>298.29000000000002</v>
      </c>
    </row>
    <row r="3" spans="1:26" s="2" customFormat="1" ht="43.8" thickBot="1" x14ac:dyDescent="0.35">
      <c r="B3" s="6" t="s">
        <v>16</v>
      </c>
      <c r="C3" s="6" t="s">
        <v>1</v>
      </c>
      <c r="D3" s="6" t="s">
        <v>2</v>
      </c>
      <c r="E3" s="6" t="s">
        <v>3</v>
      </c>
      <c r="F3" s="6" t="s">
        <v>14</v>
      </c>
      <c r="G3" s="6" t="s">
        <v>4</v>
      </c>
      <c r="H3" s="24" t="s">
        <v>7</v>
      </c>
      <c r="I3" s="24" t="s">
        <v>5</v>
      </c>
      <c r="J3" s="24" t="s">
        <v>22</v>
      </c>
      <c r="K3" s="24" t="s">
        <v>6</v>
      </c>
      <c r="L3" s="24" t="s">
        <v>17</v>
      </c>
      <c r="M3" s="25" t="s">
        <v>9</v>
      </c>
      <c r="N3" s="25" t="s">
        <v>23</v>
      </c>
      <c r="O3" s="25" t="s">
        <v>15</v>
      </c>
      <c r="P3" s="26" t="s">
        <v>8</v>
      </c>
      <c r="Q3" s="8" t="s">
        <v>18</v>
      </c>
      <c r="R3" s="8" t="s">
        <v>19</v>
      </c>
      <c r="S3" s="8" t="s">
        <v>20</v>
      </c>
      <c r="T3" s="8" t="s">
        <v>11</v>
      </c>
      <c r="U3" s="8" t="s">
        <v>13</v>
      </c>
      <c r="V3" s="8" t="s">
        <v>25</v>
      </c>
    </row>
    <row r="4" spans="1:26" s="17" customFormat="1" ht="15" thickBot="1" x14ac:dyDescent="0.35">
      <c r="A4" s="33" t="s">
        <v>21</v>
      </c>
      <c r="B4" s="18">
        <v>0</v>
      </c>
      <c r="C4" s="22">
        <v>26.788599999999999</v>
      </c>
      <c r="D4" s="23">
        <v>49.3611</v>
      </c>
      <c r="E4" s="28">
        <f>Эксперимент[[#This Row],[m0
смесь    
стакан]]-Эксперимент[[#This Row],[m
стакан]]</f>
        <v>22.572500000000002</v>
      </c>
      <c r="F4" s="29">
        <f>Эксперимент[[#This Row],[m0
смесь]]</f>
        <v>22.572500000000002</v>
      </c>
      <c r="G4" s="29">
        <v>0</v>
      </c>
      <c r="H4" s="10">
        <f>Эксперимент[[#This Row],[m+ т
спирт]]/Эксперимент_доп[ro 
спирт]*1000</f>
        <v>0</v>
      </c>
      <c r="I4" s="7">
        <v>49.3611</v>
      </c>
      <c r="J4" s="9">
        <f>Эксперимент[[#This Row],[m1 
смесь
стакан]]-Эксперимент[[#This Row],[m
стакан]]</f>
        <v>22.572500000000002</v>
      </c>
      <c r="K4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4" s="20">
        <f>Эксперимент[[#This Row],[m1
смесь]]-Эксперимент[[#This Row],[m0
смесь]]</f>
        <v>0</v>
      </c>
      <c r="M4" s="11">
        <f>Эксперимент[[#This Row],[m1 
смесь
стакан]]</f>
        <v>49.3611</v>
      </c>
      <c r="N4" s="9">
        <f>Эксперимент[[#This Row],[m2
смесь
стакан]]-Эксперимент[[#This Row],[m
стакан]]</f>
        <v>22.572500000000002</v>
      </c>
      <c r="O4" s="21">
        <f>Эксперимент[[#This Row],[m2
смесь
стакан]]-Эксперимент[[#This Row],[m1 
смесь
стакан]]</f>
        <v>0</v>
      </c>
      <c r="P4" s="27">
        <f>(Эксперимент[[#This Row],[m0
спирт]]+Эксперимент[[#This Row],[m+
спирт]])/Эксперимент[[#This Row],[m2
смесь]]</f>
        <v>0</v>
      </c>
      <c r="Q4" s="12">
        <v>4.7405999999999997</v>
      </c>
      <c r="R4" s="11">
        <v>10.7521</v>
      </c>
      <c r="S4" s="13">
        <f>Эксперимент[[#This Row],[m3 г
смесь    
пик ]]-Эксперимент[[#This Row],[m3 г
пик]]</f>
        <v>6.0115000000000007</v>
      </c>
      <c r="T4" s="14">
        <f>Эксперимент[[#This Row],[m3 г
смесь     ]]/Плотности_доп[V пик мл]</f>
        <v>1.2023000000000001</v>
      </c>
      <c r="U4" s="15">
        <f>Эксперимент[[#This Row],[w%1 
]]*Эксперимент[[#This Row],[m3 г
смесь     ]]/Плотности_доп[M спирт г/моль]*1000</f>
        <v>0</v>
      </c>
      <c r="V4" s="16">
        <f>(1-Эксперимент[[#This Row],[w%1 
]])*Эксперимент[[#This Row],[m3 г
смесь     ]]/Плотности_доп[M PETA г/моль]*1000</f>
        <v>20.153206611016127</v>
      </c>
    </row>
    <row r="5" spans="1:26" s="17" customFormat="1" ht="15" thickBot="1" x14ac:dyDescent="0.35">
      <c r="A5" s="33"/>
      <c r="B5" s="18">
        <v>0.05</v>
      </c>
      <c r="C5" s="22">
        <v>26.788599999999999</v>
      </c>
      <c r="D5" s="23">
        <v>47.552799999999998</v>
      </c>
      <c r="E5" s="28">
        <f>Эксперимент[[#This Row],[m0
смесь    
стакан]]-Эксперимент[[#This Row],[m
стакан]]</f>
        <v>20.764199999999999</v>
      </c>
      <c r="F5" s="29">
        <f>Эксперимент[[#This Row],[m0
смесь]]*(1-P4)</f>
        <v>20.764199999999999</v>
      </c>
      <c r="G5" s="29">
        <f>Эксперимент[[#This Row],[m0
смесь]]*P4</f>
        <v>0</v>
      </c>
      <c r="H5" s="10">
        <f>Эксперимент[[#This Row],[m+ т
спирт]]/Эксперимент_доп[ro 
спирт]*1000</f>
        <v>1270.7588739290088</v>
      </c>
      <c r="I5" s="7">
        <v>48.830300000000001</v>
      </c>
      <c r="J5" s="9">
        <f>Эксперимент[[#This Row],[m1 
смесь
стакан]]-Эксперимент[[#This Row],[m
стакан]]</f>
        <v>22.041700000000002</v>
      </c>
      <c r="K5" s="19">
        <f>(Эксперимент[[#This Row],[m0
смесь]]*Эксперимент[[#This Row],[w%
спирт ]]-Эксперимент[[#This Row],[m0
спирт]])/(1-Эксперимент[[#This Row],[w%
спирт ]])</f>
        <v>1.0928526315789475</v>
      </c>
      <c r="L5" s="20">
        <f>Эксперимент[[#This Row],[m1
смесь]]-Эксперимент[[#This Row],[m0
смесь]]</f>
        <v>1.2775000000000034</v>
      </c>
      <c r="M5" s="11">
        <f>Эксперимент[[#This Row],[m1 
смесь
стакан]]</f>
        <v>48.830300000000001</v>
      </c>
      <c r="N5" s="9">
        <f>Эксперимент[[#This Row],[m2
смесь
стакан]]-Эксперимент[[#This Row],[m
стакан]]</f>
        <v>22.041700000000002</v>
      </c>
      <c r="O5" s="21">
        <f>Эксперимент[[#This Row],[m2
смесь
стакан]]-Эксперимент[[#This Row],[m1 
смесь
стакан]]</f>
        <v>0</v>
      </c>
      <c r="P5" s="27">
        <f>(Эксперимент[[#This Row],[m0
спирт]]+Эксперимент[[#This Row],[m+
спирт]])/Эксперимент[[#This Row],[m2
смесь]]</f>
        <v>5.7958324448658831E-2</v>
      </c>
      <c r="Q5" s="12">
        <v>4.7407000000000004</v>
      </c>
      <c r="R5" s="11">
        <v>10.624599999999999</v>
      </c>
      <c r="S5" s="13">
        <f>Эксперимент[[#This Row],[m3 г
смесь    
пик ]]-Эксперимент[[#This Row],[m3 г
пик]]</f>
        <v>5.8838999999999988</v>
      </c>
      <c r="T5" s="14">
        <f>Эксперимент[[#This Row],[m3 г
смесь     ]]/Плотности_доп[V пик мл]</f>
        <v>1.1767799999999997</v>
      </c>
      <c r="U5" s="15">
        <f>Эксперимент[[#This Row],[w%1 
]]*Эксперимент[[#This Row],[m3 г
смесь     ]]/Плотности_доп[M спирт г/моль]*1000</f>
        <v>4.6009307234682089</v>
      </c>
      <c r="V5" s="16">
        <f>(1-Эксперимент[[#This Row],[w%1 
]])*Эксперимент[[#This Row],[m3 г
смесь     ]]/Плотности_доп[M PETA г/моль]*1000</f>
        <v>18.582181818956503</v>
      </c>
    </row>
    <row r="6" spans="1:26" s="17" customFormat="1" ht="15" thickBot="1" x14ac:dyDescent="0.35">
      <c r="A6" s="33"/>
      <c r="B6" s="18">
        <v>0.1</v>
      </c>
      <c r="C6" s="22">
        <v>31.611599999999999</v>
      </c>
      <c r="D6" s="23">
        <v>49.77</v>
      </c>
      <c r="E6" s="28">
        <f>Эксперимент[[#This Row],[m0
смесь    
стакан]]-Эксперимент[[#This Row],[m
стакан]]</f>
        <v>18.158400000000004</v>
      </c>
      <c r="F6" s="29">
        <f>Эксперимент[[#This Row],[m0
смесь]]*(1-P5)</f>
        <v>17.105969561331477</v>
      </c>
      <c r="G6" s="29">
        <f>Эксперимент[[#This Row],[m0
смесь]]*P5</f>
        <v>1.0524304386685268</v>
      </c>
      <c r="H6" s="10">
        <f>Эксперимент[[#This Row],[m+ т
спирт]]/Эксперимент_доп[ro 
спирт]*1000</f>
        <v>986.31726270216245</v>
      </c>
      <c r="I6" s="7">
        <v>50.564700000000002</v>
      </c>
      <c r="J6" s="9">
        <f>Эксперимент[[#This Row],[m1 
смесь
стакан]]-Эксперимент[[#This Row],[m
стакан]]</f>
        <v>18.953100000000003</v>
      </c>
      <c r="K6" s="19">
        <f>(Эксперимент[[#This Row],[m0
смесь]]*Эксперимент[[#This Row],[w%
спирт ]]-Эксперимент[[#This Row],[m0
спирт]])/(1-Эксперимент[[#This Row],[w%
спирт ]])</f>
        <v>0.84823284592385972</v>
      </c>
      <c r="L6" s="20">
        <f>Эксперимент[[#This Row],[m1
смесь]]-Эксперимент[[#This Row],[m0
смесь]]</f>
        <v>0.79469999999999885</v>
      </c>
      <c r="M6" s="11">
        <f>Эксперимент[[#This Row],[m1 
смесь
стакан]]</f>
        <v>50.564700000000002</v>
      </c>
      <c r="N6" s="9">
        <f>Эксперимент[[#This Row],[m2
смесь
стакан]]-Эксперимент[[#This Row],[m
стакан]]</f>
        <v>18.953100000000003</v>
      </c>
      <c r="O6" s="21">
        <f>Эксперимент[[#This Row],[m2
смесь
стакан]]-Эксперимент[[#This Row],[m1 
смесь
стакан]]</f>
        <v>0</v>
      </c>
      <c r="P6" s="27">
        <f>(Эксперимент[[#This Row],[m0
спирт]]+Эксперимент[[#This Row],[m+
спирт]])/Эксперимент[[#This Row],[m2
смесь]]</f>
        <v>9.7457958786083834E-2</v>
      </c>
      <c r="Q6" s="12">
        <v>4.7340999999999998</v>
      </c>
      <c r="R6" s="11">
        <v>10.5382</v>
      </c>
      <c r="S6" s="13">
        <f>Эксперимент[[#This Row],[m3 г
смесь    
пик ]]-Эксперимент[[#This Row],[m3 г
пик]]</f>
        <v>5.8041</v>
      </c>
      <c r="T6" s="14">
        <f>Эксперимент[[#This Row],[m3 г
смесь     ]]/Плотности_доп[V пик мл]</f>
        <v>1.16082</v>
      </c>
      <c r="U6" s="15">
        <f>Эксперимент[[#This Row],[w%1 
]]*Эксперимент[[#This Row],[m3 г
смесь     ]]/Плотности_доп[M спирт г/моль]*1000</f>
        <v>7.6316208660322333</v>
      </c>
      <c r="V6" s="16">
        <f>(1-Эксперимент[[#This Row],[w%1 
]])*Эксперимент[[#This Row],[m3 г
смесь     ]]/Плотности_доп[M PETA г/моль]*1000</f>
        <v>17.561581888127964</v>
      </c>
    </row>
    <row r="7" spans="1:26" s="17" customFormat="1" ht="15" thickBot="1" x14ac:dyDescent="0.35">
      <c r="A7" s="33"/>
      <c r="B7" s="18">
        <v>0.15</v>
      </c>
      <c r="C7" s="22">
        <v>31.611599999999999</v>
      </c>
      <c r="D7" s="23">
        <v>49.557200000000002</v>
      </c>
      <c r="E7" s="28">
        <f>Эксперимент[[#This Row],[m0
смесь    
стакан]]-Эксперимент[[#This Row],[m
стакан]]</f>
        <v>17.945600000000002</v>
      </c>
      <c r="F7" s="29">
        <f>Эксперимент[[#This Row],[m0
смесь]]*(1-P6)</f>
        <v>16.196658454808457</v>
      </c>
      <c r="G7" s="29">
        <f>Эксперимент[[#This Row],[m0
смесь]]*P6</f>
        <v>1.7489415451915462</v>
      </c>
      <c r="H7" s="10">
        <f>Эксперимент[[#This Row],[m+ т
спирт]]/Эксперимент_доп[ro 
спирт]*1000</f>
        <v>1289.874767179828</v>
      </c>
      <c r="I7" s="7">
        <v>50.643000000000001</v>
      </c>
      <c r="J7" s="9">
        <f>Эксперимент[[#This Row],[m1 
смесь
стакан]]-Эксперимент[[#This Row],[m
стакан]]</f>
        <v>19.031400000000001</v>
      </c>
      <c r="K7" s="19">
        <f>(Эксперимент[[#This Row],[m0
смесь]]*Эксперимент[[#This Row],[w%
спирт ]]-Эксперимент[[#This Row],[m0
спирт]])/(1-Эксперимент[[#This Row],[w%
спирт ]])</f>
        <v>1.1092922997746522</v>
      </c>
      <c r="L7" s="20">
        <f>Эксперимент[[#This Row],[m1
смесь]]-Эксперимент[[#This Row],[m0
смесь]]</f>
        <v>1.085799999999999</v>
      </c>
      <c r="M7" s="11">
        <f>Эксперимент[[#This Row],[m1 
смесь
стакан]]</f>
        <v>50.643000000000001</v>
      </c>
      <c r="N7" s="9">
        <f>Эксперимент[[#This Row],[m2
смесь
стакан]]-Эксперимент[[#This Row],[m
стакан]]</f>
        <v>19.031400000000001</v>
      </c>
      <c r="O7" s="21">
        <f>Эксперимент[[#This Row],[m2
смесь
стакан]]-Эксперимент[[#This Row],[m1 
смесь
стакан]]</f>
        <v>0</v>
      </c>
      <c r="P7" s="27">
        <f>(Эксперимент[[#This Row],[m0
спирт]]+Эксперимент[[#This Row],[m+
спирт]])/Эксперимент[[#This Row],[m2
смесь]]</f>
        <v>0.14895076269699262</v>
      </c>
      <c r="Q7" s="12">
        <v>4.7343000000000002</v>
      </c>
      <c r="R7" s="11">
        <v>10.4138</v>
      </c>
      <c r="S7" s="13">
        <f>Эксперимент[[#This Row],[m3 г
смесь    
пик ]]-Эксперимент[[#This Row],[m3 г
пик]]</f>
        <v>5.6795</v>
      </c>
      <c r="T7" s="14">
        <f>Эксперимент[[#This Row],[m3 г
смесь     ]]/Плотности_доп[V пик мл]</f>
        <v>1.1358999999999999</v>
      </c>
      <c r="U7" s="15">
        <f>Эксперимент[[#This Row],[w%1 
]]*Эксперимент[[#This Row],[m3 г
смесь     ]]/Плотности_доп[M спирт г/моль]*1000</f>
        <v>11.413462719071363</v>
      </c>
      <c r="V7" s="16">
        <f>(1-Эксперимент[[#This Row],[w%1 
]])*Эксперимент[[#This Row],[m3 г
смесь     ]]/Плотности_доп[M PETA г/моль]*1000</f>
        <v>16.204144098905193</v>
      </c>
    </row>
    <row r="8" spans="1:26" s="3" customFormat="1" x14ac:dyDescent="0.3">
      <c r="A8" s="33"/>
      <c r="B8" s="18">
        <v>0.2</v>
      </c>
      <c r="C8" s="22">
        <v>27.1998</v>
      </c>
      <c r="D8" s="23">
        <v>44.087200000000003</v>
      </c>
      <c r="E8" s="28">
        <f>Эксперимент[[#This Row],[m0
смесь    
стакан]]-Эксперимент[[#This Row],[m
стакан]]</f>
        <v>16.887400000000003</v>
      </c>
      <c r="F8" s="29">
        <f>Эксперимент[[#This Row],[m0
смесь]]*(1-P7)</f>
        <v>14.372008890030809</v>
      </c>
      <c r="G8" s="29">
        <f>Эксперимент[[#This Row],[m0
смесь]]*P7</f>
        <v>2.5153911099691935</v>
      </c>
      <c r="H8" s="10">
        <f>Эксперимент[[#This Row],[m+ т
спирт]]/Эксперимент_доп[ro 
спирт]*1000</f>
        <v>1253.0361773703594</v>
      </c>
      <c r="I8" s="7">
        <v>45.110999999999997</v>
      </c>
      <c r="J8" s="9">
        <f>Эксперимент[[#This Row],[m1 
смесь
стакан]]-Эксперимент[[#This Row],[m
стакан]]</f>
        <v>17.911199999999997</v>
      </c>
      <c r="K8" s="19">
        <f>(Эксперимент[[#This Row],[m0
смесь]]*Эксперимент[[#This Row],[w%
спирт ]]-Эксперимент[[#This Row],[m0
спирт]])/(1-Эксперимент[[#This Row],[w%
спирт ]])</f>
        <v>1.0776111125385091</v>
      </c>
      <c r="L8" s="20">
        <f>Эксперимент[[#This Row],[m1
смесь]]-Эксперимент[[#This Row],[m0
смесь]]</f>
        <v>1.0237999999999943</v>
      </c>
      <c r="M8" s="11">
        <f>Эксперимент[[#This Row],[m1 
смесь
стакан]]</f>
        <v>45.110999999999997</v>
      </c>
      <c r="N8" s="9">
        <f>Эксперимент[[#This Row],[m2
смесь
стакан]]-Эксперимент[[#This Row],[m
стакан]]</f>
        <v>17.911199999999997</v>
      </c>
      <c r="O8" s="21">
        <f>Эксперимент[[#This Row],[m2
смесь
стакан]]-Эксперимент[[#This Row],[m1 
смесь
стакан]]</f>
        <v>0</v>
      </c>
      <c r="P8" s="27">
        <f>(Эксперимент[[#This Row],[m0
спирт]]+Эксперимент[[#This Row],[m+
спирт]])/Эксперимент[[#This Row],[m2
смесь]]</f>
        <v>0.19759653791868709</v>
      </c>
      <c r="Q8" s="12">
        <v>4.7343999999999999</v>
      </c>
      <c r="R8" s="11">
        <v>10.291600000000001</v>
      </c>
      <c r="S8" s="13">
        <f>Эксперимент[[#This Row],[m3 г
смесь    
пик ]]-Эксперимент[[#This Row],[m3 г
пик]]</f>
        <v>5.5572000000000008</v>
      </c>
      <c r="T8" s="14">
        <f>Эксперимент[[#This Row],[m3 г
смесь     ]]/Плотности_доп[V пик мл]</f>
        <v>1.1114400000000002</v>
      </c>
      <c r="U8" s="15">
        <f>Эксперимент[[#This Row],[w%1 
]]*Эксперимент[[#This Row],[m3 г
смесь     ]]/Плотности_доп[M спирт г/моль]*1000</f>
        <v>14.814941723174961</v>
      </c>
      <c r="V8" s="16">
        <f>(1-Эксперимент[[#This Row],[w%1 
]])*Эксперимент[[#This Row],[m3 г
смесь     ]]/Плотности_доп[M PETA г/моль]*1000</f>
        <v>14.948930636220698</v>
      </c>
    </row>
    <row r="9" spans="1:26" s="3" customFormat="1" ht="15" customHeight="1" x14ac:dyDescent="0.3"/>
    <row r="10" spans="1:26" s="3" customFormat="1" ht="43.8" thickBot="1" x14ac:dyDescent="0.35">
      <c r="A10" s="2"/>
      <c r="B10" s="6" t="s">
        <v>16</v>
      </c>
      <c r="C10" s="6" t="s">
        <v>1</v>
      </c>
      <c r="D10" s="6" t="s">
        <v>2</v>
      </c>
      <c r="E10" s="6" t="s">
        <v>3</v>
      </c>
      <c r="F10" s="6" t="s">
        <v>14</v>
      </c>
      <c r="G10" s="6" t="s">
        <v>4</v>
      </c>
      <c r="H10" s="24" t="s">
        <v>7</v>
      </c>
      <c r="I10" s="24" t="s">
        <v>5</v>
      </c>
      <c r="J10" s="24" t="s">
        <v>22</v>
      </c>
      <c r="K10" s="24" t="s">
        <v>6</v>
      </c>
      <c r="L10" s="24" t="s">
        <v>17</v>
      </c>
      <c r="M10" s="25" t="s">
        <v>9</v>
      </c>
      <c r="N10" s="25" t="s">
        <v>23</v>
      </c>
      <c r="O10" s="25" t="s">
        <v>15</v>
      </c>
      <c r="P10" s="26" t="s">
        <v>8</v>
      </c>
      <c r="Q10" s="8" t="s">
        <v>18</v>
      </c>
      <c r="R10" s="8" t="s">
        <v>19</v>
      </c>
      <c r="S10" s="8" t="s">
        <v>20</v>
      </c>
      <c r="T10" s="8" t="s">
        <v>11</v>
      </c>
      <c r="U10" s="8" t="s">
        <v>13</v>
      </c>
      <c r="V10" s="8" t="s">
        <v>25</v>
      </c>
    </row>
    <row r="11" spans="1:26" s="3" customFormat="1" ht="15" thickBot="1" x14ac:dyDescent="0.35">
      <c r="A11" s="33" t="s">
        <v>26</v>
      </c>
      <c r="B11" s="18">
        <v>0</v>
      </c>
      <c r="C11" s="22">
        <v>27.1568</v>
      </c>
      <c r="D11" s="23">
        <v>33.708199999999998</v>
      </c>
      <c r="E11" s="28">
        <f>Эксперимент4[[#This Row],[m0
смесь    
стакан]]-Эксперимент4[[#This Row],[m
стакан]]</f>
        <v>6.5513999999999974</v>
      </c>
      <c r="F11" s="29">
        <f>Эксперимент4[[#This Row],[m0
смесь]]</f>
        <v>6.5513999999999974</v>
      </c>
      <c r="G11" s="29">
        <v>0</v>
      </c>
      <c r="H11" s="10">
        <f>Эксперимент4[[#This Row],[m+ т
спирт]]/Эксперимент_доп[ro 
спирт]*1000</f>
        <v>0</v>
      </c>
      <c r="I11" s="7">
        <v>33.708199999999998</v>
      </c>
      <c r="J11" s="9">
        <f>Эксперимент4[[#This Row],[m1 
смесь
стакан]]-Эксперимент4[[#This Row],[m
стакан]]</f>
        <v>6.5513999999999974</v>
      </c>
      <c r="K11" s="19">
        <f>(Эксперимент4[[#This Row],[m0
смесь]]*Эксперимент4[[#This Row],[w%
спирт ]]-Эксперимент4[[#This Row],[m0
спирт]])/(1-Эксперимент4[[#This Row],[w%
спирт ]])</f>
        <v>0</v>
      </c>
      <c r="L11" s="20">
        <f>Эксперимент4[[#This Row],[m1
смесь]]-Эксперимент4[[#This Row],[m0
смесь]]</f>
        <v>0</v>
      </c>
      <c r="M11" s="11">
        <f>Эксперимент4[[#This Row],[m1 
смесь
стакан]]</f>
        <v>33.708199999999998</v>
      </c>
      <c r="N11" s="9">
        <f>Эксперимент4[[#This Row],[m2
смесь
стакан]]-Эксперимент4[[#This Row],[m
стакан]]</f>
        <v>6.5513999999999974</v>
      </c>
      <c r="O11" s="21">
        <f>Эксперимент4[[#This Row],[m2
смесь
стакан]]-Эксперимент4[[#This Row],[m1 
смесь
стакан]]</f>
        <v>0</v>
      </c>
      <c r="P11" s="27">
        <f>(Эксперимент4[[#This Row],[m0
спирт]]+Эксперимент4[[#This Row],[m+
спирт]])/Эксперимент4[[#This Row],[m2
смесь]]</f>
        <v>0</v>
      </c>
      <c r="Q11" s="12">
        <v>4.7344999999999997</v>
      </c>
      <c r="R11" s="11">
        <v>10.107200000000001</v>
      </c>
      <c r="S11" s="13">
        <f>Эксперимент4[[#This Row],[m3 г
смесь    
пик ]]-Эксперимент4[[#This Row],[m3 г
пик]]</f>
        <v>5.3727000000000009</v>
      </c>
      <c r="T11" s="14">
        <f>Эксперимент4[[#This Row],[m3 г
смесь     ]]/Плотности_доп[V пик мл]</f>
        <v>1.0745400000000003</v>
      </c>
      <c r="U11" s="15">
        <f>Эксперимент4[[#This Row],[w%1 
]]*Эксперимент4[[#This Row],[m3 г
смесь     ]]/Плотности_доп[M спирт г/моль]*1000</f>
        <v>0</v>
      </c>
      <c r="V11" s="16">
        <f>(1-Эксперимент4[[#This Row],[w%1 
]])*Эксперимент4[[#This Row],[m3 г
смесь     ]]/Плотности_доп[M PETA г/моль]*1000</f>
        <v>18.011666499044555</v>
      </c>
    </row>
    <row r="12" spans="1:26" s="3" customFormat="1" ht="15" thickBot="1" x14ac:dyDescent="0.35">
      <c r="A12" s="33"/>
      <c r="B12" s="18">
        <v>0.05</v>
      </c>
      <c r="C12" s="22">
        <v>27.1568</v>
      </c>
      <c r="D12" s="23">
        <v>39.681100000000001</v>
      </c>
      <c r="E12" s="28">
        <f>Эксперимент4[[#This Row],[m0
смесь    
стакан]]-Эксперимент4[[#This Row],[m
стакан]]</f>
        <v>12.5243</v>
      </c>
      <c r="F12" s="29">
        <f>Эксперимент4[[#This Row],[m0
смесь]]*(1-P11)</f>
        <v>12.5243</v>
      </c>
      <c r="G12" s="29">
        <f>Эксперимент4[[#This Row],[m0
смесь]]*P11</f>
        <v>0</v>
      </c>
      <c r="H12" s="10">
        <f>Эксперимент4[[#This Row],[m+ т
спирт]]/Эксперимент_доп[ro 
спирт]*1000</f>
        <v>766.48102815177504</v>
      </c>
      <c r="I12" s="7">
        <v>40.318800000000003</v>
      </c>
      <c r="J12" s="9">
        <f>Эксперимент4[[#This Row],[m1 
смесь
стакан]]-Эксперимент4[[#This Row],[m
стакан]]</f>
        <v>13.162000000000003</v>
      </c>
      <c r="K12" s="19">
        <f>(Эксперимент4[[#This Row],[m0
смесь]]*Эксперимент4[[#This Row],[w%
спирт ]]-Эксперимент4[[#This Row],[m0
спирт]])/(1-Эксперимент4[[#This Row],[w%
спирт ]])</f>
        <v>0.65917368421052647</v>
      </c>
      <c r="L12" s="20">
        <f>Эксперимент4[[#This Row],[m1
смесь]]-Эксперимент4[[#This Row],[m0
смесь]]</f>
        <v>0.63770000000000238</v>
      </c>
      <c r="M12" s="11">
        <f>Эксперимент4[[#This Row],[m1 
смесь
стакан]]</f>
        <v>40.318800000000003</v>
      </c>
      <c r="N12" s="9">
        <f>Эксперимент4[[#This Row],[m2
смесь
стакан]]-Эксперимент4[[#This Row],[m
стакан]]</f>
        <v>13.162000000000003</v>
      </c>
      <c r="O12" s="21">
        <f>Эксперимент4[[#This Row],[m2
смесь
стакан]]-Эксперимент4[[#This Row],[m1 
смесь
стакан]]</f>
        <v>0</v>
      </c>
      <c r="P12" s="27">
        <f>(Эксперимент4[[#This Row],[m0
спирт]]+Эксперимент4[[#This Row],[m+
спирт]])/Эксперимент4[[#This Row],[m2
смесь]]</f>
        <v>4.8450083573925107E-2</v>
      </c>
      <c r="Q12" s="12">
        <v>4.7344999999999997</v>
      </c>
      <c r="R12" s="11">
        <v>10.107200000000001</v>
      </c>
      <c r="S12" s="13">
        <f>Эксперимент4[[#This Row],[m3 г
смесь    
пик ]]-Эксперимент4[[#This Row],[m3 г
пик]]</f>
        <v>5.3727000000000009</v>
      </c>
      <c r="T12" s="14">
        <f>Эксперимент4[[#This Row],[m3 г
смесь     ]]/Плотности_доп[V пик мл]</f>
        <v>1.0745400000000003</v>
      </c>
      <c r="U12" s="15">
        <f>Эксперимент4[[#This Row],[w%1 
]]*Эксперимент4[[#This Row],[m3 г
смесь     ]]/Плотности_доп[M спирт г/моль]*1000</f>
        <v>3.5119773882572507</v>
      </c>
      <c r="V12" s="16">
        <f>(1-Эксперимент4[[#This Row],[w%1 
]])*Эксперимент4[[#This Row],[m3 г
смесь     ]]/Плотности_доп[M PETA г/моль]*1000</f>
        <v>17.13899975186018</v>
      </c>
    </row>
    <row r="13" spans="1:26" s="3" customFormat="1" ht="15" thickBot="1" x14ac:dyDescent="0.35">
      <c r="A13" s="33"/>
      <c r="B13" s="18">
        <v>0.1</v>
      </c>
      <c r="C13" s="22">
        <v>27.09656</v>
      </c>
      <c r="D13" s="23">
        <v>39.407800000000002</v>
      </c>
      <c r="E13" s="28">
        <f>Эксперимент4[[#This Row],[m0
смесь    
стакан]]-Эксперимент4[[#This Row],[m
стакан]]</f>
        <v>12.311240000000002</v>
      </c>
      <c r="F13" s="29">
        <f>Эксперимент4[[#This Row],[m0
смесь]]*(1-P12)</f>
        <v>11.714759393101351</v>
      </c>
      <c r="G13" s="29">
        <f>Эксперимент4[[#This Row],[m0
смесь]]*P12</f>
        <v>0.59648060689864979</v>
      </c>
      <c r="H13" s="10">
        <f>Эксперимент4[[#This Row],[m+ т
спирт]]/Эксперимент_доп[ro 
спирт]*1000</f>
        <v>819.9527042653109</v>
      </c>
      <c r="I13" s="7">
        <v>40.0745</v>
      </c>
      <c r="J13" s="9">
        <f>Эксперимент4[[#This Row],[m1 
смесь
стакан]]-Эксперимент4[[#This Row],[m
стакан]]</f>
        <v>12.97794</v>
      </c>
      <c r="K13" s="19">
        <f>(Эксперимент4[[#This Row],[m0
смесь]]*Эксперимент4[[#This Row],[w%
спирт ]]-Эксперимент4[[#This Row],[m0
спирт]])/(1-Эксперимент4[[#This Row],[w%
спирт ]])</f>
        <v>0.7051593256681673</v>
      </c>
      <c r="L13" s="20">
        <f>Эксперимент4[[#This Row],[m1
смесь]]-Эксперимент4[[#This Row],[m0
смесь]]</f>
        <v>0.66669999999999874</v>
      </c>
      <c r="M13" s="11">
        <f>Эксперимент4[[#This Row],[m1 
смесь
стакан]]</f>
        <v>40.0745</v>
      </c>
      <c r="N13" s="9">
        <f>Эксперимент4[[#This Row],[m2
смесь
стакан]]-Эксперимент4[[#This Row],[m
стакан]]</f>
        <v>12.97794</v>
      </c>
      <c r="O13" s="21">
        <f>Эксперимент4[[#This Row],[m2
смесь
стакан]]-Эксперимент4[[#This Row],[m1 
смесь
стакан]]</f>
        <v>0</v>
      </c>
      <c r="P13" s="27">
        <f>(Эксперимент4[[#This Row],[m0
спирт]]+Эксперимент4[[#This Row],[m+
спирт]])/Эксперимент4[[#This Row],[m2
смесь]]</f>
        <v>9.7332905445598333E-2</v>
      </c>
      <c r="Q13" s="12"/>
      <c r="R13" s="11"/>
      <c r="S13" s="13">
        <f>Эксперимент4[[#This Row],[m3 г
смесь    
пик ]]-Эксперимент4[[#This Row],[m3 г
пик]]</f>
        <v>0</v>
      </c>
      <c r="T13" s="14">
        <f>Эксперимент4[[#This Row],[m3 г
смесь     ]]/Плотности_доп[V пик мл]</f>
        <v>0</v>
      </c>
      <c r="U13" s="15">
        <f>Эксперимент4[[#This Row],[w%1 
]]*Эксперимент4[[#This Row],[m3 г
смесь     ]]/Плотности_доп[M спирт г/моль]*1000</f>
        <v>0</v>
      </c>
      <c r="V13" s="16">
        <f>(1-Эксперимент4[[#This Row],[w%1 
]])*Эксперимент4[[#This Row],[m3 г
смесь     ]]/Плотности_доп[M PETA г/моль]*1000</f>
        <v>0</v>
      </c>
    </row>
    <row r="14" spans="1:26" s="3" customFormat="1" ht="15" thickBot="1" x14ac:dyDescent="0.35">
      <c r="A14" s="33"/>
      <c r="B14" s="18">
        <v>0.15</v>
      </c>
      <c r="C14" s="22">
        <v>27.09656</v>
      </c>
      <c r="D14" s="23">
        <v>39.677500000000002</v>
      </c>
      <c r="E14" s="28">
        <f>Эксперимент4[[#This Row],[m0
смесь    
стакан]]-Эксперимент4[[#This Row],[m
стакан]]</f>
        <v>12.580940000000002</v>
      </c>
      <c r="F14" s="29">
        <f>Эксперимент4[[#This Row],[m0
смесь]]*(1-P13)</f>
        <v>11.356400556563255</v>
      </c>
      <c r="G14" s="29">
        <f>Эксперимент4[[#This Row],[m0
смесь]]*P13</f>
        <v>1.224539443436746</v>
      </c>
      <c r="H14" s="10">
        <f>Эксперимент4[[#This Row],[m+ т
спирт]]/Эксперимент_доп[ro 
спирт]*1000</f>
        <v>906.43167792510837</v>
      </c>
      <c r="I14" s="7">
        <v>40.748199999999997</v>
      </c>
      <c r="J14" s="9">
        <f>Эксперимент4[[#This Row],[m1 
смесь
стакан]]-Эксперимент4[[#This Row],[m
стакан]]</f>
        <v>13.651639999999997</v>
      </c>
      <c r="K14" s="19">
        <f>(Эксперимент4[[#This Row],[m0
смесь]]*Эксперимент4[[#This Row],[w%
спирт ]]-Эксперимент4[[#This Row],[m0
спирт]])/(1-Эксперимент4[[#This Row],[w%
спирт ]])</f>
        <v>0.77953124301559318</v>
      </c>
      <c r="L14" s="20">
        <f>Эксперимент4[[#This Row],[m1
смесь]]-Эксперимент4[[#This Row],[m0
смесь]]</f>
        <v>1.0706999999999951</v>
      </c>
      <c r="M14" s="11">
        <f>Эксперимент4[[#This Row],[m1 
смесь
стакан]]</f>
        <v>40.748199999999997</v>
      </c>
      <c r="N14" s="9">
        <f>Эксперимент4[[#This Row],[m2
смесь
стакан]]-Эксперимент4[[#This Row],[m
стакан]]</f>
        <v>13.651639999999997</v>
      </c>
      <c r="O14" s="21">
        <f>Эксперимент4[[#This Row],[m2
смесь
стакан]]-Эксперимент4[[#This Row],[m1 
смесь
стакан]]</f>
        <v>0</v>
      </c>
      <c r="P14" s="27">
        <f>(Эксперимент4[[#This Row],[m0
спирт]]+Эксперимент4[[#This Row],[m+
спирт]])/Эксперимент4[[#This Row],[m2
смесь]]</f>
        <v>0.16812920963611269</v>
      </c>
      <c r="Q14" s="12"/>
      <c r="R14" s="11"/>
      <c r="S14" s="13">
        <f>Эксперимент4[[#This Row],[m3 г
смесь    
пик ]]-Эксперимент4[[#This Row],[m3 г
пик]]</f>
        <v>0</v>
      </c>
      <c r="T14" s="14">
        <f>Эксперимент4[[#This Row],[m3 г
смесь     ]]/Плотности_доп[V пик мл]</f>
        <v>0</v>
      </c>
      <c r="U14" s="15">
        <f>Эксперимент4[[#This Row],[w%1 
]]*Эксперимент4[[#This Row],[m3 г
смесь     ]]/Плотности_доп[M спирт г/моль]*1000</f>
        <v>0</v>
      </c>
      <c r="V14" s="16">
        <f>(1-Эксперимент4[[#This Row],[w%1 
]])*Эксперимент4[[#This Row],[m3 г
смесь     ]]/Плотности_доп[M PETA г/моль]*1000</f>
        <v>0</v>
      </c>
    </row>
    <row r="15" spans="1:26" s="3" customFormat="1" x14ac:dyDescent="0.3">
      <c r="A15" s="33"/>
      <c r="B15" s="18">
        <v>0.2</v>
      </c>
      <c r="C15" s="22">
        <v>27.09656</v>
      </c>
      <c r="D15" s="23">
        <v>40.027700000000003</v>
      </c>
      <c r="E15" s="28">
        <f>Эксперимент4[[#This Row],[m0
смесь    
стакан]]-Эксперимент4[[#This Row],[m
стакан]]</f>
        <v>12.931140000000003</v>
      </c>
      <c r="F15" s="29">
        <f>Эксперимент4[[#This Row],[m0
смесь]]*(1-P14)</f>
        <v>10.75703765210608</v>
      </c>
      <c r="G15" s="29">
        <f>Эксперимент4[[#This Row],[m0
смесь]]*P14</f>
        <v>2.1741023478939225</v>
      </c>
      <c r="H15" s="10">
        <f>Эксперимент4[[#This Row],[m+ т
спирт]]/Эксперимент_доп[ro 
спирт]*1000</f>
        <v>599.01984317743904</v>
      </c>
      <c r="I15" s="7">
        <v>40.512</v>
      </c>
      <c r="J15" s="9">
        <f>Эксперимент4[[#This Row],[m1 
смесь
стакан]]-Эксперимент4[[#This Row],[m
стакан]]</f>
        <v>13.41544</v>
      </c>
      <c r="K15" s="19">
        <f>(Эксперимент4[[#This Row],[m0
смесь]]*Эксперимент4[[#This Row],[w%
спирт ]]-Эксперимент4[[#This Row],[m0
спирт]])/(1-Эксперимент4[[#This Row],[w%
спирт ]])</f>
        <v>0.51515706513259762</v>
      </c>
      <c r="L15" s="20">
        <f>Эксперимент4[[#This Row],[m1
смесь]]-Эксперимент4[[#This Row],[m0
смесь]]</f>
        <v>0.48429999999999751</v>
      </c>
      <c r="M15" s="11">
        <f>Эксперимент4[[#This Row],[m1 
смесь
стакан]]</f>
        <v>40.512</v>
      </c>
      <c r="N15" s="9">
        <f>Эксперимент4[[#This Row],[m2
смесь
стакан]]-Эксперимент4[[#This Row],[m
стакан]]</f>
        <v>13.41544</v>
      </c>
      <c r="O15" s="21">
        <f>Эксперимент4[[#This Row],[m2
смесь
стакан]]-Эксперимент4[[#This Row],[m1 
смесь
стакан]]</f>
        <v>0</v>
      </c>
      <c r="P15" s="27">
        <f>(Эксперимент4[[#This Row],[m0
спирт]]+Эксперимент4[[#This Row],[m+
спирт]])/Эксперимент4[[#This Row],[m2
смесь]]</f>
        <v>0.19815990738238329</v>
      </c>
      <c r="Q15" s="12"/>
      <c r="R15" s="11"/>
      <c r="S15" s="13">
        <f>Эксперимент4[[#This Row],[m3 г
смесь    
пик ]]-Эксперимент4[[#This Row],[m3 г
пик]]</f>
        <v>0</v>
      </c>
      <c r="T15" s="14">
        <f>Эксперимент4[[#This Row],[m3 г
смесь     ]]/Плотности_доп[V пик мл]</f>
        <v>0</v>
      </c>
      <c r="U15" s="15">
        <f>Эксперимент4[[#This Row],[w%1 
]]*Эксперимент4[[#This Row],[m3 г
смесь     ]]/Плотности_доп[M спирт г/моль]*1000</f>
        <v>0</v>
      </c>
      <c r="V15" s="16">
        <f>(1-Эксперимент4[[#This Row],[w%1 
]])*Эксперимент4[[#This Row],[m3 г
смесь     ]]/Плотности_доп[M PETA г/моль]*1000</f>
        <v>0</v>
      </c>
    </row>
    <row r="16" spans="1:26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</sheetData>
  <mergeCells count="2">
    <mergeCell ref="A4:A8"/>
    <mergeCell ref="A11:A15"/>
  </mergeCells>
  <pageMargins left="0.7" right="0.7" top="0.75" bottom="0.75" header="0.3" footer="0.3"/>
  <pageSetup paperSize="9" orientation="portrait" horizontalDpi="1200" verticalDpi="1200" r:id="rId1"/>
  <ignoredErrors>
    <ignoredError sqref="F4:G4 F11:G11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2023-12-27T14:37:31Z</dcterms:modified>
</cp:coreProperties>
</file>