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B2AD2A26-DF79-4820-A916-2626B2668F3B}" xr6:coauthVersionLast="36" xr6:coauthVersionMax="45" xr10:uidLastSave="{00000000-0000-0000-0000-000000000000}"/>
  <bookViews>
    <workbookView xWindow="-108" yWindow="-108" windowWidth="23256" windowHeight="12720" activeTab="1" xr2:uid="{B4D95E1D-7DF1-45F9-84A6-56C0FCEE3758}"/>
  </bookViews>
  <sheets>
    <sheet name="Эксперимент" sheetId="1" r:id="rId1"/>
    <sheet name="Аппроксимации" sheetId="3" r:id="rId2"/>
    <sheet name="Плотности" sheetId="4" r:id="rId3"/>
    <sheet name="Расчеты(старое)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5" i="4" l="1"/>
  <c r="F5" i="4"/>
  <c r="F6" i="4"/>
  <c r="G6" i="4" s="1"/>
  <c r="G7" i="4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C5" i="4"/>
  <c r="C6" i="4"/>
  <c r="C7" i="4"/>
  <c r="C8" i="4"/>
  <c r="C9" i="4"/>
  <c r="C10" i="4"/>
  <c r="C11" i="4"/>
  <c r="C12" i="4"/>
  <c r="C13" i="4"/>
  <c r="C14" i="4"/>
  <c r="B5" i="4"/>
  <c r="B6" i="4"/>
  <c r="B7" i="4"/>
  <c r="B8" i="4"/>
  <c r="B9" i="4"/>
  <c r="B10" i="4"/>
  <c r="B11" i="4"/>
  <c r="B12" i="4"/>
  <c r="B13" i="4"/>
  <c r="B14" i="4"/>
  <c r="H2" i="3"/>
  <c r="H3" i="3"/>
  <c r="H4" i="3"/>
  <c r="H5" i="3"/>
  <c r="H6" i="3"/>
  <c r="H7" i="3"/>
  <c r="H8" i="3"/>
  <c r="H9" i="3"/>
  <c r="H10" i="3"/>
  <c r="H11" i="3"/>
  <c r="A14" i="1" l="1"/>
  <c r="D14" i="1"/>
  <c r="G14" i="1"/>
  <c r="K14" i="1"/>
  <c r="L14" i="1"/>
  <c r="M14" i="1"/>
  <c r="N14" i="1" s="1"/>
  <c r="O14" i="1" l="1"/>
  <c r="M5" i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E14" i="1" l="1"/>
  <c r="F14" i="1"/>
  <c r="H13" i="1"/>
  <c r="I13" i="1" s="1"/>
  <c r="B12" i="2"/>
  <c r="P14" i="1" l="1"/>
  <c r="H14" i="1"/>
  <c r="I14" i="1" s="1"/>
</calcChain>
</file>

<file path=xl/sharedStrings.xml><?xml version="1.0" encoding="utf-8"?>
<sst xmlns="http://schemas.openxmlformats.org/spreadsheetml/2006/main" count="60" uniqueCount="55">
  <si>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</si>
  <si>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</si>
  <si>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</si>
  <si>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</si>
  <si>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</si>
  <si>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</si>
  <si>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</si>
  <si>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</si>
  <si>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</si>
  <si>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</si>
  <si>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</si>
  <si>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</si>
  <si>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</si>
  <si>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</si>
  <si>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</si>
  <si>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</si>
  <si>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</si>
  <si>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</si>
  <si>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</si>
  <si>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</si>
  <si>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</si>
  <si>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</si>
  <si>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</si>
  <si>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</si>
  <si>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</si>
  <si>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</si>
  <si>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</si>
  <si>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</si>
  <si>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</si>
  <si>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</si>
  <si>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</si>
  <si>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</si>
  <si>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</si>
  <si>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</si>
  <si>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</si>
  <si>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</si>
  <si>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</si>
  <si>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</si>
  <si>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</si>
  <si>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</si>
  <si>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</si>
  <si>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</si>
  <si>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</si>
  <si>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Е КДж</t>
  </si>
  <si>
    <t>d Е КДж</t>
  </si>
  <si>
    <t>nu0 сПуаз</t>
  </si>
  <si>
    <t>d nu0 сПуаз</t>
  </si>
  <si>
    <t>Эксперимент</t>
  </si>
  <si>
    <t>Описание</t>
  </si>
  <si>
    <t>T C</t>
  </si>
  <si>
    <t>V пик мл</t>
  </si>
  <si>
    <t>m г
пик</t>
  </si>
  <si>
    <t xml:space="preserve">m0 г
смесь    
пик </t>
  </si>
  <si>
    <t xml:space="preserve">m г
смесь     </t>
  </si>
  <si>
    <t xml:space="preserve">ro
смесь г/мл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</si>
</sst>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%"/>
    <numFmt numFmtId="167" formatCode="0.000"/>
    <numFmt numFmtId="168" formatCode="0E+00"/>
    <numFmt numFmtId="169" formatCode="0.0%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  <xf numFmtId="164" fontId="2" fillId="0" borderId="0" xfId="0" applyNumberFormat="1" applyFont="1" applyProtection="1">
      <protection locked="0"/>
    </xf>
    <xf numFmtId="10" fontId="4" fillId="0" borderId="0" xfId="0" applyNumberFormat="1" applyFont="1" applyFill="1" applyProtection="1">
      <protection locked="0"/>
    </xf>
    <xf numFmtId="166" fontId="4" fillId="2" borderId="2" xfId="0" applyNumberFormat="1" applyFont="1" applyFill="1" applyBorder="1" applyProtection="1">
      <protection locked="0"/>
    </xf>
    <xf numFmtId="49" fontId="0" fillId="0" borderId="0" xfId="0" applyNumberFormat="1"/>
    <xf numFmtId="0" fontId="7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2" fontId="10" fillId="0" borderId="0" xfId="0" applyNumberFormat="1" applyFont="1"/>
    <xf numFmtId="168" fontId="11" fillId="0" borderId="0" xfId="0" applyNumberFormat="1" applyFont="1"/>
    <xf numFmtId="10" fontId="6" fillId="0" borderId="0" xfId="0" applyNumberFormat="1" applyFont="1"/>
    <xf numFmtId="167" fontId="8" fillId="6" borderId="0" xfId="0" applyNumberFormat="1" applyFont="1" applyFill="1"/>
    <xf numFmtId="11" fontId="8" fillId="7" borderId="0" xfId="0" applyNumberFormat="1" applyFont="1" applyFill="1"/>
    <xf numFmtId="0" fontId="12" fillId="0" borderId="6" xfId="0" applyFont="1" applyBorder="1" applyAlignment="1">
      <alignment horizontal="center" vertical="top"/>
    </xf>
    <xf numFmtId="49" fontId="9" fillId="0" borderId="6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169" fontId="0" fillId="8" borderId="0" xfId="0" applyNumberFormat="1" applyFill="1"/>
    <xf numFmtId="10" fontId="0" fillId="8" borderId="0" xfId="0" applyNumberFormat="1" applyFill="1"/>
    <xf numFmtId="10" fontId="8" fillId="0" borderId="0" xfId="0" applyNumberFormat="1" applyFont="1"/>
    <xf numFmtId="0" fontId="8" fillId="9" borderId="0" xfId="0" applyFont="1" applyFill="1"/>
    <xf numFmtId="1" fontId="0" fillId="10" borderId="0" xfId="0" applyNumberFormat="1" applyFill="1"/>
    <xf numFmtId="10" fontId="0" fillId="10" borderId="0" xfId="0" applyNumberFormat="1" applyFill="1"/>
    <xf numFmtId="10" fontId="8" fillId="10" borderId="0" xfId="0" applyNumberFormat="1" applyFont="1" applyFill="1"/>
    <xf numFmtId="0" fontId="0" fillId="10" borderId="0" xfId="0" applyFill="1"/>
    <xf numFmtId="0" fontId="8" fillId="10" borderId="0" xfId="0" applyFont="1" applyFill="1"/>
    <xf numFmtId="0" fontId="12" fillId="10" borderId="6" xfId="0" applyFont="1" applyFill="1" applyBorder="1" applyAlignment="1">
      <alignment horizontal="center" vertical="top"/>
    </xf>
    <xf numFmtId="167" fontId="8" fillId="10" borderId="0" xfId="0" applyNumberFormat="1" applyFont="1" applyFill="1"/>
    <xf numFmtId="2" fontId="10" fillId="10" borderId="0" xfId="0" applyNumberFormat="1" applyFont="1" applyFill="1"/>
    <xf numFmtId="11" fontId="8" fillId="10" borderId="0" xfId="0" applyNumberFormat="1" applyFont="1" applyFill="1"/>
    <xf numFmtId="168" fontId="11" fillId="10" borderId="0" xfId="0" applyNumberFormat="1" applyFont="1" applyFill="1"/>
    <xf numFmtId="49" fontId="0" fillId="10" borderId="0" xfId="0" applyNumberFormat="1" applyFill="1"/>
    <xf numFmtId="169" fontId="0" fillId="10" borderId="0" xfId="0" applyNumberFormat="1" applyFill="1"/>
    <xf numFmtId="10" fontId="6" fillId="10" borderId="0" xfId="0" applyNumberFormat="1" applyFont="1" applyFill="1"/>
  </cellXfs>
  <cellStyles count="1">
    <cellStyle name="Обычный" xfId="0" builtinId="0"/>
  </cellStyles>
  <dxfs count="47"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9" formatCode="0.0%"/>
      <fill>
        <patternFill>
          <fgColor indexed="64"/>
          <bgColor theme="2" tint="-9.9978637043366805E-2"/>
        </patternFill>
      </fill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font>
        <b/>
      </font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font>
        <b/>
      </font>
      <numFmt numFmtId="14" formatCode="0.00%"/>
    </dxf>
    <dxf>
      <numFmt numFmtId="14" formatCode="0.00%"/>
      <fill>
        <patternFill>
          <fgColor indexed="64"/>
          <bgColor theme="2" tint="-9.9978637043366805E-2"/>
        </patternFill>
      </fill>
    </dxf>
    <dxf>
      <numFmt numFmtId="1" formatCode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none">
          <fgColor theme="1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8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67" formatCode="0.000"/>
      <fill>
        <patternFill>
          <fgColor indexed="64"/>
          <bgColor theme="9" tint="0.5999938962981048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'Расчеты(старое)'!$B$4:$B$12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0.14917583903957765</c:v>
                </c:pt>
                <c:pt idx="8">
                  <c:v>0.17491828063571971</c:v>
                </c:pt>
              </c:numCache>
            </c:numRef>
          </c:xVal>
          <c:yVal>
            <c:numRef>
              <c:f>'Расчеты(старое)'!$I$4:$I$12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4" totalsRowShown="0" headerRowDxfId="46" dataDxfId="45">
  <autoFilter ref="A4:Q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44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43"/>
    <tableColumn id="2" xr3:uid="{D1757256-BC6C-420E-BEA8-B604BC77F285}" name="m0_x000a_смесь" dataDxfId="42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41">
      <calculatedColumnFormula>Таблица1[[#This Row],[m0
смесь]]*(1-P4)</calculatedColumnFormula>
    </tableColumn>
    <tableColumn id="4" xr3:uid="{D1940891-C2DF-4AB7-A8E2-AF06FDA60F0D}" name="m0_x000a_спирт" dataDxfId="40">
      <calculatedColumnFormula>Таблица1[[#This Row],[m0
смесь]]*P4</calculatedColumnFormula>
    </tableColumn>
    <tableColumn id="6" xr3:uid="{78FAF393-3070-4836-B8E9-4D79C52F839F}" name="w%1 т_x000a_спирт " dataDxfId="39">
      <calculatedColumnFormula>G4+0.025</calculatedColumnFormula>
    </tableColumn>
    <tableColumn id="7" xr3:uid="{EA5712E3-E93C-456A-9EDE-9A8CA94753D1}" name="m+ т_x000a_спирт" dataDxfId="38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37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36"/>
    <tableColumn id="10" xr3:uid="{F3443B4E-6300-47B1-8E7C-FC3BF1A5E3CD}" name="m1_x000a_смеси" dataDxfId="35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34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33">
      <calculatedColumnFormula>Таблица1[[#This Row],[m1 
смесь
стакан]]</calculatedColumnFormula>
    </tableColumn>
    <tableColumn id="13" xr3:uid="{22F644F7-5CB7-438A-9D0D-9E88DE87DE4D}" name="m2_x000a_смеси" dataDxfId="32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31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30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28" dataDxfId="27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2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Таблица5" displayName="Таблица5" ref="A1:I11" totalsRowShown="0" headerRowDxfId="25">
  <autoFilter ref="A1:I11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BD1F57E-225E-4952-B218-B70E607E4506}" name="#" dataDxfId="24"/>
    <tableColumn id="2" xr3:uid="{20B7447A-B783-44F2-B1A4-EC86581E32E5}" name="Е КДж" dataDxfId="23"/>
    <tableColumn id="3" xr3:uid="{DF17DCAE-D682-463C-9861-C2D5B36736D4}" name="d Е КДж" dataDxfId="22"/>
    <tableColumn id="4" xr3:uid="{EF4548E5-7C26-4D63-A0F2-B091A7D76087}" name="nu0 сПуаз" dataDxfId="21"/>
    <tableColumn id="5" xr3:uid="{E91881F4-89DF-4CA8-8787-443661255C2B}" name="d nu0 сПуаз" dataDxfId="20"/>
    <tableColumn id="6" xr3:uid="{2BC6AEF4-16A6-4036-AD2F-70EB2ED37C83}" name="Эксперимент" dataDxfId="19"/>
    <tableColumn id="7" xr3:uid="{4F002E9F-0B0A-4293-A906-6AAACB660E5F}" name="w% масс _x000a_теор" dataDxfId="0">
      <calculatedColumnFormula>Эксперимент!G5</calculatedColumnFormula>
    </tableColumn>
    <tableColumn id="9" xr3:uid="{EFA2CF13-E204-4162-ACE5-6D1EB6C8441D}" name="w% масс _x000a_прак" dataDxfId="18">
      <calculatedColumnFormula>Эксперимент!P5</calculatedColumnFormula>
    </tableColumn>
    <tableColumn id="8" xr3:uid="{9F7FD215-509F-4DE2-A3C7-D0FF03814D4C}" name="Описание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5BABE5-9A76-4631-AEF6-52373D9F10EF}" name="Таблица6" displayName="Таблица6" ref="B1:C2" totalsRowShown="0">
  <autoFilter ref="B1:C2" xr:uid="{6E646EF6-E751-4289-A9A7-DD03060250D7}">
    <filterColumn colId="0" hiddenButton="1"/>
  </autoFilter>
  <tableColumns count="2">
    <tableColumn id="1" xr3:uid="{85CFD282-EC82-405E-B9E1-B6D88E8BE22D}" name="V пик мл"/>
    <tableColumn id="2" xr3:uid="{82AE83F0-E0CE-4727-9385-CBC5130EEE68}" name="T C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382A89-02D3-493D-95C3-D140C1C3C4BF}" name="Таблица7" displayName="Таблица7" ref="A4:G14" totalsRowShown="0" headerRowDxfId="17" tableBorderDxfId="16">
  <autoFilter ref="A4:G14" xr:uid="{AF0225F5-3DF3-4AFC-9B1F-C8B14966D627}"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8FFC1275-87D5-4F7E-A3E2-506D3528542B}" name="#" dataDxfId="15"/>
    <tableColumn id="5" xr3:uid="{6FF50A90-09CF-41C5-ADD8-A2F8DB8819C7}" name="w% масс _x000a_теор" dataDxfId="14">
      <calculatedColumnFormula>Таблица1[[#This Row],[w%1 т
спирт ]]</calculatedColumnFormula>
    </tableColumn>
    <tableColumn id="6" xr3:uid="{E4BAD8A6-3F5C-4654-A94F-4999895D9589}" name="w% масс _x000a_прак" dataDxfId="13">
      <calculatedColumnFormula>Таблица1[[#This Row],[w%1 
]]</calculatedColumnFormula>
    </tableColumn>
    <tableColumn id="1" xr3:uid="{ECE0A9E4-6EA3-44D2-8D7A-9AADCE33DB76}" name="m г_x000a_пик"/>
    <tableColumn id="2" xr3:uid="{35A018C8-0123-4735-A41D-51B570AAFB7E}" name="m0 г_x000a_смесь    _x000a_пик "/>
    <tableColumn id="3" xr3:uid="{CB26C39D-A997-4D10-8025-1322B26AA44F}" name="m г_x000a_смесь     " dataDxfId="12">
      <calculatedColumnFormula>Таблица7[[#This Row],[m0 г
смесь    
пик ]]-Таблица7[[#This Row],[m г
пик]]</calculatedColumnFormula>
    </tableColumn>
    <tableColumn id="4" xr3:uid="{957C21AB-A418-4939-879B-4FDE3C82DC47}" name="ro_x000a_смесь г/мл   " dataDxfId="11">
      <calculatedColumnFormula>Таблица7[[#This Row],[m г
смесь     ]]/Таблица6[V пик мл]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10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9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8">
      <calculatedColumnFormula>Эксперимент!A5</calculatedColumnFormula>
    </tableColumn>
    <tableColumn id="4" xr3:uid="{75F02D5D-53D0-4237-8DD4-E258E5A352D0}" name="w" dataDxfId="7">
      <calculatedColumnFormula>Эксперимент!P5</calculatedColumnFormula>
    </tableColumn>
    <tableColumn id="2" xr3:uid="{89A2AB49-E643-4792-891C-B4B387D04709}" name="n cПз" dataDxfId="6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5">
      <calculatedColumnFormula>Таблица4[[#This Row],[n cПз]]*0.001</calculatedColumnFormula>
    </tableColumn>
    <tableColumn id="7" xr3:uid="{C0B73B63-48A8-4C9C-90A8-771CE2A4E2C3}" name="T K" dataDxfId="4">
      <calculatedColumnFormula>Таблица4[[#This Row],[T С]]+273.15</calculatedColumnFormula>
    </tableColumn>
    <tableColumn id="5" xr3:uid="{F1400D6F-3EFB-4E45-BFB3-9D931FE20A6D}" name="D м2/с" dataDxfId="3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2">
      <calculatedColumnFormula>Таблица4[[#This Row],[D м2/с]]</calculatedColumnFormula>
    </tableColumn>
    <tableColumn id="9" xr3:uid="{DC4F818A-DEC1-4A2F-A44C-B7C8B0779905}" name="D0 см2/сут_x000a_(просто)" dataDxfId="1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rgb="FF00B050"/>
  </sheetPr>
  <dimension ref="A1:Q144"/>
  <sheetViews>
    <sheetView topLeftCell="A4" zoomScale="145" zoomScaleNormal="145" workbookViewId="0">
      <selection activeCell="G17" sqref="G17"/>
    </sheetView>
  </sheetViews>
  <sheetFormatPr defaultRowHeight="14.4" x14ac:dyDescent="0.3"/>
  <cols>
    <col min="1" max="1" width="3.4414062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>
        <v>32.1828</v>
      </c>
      <c r="C12" s="16">
        <v>45.037700000000001</v>
      </c>
      <c r="D12" s="10">
        <f>Таблица1[[#This Row],[m0
смесь    
стакан]]-Таблица1[[#This Row],[m
стакан]]</f>
        <v>12.854900000000001</v>
      </c>
      <c r="E12" s="4">
        <f>Таблица1[[#This Row],[m0
смесь]]*(1-P11)</f>
        <v>11.273164885477305</v>
      </c>
      <c r="F12" s="11">
        <f>Таблица1[[#This Row],[m0
смесь]]*P11</f>
        <v>1.581735114522695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0.40764692409094699</v>
      </c>
      <c r="I12" s="13">
        <f>Таблица1[[#This Row],[m+ т
спирт]]/Таблица2[ro 
спирт]*1000</f>
        <v>474.008051268543</v>
      </c>
      <c r="J12" s="16">
        <v>45.432499999999997</v>
      </c>
      <c r="K12" s="10">
        <f>Таблица1[[#This Row],[m1 
смесь
стакан]]-Таблица1[[#This Row],[m
стакан]]</f>
        <v>13.249699999999997</v>
      </c>
      <c r="L12" s="12">
        <f>Таблица1[[#This Row],[m1 
смесь
стакан]]-Таблица1[[#This Row],[m0
смесь    
стакан]]</f>
        <v>0.39479999999999649</v>
      </c>
      <c r="M12" s="31">
        <f>Таблица1[[#This Row],[m1 
смесь
стакан]]</f>
        <v>45.432499999999997</v>
      </c>
      <c r="N12" s="12">
        <f>Таблица1[[#This Row],[m2
смесь
стакан]]-Таблица1[[#This Row],[m
стакан]]</f>
        <v>13.249699999999997</v>
      </c>
      <c r="O12" s="12">
        <f>Таблица1[[#This Row],[m2
смесь
стакан]]-Таблица1[[#This Row],[m1 
смесь
стакан]]</f>
        <v>0</v>
      </c>
      <c r="P12" s="20">
        <f>(Таблица1[[#This Row],[m0
спирт]]+Таблица1[[#This Row],[m+
спирта]])/Таблица1[[#This Row],[m2
смеси]]</f>
        <v>0.14917583903957765</v>
      </c>
      <c r="Q12" s="30"/>
    </row>
    <row r="13" spans="1:17" s="9" customFormat="1" ht="15" thickBot="1" x14ac:dyDescent="0.35">
      <c r="A13" s="14">
        <f t="shared" si="0"/>
        <v>9</v>
      </c>
      <c r="B13">
        <v>32.1828</v>
      </c>
      <c r="C13" s="17">
        <v>44.400799999999997</v>
      </c>
      <c r="D13" s="10">
        <f>Таблица1[[#This Row],[m0
смесь    
стакан]]-Таблица1[[#This Row],[m
стакан]]</f>
        <v>12.217999999999996</v>
      </c>
      <c r="E13" s="4">
        <f>Таблица1[[#This Row],[m0
смесь]]*(1-P12)</f>
        <v>10.395369598614437</v>
      </c>
      <c r="F13" s="11">
        <f>Таблица1[[#This Row],[m0
смесь]]*P12</f>
        <v>1.8226304013855592</v>
      </c>
      <c r="G13" s="8">
        <f t="shared" si="1"/>
        <v>0.17499999999999999</v>
      </c>
      <c r="H13" s="12">
        <f>(Таблица1[[#This Row],[m0
смесь]]*Таблица1[[#This Row],[w%1 т
спирт ]]-Таблица1[[#This Row],[m0
спирт]])/(1-Таблица1[[#This Row],[w%1 т
спирт ]])</f>
        <v>0.38244799832053322</v>
      </c>
      <c r="I13" s="13">
        <f>Таблица1[[#This Row],[m+ т
спирт]]/Таблица2[ro 
спирт]*1000</f>
        <v>444.70697479131769</v>
      </c>
      <c r="J13" s="17">
        <v>44.781999999999996</v>
      </c>
      <c r="K13" s="10">
        <f>Таблица1[[#This Row],[m1 
смесь
стакан]]-Таблица1[[#This Row],[m
стакан]]</f>
        <v>12.599199999999996</v>
      </c>
      <c r="L13" s="12">
        <f>Таблица1[[#This Row],[m1 
смесь
стакан]]-Таблица1[[#This Row],[m0
смесь    
стакан]]</f>
        <v>0.38119999999999976</v>
      </c>
      <c r="M13" s="31">
        <f>Таблица1[[#This Row],[m1 
смесь
стакан]]</f>
        <v>44.781999999999996</v>
      </c>
      <c r="N13" s="12">
        <f>Таблица1[[#This Row],[m2
смесь
стакан]]-Таблица1[[#This Row],[m
стакан]]</f>
        <v>12.599199999999996</v>
      </c>
      <c r="O13" s="12">
        <f>Таблица1[[#This Row],[m2
смесь
стакан]]-Таблица1[[#This Row],[m1 
смесь
стакан]]</f>
        <v>0</v>
      </c>
      <c r="P13" s="21">
        <f>(Таблица1[[#This Row],[m0
спирт]]+Таблица1[[#This Row],[m+
спирта]])/Таблица1[[#This Row],[m2
смеси]]</f>
        <v>0.17491828063571971</v>
      </c>
      <c r="Q13" s="30"/>
    </row>
    <row r="14" spans="1:17" s="9" customFormat="1" x14ac:dyDescent="0.3">
      <c r="A14" s="14">
        <f>A13+1</f>
        <v>10</v>
      </c>
      <c r="B14" s="9">
        <v>21.125800000000002</v>
      </c>
      <c r="C14" s="16">
        <v>31.729299999999999</v>
      </c>
      <c r="D14" s="10">
        <f>Таблица1[[#This Row],[m0
смесь    
стакан]]-Таблица1[[#This Row],[m
стакан]]</f>
        <v>10.603499999999997</v>
      </c>
      <c r="E14" s="45">
        <f>Таблица1[[#This Row],[m0
смесь]]*(1-P13)</f>
        <v>8.7487540112791429</v>
      </c>
      <c r="F14" s="11">
        <f>Таблица1[[#This Row],[m0
смесь]]*P13</f>
        <v>1.8547459887208533</v>
      </c>
      <c r="G14" s="46">
        <f>G13+0.025</f>
        <v>0.19999999999999998</v>
      </c>
      <c r="H14" s="12">
        <f>(Таблица1[[#This Row],[m0
смесь]]*Таблица1[[#This Row],[w%1 т
спирт ]]-Таблица1[[#This Row],[m0
спирт]])/(1-Таблица1[[#This Row],[w%1 т
спирт ]])</f>
        <v>0.33244251409893261</v>
      </c>
      <c r="I14" s="13">
        <f>Таблица1[[#This Row],[m+ т
спирт]]/Таблица2[ro 
спирт]*1000</f>
        <v>386.56106290573558</v>
      </c>
      <c r="J14" s="16">
        <v>32.061</v>
      </c>
      <c r="K14" s="10">
        <f>Таблица1[[#This Row],[m1 
смесь
стакан]]-Таблица1[[#This Row],[m
стакан]]</f>
        <v>10.935199999999998</v>
      </c>
      <c r="L14" s="12">
        <f>Таблица1[[#This Row],[m1 
смесь
стакан]]-Таблица1[[#This Row],[m0
смесь    
стакан]]</f>
        <v>0.33170000000000144</v>
      </c>
      <c r="M14" s="31">
        <f>Таблица1[[#This Row],[m1 
смесь
стакан]]</f>
        <v>32.061</v>
      </c>
      <c r="N14" s="12">
        <f>Таблица1[[#This Row],[m2
смесь
стакан]]-Таблица1[[#This Row],[m
стакан]]</f>
        <v>10.935199999999998</v>
      </c>
      <c r="O14" s="12">
        <f>Таблица1[[#This Row],[m2
смесь
стакан]]-Таблица1[[#This Row],[m1 
смесь
стакан]]</f>
        <v>0</v>
      </c>
      <c r="P14" s="47">
        <f>(Таблица1[[#This Row],[m0
спирт]]+Таблица1[[#This Row],[m+
спирта]])/Таблица1[[#This Row],[m2
смеси]]</f>
        <v>0.19994567897439963</v>
      </c>
      <c r="Q14" s="30"/>
    </row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F0"/>
  </sheetPr>
  <dimension ref="A1:I11"/>
  <sheetViews>
    <sheetView tabSelected="1" zoomScale="175" zoomScaleNormal="175" workbookViewId="0">
      <selection activeCell="F12" sqref="F12"/>
    </sheetView>
  </sheetViews>
  <sheetFormatPr defaultRowHeight="14.4" x14ac:dyDescent="0.3"/>
  <cols>
    <col min="1" max="1" width="4.33203125" customWidth="1"/>
    <col min="2" max="3" width="9.6640625" customWidth="1"/>
    <col min="4" max="5" width="12.44140625" customWidth="1"/>
    <col min="6" max="6" width="12.77734375" customWidth="1"/>
    <col min="7" max="8" width="9.44140625" customWidth="1"/>
    <col min="9" max="9" width="24.44140625" bestFit="1" customWidth="1"/>
  </cols>
  <sheetData>
    <row r="1" spans="1:9" ht="28.8" x14ac:dyDescent="0.3">
      <c r="A1" s="49" t="s">
        <v>13</v>
      </c>
      <c r="B1" s="50" t="s">
        <v>43</v>
      </c>
      <c r="C1" s="50" t="s">
        <v>44</v>
      </c>
      <c r="D1" s="50" t="s">
        <v>45</v>
      </c>
      <c r="E1" s="50" t="s">
        <v>46</v>
      </c>
      <c r="F1" s="50" t="s">
        <v>47</v>
      </c>
      <c r="G1" s="51" t="s">
        <v>41</v>
      </c>
      <c r="H1" s="51" t="s">
        <v>42</v>
      </c>
      <c r="I1" s="50" t="s">
        <v>48</v>
      </c>
    </row>
    <row r="2" spans="1:9" x14ac:dyDescent="0.3">
      <c r="A2" s="57">
        <v>1</v>
      </c>
      <c r="B2" s="55">
        <v>57.308994106791218</v>
      </c>
      <c r="C2" s="52">
        <v>9.5369126267094373E-2</v>
      </c>
      <c r="D2" s="56">
        <v>1.178113197003577E-8</v>
      </c>
      <c r="E2" s="53">
        <v>4.56452840393914E-10</v>
      </c>
      <c r="F2" s="48" t="s">
        <v>30</v>
      </c>
      <c r="G2" s="61">
        <f>Эксперимент!G5</f>
        <v>0</v>
      </c>
      <c r="H2" s="54">
        <f>Эксперимент!P5</f>
        <v>0</v>
      </c>
      <c r="I2" t="s">
        <v>31</v>
      </c>
    </row>
    <row r="3" spans="1:9" x14ac:dyDescent="0.3">
      <c r="A3" s="57">
        <v>2</v>
      </c>
      <c r="B3" s="55">
        <v>49.847994012296063</v>
      </c>
      <c r="C3" s="52">
        <v>0.15223222030175171</v>
      </c>
      <c r="D3" s="56">
        <v>1.7200005603909319E-7</v>
      </c>
      <c r="E3" s="53">
        <v>1.036206814829991E-8</v>
      </c>
      <c r="F3" s="48" t="s">
        <v>32</v>
      </c>
      <c r="G3" s="61">
        <f>Эксперимент!G6</f>
        <v>2.5000000000000001E-2</v>
      </c>
      <c r="H3" s="54">
        <f>Эксперимент!P6</f>
        <v>2.3944155058826376E-2</v>
      </c>
    </row>
    <row r="4" spans="1:9" x14ac:dyDescent="0.3">
      <c r="A4" s="70">
        <v>3</v>
      </c>
      <c r="B4" s="71"/>
      <c r="C4" s="72"/>
      <c r="D4" s="73"/>
      <c r="E4" s="74"/>
      <c r="F4" s="75"/>
      <c r="G4" s="76">
        <f>Эксперимент!G7</f>
        <v>0.05</v>
      </c>
      <c r="H4" s="77">
        <f>Эксперимент!P7</f>
        <v>2.1915807405558006E-2</v>
      </c>
      <c r="I4" s="68" t="s">
        <v>40</v>
      </c>
    </row>
    <row r="5" spans="1:9" x14ac:dyDescent="0.3">
      <c r="A5" s="57">
        <v>4</v>
      </c>
      <c r="B5" s="55">
        <v>49.805519375865757</v>
      </c>
      <c r="C5" s="52">
        <v>0.13807673174168039</v>
      </c>
      <c r="D5" s="56">
        <v>1.3824063760869289E-7</v>
      </c>
      <c r="E5" s="53">
        <v>7.7180897758757693E-9</v>
      </c>
      <c r="F5" s="48" t="s">
        <v>33</v>
      </c>
      <c r="G5" s="61">
        <f>Эксперимент!G8</f>
        <v>0.05</v>
      </c>
      <c r="H5" s="54">
        <f>Эксперимент!P8</f>
        <v>4.9824267685908662E-2</v>
      </c>
    </row>
    <row r="6" spans="1:9" x14ac:dyDescent="0.3">
      <c r="A6" s="57">
        <v>5</v>
      </c>
      <c r="B6" s="55">
        <v>45.193687036460702</v>
      </c>
      <c r="C6" s="52">
        <v>0.16591155016473641</v>
      </c>
      <c r="D6" s="56">
        <v>6.7665117322632459E-7</v>
      </c>
      <c r="E6" s="53">
        <v>4.5059385738774732E-8</v>
      </c>
      <c r="F6" s="48" t="s">
        <v>34</v>
      </c>
      <c r="G6" s="61">
        <f>Эксперимент!G9</f>
        <v>7.5000000000000011E-2</v>
      </c>
      <c r="H6" s="54">
        <f>Эксперимент!P9</f>
        <v>7.6005085117237983E-2</v>
      </c>
    </row>
    <row r="7" spans="1:9" x14ac:dyDescent="0.3">
      <c r="A7" s="57">
        <v>6</v>
      </c>
      <c r="B7" s="55">
        <v>40.779651191999328</v>
      </c>
      <c r="C7" s="52">
        <v>0.1248973519913186</v>
      </c>
      <c r="D7" s="56">
        <v>3.193288160121095E-6</v>
      </c>
      <c r="E7" s="53">
        <v>1.5820023514922191E-7</v>
      </c>
      <c r="F7" s="48" t="s">
        <v>35</v>
      </c>
      <c r="G7" s="61">
        <f>Эксперимент!G10</f>
        <v>0.1</v>
      </c>
      <c r="H7" s="54">
        <f>Эксперимент!P10</f>
        <v>0.10071871677750344</v>
      </c>
    </row>
    <row r="8" spans="1:9" x14ac:dyDescent="0.3">
      <c r="A8" s="57">
        <v>7</v>
      </c>
      <c r="B8" s="55">
        <v>42.259748749228137</v>
      </c>
      <c r="C8" s="52">
        <v>9.8496463504233134E-2</v>
      </c>
      <c r="D8" s="56">
        <v>1.4991554928338761E-6</v>
      </c>
      <c r="E8" s="53">
        <v>5.9740134564524842E-8</v>
      </c>
      <c r="F8" s="48" t="s">
        <v>36</v>
      </c>
      <c r="G8" s="61">
        <f>Эксперимент!G11</f>
        <v>0.125</v>
      </c>
      <c r="H8" s="54">
        <f>Эксперимент!P11</f>
        <v>0.12304530681084216</v>
      </c>
    </row>
    <row r="9" spans="1:9" x14ac:dyDescent="0.3">
      <c r="A9" s="57">
        <v>8</v>
      </c>
      <c r="B9" s="55">
        <v>38.162234976018958</v>
      </c>
      <c r="C9" s="52">
        <v>9.9940624759899066E-2</v>
      </c>
      <c r="D9" s="56">
        <v>6.4857140827831011E-6</v>
      </c>
      <c r="E9" s="53">
        <v>2.6012368310347772E-7</v>
      </c>
      <c r="F9" s="48" t="s">
        <v>37</v>
      </c>
      <c r="G9" s="61">
        <f>Эксперимент!G12</f>
        <v>0.15</v>
      </c>
      <c r="H9" s="54">
        <f>Эксперимент!P12</f>
        <v>0.14917583903957765</v>
      </c>
    </row>
    <row r="10" spans="1:9" x14ac:dyDescent="0.3">
      <c r="A10" s="57">
        <v>9</v>
      </c>
      <c r="B10" s="55">
        <v>38.113817416143988</v>
      </c>
      <c r="C10" s="52">
        <v>9.2017913830858333E-2</v>
      </c>
      <c r="D10" s="56">
        <v>5.8282016880635814E-6</v>
      </c>
      <c r="E10" s="53">
        <v>2.1786897207357509E-7</v>
      </c>
      <c r="F10" s="48" t="s">
        <v>38</v>
      </c>
      <c r="G10" s="61">
        <f>Эксперимент!G13</f>
        <v>0.17499999999999999</v>
      </c>
      <c r="H10" s="54">
        <f>Эксперимент!P13</f>
        <v>0.17491828063571971</v>
      </c>
    </row>
    <row r="11" spans="1:9" x14ac:dyDescent="0.3">
      <c r="A11" s="57">
        <v>10</v>
      </c>
      <c r="B11" s="55">
        <v>37.810807316407811</v>
      </c>
      <c r="C11" s="52">
        <v>9.1114957061982693E-2</v>
      </c>
      <c r="D11" s="56">
        <v>5.8702924578367343E-6</v>
      </c>
      <c r="E11" s="53">
        <v>2.1572073373871701E-7</v>
      </c>
      <c r="F11" s="48" t="s">
        <v>39</v>
      </c>
      <c r="G11" s="61">
        <f>Эксперимент!G14</f>
        <v>0.19999999999999998</v>
      </c>
      <c r="H11" s="54">
        <f>Эксперимент!P14</f>
        <v>0.19994567897439963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9F9C-8973-4936-A467-A38F70620E39}">
  <sheetPr>
    <tabColor rgb="FFFFC000"/>
  </sheetPr>
  <dimension ref="A1:G14"/>
  <sheetViews>
    <sheetView topLeftCell="A4" zoomScale="190" zoomScaleNormal="190" workbookViewId="0">
      <selection activeCell="B6" sqref="B6"/>
    </sheetView>
  </sheetViews>
  <sheetFormatPr defaultRowHeight="14.4" x14ac:dyDescent="0.3"/>
  <cols>
    <col min="1" max="1" width="4.88671875" customWidth="1"/>
  </cols>
  <sheetData>
    <row r="1" spans="1:7" x14ac:dyDescent="0.3">
      <c r="B1" t="s">
        <v>50</v>
      </c>
      <c r="C1" t="s">
        <v>49</v>
      </c>
    </row>
    <row r="2" spans="1:7" x14ac:dyDescent="0.3">
      <c r="B2">
        <v>5</v>
      </c>
      <c r="C2">
        <v>25</v>
      </c>
    </row>
    <row r="4" spans="1:7" ht="43.2" x14ac:dyDescent="0.3">
      <c r="A4" s="60" t="s">
        <v>13</v>
      </c>
      <c r="B4" s="58" t="s">
        <v>41</v>
      </c>
      <c r="C4" s="58" t="s">
        <v>42</v>
      </c>
      <c r="D4" s="59" t="s">
        <v>51</v>
      </c>
      <c r="E4" s="59" t="s">
        <v>52</v>
      </c>
      <c r="F4" s="59" t="s">
        <v>53</v>
      </c>
      <c r="G4" s="59" t="s">
        <v>54</v>
      </c>
    </row>
    <row r="5" spans="1:7" x14ac:dyDescent="0.3">
      <c r="A5" s="24">
        <v>1</v>
      </c>
      <c r="B5" s="62">
        <f>Таблица1[[#This Row],[w%1 т
спирт ]]</f>
        <v>0</v>
      </c>
      <c r="C5" s="63">
        <f>Таблица1[[#This Row],[w%1 
]]</f>
        <v>0</v>
      </c>
      <c r="D5">
        <v>1</v>
      </c>
      <c r="E5">
        <v>6</v>
      </c>
      <c r="F5">
        <f>Таблица7[[#This Row],[m0 г
смесь    
пик ]]-Таблица7[[#This Row],[m г
пик]]</f>
        <v>5</v>
      </c>
      <c r="G5" s="64">
        <f>Таблица7[[#This Row],[m г
смесь     ]]/Таблица6[V пик мл]</f>
        <v>1</v>
      </c>
    </row>
    <row r="6" spans="1:7" x14ac:dyDescent="0.3">
      <c r="A6" s="24">
        <v>2</v>
      </c>
      <c r="B6" s="62">
        <f>Таблица1[[#This Row],[w%1 т
спирт ]]</f>
        <v>2.5000000000000001E-2</v>
      </c>
      <c r="C6" s="63">
        <f>Таблица1[[#This Row],[w%1 
]]</f>
        <v>2.3944155058826376E-2</v>
      </c>
      <c r="D6">
        <v>1</v>
      </c>
      <c r="E6">
        <v>6</v>
      </c>
      <c r="F6">
        <f>Таблица7[[#This Row],[m0 г
смесь    
пик ]]-Таблица7[[#This Row],[m г
пик]]</f>
        <v>5</v>
      </c>
      <c r="G6" s="64">
        <f>Таблица7[[#This Row],[m г
смесь     ]]/Таблица6[V пик мл]</f>
        <v>1</v>
      </c>
    </row>
    <row r="7" spans="1:7" x14ac:dyDescent="0.3">
      <c r="A7" s="65">
        <v>3</v>
      </c>
      <c r="B7" s="66">
        <f>Таблица1[[#This Row],[w%1 т
спирт ]]</f>
        <v>0.05</v>
      </c>
      <c r="C7" s="67">
        <f>Таблица1[[#This Row],[w%1 
]]</f>
        <v>2.1915807405558006E-2</v>
      </c>
      <c r="F7" s="68"/>
      <c r="G7" s="69">
        <f>Таблица7[[#This Row],[m г
смесь     ]]/Таблица6[V пик мл]</f>
        <v>0</v>
      </c>
    </row>
    <row r="8" spans="1:7" x14ac:dyDescent="0.3">
      <c r="A8" s="24">
        <v>4</v>
      </c>
      <c r="B8" s="62">
        <f>Таблица1[[#This Row],[w%1 т
спирт ]]</f>
        <v>0.05</v>
      </c>
      <c r="C8" s="63">
        <f>Таблица1[[#This Row],[w%1 
]]</f>
        <v>4.9824267685908662E-2</v>
      </c>
      <c r="D8">
        <v>1</v>
      </c>
      <c r="E8">
        <v>6</v>
      </c>
      <c r="F8">
        <f>Таблица7[[#This Row],[m0 г
смесь    
пик ]]-Таблица7[[#This Row],[m г
пик]]</f>
        <v>5</v>
      </c>
      <c r="G8" s="64">
        <f>Таблица7[[#This Row],[m г
смесь     ]]/Таблица6[V пик мл]</f>
        <v>1</v>
      </c>
    </row>
    <row r="9" spans="1:7" x14ac:dyDescent="0.3">
      <c r="A9" s="24">
        <v>5</v>
      </c>
      <c r="B9" s="62">
        <f>Таблица1[[#This Row],[w%1 т
спирт ]]</f>
        <v>7.5000000000000011E-2</v>
      </c>
      <c r="C9" s="63">
        <f>Таблица1[[#This Row],[w%1 
]]</f>
        <v>7.6005085117237983E-2</v>
      </c>
      <c r="D9">
        <v>1</v>
      </c>
      <c r="E9">
        <v>6</v>
      </c>
      <c r="F9">
        <f>Таблица7[[#This Row],[m0 г
смесь    
пик ]]-Таблица7[[#This Row],[m г
пик]]</f>
        <v>5</v>
      </c>
      <c r="G9" s="64">
        <f>Таблица7[[#This Row],[m г
смесь     ]]/Таблица6[V пик мл]</f>
        <v>1</v>
      </c>
    </row>
    <row r="10" spans="1:7" x14ac:dyDescent="0.3">
      <c r="A10" s="24">
        <v>6</v>
      </c>
      <c r="B10" s="62">
        <f>Таблица1[[#This Row],[w%1 т
спирт ]]</f>
        <v>0.1</v>
      </c>
      <c r="C10" s="63">
        <f>Таблица1[[#This Row],[w%1 
]]</f>
        <v>0.10071871677750344</v>
      </c>
      <c r="D10">
        <v>1</v>
      </c>
      <c r="E10">
        <v>6</v>
      </c>
      <c r="F10">
        <f>Таблица7[[#This Row],[m0 г
смесь    
пик ]]-Таблица7[[#This Row],[m г
пик]]</f>
        <v>5</v>
      </c>
      <c r="G10" s="64">
        <f>Таблица7[[#This Row],[m г
смесь     ]]/Таблица6[V пик мл]</f>
        <v>1</v>
      </c>
    </row>
    <row r="11" spans="1:7" x14ac:dyDescent="0.3">
      <c r="A11" s="24">
        <v>7</v>
      </c>
      <c r="B11" s="62">
        <f>Таблица1[[#This Row],[w%1 т
спирт ]]</f>
        <v>0.125</v>
      </c>
      <c r="C11" s="63">
        <f>Таблица1[[#This Row],[w%1 
]]</f>
        <v>0.12304530681084216</v>
      </c>
      <c r="D11">
        <v>1</v>
      </c>
      <c r="E11">
        <v>6</v>
      </c>
      <c r="F11">
        <f>Таблица7[[#This Row],[m0 г
смесь    
пик ]]-Таблица7[[#This Row],[m г
пик]]</f>
        <v>5</v>
      </c>
      <c r="G11" s="64">
        <f>Таблица7[[#This Row],[m г
смесь     ]]/Таблица6[V пик мл]</f>
        <v>1</v>
      </c>
    </row>
    <row r="12" spans="1:7" x14ac:dyDescent="0.3">
      <c r="A12" s="24">
        <v>8</v>
      </c>
      <c r="B12" s="62">
        <f>Таблица1[[#This Row],[w%1 т
спирт ]]</f>
        <v>0.15</v>
      </c>
      <c r="C12" s="63">
        <f>Таблица1[[#This Row],[w%1 
]]</f>
        <v>0.14917583903957765</v>
      </c>
      <c r="D12">
        <v>1</v>
      </c>
      <c r="E12">
        <v>6</v>
      </c>
      <c r="F12">
        <f>Таблица7[[#This Row],[m0 г
смесь    
пик ]]-Таблица7[[#This Row],[m г
пик]]</f>
        <v>5</v>
      </c>
      <c r="G12" s="64">
        <f>Таблица7[[#This Row],[m г
смесь     ]]/Таблица6[V пик мл]</f>
        <v>1</v>
      </c>
    </row>
    <row r="13" spans="1:7" x14ac:dyDescent="0.3">
      <c r="A13" s="24">
        <v>9</v>
      </c>
      <c r="B13" s="62">
        <f>Таблица1[[#This Row],[w%1 т
спирт ]]</f>
        <v>0.17499999999999999</v>
      </c>
      <c r="C13" s="63">
        <f>Таблица1[[#This Row],[w%1 
]]</f>
        <v>0.17491828063571971</v>
      </c>
      <c r="D13">
        <v>1</v>
      </c>
      <c r="E13">
        <v>6</v>
      </c>
      <c r="F13">
        <f>Таблица7[[#This Row],[m0 г
смесь    
пик ]]-Таблица7[[#This Row],[m г
пик]]</f>
        <v>5</v>
      </c>
      <c r="G13" s="64">
        <f>Таблица7[[#This Row],[m г
смесь     ]]/Таблица6[V пик мл]</f>
        <v>1</v>
      </c>
    </row>
    <row r="14" spans="1:7" x14ac:dyDescent="0.3">
      <c r="A14" s="24">
        <v>10</v>
      </c>
      <c r="B14" s="62">
        <f>Таблица1[[#This Row],[w%1 т
спирт ]]</f>
        <v>0.19999999999999998</v>
      </c>
      <c r="C14" s="63">
        <f>Таблица1[[#This Row],[w%1 
]]</f>
        <v>0.19994567897439963</v>
      </c>
      <c r="D14">
        <v>1</v>
      </c>
      <c r="E14">
        <v>2</v>
      </c>
      <c r="F14">
        <f>Таблица7[[#This Row],[m0 г
смесь    
пик ]]-Таблица7[[#This Row],[m г
пик]]</f>
        <v>1</v>
      </c>
      <c r="G14" s="64">
        <f>Таблица7[[#This Row],[m г
смесь     ]]/Таблица6[V пик мл]</f>
        <v>0.2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zoomScale="130" zoomScaleNormal="130" workbookViewId="0">
      <selection activeCell="H16" sqref="H16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>
        <f>Эксперимент!P12</f>
        <v>0.14917583903957765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>
        <f>Эксперимент!P13</f>
        <v>0.17491828063571971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Эксперимент</vt:lpstr>
      <vt:lpstr>Аппроксимации</vt:lpstr>
      <vt:lpstr>Плотности</vt:lpstr>
      <vt:lpstr>Расчеты(старое)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2023-11-12T20:35:23Z</dcterms:modified>
</cp:coreProperties>
</file>