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tables/table7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\Diplom-work\Experiments\MultiplyTemperature\"/>
    </mc:Choice>
  </mc:AlternateContent>
  <xr:revisionPtr revIDLastSave="0" documentId="13_ncr:1_{0BB0CF44-6CF5-40DE-827E-C312C6006002}" xr6:coauthVersionLast="45" xr6:coauthVersionMax="45" xr10:uidLastSave="{00000000-0000-0000-0000-000000000000}"/>
  <bookViews>
    <workbookView xWindow="-108" yWindow="-108" windowWidth="23256" windowHeight="12720" xr2:uid="{B4D95E1D-7DF1-45F9-84A6-56C0FCEE3758}"/>
  </bookViews>
  <sheets>
    <sheet name="Результаты" sheetId="3" r:id="rId1"/>
    <sheet name="Эксперимент" sheetId="1" r:id="rId2"/>
    <sheet name="Спирт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" i="3" l="1"/>
  <c r="J2" i="6"/>
  <c r="J1" i="6"/>
  <c r="T2" i="3" s="1"/>
  <c r="T13" i="3" s="1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E5" i="6"/>
  <c r="F5" i="6" s="1"/>
  <c r="E6" i="6"/>
  <c r="F6" i="6" s="1"/>
  <c r="E7" i="6"/>
  <c r="F7" i="6" s="1"/>
  <c r="E8" i="6"/>
  <c r="F8" i="6" s="1"/>
  <c r="E9" i="6"/>
  <c r="F9" i="6" s="1"/>
  <c r="E10" i="6"/>
  <c r="F10" i="6" s="1"/>
  <c r="E11" i="6"/>
  <c r="F11" i="6" s="1"/>
  <c r="E12" i="6"/>
  <c r="F12" i="6" s="1"/>
  <c r="E13" i="6"/>
  <c r="F13" i="6" s="1"/>
  <c r="E14" i="6"/>
  <c r="F14" i="6" s="1"/>
  <c r="E15" i="6"/>
  <c r="F15" i="6" s="1"/>
  <c r="E16" i="6"/>
  <c r="F16" i="6" s="1"/>
  <c r="E17" i="6"/>
  <c r="F17" i="6" s="1"/>
  <c r="E18" i="6"/>
  <c r="F18" i="6" s="1"/>
  <c r="E19" i="6"/>
  <c r="F19" i="6" s="1"/>
  <c r="E20" i="6"/>
  <c r="F20" i="6" s="1"/>
  <c r="E21" i="6"/>
  <c r="F21" i="6" s="1"/>
  <c r="E22" i="6"/>
  <c r="F22" i="6" s="1"/>
  <c r="E23" i="6"/>
  <c r="F23" i="6" s="1"/>
  <c r="E24" i="6"/>
  <c r="F24" i="6" s="1"/>
  <c r="E25" i="6"/>
  <c r="F25" i="6" s="1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8" i="3"/>
  <c r="D5" i="3"/>
  <c r="T5" i="1"/>
  <c r="U5" i="1" s="1"/>
  <c r="M5" i="3" s="1"/>
  <c r="N5" i="3" s="1"/>
  <c r="O5" i="3" s="1"/>
  <c r="T6" i="1"/>
  <c r="U6" i="1" s="1"/>
  <c r="M6" i="3" s="1"/>
  <c r="N6" i="3" s="1"/>
  <c r="O6" i="3" s="1"/>
  <c r="T7" i="1"/>
  <c r="U7" i="1" s="1"/>
  <c r="M7" i="3" s="1"/>
  <c r="N7" i="3" s="1"/>
  <c r="O7" i="3" s="1"/>
  <c r="T8" i="1"/>
  <c r="U8" i="1" s="1"/>
  <c r="M8" i="3" s="1"/>
  <c r="N8" i="3" s="1"/>
  <c r="O8" i="3" s="1"/>
  <c r="T9" i="1"/>
  <c r="U9" i="1" s="1"/>
  <c r="M9" i="3" s="1"/>
  <c r="N9" i="3" s="1"/>
  <c r="O9" i="3" s="1"/>
  <c r="T10" i="1"/>
  <c r="U10" i="1" s="1"/>
  <c r="M10" i="3" s="1"/>
  <c r="N10" i="3" s="1"/>
  <c r="O10" i="3" s="1"/>
  <c r="T11" i="1"/>
  <c r="U11" i="1" s="1"/>
  <c r="M11" i="3" s="1"/>
  <c r="N11" i="3" s="1"/>
  <c r="O11" i="3" s="1"/>
  <c r="T12" i="1"/>
  <c r="U12" i="1" s="1"/>
  <c r="M12" i="3" s="1"/>
  <c r="N12" i="3" s="1"/>
  <c r="O12" i="3" s="1"/>
  <c r="T13" i="1"/>
  <c r="U13" i="1" s="1"/>
  <c r="M13" i="3" s="1"/>
  <c r="N13" i="3" s="1"/>
  <c r="O13" i="3" s="1"/>
  <c r="T14" i="1"/>
  <c r="U14" i="1" s="1"/>
  <c r="M14" i="3" s="1"/>
  <c r="N14" i="3" s="1"/>
  <c r="O14" i="3" s="1"/>
  <c r="T7" i="3" l="1"/>
  <c r="T5" i="3"/>
  <c r="T47" i="3"/>
  <c r="T15" i="3"/>
  <c r="T10" i="3"/>
  <c r="T52" i="3"/>
  <c r="T44" i="3"/>
  <c r="T36" i="3"/>
  <c r="T28" i="3"/>
  <c r="T20" i="3"/>
  <c r="T33" i="3"/>
  <c r="T39" i="3"/>
  <c r="T23" i="3"/>
  <c r="T9" i="3"/>
  <c r="T51" i="3"/>
  <c r="T43" i="3"/>
  <c r="T35" i="3"/>
  <c r="T27" i="3"/>
  <c r="T19" i="3"/>
  <c r="T41" i="3"/>
  <c r="T25" i="3"/>
  <c r="T24" i="3"/>
  <c r="T8" i="3"/>
  <c r="T50" i="3"/>
  <c r="T42" i="3"/>
  <c r="T34" i="3"/>
  <c r="T26" i="3"/>
  <c r="T18" i="3"/>
  <c r="T49" i="3"/>
  <c r="T17" i="3"/>
  <c r="T48" i="3"/>
  <c r="T12" i="3"/>
  <c r="T54" i="3"/>
  <c r="T46" i="3"/>
  <c r="T38" i="3"/>
  <c r="T30" i="3"/>
  <c r="T22" i="3"/>
  <c r="T14" i="3"/>
  <c r="T6" i="3"/>
  <c r="T40" i="3"/>
  <c r="T32" i="3"/>
  <c r="T16" i="3"/>
  <c r="T55" i="3"/>
  <c r="T31" i="3"/>
  <c r="T11" i="3"/>
  <c r="T53" i="3"/>
  <c r="T45" i="3"/>
  <c r="T37" i="3"/>
  <c r="T29" i="3"/>
  <c r="T21" i="3"/>
  <c r="E14" i="1"/>
  <c r="L14" i="1"/>
  <c r="M14" i="1"/>
  <c r="N14" i="1"/>
  <c r="O14" i="1" s="1"/>
  <c r="P14" i="1" l="1"/>
  <c r="N5" i="1"/>
  <c r="O5" i="1" s="1"/>
  <c r="N6" i="1"/>
  <c r="P6" i="1" s="1"/>
  <c r="N8" i="1"/>
  <c r="P8" i="1" s="1"/>
  <c r="N9" i="1"/>
  <c r="O9" i="1" s="1"/>
  <c r="N10" i="1"/>
  <c r="O10" i="1" s="1"/>
  <c r="N11" i="1"/>
  <c r="O11" i="1" s="1"/>
  <c r="N12" i="1"/>
  <c r="O12" i="1" s="1"/>
  <c r="N13" i="1"/>
  <c r="P13" i="1" s="1"/>
  <c r="P7" i="1"/>
  <c r="O7" i="1"/>
  <c r="O6" i="1" l="1"/>
  <c r="P12" i="1"/>
  <c r="P10" i="1"/>
  <c r="O8" i="1"/>
  <c r="P5" i="1"/>
  <c r="O13" i="1"/>
  <c r="P11" i="1"/>
  <c r="P9" i="1"/>
  <c r="L5" i="1"/>
  <c r="L6" i="1"/>
  <c r="L7" i="1"/>
  <c r="L8" i="1"/>
  <c r="L9" i="1"/>
  <c r="L10" i="1"/>
  <c r="L11" i="1"/>
  <c r="L12" i="1"/>
  <c r="L13" i="1"/>
  <c r="E5" i="1"/>
  <c r="E6" i="1"/>
  <c r="E7" i="1"/>
  <c r="E8" i="1"/>
  <c r="E9" i="1"/>
  <c r="E10" i="1"/>
  <c r="E11" i="1"/>
  <c r="E12" i="1"/>
  <c r="E13" i="1"/>
  <c r="A6" i="1" l="1"/>
  <c r="M6" i="1"/>
  <c r="M9" i="1"/>
  <c r="M10" i="1"/>
  <c r="M11" i="1"/>
  <c r="M12" i="1"/>
  <c r="M13" i="1"/>
  <c r="H6" i="1"/>
  <c r="M8" i="1"/>
  <c r="M5" i="1"/>
  <c r="Q5" i="1" s="1"/>
  <c r="W5" i="1" s="1"/>
  <c r="G5" i="3" s="1"/>
  <c r="M7" i="1"/>
  <c r="D6" i="3" l="1"/>
  <c r="E5" i="3"/>
  <c r="V5" i="1"/>
  <c r="F5" i="3" s="1"/>
  <c r="H5" i="3" s="1"/>
  <c r="P5" i="3" s="1"/>
  <c r="H7" i="1"/>
  <c r="A7" i="1"/>
  <c r="I5" i="1"/>
  <c r="J5" i="1" s="1"/>
  <c r="D7" i="3" l="1"/>
  <c r="H9" i="1"/>
  <c r="A8" i="1"/>
  <c r="F6" i="1"/>
  <c r="G6" i="1"/>
  <c r="D9" i="3" l="1"/>
  <c r="H10" i="1"/>
  <c r="I6" i="1"/>
  <c r="J6" i="1" s="1"/>
  <c r="Q6" i="1"/>
  <c r="W6" i="1" s="1"/>
  <c r="G6" i="3" s="1"/>
  <c r="A9" i="1"/>
  <c r="D10" i="3" l="1"/>
  <c r="E6" i="3"/>
  <c r="V6" i="1"/>
  <c r="F6" i="3" s="1"/>
  <c r="H6" i="3" s="1"/>
  <c r="P6" i="3" s="1"/>
  <c r="H11" i="1"/>
  <c r="A10" i="1"/>
  <c r="F7" i="1"/>
  <c r="G7" i="1"/>
  <c r="D11" i="3" l="1"/>
  <c r="H12" i="1"/>
  <c r="I7" i="1"/>
  <c r="J7" i="1" s="1"/>
  <c r="Q7" i="1"/>
  <c r="W7" i="1" s="1"/>
  <c r="G7" i="3" s="1"/>
  <c r="A11" i="1"/>
  <c r="D12" i="3" l="1"/>
  <c r="E7" i="3"/>
  <c r="V7" i="1"/>
  <c r="F7" i="3" s="1"/>
  <c r="H7" i="3" s="1"/>
  <c r="P7" i="3" s="1"/>
  <c r="F8" i="1"/>
  <c r="H13" i="1"/>
  <c r="G8" i="1"/>
  <c r="A12" i="1"/>
  <c r="D13" i="3" l="1"/>
  <c r="H14" i="1"/>
  <c r="Q8" i="1"/>
  <c r="W8" i="1" s="1"/>
  <c r="G8" i="3" s="1"/>
  <c r="I8" i="1"/>
  <c r="J8" i="1" s="1"/>
  <c r="A13" i="1"/>
  <c r="E8" i="3" l="1"/>
  <c r="D14" i="3"/>
  <c r="V8" i="1"/>
  <c r="F8" i="3" s="1"/>
  <c r="H8" i="3" s="1"/>
  <c r="P8" i="3" s="1"/>
  <c r="A14" i="1"/>
  <c r="F9" i="1"/>
  <c r="G9" i="1"/>
  <c r="I9" i="1" s="1"/>
  <c r="J9" i="1" s="1"/>
  <c r="Q9" i="1" l="1"/>
  <c r="W9" i="1" s="1"/>
  <c r="G9" i="3" s="1"/>
  <c r="E9" i="3" l="1"/>
  <c r="V9" i="1"/>
  <c r="F9" i="3" s="1"/>
  <c r="H9" i="3" s="1"/>
  <c r="P9" i="3" s="1"/>
  <c r="F10" i="1"/>
  <c r="G10" i="1"/>
  <c r="Q10" i="1" s="1"/>
  <c r="W10" i="1" s="1"/>
  <c r="G10" i="3" s="1"/>
  <c r="I10" i="1" l="1"/>
  <c r="J10" i="1" s="1"/>
  <c r="E10" i="3"/>
  <c r="V10" i="1"/>
  <c r="F10" i="3" s="1"/>
  <c r="H10" i="3" s="1"/>
  <c r="P10" i="3" s="1"/>
  <c r="G11" i="1"/>
  <c r="Q11" i="1" s="1"/>
  <c r="W11" i="1" s="1"/>
  <c r="G11" i="3" s="1"/>
  <c r="F11" i="1"/>
  <c r="E11" i="3" l="1"/>
  <c r="V11" i="1"/>
  <c r="F11" i="3" s="1"/>
  <c r="H11" i="3" s="1"/>
  <c r="P11" i="3" s="1"/>
  <c r="I11" i="1"/>
  <c r="J11" i="1" s="1"/>
  <c r="F12" i="1"/>
  <c r="G12" i="1"/>
  <c r="Q12" i="1" s="1"/>
  <c r="W12" i="1" s="1"/>
  <c r="G12" i="3" s="1"/>
  <c r="E12" i="3" l="1"/>
  <c r="V12" i="1"/>
  <c r="F12" i="3" s="1"/>
  <c r="H12" i="3" s="1"/>
  <c r="P12" i="3" s="1"/>
  <c r="I12" i="1"/>
  <c r="J12" i="1" s="1"/>
  <c r="F13" i="1" l="1"/>
  <c r="G13" i="1"/>
  <c r="Q13" i="1" s="1"/>
  <c r="W13" i="1" s="1"/>
  <c r="G13" i="3" s="1"/>
  <c r="E13" i="3" l="1"/>
  <c r="V13" i="1"/>
  <c r="F13" i="3" s="1"/>
  <c r="H13" i="3" s="1"/>
  <c r="P13" i="3" s="1"/>
  <c r="F14" i="1"/>
  <c r="G14" i="1"/>
  <c r="I13" i="1"/>
  <c r="J13" i="1" s="1"/>
  <c r="Q14" i="1" l="1"/>
  <c r="W14" i="1" s="1"/>
  <c r="G14" i="3" s="1"/>
  <c r="I14" i="1"/>
  <c r="J14" i="1" s="1"/>
  <c r="E14" i="3" l="1"/>
  <c r="V14" i="1"/>
  <c r="F14" i="3" s="1"/>
  <c r="H14" i="3" s="1"/>
  <c r="P14" i="3" s="1"/>
</calcChain>
</file>

<file path=xl/sharedStrings.xml><?xml version="1.0" encoding="utf-8"?>
<sst xmlns="http://schemas.openxmlformats.org/spreadsheetml/2006/main" count="68" uniqueCount="66">
  <si>
    <t>ro 
спирт</t>
  </si>
  <si>
    <t>m
стакан</t>
  </si>
  <si>
    <t>m0
смесь    
стакан</t>
  </si>
  <si>
    <t>m0
смесь</t>
  </si>
  <si>
    <t>m0
ОКМ</t>
  </si>
  <si>
    <t>m0
спирт</t>
  </si>
  <si>
    <t>m1 
смесь
стакан</t>
  </si>
  <si>
    <t>m1
смеси</t>
  </si>
  <si>
    <t>m+
спирта</t>
  </si>
  <si>
    <t>m+ т
спирт</t>
  </si>
  <si>
    <t>V+ т
спирт</t>
  </si>
  <si>
    <t xml:space="preserve">w%1 т
спирт </t>
  </si>
  <si>
    <t xml:space="preserve">w%1 
</t>
  </si>
  <si>
    <t>#</t>
  </si>
  <si>
    <t>m2
смесь
стакан</t>
  </si>
  <si>
    <t>m2
смеси</t>
  </si>
  <si>
    <t>m+
ОКМ</t>
  </si>
  <si>
    <t>добавка ОКМ</t>
  </si>
  <si>
    <t>Exp0_up</t>
  </si>
  <si>
    <t>Отклонения при высоких T</t>
  </si>
  <si>
    <t>Exp1_up</t>
  </si>
  <si>
    <t>Exp2_down</t>
  </si>
  <si>
    <t>Exp3_down</t>
  </si>
  <si>
    <t>Exp4_up</t>
  </si>
  <si>
    <t>Exp5_down</t>
  </si>
  <si>
    <t>Exp6_up</t>
  </si>
  <si>
    <t>Exp7_up</t>
  </si>
  <si>
    <t>Exp8_down</t>
  </si>
  <si>
    <t>Добавка</t>
  </si>
  <si>
    <t>w% масс 
теор</t>
  </si>
  <si>
    <t>w% масс 
прак</t>
  </si>
  <si>
    <t>Эксперимент</t>
  </si>
  <si>
    <t>Описание</t>
  </si>
  <si>
    <t>V пик мл</t>
  </si>
  <si>
    <t xml:space="preserve">ro
смесь г/мл   </t>
  </si>
  <si>
    <t>M спирт г/моль</t>
  </si>
  <si>
    <t>nu0</t>
  </si>
  <si>
    <t>Доп</t>
  </si>
  <si>
    <t>mП г
пик</t>
  </si>
  <si>
    <t xml:space="preserve">mП г
смесь    
пик </t>
  </si>
  <si>
    <t xml:space="preserve">mП г
смесь     </t>
  </si>
  <si>
    <t xml:space="preserve">ln D0 </t>
  </si>
  <si>
    <t xml:space="preserve">C спирт М </t>
  </si>
  <si>
    <t>M ОКМ г/моль</t>
  </si>
  <si>
    <t>С ОКМ
М</t>
  </si>
  <si>
    <t xml:space="preserve">C  спирт 
М </t>
  </si>
  <si>
    <t xml:space="preserve">C ОКМ
М </t>
  </si>
  <si>
    <t>nu0 
сПуаз</t>
  </si>
  <si>
    <t>d nu0 
сПуаз</t>
  </si>
  <si>
    <t>Е
 КДж</t>
  </si>
  <si>
    <t xml:space="preserve">ro 
г/мл   </t>
  </si>
  <si>
    <t>D0 
м2/с</t>
  </si>
  <si>
    <t>Х</t>
  </si>
  <si>
    <t>d Е
КДж</t>
  </si>
  <si>
    <t>E</t>
  </si>
  <si>
    <t>ro 
кг/м</t>
  </si>
  <si>
    <r>
      <t>nu *10</t>
    </r>
    <r>
      <rPr>
        <b/>
        <vertAlign val="superscript"/>
        <sz val="11"/>
        <color theme="0"/>
        <rFont val="Times New Roman"/>
        <family val="1"/>
        <charset val="204"/>
      </rPr>
      <t>6</t>
    </r>
    <r>
      <rPr>
        <b/>
        <sz val="11"/>
        <color theme="0"/>
        <rFont val="Times New Roman"/>
        <family val="1"/>
        <charset val="204"/>
      </rPr>
      <t xml:space="preserve"> Па с</t>
    </r>
  </si>
  <si>
    <t>1/T 
K-1</t>
  </si>
  <si>
    <t>D 
м2/с</t>
  </si>
  <si>
    <t>t
C</t>
  </si>
  <si>
    <t>ln D</t>
  </si>
  <si>
    <t>ln nu</t>
  </si>
  <si>
    <t>E 100</t>
  </si>
  <si>
    <t>E 0</t>
  </si>
  <si>
    <t>x</t>
  </si>
  <si>
    <t>d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</si>
</sst>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6" formatCode="0.000%"/>
    <numFmt numFmtId="167" formatCode="0.000"/>
    <numFmt numFmtId="168" formatCode="0E+00"/>
    <numFmt numFmtId="169" formatCode="0.0%"/>
    <numFmt numFmtId="174" formatCode="0.00000"/>
  </numFmts>
  <fonts count="24" x14ac:knownFonts="1">
    <font>
      <sz val="11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2" tint="-0.249977111117893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</font>
    <font>
      <sz val="11"/>
      <color theme="9" tint="-0.249977111117893"/>
      <name val="Calibri"/>
      <family val="2"/>
      <charset val="204"/>
      <scheme val="minor"/>
    </font>
    <font>
      <sz val="11"/>
      <color theme="8" tint="-0.249977111117893"/>
      <name val="Calibri"/>
      <family val="2"/>
      <charset val="204"/>
      <scheme val="minor"/>
    </font>
    <font>
      <i/>
      <sz val="1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b/>
      <sz val="11"/>
      <color theme="4" tint="-0.249977111117893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1"/>
      <color theme="0"/>
      <name val="Times New Roman"/>
      <family val="1"/>
      <charset val="204"/>
    </font>
    <font>
      <b/>
      <vertAlign val="superscript"/>
      <sz val="11"/>
      <color theme="0"/>
      <name val="Times New Roman"/>
      <family val="1"/>
      <charset val="204"/>
    </font>
    <font>
      <sz val="12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8" fillId="0" borderId="0" applyNumberFormat="0" applyFont="0" applyFill="0" applyBorder="0" applyAlignment="0" applyProtection="0">
      <alignment vertical="top"/>
    </xf>
  </cellStyleXfs>
  <cellXfs count="11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Protection="1">
      <protection locked="0"/>
    </xf>
    <xf numFmtId="11" fontId="0" fillId="0" borderId="0" xfId="0" applyNumberFormat="1"/>
    <xf numFmtId="2" fontId="0" fillId="0" borderId="0" xfId="0" applyNumberFormat="1"/>
    <xf numFmtId="0" fontId="0" fillId="9" borderId="0" xfId="0" applyFill="1"/>
    <xf numFmtId="0" fontId="0" fillId="0" borderId="0" xfId="0" applyAlignment="1">
      <alignment wrapText="1"/>
    </xf>
    <xf numFmtId="0" fontId="0" fillId="0" borderId="0" xfId="0" applyFont="1"/>
    <xf numFmtId="0" fontId="12" fillId="0" borderId="0" xfId="0" applyFont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0" fillId="0" borderId="0" xfId="0" applyBorder="1"/>
    <xf numFmtId="164" fontId="0" fillId="0" borderId="0" xfId="0" applyNumberFormat="1" applyFont="1" applyFill="1" applyBorder="1"/>
    <xf numFmtId="0" fontId="0" fillId="0" borderId="0" xfId="0" applyBorder="1" applyAlignment="1">
      <alignment horizontal="center" vertical="center" wrapText="1"/>
    </xf>
    <xf numFmtId="2" fontId="0" fillId="0" borderId="0" xfId="0" applyNumberFormat="1" applyBorder="1"/>
    <xf numFmtId="164" fontId="2" fillId="0" borderId="0" xfId="0" applyNumberFormat="1" applyFont="1" applyBorder="1"/>
    <xf numFmtId="164" fontId="1" fillId="0" borderId="0" xfId="0" applyNumberFormat="1" applyFont="1" applyBorder="1"/>
    <xf numFmtId="2" fontId="0" fillId="11" borderId="0" xfId="0" applyNumberFormat="1" applyFill="1" applyBorder="1"/>
    <xf numFmtId="164" fontId="2" fillId="11" borderId="0" xfId="0" applyNumberFormat="1" applyFont="1" applyFill="1" applyBorder="1"/>
    <xf numFmtId="164" fontId="1" fillId="11" borderId="0" xfId="0" applyNumberFormat="1" applyFont="1" applyFill="1" applyBorder="1"/>
    <xf numFmtId="2" fontId="0" fillId="0" borderId="0" xfId="0" applyNumberFormat="1" applyBorder="1" applyProtection="1">
      <protection locked="0"/>
    </xf>
    <xf numFmtId="164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Protection="1">
      <protection locked="0"/>
    </xf>
    <xf numFmtId="1" fontId="3" fillId="0" borderId="0" xfId="0" applyNumberFormat="1" applyFont="1" applyFill="1" applyBorder="1" applyAlignment="1" applyProtection="1">
      <alignment horizontal="center" vertical="center"/>
    </xf>
    <xf numFmtId="2" fontId="15" fillId="3" borderId="1" xfId="0" applyNumberFormat="1" applyFont="1" applyFill="1" applyBorder="1"/>
    <xf numFmtId="2" fontId="15" fillId="3" borderId="2" xfId="0" applyNumberFormat="1" applyFont="1" applyFill="1" applyBorder="1"/>
    <xf numFmtId="2" fontId="15" fillId="11" borderId="2" xfId="0" applyNumberFormat="1" applyFont="1" applyFill="1" applyBorder="1"/>
    <xf numFmtId="2" fontId="15" fillId="3" borderId="2" xfId="0" applyNumberFormat="1" applyFont="1" applyFill="1" applyBorder="1" applyProtection="1">
      <protection locked="0"/>
    </xf>
    <xf numFmtId="2" fontId="15" fillId="3" borderId="3" xfId="0" applyNumberFormat="1" applyFont="1" applyFill="1" applyBorder="1" applyProtection="1">
      <protection locked="0"/>
    </xf>
    <xf numFmtId="164" fontId="5" fillId="4" borderId="1" xfId="0" applyNumberFormat="1" applyFont="1" applyFill="1" applyBorder="1" applyProtection="1">
      <protection locked="0"/>
    </xf>
    <xf numFmtId="164" fontId="5" fillId="4" borderId="2" xfId="0" applyNumberFormat="1" applyFont="1" applyFill="1" applyBorder="1" applyProtection="1">
      <protection locked="0"/>
    </xf>
    <xf numFmtId="164" fontId="5" fillId="11" borderId="2" xfId="0" applyNumberFormat="1" applyFont="1" applyFill="1" applyBorder="1" applyProtection="1">
      <protection locked="0"/>
    </xf>
    <xf numFmtId="164" fontId="5" fillId="4" borderId="3" xfId="0" applyNumberFormat="1" applyFont="1" applyFill="1" applyBorder="1" applyProtection="1">
      <protection locked="0"/>
    </xf>
    <xf numFmtId="164" fontId="5" fillId="4" borderId="1" xfId="0" applyNumberFormat="1" applyFont="1" applyFill="1" applyBorder="1"/>
    <xf numFmtId="164" fontId="5" fillId="4" borderId="2" xfId="0" applyNumberFormat="1" applyFont="1" applyFill="1" applyBorder="1"/>
    <xf numFmtId="0" fontId="5" fillId="12" borderId="1" xfId="0" applyFont="1" applyFill="1" applyBorder="1"/>
    <xf numFmtId="0" fontId="5" fillId="12" borderId="2" xfId="0" applyFont="1" applyFill="1" applyBorder="1"/>
    <xf numFmtId="0" fontId="5" fillId="12" borderId="3" xfId="0" applyFont="1" applyFill="1" applyBorder="1" applyProtection="1">
      <protection locked="0"/>
    </xf>
    <xf numFmtId="164" fontId="16" fillId="0" borderId="0" xfId="0" applyNumberFormat="1" applyFont="1" applyBorder="1"/>
    <xf numFmtId="164" fontId="16" fillId="11" borderId="0" xfId="0" applyNumberFormat="1" applyFont="1" applyFill="1" applyBorder="1"/>
    <xf numFmtId="164" fontId="16" fillId="0" borderId="0" xfId="0" applyNumberFormat="1" applyFont="1" applyBorder="1" applyProtection="1">
      <protection locked="0"/>
    </xf>
    <xf numFmtId="2" fontId="5" fillId="12" borderId="1" xfId="0" applyNumberFormat="1" applyFont="1" applyFill="1" applyBorder="1"/>
    <xf numFmtId="2" fontId="5" fillId="4" borderId="1" xfId="0" applyNumberFormat="1" applyFont="1" applyFill="1" applyBorder="1"/>
    <xf numFmtId="2" fontId="5" fillId="12" borderId="2" xfId="0" applyNumberFormat="1" applyFont="1" applyFill="1" applyBorder="1"/>
    <xf numFmtId="2" fontId="5" fillId="4" borderId="2" xfId="0" applyNumberFormat="1" applyFont="1" applyFill="1" applyBorder="1"/>
    <xf numFmtId="2" fontId="5" fillId="12" borderId="2" xfId="0" applyNumberFormat="1" applyFont="1" applyFill="1" applyBorder="1" applyProtection="1">
      <protection locked="0"/>
    </xf>
    <xf numFmtId="2" fontId="5" fillId="4" borderId="2" xfId="0" applyNumberFormat="1" applyFont="1" applyFill="1" applyBorder="1" applyProtection="1">
      <protection locked="0"/>
    </xf>
    <xf numFmtId="2" fontId="5" fillId="12" borderId="3" xfId="0" applyNumberFormat="1" applyFont="1" applyFill="1" applyBorder="1" applyProtection="1">
      <protection locked="0"/>
    </xf>
    <xf numFmtId="2" fontId="5" fillId="4" borderId="3" xfId="0" applyNumberFormat="1" applyFont="1" applyFill="1" applyBorder="1" applyProtection="1">
      <protection locked="0"/>
    </xf>
    <xf numFmtId="2" fontId="2" fillId="0" borderId="0" xfId="0" applyNumberFormat="1" applyFont="1" applyBorder="1"/>
    <xf numFmtId="2" fontId="2" fillId="11" borderId="0" xfId="0" applyNumberFormat="1" applyFont="1" applyFill="1" applyBorder="1"/>
    <xf numFmtId="2" fontId="2" fillId="0" borderId="0" xfId="0" applyNumberFormat="1" applyFont="1" applyBorder="1" applyProtection="1">
      <protection locked="0"/>
    </xf>
    <xf numFmtId="164" fontId="14" fillId="13" borderId="0" xfId="0" applyNumberFormat="1" applyFont="1" applyFill="1" applyBorder="1"/>
    <xf numFmtId="164" fontId="14" fillId="13" borderId="0" xfId="0" applyNumberFormat="1" applyFont="1" applyFill="1" applyBorder="1" applyProtection="1">
      <protection locked="0"/>
    </xf>
    <xf numFmtId="164" fontId="14" fillId="3" borderId="0" xfId="0" applyNumberFormat="1" applyFont="1" applyFill="1" applyBorder="1"/>
    <xf numFmtId="164" fontId="14" fillId="3" borderId="0" xfId="0" applyNumberFormat="1" applyFont="1" applyFill="1" applyBorder="1" applyProtection="1">
      <protection locked="0"/>
    </xf>
    <xf numFmtId="10" fontId="14" fillId="2" borderId="0" xfId="0" applyNumberFormat="1" applyFont="1" applyFill="1" applyBorder="1"/>
    <xf numFmtId="10" fontId="14" fillId="2" borderId="0" xfId="0" applyNumberFormat="1" applyFont="1" applyFill="1" applyBorder="1" applyProtection="1">
      <protection locked="0"/>
    </xf>
    <xf numFmtId="10" fontId="17" fillId="2" borderId="1" xfId="0" applyNumberFormat="1" applyFont="1" applyFill="1" applyBorder="1"/>
    <xf numFmtId="10" fontId="17" fillId="2" borderId="2" xfId="0" applyNumberFormat="1" applyFont="1" applyFill="1" applyBorder="1"/>
    <xf numFmtId="10" fontId="17" fillId="2" borderId="2" xfId="0" applyNumberFormat="1" applyFont="1" applyFill="1" applyBorder="1" applyProtection="1">
      <protection locked="0"/>
    </xf>
    <xf numFmtId="166" fontId="17" fillId="2" borderId="3" xfId="0" applyNumberFormat="1" applyFont="1" applyFill="1" applyBorder="1" applyProtection="1">
      <protection locked="0"/>
    </xf>
    <xf numFmtId="0" fontId="6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top"/>
    </xf>
    <xf numFmtId="49" fontId="0" fillId="0" borderId="0" xfId="0" applyNumberFormat="1" applyBorder="1"/>
    <xf numFmtId="2" fontId="7" fillId="0" borderId="0" xfId="0" applyNumberFormat="1" applyFont="1" applyBorder="1"/>
    <xf numFmtId="11" fontId="5" fillId="6" borderId="0" xfId="0" applyNumberFormat="1" applyFont="1" applyFill="1" applyBorder="1"/>
    <xf numFmtId="168" fontId="8" fillId="0" borderId="0" xfId="0" applyNumberFormat="1" applyFont="1" applyBorder="1"/>
    <xf numFmtId="169" fontId="0" fillId="7" borderId="0" xfId="0" applyNumberFormat="1" applyFill="1" applyBorder="1"/>
    <xf numFmtId="10" fontId="3" fillId="0" borderId="0" xfId="0" applyNumberFormat="1" applyFont="1" applyBorder="1"/>
    <xf numFmtId="49" fontId="0" fillId="9" borderId="0" xfId="0" applyNumberFormat="1" applyFill="1" applyBorder="1"/>
    <xf numFmtId="2" fontId="7" fillId="9" borderId="0" xfId="0" applyNumberFormat="1" applyFont="1" applyFill="1" applyBorder="1"/>
    <xf numFmtId="11" fontId="5" fillId="9" borderId="0" xfId="0" applyNumberFormat="1" applyFont="1" applyFill="1" applyBorder="1"/>
    <xf numFmtId="168" fontId="8" fillId="9" borderId="0" xfId="0" applyNumberFormat="1" applyFont="1" applyFill="1" applyBorder="1"/>
    <xf numFmtId="169" fontId="0" fillId="9" borderId="0" xfId="0" applyNumberFormat="1" applyFill="1" applyBorder="1"/>
    <xf numFmtId="10" fontId="3" fillId="9" borderId="0" xfId="0" applyNumberFormat="1" applyFont="1" applyFill="1" applyBorder="1"/>
    <xf numFmtId="49" fontId="4" fillId="14" borderId="0" xfId="0" applyNumberFormat="1" applyFont="1" applyFill="1" applyBorder="1" applyAlignment="1">
      <alignment horizontal="center" vertical="center" wrapText="1"/>
    </xf>
    <xf numFmtId="2" fontId="0" fillId="0" borderId="0" xfId="0" applyNumberFormat="1" applyFont="1"/>
    <xf numFmtId="11" fontId="5" fillId="0" borderId="0" xfId="0" applyNumberFormat="1" applyFont="1"/>
    <xf numFmtId="2" fontId="3" fillId="8" borderId="1" xfId="0" applyNumberFormat="1" applyFont="1" applyFill="1" applyBorder="1"/>
    <xf numFmtId="2" fontId="3" fillId="8" borderId="2" xfId="0" applyNumberFormat="1" applyFont="1" applyFill="1" applyBorder="1"/>
    <xf numFmtId="2" fontId="3" fillId="8" borderId="2" xfId="0" applyNumberFormat="1" applyFont="1" applyFill="1" applyBorder="1" applyProtection="1">
      <protection locked="0"/>
    </xf>
    <xf numFmtId="2" fontId="3" fillId="8" borderId="3" xfId="0" applyNumberFormat="1" applyFont="1" applyFill="1" applyBorder="1" applyProtection="1">
      <protection locked="0"/>
    </xf>
    <xf numFmtId="2" fontId="5" fillId="13" borderId="0" xfId="0" applyNumberFormat="1" applyFont="1" applyFill="1"/>
    <xf numFmtId="2" fontId="0" fillId="2" borderId="0" xfId="0" applyNumberFormat="1" applyFont="1" applyFill="1" applyBorder="1"/>
    <xf numFmtId="2" fontId="0" fillId="2" borderId="0" xfId="0" applyNumberFormat="1" applyFont="1" applyFill="1" applyBorder="1" applyProtection="1">
      <protection locked="0"/>
    </xf>
    <xf numFmtId="2" fontId="3" fillId="8" borderId="0" xfId="0" applyNumberFormat="1" applyFont="1" applyFill="1" applyBorder="1"/>
    <xf numFmtId="2" fontId="3" fillId="5" borderId="0" xfId="0" applyNumberFormat="1" applyFont="1" applyFill="1" applyBorder="1"/>
    <xf numFmtId="167" fontId="5" fillId="12" borderId="0" xfId="0" applyNumberFormat="1" applyFont="1" applyFill="1" applyBorder="1"/>
    <xf numFmtId="49" fontId="6" fillId="10" borderId="4" xfId="0" applyNumberFormat="1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69" fontId="3" fillId="0" borderId="0" xfId="0" applyNumberFormat="1" applyFont="1" applyFill="1" applyBorder="1"/>
    <xf numFmtId="0" fontId="0" fillId="0" borderId="0" xfId="0" applyAlignment="1"/>
    <xf numFmtId="0" fontId="11" fillId="0" borderId="0" xfId="0" applyFont="1" applyAlignment="1">
      <alignment wrapText="1"/>
    </xf>
    <xf numFmtId="11" fontId="11" fillId="0" borderId="0" xfId="0" applyNumberFormat="1" applyFont="1"/>
    <xf numFmtId="0" fontId="4" fillId="0" borderId="7" xfId="0" applyFont="1" applyFill="1" applyBorder="1" applyAlignment="1">
      <alignment horizontal="center" vertical="center"/>
    </xf>
    <xf numFmtId="11" fontId="10" fillId="0" borderId="0" xfId="0" applyNumberFormat="1" applyFont="1" applyBorder="1"/>
    <xf numFmtId="174" fontId="10" fillId="0" borderId="0" xfId="0" applyNumberFormat="1" applyFont="1" applyBorder="1"/>
    <xf numFmtId="0" fontId="19" fillId="0" borderId="4" xfId="1" applyNumberFormat="1" applyFont="1" applyFill="1" applyBorder="1" applyAlignment="1" applyProtection="1">
      <alignment horizontal="center" vertical="center" wrapText="1"/>
    </xf>
    <xf numFmtId="0" fontId="19" fillId="0" borderId="6" xfId="1" applyNumberFormat="1" applyFont="1" applyFill="1" applyBorder="1" applyAlignment="1" applyProtection="1">
      <alignment horizontal="center" vertical="center" wrapText="1"/>
    </xf>
    <xf numFmtId="0" fontId="19" fillId="0" borderId="8" xfId="1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14" fillId="0" borderId="0" xfId="1" applyNumberFormat="1" applyFont="1" applyFill="1" applyBorder="1" applyAlignment="1" applyProtection="1">
      <alignment horizontal="right" vertical="center" wrapText="1"/>
    </xf>
    <xf numFmtId="0" fontId="14" fillId="0" borderId="0" xfId="1" applyNumberFormat="1" applyFont="1" applyFill="1" applyBorder="1" applyAlignment="1" applyProtection="1">
      <alignment horizontal="right" vertical="center"/>
    </xf>
    <xf numFmtId="167" fontId="14" fillId="0" borderId="0" xfId="1" applyNumberFormat="1" applyFont="1" applyFill="1" applyAlignment="1" applyProtection="1">
      <alignment horizontal="right" vertical="center"/>
    </xf>
    <xf numFmtId="167" fontId="0" fillId="0" borderId="0" xfId="0" applyNumberFormat="1"/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0" fontId="21" fillId="0" borderId="0" xfId="0" applyNumberFormat="1" applyFont="1" applyAlignment="1">
      <alignment horizontal="center" vertical="center"/>
    </xf>
    <xf numFmtId="167" fontId="23" fillId="3" borderId="0" xfId="0" applyNumberFormat="1" applyFont="1" applyFill="1"/>
  </cellXfs>
  <cellStyles count="2">
    <cellStyle name="Обычный" xfId="0" builtinId="0"/>
    <cellStyle name="Обычный_Спирт" xfId="1" xr:uid="{8A681B7D-D4A3-4E2B-84D7-F06B42D06188}"/>
  </cellStyles>
  <dxfs count="63">
    <dxf>
      <font>
        <b/>
        <strike val="0"/>
        <outline val="0"/>
        <shadow val="0"/>
        <u val="none"/>
        <vertAlign val="baseline"/>
        <sz val="11"/>
        <color rgb="FFC00000"/>
        <name val="Calibri"/>
        <family val="2"/>
        <charset val="204"/>
        <scheme val="minor"/>
      </font>
      <numFmt numFmtId="167" formatCode="0.000"/>
      <fill>
        <patternFill patternType="solid">
          <fgColor indexed="64"/>
          <bgColor theme="5" tint="0.79998168889431442"/>
        </patternFill>
      </fill>
    </dxf>
    <dxf>
      <numFmt numFmtId="0" formatCode="General"/>
    </dxf>
    <dxf>
      <numFmt numFmtId="167" formatCode="0.00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charset val="204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auto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67" formatCode="0.0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  <numFmt numFmtId="15" formatCode="0.00E+00"/>
    </dxf>
    <dxf>
      <font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  <numFmt numFmtId="174" formatCode="0.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border outline="0">
        <top style="thin">
          <color auto="1"/>
        </top>
      </border>
    </dxf>
    <dxf>
      <border outline="0">
        <bottom style="thin">
          <color indexed="64"/>
        </bottom>
      </border>
    </dxf>
    <dxf>
      <border outline="0">
        <left style="thin">
          <color auto="1"/>
        </left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</dxf>
    <dxf>
      <font>
        <b/>
        <i val="0"/>
        <strike val="0"/>
        <outline val="0"/>
        <shadow val="0"/>
        <u val="none"/>
        <sz val="11"/>
        <color theme="0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69" formatCode="0.0%"/>
      <fill>
        <patternFill patternType="none">
          <fgColor indexed="64"/>
          <bgColor auto="1"/>
        </patternFill>
      </fill>
    </dxf>
    <dxf>
      <font>
        <b/>
      </font>
      <numFmt numFmtId="167" formatCode="0.000"/>
      <fill>
        <patternFill patternType="solid">
          <fgColor indexed="64"/>
          <bgColor theme="7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2" formatCode="0.00"/>
      <fill>
        <patternFill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2" formatCode="0.00"/>
      <fill>
        <patternFill>
          <fgColor indexed="64"/>
          <bgColor theme="5" tint="0.59999389629810485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4" formatCode="0.00%"/>
    </dxf>
    <dxf>
      <font>
        <b val="0"/>
      </font>
      <numFmt numFmtId="2" formatCode="0.00"/>
      <fill>
        <patternFill>
          <fgColor indexed="64"/>
          <bgColor theme="4" tint="0.79998168889431442"/>
        </patternFill>
      </fill>
      <border outline="0">
        <right style="medium">
          <color indexed="64"/>
        </right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2" formatCode="0.00"/>
      <fill>
        <patternFill patternType="solid">
          <fgColor indexed="64"/>
          <bgColor theme="5" tint="0.59999389629810485"/>
        </patternFill>
      </fill>
    </dxf>
    <dxf>
      <font>
        <strike val="0"/>
        <outline val="0"/>
        <shadow val="0"/>
        <u val="none"/>
        <vertAlign val="baseline"/>
        <sz val="11"/>
        <color theme="2" tint="-0.249977111117893"/>
        <name val="Calibri"/>
        <family val="2"/>
        <charset val="204"/>
        <scheme val="minor"/>
      </font>
      <numFmt numFmtId="2" formatCode="0.00"/>
    </dxf>
    <dxf>
      <font>
        <b/>
      </font>
      <numFmt numFmtId="2" formatCode="0.00"/>
      <fill>
        <patternFill patternType="solid">
          <fgColor indexed="64"/>
          <bgColor theme="9" tint="0.79998168889431442"/>
        </patternFill>
      </fill>
      <border outline="0">
        <left style="medium">
          <color indexed="64"/>
        </left>
      </border>
    </dxf>
    <dxf>
      <font>
        <b/>
      </font>
      <numFmt numFmtId="15" formatCode="0.00E+00"/>
    </dxf>
    <dxf>
      <font>
        <b val="0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8" tint="-0.249977111117893"/>
        <name val="Calibri"/>
        <family val="2"/>
        <charset val="204"/>
        <scheme val="minor"/>
      </font>
      <numFmt numFmtId="168" formatCode="0E+00"/>
    </dxf>
    <dxf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2" tint="-0.749992370372631"/>
        <name val="Calibri"/>
        <family val="2"/>
        <charset val="204"/>
        <scheme val="minor"/>
      </font>
      <numFmt numFmtId="169" formatCode="0.0%"/>
      <fill>
        <patternFill patternType="solid">
          <fgColor indexed="64"/>
          <bgColor theme="2" tint="-9.9978637043366805E-2"/>
        </patternFill>
      </fill>
    </dxf>
    <dxf>
      <font>
        <b/>
      </font>
      <numFmt numFmtId="15" formatCode="0.00E+00"/>
      <fill>
        <patternFill>
          <fgColor indexed="64"/>
          <bgColor theme="8" tint="0.79998168889431442"/>
        </patternFill>
      </fill>
    </dxf>
    <dxf>
      <font>
        <i/>
        <color auto="1"/>
      </font>
      <numFmt numFmtId="30" formatCode="@"/>
      <fill>
        <patternFill patternType="solid">
          <fgColor indexed="64"/>
          <bgColor theme="4" tint="0.39997558519241921"/>
        </patternFill>
      </fill>
      <alignment horizontal="center" vertical="top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border outline="0">
        <right style="thin">
          <color auto="1"/>
        </right>
      </border>
    </dxf>
    <dxf>
      <font>
        <b/>
        <strike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14" formatCode="0.00%"/>
      <fill>
        <patternFill patternType="solid">
          <fgColor indexed="64"/>
          <bgColor theme="4" tint="0.79998168889431442"/>
        </patternFill>
      </fill>
    </dxf>
    <dxf>
      <font>
        <b/>
      </font>
      <numFmt numFmtId="2" formatCode="0.00"/>
      <fill>
        <patternFill patternType="solid">
          <fgColor indexed="64"/>
          <bgColor theme="7" tint="0.59999389629810485"/>
        </patternFill>
      </fill>
      <border outline="0">
        <left style="medium">
          <color indexed="64"/>
        </left>
      </border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charset val="204"/>
        <scheme val="minor"/>
      </font>
      <numFmt numFmtId="164" formatCode="0.0000"/>
      <border outline="0">
        <right style="medium">
          <color indexed="64"/>
        </right>
      </border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4" formatCode="0.00%"/>
      <fill>
        <patternFill patternType="none">
          <fgColor indexed="64"/>
          <bgColor theme="4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2" tint="-0.249977111117893"/>
        <name val="Calibri"/>
        <family val="2"/>
        <charset val="204"/>
        <scheme val="minor"/>
      </font>
      <numFmt numFmtId="164" formatCode="0.000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64" formatCode="0.0000"/>
      <fill>
        <patternFill patternType="solid">
          <fgColor indexed="64"/>
          <bgColor theme="5" tint="0.79998168889431442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64" formatCode="0.0000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2" tint="-0.249977111117893"/>
        <name val="Calibri"/>
        <family val="2"/>
        <charset val="204"/>
        <scheme val="minor"/>
      </font>
      <numFmt numFmtId="164" formatCode="0.0000"/>
    </dxf>
    <dxf>
      <font>
        <b/>
      </font>
      <numFmt numFmtId="2" formatCode="0.00"/>
      <fill>
        <patternFill>
          <fgColor indexed="64"/>
          <bgColor theme="7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2" tint="-0.249977111117893"/>
        <name val="Calibri"/>
        <family val="2"/>
        <charset val="204"/>
        <scheme val="minor"/>
      </font>
      <numFmt numFmtId="164" formatCode="0.0000"/>
      <protection locked="0" hidden="0"/>
    </dxf>
    <dxf>
      <font>
        <b/>
      </font>
      <numFmt numFmtId="164" formatCode="0.0000"/>
      <fill>
        <patternFill patternType="solid">
          <fgColor indexed="64"/>
          <bgColor theme="7" tint="0.79998168889431442"/>
        </patternFill>
      </fill>
      <protection locked="0" hidden="0"/>
    </dxf>
    <dxf>
      <font>
        <strike val="0"/>
        <outline val="0"/>
        <shadow val="0"/>
        <u val="none"/>
        <vertAlign val="baseline"/>
        <sz val="11"/>
        <color rgb="FFC00000"/>
        <name val="Calibri"/>
        <family val="2"/>
        <charset val="204"/>
        <scheme val="minor"/>
      </font>
      <numFmt numFmtId="164" formatCode="0.0000"/>
    </dxf>
    <dxf>
      <font>
        <strike val="0"/>
        <outline val="0"/>
        <shadow val="0"/>
        <u val="none"/>
        <vertAlign val="baseline"/>
        <sz val="11"/>
        <color theme="2" tint="-0.249977111117893"/>
        <name val="Calibri"/>
        <family val="2"/>
        <charset val="204"/>
        <scheme val="minor"/>
      </font>
      <numFmt numFmtId="164" formatCode="0.0000"/>
    </dxf>
    <dxf>
      <font>
        <b/>
      </font>
      <numFmt numFmtId="164" formatCode="0.0000"/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medium">
          <color indexed="64"/>
        </right>
        <top/>
        <bottom/>
      </border>
      <protection locked="0" hidden="0"/>
    </dxf>
    <dxf>
      <font>
        <b/>
      </font>
      <fill>
        <patternFill patternType="solid">
          <fgColor indexed="64"/>
          <bgColor theme="7" tint="0.59999389629810485"/>
        </patternFill>
      </fill>
      <border diagonalUp="0" diagonalDown="0" outline="0">
        <left style="medium">
          <color indexed="64"/>
        </left>
        <right/>
        <top/>
        <bottom/>
      </border>
    </dxf>
    <dxf>
      <font>
        <b/>
        <color auto="1"/>
      </font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</font>
      <numFmt numFmtId="164" formatCode="0.0000"/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medium">
          <color indexed="64"/>
        </right>
        <top/>
        <bottom/>
      </border>
      <protection locked="0" hidden="0"/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charset val="204"/>
        <scheme val="minor"/>
      </font>
      <numFmt numFmtId="2" formatCode="0.00"/>
      <fill>
        <patternFill patternType="solid">
          <fgColor indexed="64"/>
          <bgColor theme="5" tint="0.79998168889431442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2" formatCode="0.0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</a:t>
            </a:r>
            <a:r>
              <a:rPr lang="ru-RU" baseline="0"/>
              <a:t> энергий</a:t>
            </a:r>
            <a:endParaRPr lang="ru-RU"/>
          </a:p>
        </c:rich>
      </c:tx>
      <c:layout>
        <c:manualLayout>
          <c:xMode val="edge"/>
          <c:yMode val="edge"/>
          <c:x val="0.26778600927089102"/>
          <c:y val="4.28335145606967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1642775438254586E-2"/>
          <c:y val="9.09146405627312E-2"/>
          <c:w val="0.85437836132714029"/>
          <c:h val="0.83077355303666012"/>
        </c:manualLayout>
      </c:layout>
      <c:scatterChart>
        <c:scatterStyle val="lineMarker"/>
        <c:varyColors val="0"/>
        <c:ser>
          <c:idx val="0"/>
          <c:order val="0"/>
          <c:tx>
            <c:v>Реальность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3"/>
            <c:marker>
              <c:symbol val="square"/>
              <c:size val="4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D58-405B-912A-5B88611EA9A7}"/>
              </c:ext>
            </c:extLst>
          </c:dPt>
          <c:xVal>
            <c:numRef>
              <c:f>Результаты!$H$5:$H$14</c:f>
              <c:numCache>
                <c:formatCode>0.0%</c:formatCode>
                <c:ptCount val="9"/>
                <c:pt idx="0">
                  <c:v>0</c:v>
                </c:pt>
                <c:pt idx="1">
                  <c:v>3.2036739716073598E-2</c:v>
                </c:pt>
                <c:pt idx="2">
                  <c:v>6.6071647960503674E-2</c:v>
                </c:pt>
                <c:pt idx="3">
                  <c:v>9.9892325268307561E-2</c:v>
                </c:pt>
                <c:pt idx="4">
                  <c:v>0.13126962000829834</c:v>
                </c:pt>
                <c:pt idx="5">
                  <c:v>0.15916983619370115</c:v>
                </c:pt>
                <c:pt idx="6">
                  <c:v>0.19129848162762375</c:v>
                </c:pt>
                <c:pt idx="7">
                  <c:v>0.22240967383128521</c:v>
                </c:pt>
                <c:pt idx="8">
                  <c:v>0.25215549819329625</c:v>
                </c:pt>
              </c:numCache>
            </c:numRef>
          </c:xVal>
          <c:yVal>
            <c:numRef>
              <c:f>Результаты!$I$5:$I$14</c:f>
              <c:numCache>
                <c:formatCode>0.000</c:formatCode>
                <c:ptCount val="9"/>
                <c:pt idx="0">
                  <c:v>57.308994106791218</c:v>
                </c:pt>
                <c:pt idx="1">
                  <c:v>49.847994012296063</c:v>
                </c:pt>
                <c:pt idx="2">
                  <c:v>49.805519375865757</c:v>
                </c:pt>
                <c:pt idx="3">
                  <c:v>45.193687036460702</c:v>
                </c:pt>
                <c:pt idx="4">
                  <c:v>40.779651191999328</c:v>
                </c:pt>
                <c:pt idx="5">
                  <c:v>42.259748749228137</c:v>
                </c:pt>
                <c:pt idx="6">
                  <c:v>38.162234976018958</c:v>
                </c:pt>
                <c:pt idx="7">
                  <c:v>38.113817416143988</c:v>
                </c:pt>
                <c:pt idx="8">
                  <c:v>37.810807316407811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58-405B-912A-5B88611EA9A7}"/>
            </c:ext>
          </c:extLst>
        </c:ser>
        <c:ser>
          <c:idx val="1"/>
          <c:order val="1"/>
          <c:tx>
            <c:v>Идеал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Результаты!$S$5:$S$55</c:f>
              <c:numCache>
                <c:formatCode>0.00%</c:formatCode>
                <c:ptCount val="50"/>
                <c:pt idx="0">
                  <c:v>0</c:v>
                </c:pt>
                <c:pt idx="1">
                  <c:v>0.02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</c:numCache>
            </c:numRef>
          </c:xVal>
          <c:yVal>
            <c:numRef>
              <c:f>Результаты!$T$5:$T$55</c:f>
              <c:numCache>
                <c:formatCode>General</c:formatCode>
                <c:ptCount val="50"/>
                <c:pt idx="0">
                  <c:v>57.308994106791218</c:v>
                </c:pt>
                <c:pt idx="1">
                  <c:v>56.538440744655389</c:v>
                </c:pt>
                <c:pt idx="2">
                  <c:v>54.99733402038374</c:v>
                </c:pt>
                <c:pt idx="3">
                  <c:v>54.226780658247925</c:v>
                </c:pt>
                <c:pt idx="4">
                  <c:v>53.456227296112097</c:v>
                </c:pt>
                <c:pt idx="5">
                  <c:v>52.685673933976268</c:v>
                </c:pt>
                <c:pt idx="6">
                  <c:v>51.915120571840447</c:v>
                </c:pt>
                <c:pt idx="7">
                  <c:v>51.144567209704618</c:v>
                </c:pt>
                <c:pt idx="8">
                  <c:v>50.374013847568797</c:v>
                </c:pt>
                <c:pt idx="9">
                  <c:v>49.603460485432976</c:v>
                </c:pt>
                <c:pt idx="10">
                  <c:v>48.832907123297147</c:v>
                </c:pt>
                <c:pt idx="11">
                  <c:v>48.062353761161319</c:v>
                </c:pt>
                <c:pt idx="12">
                  <c:v>47.291800399025504</c:v>
                </c:pt>
                <c:pt idx="13">
                  <c:v>46.521247036889676</c:v>
                </c:pt>
                <c:pt idx="14">
                  <c:v>45.750693674753855</c:v>
                </c:pt>
                <c:pt idx="15">
                  <c:v>44.980140312618026</c:v>
                </c:pt>
                <c:pt idx="16">
                  <c:v>44.209586950482205</c:v>
                </c:pt>
                <c:pt idx="17">
                  <c:v>43.439033588346383</c:v>
                </c:pt>
                <c:pt idx="18">
                  <c:v>42.668480226210555</c:v>
                </c:pt>
                <c:pt idx="19">
                  <c:v>41.897926864074734</c:v>
                </c:pt>
                <c:pt idx="20">
                  <c:v>41.127373501938912</c:v>
                </c:pt>
                <c:pt idx="21">
                  <c:v>40.356820139803084</c:v>
                </c:pt>
                <c:pt idx="22">
                  <c:v>39.586266777667262</c:v>
                </c:pt>
                <c:pt idx="23">
                  <c:v>38.815713415531434</c:v>
                </c:pt>
                <c:pt idx="24">
                  <c:v>38.045160053395605</c:v>
                </c:pt>
                <c:pt idx="25">
                  <c:v>37.274606691259784</c:v>
                </c:pt>
                <c:pt idx="26">
                  <c:v>36.504053329123956</c:v>
                </c:pt>
                <c:pt idx="27">
                  <c:v>35.733499966988134</c:v>
                </c:pt>
                <c:pt idx="28">
                  <c:v>34.962946604852313</c:v>
                </c:pt>
                <c:pt idx="29">
                  <c:v>34.192393242716484</c:v>
                </c:pt>
                <c:pt idx="30">
                  <c:v>33.421839880580663</c:v>
                </c:pt>
                <c:pt idx="31">
                  <c:v>32.651286518444842</c:v>
                </c:pt>
                <c:pt idx="32">
                  <c:v>31.880733156309013</c:v>
                </c:pt>
                <c:pt idx="33">
                  <c:v>31.110179794173188</c:v>
                </c:pt>
                <c:pt idx="34">
                  <c:v>30.33962643203737</c:v>
                </c:pt>
                <c:pt idx="35">
                  <c:v>29.569073069901542</c:v>
                </c:pt>
                <c:pt idx="36">
                  <c:v>28.798519707765717</c:v>
                </c:pt>
                <c:pt idx="37">
                  <c:v>28.027966345629892</c:v>
                </c:pt>
                <c:pt idx="38">
                  <c:v>27.257412983494067</c:v>
                </c:pt>
                <c:pt idx="39">
                  <c:v>26.486859621358242</c:v>
                </c:pt>
                <c:pt idx="40">
                  <c:v>25.716306259222421</c:v>
                </c:pt>
                <c:pt idx="41">
                  <c:v>24.945752897086599</c:v>
                </c:pt>
                <c:pt idx="42">
                  <c:v>24.175199534950771</c:v>
                </c:pt>
                <c:pt idx="43">
                  <c:v>23.404646172814942</c:v>
                </c:pt>
                <c:pt idx="44">
                  <c:v>22.634092810679121</c:v>
                </c:pt>
                <c:pt idx="45">
                  <c:v>21.863539448543296</c:v>
                </c:pt>
                <c:pt idx="46">
                  <c:v>21.092986086407475</c:v>
                </c:pt>
                <c:pt idx="47">
                  <c:v>20.32243272427165</c:v>
                </c:pt>
                <c:pt idx="48">
                  <c:v>19.551879362135825</c:v>
                </c:pt>
                <c:pt idx="49">
                  <c:v>18.781326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58-405B-912A-5B88611EA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174591"/>
        <c:axId val="848710895"/>
      </c:scatterChart>
      <c:valAx>
        <c:axId val="1656174591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8710895"/>
        <c:crosses val="autoZero"/>
        <c:crossBetween val="midCat"/>
      </c:valAx>
      <c:valAx>
        <c:axId val="848710895"/>
        <c:scaling>
          <c:orientation val="minMax"/>
          <c:max val="6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6174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Спирт!$D$5:$D$25</c:f>
              <c:numCache>
                <c:formatCode>0.00000</c:formatCode>
                <c:ptCount val="6"/>
                <c:pt idx="0">
                  <c:v>3.6609921288669233E-3</c:v>
                </c:pt>
                <c:pt idx="1">
                  <c:v>3.5316969803990822E-3</c:v>
                </c:pt>
                <c:pt idx="2">
                  <c:v>3.4112229234180458E-3</c:v>
                </c:pt>
                <c:pt idx="3">
                  <c:v>3.298697014679202E-3</c:v>
                </c:pt>
                <c:pt idx="4">
                  <c:v>3.1933578157432542E-3</c:v>
                </c:pt>
                <c:pt idx="5">
                  <c:v>3.0945381401825778E-3</c:v>
                </c:pt>
              </c:numCache>
            </c:numRef>
          </c:xVal>
          <c:yVal>
            <c:numRef>
              <c:f>Спирт!$G$7:$G$27</c:f>
              <c:numCache>
                <c:formatCode>General</c:formatCode>
                <c:ptCount val="8"/>
                <c:pt idx="0">
                  <c:v>1.6266882658406279</c:v>
                </c:pt>
                <c:pt idx="1">
                  <c:v>1.3305173456508921</c:v>
                </c:pt>
                <c:pt idx="2">
                  <c:v>1.0570956084651761</c:v>
                </c:pt>
                <c:pt idx="3">
                  <c:v>0.80379370064700895</c:v>
                </c:pt>
                <c:pt idx="4">
                  <c:v>0.56758395758459956</c:v>
                </c:pt>
                <c:pt idx="5">
                  <c:v>0.34642256747438094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58-432C-8782-4661FDD64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638671"/>
        <c:axId val="1002441727"/>
      </c:scatterChart>
      <c:valAx>
        <c:axId val="1183638671"/>
        <c:scaling>
          <c:orientation val="minMax"/>
          <c:max val="4.000000000000001E-3"/>
          <c:min val="2.0000000000000005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2441727"/>
        <c:crosses val="autoZero"/>
        <c:crossBetween val="midCat"/>
      </c:valAx>
      <c:valAx>
        <c:axId val="100244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3638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26008</xdr:colOff>
      <xdr:row>14</xdr:row>
      <xdr:rowOff>31805</xdr:rowOff>
    </xdr:from>
    <xdr:to>
      <xdr:col>11</xdr:col>
      <xdr:colOff>600323</xdr:colOff>
      <xdr:row>29</xdr:row>
      <xdr:rowOff>1325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7224328-66E1-484C-BCB4-A3E0F5437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3</xdr:row>
      <xdr:rowOff>214313</xdr:rowOff>
    </xdr:from>
    <xdr:to>
      <xdr:col>13</xdr:col>
      <xdr:colOff>225592</xdr:colOff>
      <xdr:row>27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2A5DD3F-FBF2-4A31-AC28-FD6F104AF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D6CF4CA-8DD5-42D3-9E5E-E0CF631B7806}" name="Аппроксимация" displayName="Аппроксимация" ref="A4:P14" totalsRowShown="0" headerRowDxfId="57">
  <autoFilter ref="A4:P14" xr:uid="{A4C063FA-10B5-4E12-9B60-1F11F9CEEE3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</autoFilter>
  <tableColumns count="16">
    <tableColumn id="8" xr3:uid="{9F7FD215-509F-4DE2-A3C7-D0FF03814D4C}" name="Описание" dataDxfId="37"/>
    <tableColumn id="1" xr3:uid="{7BD1F57E-225E-4952-B218-B70E607E4506}" name="#" dataDxfId="36"/>
    <tableColumn id="6" xr3:uid="{2BC6AEF4-16A6-4036-AD2F-70EB2ED37C83}" name="Эксперимент" dataDxfId="35"/>
    <tableColumn id="7" xr3:uid="{4F002E9F-0B0A-4293-A906-6AAACB660E5F}" name="w% масс _x000a_теор" dataDxfId="33">
      <calculatedColumnFormula>Эксперимент!H5</calculatedColumnFormula>
    </tableColumn>
    <tableColumn id="9" xr3:uid="{EFA2CF13-E204-4162-ACE5-6D1EB6C8441D}" name="w% масс _x000a_прак" dataDxfId="24">
      <calculatedColumnFormula>Эксперимент!Q5</calculatedColumnFormula>
    </tableColumn>
    <tableColumn id="16" xr3:uid="{1A0106D0-1671-48DC-9378-6065A29457AF}" name="C  спирт _x000a_М " dataDxfId="23">
      <calculatedColumnFormula>Эксперимент[[#This Row],[C спирт М ]]</calculatedColumnFormula>
    </tableColumn>
    <tableColumn id="19" xr3:uid="{5C48BC25-18C3-4E1E-A959-A9D7659AD8AA}" name="C ОКМ_x000a_М " dataDxfId="21">
      <calculatedColumnFormula>Эксперимент[[#This Row],[С ОКМ
М]]</calculatedColumnFormula>
    </tableColumn>
    <tableColumn id="20" xr3:uid="{986310D2-1DE5-4684-80A8-AB34FC52B68F}" name="Х" dataDxfId="19">
      <calculatedColumnFormula>Аппроксимация[[#This Row],[C  спирт 
М ]]/(Аппроксимация[[#This Row],[C  спирт 
М ]]+Аппроксимация[[#This Row],[C ОКМ
М ]])</calculatedColumnFormula>
    </tableColumn>
    <tableColumn id="2" xr3:uid="{20B7447A-B783-44F2-B1A4-EC86581E32E5}" name="Е_x000a_ КДж" dataDxfId="20"/>
    <tableColumn id="3" xr3:uid="{DF17DCAE-D682-463C-9861-C2D5B36736D4}" name="d Е_x000a_КДж" dataDxfId="22"/>
    <tableColumn id="4" xr3:uid="{EF4548E5-7C26-4D63-A0F2-B091A7D76087}" name="nu0 _x000a_сПуаз" dataDxfId="34"/>
    <tableColumn id="5" xr3:uid="{E91881F4-89DF-4CA8-8787-443661255C2B}" name="d nu0 _x000a_сПуаз" dataDxfId="31"/>
    <tableColumn id="15" xr3:uid="{449D048E-21EB-4390-9181-5E474775AD2E}" name="ro _x000a_г/мл   " dataDxfId="30">
      <calculatedColumnFormula>Эксперимент[[#This Row],[ro
смесь г/мл   ]]</calculatedColumnFormula>
    </tableColumn>
    <tableColumn id="17" xr3:uid="{844CB9F8-1C63-457F-ADDD-70AAF58B2618}" name="D0 _x000a_м2/с" dataDxfId="29">
      <calculatedColumnFormula>Аппроксимация[[#This Row],[nu0 
сПуаз]]/Аппроксимация[[#This Row],[ro 
г/мл   ]]*1000</calculatedColumnFormula>
    </tableColumn>
    <tableColumn id="18" xr3:uid="{7BA4FD43-07A4-4C15-BBD6-C7A3B22FC5DF}" name="ln D0 " dataDxfId="1">
      <calculatedColumnFormula>LN(Аппроксимация[[#This Row],[D0 
м2/с]])</calculatedColumnFormula>
    </tableColumn>
    <tableColumn id="22" xr3:uid="{6E9C14D8-3A36-49B6-B4C2-012E44BCDCFA}" name="d E" dataDxfId="0">
      <calculatedColumnFormula>VLOOKUP(Аппроксимация[[#This Row],[Х]],Таблица12[],2)-Аппроксимация[[#This Row],[Е
 КДж]]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8B0AECA-8ECA-4EC0-842B-5628FA4C9F5F}" name="Таблица12" displayName="Таблица12" ref="S4:T55" totalsRowShown="0" headerRowDxfId="5" dataDxfId="6">
  <autoFilter ref="S4:T55" xr:uid="{EB61DCCC-95D3-478E-9CB9-6521FBDAC904}">
    <filterColumn colId="0" hiddenButton="1"/>
    <filterColumn colId="1" hiddenButton="1"/>
  </autoFilter>
  <tableColumns count="2">
    <tableColumn id="1" xr3:uid="{AA6FAF22-11E0-42F0-99E3-1111C86D0712}" name="x" dataDxfId="3"/>
    <tableColumn id="2" xr3:uid="{0A20EB63-7F78-45D0-9508-B3013E7FA847}" name="E" dataDxfId="4">
      <calculatedColumnFormula>$T$2*Таблица12[[#This Row],[x]]+$S$2*(1-Таблица12[[#This Row],[x]])</calculatedColumnFormula>
    </tableColumn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05E7711-FDB1-4654-ABD5-7AB39C01252B}" name="Спирт_доп" displayName="Спирт_доп" ref="S1:T2" totalsRowShown="0">
  <autoFilter ref="S1:T2" xr:uid="{E0833A3C-C127-4892-9012-7B62ADA9C48E}">
    <filterColumn colId="0" hiddenButton="1"/>
    <filterColumn colId="1" hiddenButton="1"/>
  </autoFilter>
  <tableColumns count="2">
    <tableColumn id="1" xr3:uid="{727CA1B6-BBA1-44D9-9745-C5235BB0FF2A}" name="E 0" dataDxfId="2">
      <calculatedColumnFormula>I5</calculatedColumnFormula>
    </tableColumn>
    <tableColumn id="2" xr3:uid="{6053756B-AA13-4328-8A48-0B487C7AEC64}" name="E 100">
      <calculatedColumnFormula>Спирт!J1</calculatedColumnFormula>
    </tableColumn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D3B64E-5883-4DDC-BE47-CAE203CDCD51}" name="Эксперимент" displayName="Эксперимент" ref="A4:W14" totalsRowShown="0" headerRowDxfId="62" dataDxfId="61">
  <autoFilter ref="A4:W14" xr:uid="{B8DF02FA-3140-484C-B272-AB560FB12BB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</autoFilter>
  <tableColumns count="23">
    <tableColumn id="14" xr3:uid="{77FFFFAD-27FE-4585-A8A5-4920141174AB}" name="#" dataDxfId="56">
      <calculatedColumnFormula>A4+1</calculatedColumnFormula>
    </tableColumn>
    <tableColumn id="17" xr3:uid="{48747F86-4026-4D8A-857D-4C04ECCD38B1}" name="Доп" dataDxfId="53"/>
    <tableColumn id="12" xr3:uid="{1871877F-C7B7-4C72-AF32-DB1A3FABAFCC}" name="m_x000a_стакан" dataDxfId="52"/>
    <tableColumn id="1" xr3:uid="{6A216FEE-C1E1-40E4-815E-5380A5321732}" name="m0_x000a_смесь    _x000a_стакан" dataDxfId="51"/>
    <tableColumn id="2" xr3:uid="{D1757256-BC6C-420E-BEA8-B604BC77F285}" name="m0_x000a_смесь" dataDxfId="45">
      <calculatedColumnFormula>Эксперимент[[#This Row],[m0
смесь    
стакан]]-Эксперимент[[#This Row],[m
стакан]]</calculatedColumnFormula>
    </tableColumn>
    <tableColumn id="3" xr3:uid="{5E2A2C51-8E70-4FD9-9B53-E7837EF2D163}" name="m0_x000a_ОКМ" dataDxfId="44">
      <calculatedColumnFormula>Эксперимент[[#This Row],[m0
смесь]]*(1-Q4)</calculatedColumnFormula>
    </tableColumn>
    <tableColumn id="4" xr3:uid="{D1940891-C2DF-4AB7-A8E2-AF06FDA60F0D}" name="m0_x000a_спирт" dataDxfId="43">
      <calculatedColumnFormula>Эксперимент[[#This Row],[m0
смесь]]*Q4</calculatedColumnFormula>
    </tableColumn>
    <tableColumn id="6" xr3:uid="{78FAF393-3070-4836-B8E9-4D79C52F839F}" name="w%1 т_x000a_спирт " dataDxfId="41">
      <calculatedColumnFormula>H4+0.025</calculatedColumnFormula>
    </tableColumn>
    <tableColumn id="7" xr3:uid="{EA5712E3-E93C-456A-9EDE-9A8CA94753D1}" name="m+ т_x000a_спирт" dataDxfId="42">
      <calculatedColumnFormula>(Эксперимент[[#This Row],[m0
смесь]]*Эксперимент[[#This Row],[w%1 т
спирт ]]-Эксперимент[[#This Row],[m0
спирт]])/(1-Эксперимент[[#This Row],[w%1 т
спирт ]])</calculatedColumnFormula>
    </tableColumn>
    <tableColumn id="8" xr3:uid="{BCA134A9-8EEF-453E-9616-5112E6D2B5D5}" name="V+ т_x000a_спирт" dataDxfId="55">
      <calculatedColumnFormula>Эксперимент[[#This Row],[m+ т
спирт]]/Эксперимент_доп[ro 
спирт]*1000</calculatedColumnFormula>
    </tableColumn>
    <tableColumn id="9" xr3:uid="{36EC5429-FC05-4032-BBD0-3C2B1210A8F9}" name="m1 _x000a_смесь_x000a_стакан" dataDxfId="54"/>
    <tableColumn id="10" xr3:uid="{F3443B4E-6300-47B1-8E7C-FC3BF1A5E3CD}" name="m1_x000a_смеси" dataDxfId="50"/>
    <tableColumn id="11" xr3:uid="{D23B2127-A60A-4E45-A0EF-767833FF7A03}" name="m+_x000a_спирта" dataDxfId="49"/>
    <tableColumn id="15" xr3:uid="{13B47A94-234C-4A1B-B993-FBE523863A83}" name="m2_x000a_смесь_x000a_стакан" dataDxfId="48"/>
    <tableColumn id="13" xr3:uid="{22F644F7-5CB7-438A-9D0D-9E88DE87DE4D}" name="m2_x000a_смеси" dataDxfId="47"/>
    <tableColumn id="16" xr3:uid="{96247A00-C27E-4AC1-85FF-B6D781503BD2}" name="m+_x000a_ОКМ" dataDxfId="40"/>
    <tableColumn id="5" xr3:uid="{896470BD-9890-41DA-8AB1-D5964728C2BF}" name="w%1 _x000a_" dataDxfId="38"/>
    <tableColumn id="18" xr3:uid="{0820FB03-01B9-44DB-82B9-D6B83878BDC8}" name="mП г_x000a_пик" dataDxfId="39"/>
    <tableColumn id="19" xr3:uid="{26D687AE-1683-4A1E-B7EF-88F7CDAEA278}" name="mП г_x000a_смесь    _x000a_пик " dataDxfId="46"/>
    <tableColumn id="20" xr3:uid="{A0C32414-2F25-4C19-AB7C-56D7E5582549}" name="mП г_x000a_смесь     " dataDxfId="27">
      <calculatedColumnFormula>Эксперимент[[#This Row],[mП г
смесь    
пик ]]-Эксперимент[[#This Row],[mП г
пик]]</calculatedColumnFormula>
    </tableColumn>
    <tableColumn id="21" xr3:uid="{9EDFC20E-DF6D-40C2-BDD4-FD2ADF247B6C}" name="ro_x000a_смесь г/мл   " dataDxfId="25">
      <calculatedColumnFormula>Эксперимент[[#This Row],[mП г
смесь     ]]/Плотности_доп[V пик мл]</calculatedColumnFormula>
    </tableColumn>
    <tableColumn id="22" xr3:uid="{C0681BE5-CAF9-4795-84C4-D0BAD37D47FB}" name="C спирт М " dataDxfId="26">
      <calculatedColumnFormula>Эксперимент[[#This Row],[w%1 
]]*Эксперимент[[#This Row],[mП г
смесь     ]]/Плотности_доп[M спирт г/моль]*1000</calculatedColumnFormula>
    </tableColumn>
    <tableColumn id="23" xr3:uid="{BCE0D3E6-5855-4685-8CB4-47083FF3D99D}" name="С ОКМ_x000a_М" dataDxfId="28">
      <calculatedColumnFormula>(1-Эксперимент[[#This Row],[w%1 
]])*Эксперимент[[#This Row],[mП г
смесь     ]]/Плотности_доп[M ОКМ г/моль]*1000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6E47B1-38C6-4891-933F-DFE3ED9B6D33}" name="Эксперимент_доп" displayName="Эксперимент_доп" ref="J1:J2" totalsRowShown="0" headerRowDxfId="60" dataDxfId="59">
  <autoFilter ref="J1:J2" xr:uid="{FE5521C9-5D13-479F-9E53-564B5B98F3E0}">
    <filterColumn colId="0" hiddenButton="1"/>
  </autoFilter>
  <tableColumns count="1">
    <tableColumn id="2" xr3:uid="{A6AA64F7-0B92-4711-9CE9-3080CD0125E2}" name="ro _x000a_спирт" dataDxfId="5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7E4BF77-3067-4CAF-B1D9-890373194B67}" name="Плотности_доп" displayName="Плотности_доп" ref="U1:W2" totalsRowShown="0" headerRowDxfId="32">
  <autoFilter ref="U1:W2" xr:uid="{06838B1B-BD17-4A05-B569-F0CD134B544A}">
    <filterColumn colId="0" hiddenButton="1"/>
    <filterColumn colId="1" hiddenButton="1"/>
    <filterColumn colId="2" hiddenButton="1"/>
  </autoFilter>
  <tableColumns count="3">
    <tableColumn id="1" xr3:uid="{C6092255-D8A4-4303-AA2E-2FEDFB5AEBE4}" name="V пик мл"/>
    <tableColumn id="2" xr3:uid="{4A3DA19E-44CA-4CCA-9D90-60CCFA0CEA99}" name="M спирт г/моль"/>
    <tableColumn id="3" xr3:uid="{FAAFFE1A-3167-443F-8CC6-CA14DE9F9D75}" name="M ОКМ г/моль"/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DEB74B0-7CC0-426B-AF13-D49846CEA263}" name="Таблица11" displayName="Таблица11" ref="A4:G25" totalsRowShown="0" headerRowDxfId="18" dataDxfId="17" headerRowBorderDxfId="15" tableBorderDxfId="16" totalsRowBorderDxfId="14">
  <autoFilter ref="A4:G25" xr:uid="{FBEE8ADA-637B-4A6C-9151-BF70C924F85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4646E664-44DF-45A5-8228-5F811DE71838}" name="t_x000a_C" dataDxfId="13" dataCellStyle="Обычный_Спирт"/>
    <tableColumn id="2" xr3:uid="{B55F4A07-4D55-496A-98F4-7923D8F9F3D3}" name="ro _x000a_кг/м" dataDxfId="12" dataCellStyle="Обычный_Спирт"/>
    <tableColumn id="3" xr3:uid="{ED4CBB59-1BA5-4214-BACA-64678EE13752}" name="nu *106 Па с" dataDxfId="11" dataCellStyle="Обычный_Спирт"/>
    <tableColumn id="4" xr3:uid="{DD1EE465-F62F-4809-907D-A262F14D304E}" name="1/T _x000a_K-1" dataDxfId="10">
      <calculatedColumnFormula>1/(Таблица11[[#This Row],[t
C]]+273.15)</calculatedColumnFormula>
    </tableColumn>
    <tableColumn id="5" xr3:uid="{764FF33D-1A62-4388-9118-018F46291530}" name="D _x000a_м2/с" dataDxfId="9">
      <calculatedColumnFormula>Таблица11[[#This Row],[nu *106 Па с]]/10^6/Таблица11[[#This Row],[ro 
кг/м]]</calculatedColumnFormula>
    </tableColumn>
    <tableColumn id="6" xr3:uid="{C8442FD2-4608-4C95-B225-0E3ADEA9ED66}" name="ln D" dataDxfId="8" dataCellStyle="Обычный_Спирт">
      <calculatedColumnFormula>LN(Таблица11[[#This Row],[D 
м2/с]])</calculatedColumnFormula>
    </tableColumn>
    <tableColumn id="7" xr3:uid="{337716AD-8BD8-4B19-9056-D73C3EDF7D5A}" name="ln nu" dataDxfId="7">
      <calculatedColumnFormula>LN(Таблица11[[#This Row],[nu *106 Па с]]/1000)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E769D-F7E2-4A6F-B56C-69A3DD7B28E0}">
  <sheetPr>
    <tabColor rgb="FF00B050"/>
  </sheetPr>
  <dimension ref="A1:T55"/>
  <sheetViews>
    <sheetView tabSelected="1" topLeftCell="B1" zoomScale="115" zoomScaleNormal="115" workbookViewId="0">
      <selection activeCell="O22" sqref="O22"/>
    </sheetView>
  </sheetViews>
  <sheetFormatPr defaultRowHeight="14.4" x14ac:dyDescent="0.3"/>
  <cols>
    <col min="1" max="1" width="24.44140625" hidden="1" customWidth="1"/>
    <col min="2" max="2" width="3.6640625" customWidth="1"/>
    <col min="3" max="3" width="12.6640625" bestFit="1" customWidth="1"/>
    <col min="4" max="4" width="8.21875" customWidth="1"/>
    <col min="5" max="5" width="8.44140625" customWidth="1"/>
    <col min="6" max="7" width="7.5546875" customWidth="1"/>
    <col min="8" max="8" width="9.21875" customWidth="1"/>
    <col min="9" max="9" width="7.88671875" customWidth="1"/>
    <col min="10" max="10" width="7.5546875" customWidth="1"/>
    <col min="11" max="12" width="9.21875" customWidth="1"/>
    <col min="17" max="17" width="2.77734375" customWidth="1"/>
  </cols>
  <sheetData>
    <row r="1" spans="1:20" s="95" customFormat="1" ht="15.6" customHeight="1" x14ac:dyDescent="0.3">
      <c r="H1" s="7"/>
      <c r="I1" s="7"/>
      <c r="J1" s="96"/>
      <c r="S1" t="s">
        <v>63</v>
      </c>
      <c r="T1" t="s">
        <v>62</v>
      </c>
    </row>
    <row r="2" spans="1:20" x14ac:dyDescent="0.3">
      <c r="H2" s="4"/>
      <c r="I2" s="5"/>
      <c r="J2" s="97"/>
      <c r="K2" s="4"/>
      <c r="S2" s="108">
        <f>I5</f>
        <v>57.308994106791218</v>
      </c>
      <c r="T2">
        <f>Спирт!J1</f>
        <v>18.781326</v>
      </c>
    </row>
    <row r="4" spans="1:20" ht="43.2" x14ac:dyDescent="0.3">
      <c r="A4" s="63" t="s">
        <v>32</v>
      </c>
      <c r="B4" s="64" t="s">
        <v>13</v>
      </c>
      <c r="C4" s="65" t="s">
        <v>31</v>
      </c>
      <c r="D4" s="11" t="s">
        <v>29</v>
      </c>
      <c r="E4" s="11" t="s">
        <v>30</v>
      </c>
      <c r="F4" s="11" t="s">
        <v>45</v>
      </c>
      <c r="G4" s="11" t="s">
        <v>46</v>
      </c>
      <c r="H4" s="11" t="s">
        <v>52</v>
      </c>
      <c r="I4" s="11" t="s">
        <v>49</v>
      </c>
      <c r="J4" s="11" t="s">
        <v>53</v>
      </c>
      <c r="K4" s="11" t="s">
        <v>47</v>
      </c>
      <c r="L4" s="11" t="s">
        <v>48</v>
      </c>
      <c r="M4" s="92" t="s">
        <v>50</v>
      </c>
      <c r="N4" s="93" t="s">
        <v>51</v>
      </c>
      <c r="O4" s="10" t="s">
        <v>41</v>
      </c>
      <c r="P4" s="10" t="s">
        <v>65</v>
      </c>
      <c r="Q4" s="65"/>
      <c r="S4" s="110" t="s">
        <v>64</v>
      </c>
      <c r="T4" s="110" t="s">
        <v>54</v>
      </c>
    </row>
    <row r="5" spans="1:20" ht="15.6" x14ac:dyDescent="0.3">
      <c r="A5" t="s">
        <v>19</v>
      </c>
      <c r="B5" s="66">
        <v>1</v>
      </c>
      <c r="C5" s="67" t="s">
        <v>18</v>
      </c>
      <c r="D5" s="71">
        <f>Эксперимент!H5</f>
        <v>0</v>
      </c>
      <c r="E5" s="72">
        <f>Эксперимент!Q5</f>
        <v>0</v>
      </c>
      <c r="F5" s="89">
        <f>Эксперимент[[#This Row],[C спирт М ]]</f>
        <v>0</v>
      </c>
      <c r="G5" s="90">
        <f>Эксперимент[[#This Row],[С ОКМ
М]]</f>
        <v>50</v>
      </c>
      <c r="H5" s="94">
        <f>Аппроксимация[[#This Row],[C  спирт 
М ]]/(Аппроксимация[[#This Row],[C  спирт 
М ]]+Аппроксимация[[#This Row],[C ОКМ
М ]])</f>
        <v>0</v>
      </c>
      <c r="I5" s="91">
        <v>57.308994106791218</v>
      </c>
      <c r="J5" s="68">
        <v>9.5369126267094373E-2</v>
      </c>
      <c r="K5" s="69">
        <v>1.178113197003577E-8</v>
      </c>
      <c r="L5" s="70">
        <v>4.56452840393914E-10</v>
      </c>
      <c r="M5" s="80">
        <f>Эксперимент[[#This Row],[ro
смесь г/мл   ]]</f>
        <v>1</v>
      </c>
      <c r="N5" s="81">
        <f>Аппроксимация[[#This Row],[nu0 
сПуаз]]/Аппроксимация[[#This Row],[ro 
г/мл   ]]*1000</f>
        <v>1.178113197003577E-5</v>
      </c>
      <c r="O5">
        <f>LN(Аппроксимация[[#This Row],[D0 
м2/с]])</f>
        <v>-11.349011291824677</v>
      </c>
      <c r="P5" s="112">
        <f>VLOOKUP(Аппроксимация[[#This Row],[Х]],Таблица12[],2)-Аппроксимация[[#This Row],[Е
 КДж]]</f>
        <v>0</v>
      </c>
      <c r="S5" s="111">
        <v>0</v>
      </c>
      <c r="T5" s="109">
        <f>$T$2*Таблица12[[#This Row],[x]]+$S$2*(1-Таблица12[[#This Row],[x]])</f>
        <v>57.308994106791218</v>
      </c>
    </row>
    <row r="6" spans="1:20" ht="15.6" x14ac:dyDescent="0.3">
      <c r="B6" s="66">
        <v>2</v>
      </c>
      <c r="C6" s="67" t="s">
        <v>20</v>
      </c>
      <c r="D6" s="71">
        <f>Эксперимент!H6</f>
        <v>2.5000000000000001E-2</v>
      </c>
      <c r="E6" s="72">
        <f>Эксперимент!Q6</f>
        <v>2.3944155058826376E-2</v>
      </c>
      <c r="F6" s="89">
        <f>Эксперимент[[#This Row],[C спирт М ]]</f>
        <v>1.6152290244756056</v>
      </c>
      <c r="G6" s="90">
        <f>Эксперимент[[#This Row],[С ОКМ
М]]</f>
        <v>48.802792247058676</v>
      </c>
      <c r="H6" s="94">
        <f>Аппроксимация[[#This Row],[C  спирт 
М ]]/(Аппроксимация[[#This Row],[C  спирт 
М ]]+Аппроксимация[[#This Row],[C ОКМ
М ]])</f>
        <v>3.2036739716073598E-2</v>
      </c>
      <c r="I6" s="91">
        <v>49.847994012296063</v>
      </c>
      <c r="J6" s="68">
        <v>0.15223222030175171</v>
      </c>
      <c r="K6" s="69">
        <v>1.7200005603909319E-7</v>
      </c>
      <c r="L6" s="70">
        <v>1.036206814829991E-8</v>
      </c>
      <c r="M6" s="80">
        <f>Эксперимент[[#This Row],[ro
смесь г/мл   ]]</f>
        <v>1</v>
      </c>
      <c r="N6" s="81">
        <f>Аппроксимация[[#This Row],[nu0 
сПуаз]]/Аппроксимация[[#This Row],[ro 
г/мл   ]]*1000</f>
        <v>1.7200005603909319E-4</v>
      </c>
      <c r="O6">
        <f>LN(Аппроксимация[[#This Row],[D0 
м2/с]])</f>
        <v>-8.6680157553421928</v>
      </c>
      <c r="P6" s="112">
        <f>VLOOKUP(Аппроксимация[[#This Row],[Х]],Таблица12[],2)-Аппроксимация[[#This Row],[Е
 КДж]]</f>
        <v>6.6904467323593266</v>
      </c>
      <c r="S6" s="111">
        <v>0.02</v>
      </c>
      <c r="T6" s="109">
        <f>$T$2*Таблица12[[#This Row],[x]]+$S$2*(1-Таблица12[[#This Row],[x]])</f>
        <v>56.538440744655389</v>
      </c>
    </row>
    <row r="7" spans="1:20" ht="15.6" hidden="1" x14ac:dyDescent="0.3">
      <c r="A7" s="6" t="s">
        <v>28</v>
      </c>
      <c r="B7" s="66">
        <v>3</v>
      </c>
      <c r="C7" s="73"/>
      <c r="D7" s="77">
        <f>Эксперимент!H7</f>
        <v>0.05</v>
      </c>
      <c r="E7" s="78">
        <f>Эксперимент!Q7</f>
        <v>2.1915807405558006E-2</v>
      </c>
      <c r="F7" s="89">
        <f>Эксперимент[[#This Row],[C спирт М ]]</f>
        <v>1.4784003916323534</v>
      </c>
      <c r="G7" s="90">
        <f>Эксперимент[[#This Row],[С ОКМ
М]]</f>
        <v>48.904209629722104</v>
      </c>
      <c r="H7" s="94">
        <f>Аппроксимация[[#This Row],[C  спирт 
М ]]/(Аппроксимация[[#This Row],[C  спирт 
М ]]+Аппроксимация[[#This Row],[C ОКМ
М ]])</f>
        <v>2.9343465751491229E-2</v>
      </c>
      <c r="I7" s="91"/>
      <c r="J7" s="74"/>
      <c r="K7" s="75"/>
      <c r="L7" s="76"/>
      <c r="M7" s="80">
        <f>Эксперимент[[#This Row],[ro
смесь г/мл   ]]</f>
        <v>1</v>
      </c>
      <c r="N7" s="81">
        <f>Аппроксимация[[#This Row],[nu0 
сПуаз]]/Аппроксимация[[#This Row],[ro 
г/мл   ]]*1000</f>
        <v>0</v>
      </c>
      <c r="O7" t="e">
        <f>LN(Аппроксимация[[#This Row],[D0 
м2/с]])</f>
        <v>#NUM!</v>
      </c>
      <c r="P7" s="112">
        <f>VLOOKUP(Аппроксимация[[#This Row],[Х]],Таблица12[],2)-Аппроксимация[[#This Row],[Е
 КДж]]</f>
        <v>56.538440744655389</v>
      </c>
      <c r="S7" s="111">
        <v>0.04</v>
      </c>
      <c r="T7" s="109">
        <f>$T$2*Таблица12[[#This Row],[x]]+$S$2*(1-Таблица12[[#This Row],[x]])</f>
        <v>55.767887382519568</v>
      </c>
    </row>
    <row r="8" spans="1:20" ht="15.6" x14ac:dyDescent="0.3">
      <c r="B8" s="66">
        <v>4</v>
      </c>
      <c r="C8" s="67" t="s">
        <v>21</v>
      </c>
      <c r="D8" s="71">
        <f>Эксперимент!H8</f>
        <v>0.05</v>
      </c>
      <c r="E8" s="72">
        <f>Эксперимент!Q8</f>
        <v>4.9824267685908662E-2</v>
      </c>
      <c r="F8" s="89">
        <f>Эксперимент[[#This Row],[C спирт М ]]</f>
        <v>3.3610542151854195</v>
      </c>
      <c r="G8" s="90">
        <f>Эксперимент[[#This Row],[С ОКМ
М]]</f>
        <v>47.508786615704572</v>
      </c>
      <c r="H8" s="94">
        <f>Аппроксимация[[#This Row],[C  спирт 
М ]]/(Аппроксимация[[#This Row],[C  спирт 
М ]]+Аппроксимация[[#This Row],[C ОКМ
М ]])</f>
        <v>6.6071647960503674E-2</v>
      </c>
      <c r="I8" s="91">
        <v>49.805519375865757</v>
      </c>
      <c r="J8" s="68">
        <v>0.13807673174168039</v>
      </c>
      <c r="K8" s="69">
        <v>1.3824063760869289E-7</v>
      </c>
      <c r="L8" s="70">
        <v>7.7180897758757693E-9</v>
      </c>
      <c r="M8" s="80">
        <f>Эксперимент[[#This Row],[ro
смесь г/мл   ]]</f>
        <v>1</v>
      </c>
      <c r="N8" s="81">
        <f>Аппроксимация[[#This Row],[nu0 
сПуаз]]/Аппроксимация[[#This Row],[ro 
г/мл   ]]*1000</f>
        <v>1.382406376086929E-4</v>
      </c>
      <c r="O8">
        <f>LN(Аппроксимация[[#This Row],[D0 
м2/с]])</f>
        <v>-8.8865146405877642</v>
      </c>
      <c r="P8" s="112">
        <f>VLOOKUP(Аппроксимация[[#This Row],[Х]],Таблица12[],2)-Аппроксимация[[#This Row],[Е
 КДж]]</f>
        <v>5.1918146445179829</v>
      </c>
      <c r="S8" s="111">
        <v>0.06</v>
      </c>
      <c r="T8" s="109">
        <f>$T$2*Таблица12[[#This Row],[x]]+$S$2*(1-Таблица12[[#This Row],[x]])</f>
        <v>54.99733402038374</v>
      </c>
    </row>
    <row r="9" spans="1:20" ht="15.6" x14ac:dyDescent="0.3">
      <c r="B9" s="66">
        <v>5</v>
      </c>
      <c r="C9" s="67" t="s">
        <v>22</v>
      </c>
      <c r="D9" s="71">
        <f>Эксперимент!H9</f>
        <v>7.5000000000000011E-2</v>
      </c>
      <c r="E9" s="72">
        <f>Эксперимент!Q9</f>
        <v>7.6005085117237983E-2</v>
      </c>
      <c r="F9" s="89">
        <f>Эксперимент[[#This Row],[C спирт М ]]</f>
        <v>5.1271644034834036</v>
      </c>
      <c r="G9" s="90">
        <f>Эксперимент[[#This Row],[С ОКМ
М]]</f>
        <v>46.199745744138099</v>
      </c>
      <c r="H9" s="94">
        <f>Аппроксимация[[#This Row],[C  спирт 
М ]]/(Аппроксимация[[#This Row],[C  спирт 
М ]]+Аппроксимация[[#This Row],[C ОКМ
М ]])</f>
        <v>9.9892325268307561E-2</v>
      </c>
      <c r="I9" s="91">
        <v>45.193687036460702</v>
      </c>
      <c r="J9" s="68">
        <v>0.16591155016473641</v>
      </c>
      <c r="K9" s="69">
        <v>6.7665117322632459E-7</v>
      </c>
      <c r="L9" s="70">
        <v>4.5059385738774732E-8</v>
      </c>
      <c r="M9" s="80">
        <f>Эксперимент[[#This Row],[ro
смесь г/мл   ]]</f>
        <v>1</v>
      </c>
      <c r="N9" s="81">
        <f>Аппроксимация[[#This Row],[nu0 
сПуаз]]/Аппроксимация[[#This Row],[ro 
г/мл   ]]*1000</f>
        <v>6.7665117322632457E-4</v>
      </c>
      <c r="O9">
        <f>LN(Аппроксимация[[#This Row],[D0 
м2/с]])</f>
        <v>-7.2983546715685499</v>
      </c>
      <c r="P9" s="112">
        <f>VLOOKUP(Аппроксимация[[#This Row],[Х]],Таблица12[],2)-Аппроксимация[[#This Row],[Е
 КДж]]</f>
        <v>9.0330936217872235</v>
      </c>
      <c r="S9" s="111">
        <v>0.08</v>
      </c>
      <c r="T9" s="109">
        <f>$T$2*Таблица12[[#This Row],[x]]+$S$2*(1-Таблица12[[#This Row],[x]])</f>
        <v>54.226780658247925</v>
      </c>
    </row>
    <row r="10" spans="1:20" ht="15.6" x14ac:dyDescent="0.3">
      <c r="B10" s="66">
        <v>6</v>
      </c>
      <c r="C10" s="67" t="s">
        <v>23</v>
      </c>
      <c r="D10" s="71">
        <f>Эксперимент!H10</f>
        <v>0.1</v>
      </c>
      <c r="E10" s="72">
        <f>Эксперимент!Q10</f>
        <v>0.10071871677750344</v>
      </c>
      <c r="F10" s="89">
        <f>Эксперимент[[#This Row],[C спирт М ]]</f>
        <v>6.7943009159136158</v>
      </c>
      <c r="G10" s="90">
        <f>Эксперимент[[#This Row],[С ОКМ
М]]</f>
        <v>44.964064161124824</v>
      </c>
      <c r="H10" s="94">
        <f>Аппроксимация[[#This Row],[C  спирт 
М ]]/(Аппроксимация[[#This Row],[C  спирт 
М ]]+Аппроксимация[[#This Row],[C ОКМ
М ]])</f>
        <v>0.13126962000829834</v>
      </c>
      <c r="I10" s="91">
        <v>40.779651191999328</v>
      </c>
      <c r="J10" s="68">
        <v>0.1248973519913186</v>
      </c>
      <c r="K10" s="69">
        <v>3.193288160121095E-6</v>
      </c>
      <c r="L10" s="70">
        <v>1.5820023514922191E-7</v>
      </c>
      <c r="M10" s="80">
        <f>Эксперимент[[#This Row],[ro
смесь г/мл   ]]</f>
        <v>1</v>
      </c>
      <c r="N10" s="81">
        <f>Аппроксимация[[#This Row],[nu0 
сПуаз]]/Аппроксимация[[#This Row],[ro 
г/мл   ]]*1000</f>
        <v>3.1932881601210951E-3</v>
      </c>
      <c r="O10">
        <f>LN(Аппроксимация[[#This Row],[D0 
м2/с]])</f>
        <v>-5.7467041218674009</v>
      </c>
      <c r="P10" s="112">
        <f>VLOOKUP(Аппроксимация[[#This Row],[Х]],Таблица12[],2)-Аппроксимация[[#This Row],[Е
 КДж]]</f>
        <v>11.90602274197694</v>
      </c>
      <c r="S10" s="111">
        <v>0.1</v>
      </c>
      <c r="T10" s="109">
        <f>$T$2*Таблица12[[#This Row],[x]]+$S$2*(1-Таблица12[[#This Row],[x]])</f>
        <v>53.456227296112097</v>
      </c>
    </row>
    <row r="11" spans="1:20" ht="15.6" x14ac:dyDescent="0.3">
      <c r="B11" s="66">
        <v>7</v>
      </c>
      <c r="C11" s="67" t="s">
        <v>24</v>
      </c>
      <c r="D11" s="71">
        <f>Эксперимент!H11</f>
        <v>0.125</v>
      </c>
      <c r="E11" s="72">
        <f>Эксперимент!Q11</f>
        <v>0.12304530681084216</v>
      </c>
      <c r="F11" s="89">
        <f>Эксперимент[[#This Row],[C спирт М ]]</f>
        <v>8.3004119543201664</v>
      </c>
      <c r="G11" s="90">
        <f>Эксперимент[[#This Row],[С ОКМ
М]]</f>
        <v>43.847734659457899</v>
      </c>
      <c r="H11" s="94">
        <f>Аппроксимация[[#This Row],[C  спирт 
М ]]/(Аппроксимация[[#This Row],[C  спирт 
М ]]+Аппроксимация[[#This Row],[C ОКМ
М ]])</f>
        <v>0.15916983619370115</v>
      </c>
      <c r="I11" s="91">
        <v>42.259748749228137</v>
      </c>
      <c r="J11" s="68">
        <v>9.8496463504233134E-2</v>
      </c>
      <c r="K11" s="69">
        <v>1.4991554928338761E-6</v>
      </c>
      <c r="L11" s="70">
        <v>5.9740134564524842E-8</v>
      </c>
      <c r="M11" s="80">
        <f>Эксперимент[[#This Row],[ro
смесь г/мл   ]]</f>
        <v>1</v>
      </c>
      <c r="N11" s="81">
        <f>Аппроксимация[[#This Row],[nu0 
сПуаз]]/Аппроксимация[[#This Row],[ro 
г/мл   ]]*1000</f>
        <v>1.499155492833876E-3</v>
      </c>
      <c r="O11">
        <f>LN(Аппроксимация[[#This Row],[D0 
м2/с]])</f>
        <v>-6.5028533341980896</v>
      </c>
      <c r="P11" s="112">
        <f>VLOOKUP(Аппроксимация[[#This Row],[Х]],Таблица12[],2)-Аппроксимация[[#This Row],[Е
 КДж]]</f>
        <v>9.6553718226123095</v>
      </c>
      <c r="S11" s="111">
        <v>0.12</v>
      </c>
      <c r="T11" s="109">
        <f>$T$2*Таблица12[[#This Row],[x]]+$S$2*(1-Таблица12[[#This Row],[x]])</f>
        <v>52.685673933976268</v>
      </c>
    </row>
    <row r="12" spans="1:20" ht="15.6" x14ac:dyDescent="0.3">
      <c r="B12" s="66">
        <v>8</v>
      </c>
      <c r="C12" s="67" t="s">
        <v>25</v>
      </c>
      <c r="D12" s="71">
        <f>Эксперимент!H12</f>
        <v>0.15</v>
      </c>
      <c r="E12" s="72">
        <f>Эксперимент!Q12</f>
        <v>0.14917583903957765</v>
      </c>
      <c r="F12" s="89">
        <f>Эксперимент[[#This Row],[C спирт М ]]</f>
        <v>10.063129994574854</v>
      </c>
      <c r="G12" s="90">
        <f>Эксперимент[[#This Row],[С ОКМ
М]]</f>
        <v>42.541208048021112</v>
      </c>
      <c r="H12" s="94">
        <f>Аппроксимация[[#This Row],[C  спирт 
М ]]/(Аппроксимация[[#This Row],[C  спирт 
М ]]+Аппроксимация[[#This Row],[C ОКМ
М ]])</f>
        <v>0.19129848162762375</v>
      </c>
      <c r="I12" s="91">
        <v>38.162234976018958</v>
      </c>
      <c r="J12" s="68">
        <v>9.9940624759899066E-2</v>
      </c>
      <c r="K12" s="69">
        <v>6.4857140827831011E-6</v>
      </c>
      <c r="L12" s="70">
        <v>2.6012368310347772E-7</v>
      </c>
      <c r="M12" s="80">
        <f>Эксперимент[[#This Row],[ro
смесь г/мл   ]]</f>
        <v>1</v>
      </c>
      <c r="N12" s="81">
        <f>Аппроксимация[[#This Row],[nu0 
сПуаз]]/Аппроксимация[[#This Row],[ro 
г/мл   ]]*1000</f>
        <v>6.4857140827831007E-3</v>
      </c>
      <c r="O12">
        <f>LN(Аппроксимация[[#This Row],[D0 
м2/с]])</f>
        <v>-5.0381533542790979</v>
      </c>
      <c r="P12" s="112">
        <f>VLOOKUP(Аппроксимация[[#This Row],[Х]],Таблица12[],2)-Аппроксимация[[#This Row],[Е
 КДж]]</f>
        <v>12.211778871549839</v>
      </c>
      <c r="S12" s="111">
        <v>0.14000000000000001</v>
      </c>
      <c r="T12" s="109">
        <f>$T$2*Таблица12[[#This Row],[x]]+$S$2*(1-Таблица12[[#This Row],[x]])</f>
        <v>51.915120571840447</v>
      </c>
    </row>
    <row r="13" spans="1:20" ht="15.6" x14ac:dyDescent="0.3">
      <c r="B13" s="66">
        <v>9</v>
      </c>
      <c r="C13" s="67" t="s">
        <v>26</v>
      </c>
      <c r="D13" s="71">
        <f>Эксперимент!H13</f>
        <v>0.17499999999999999</v>
      </c>
      <c r="E13" s="72">
        <f>Эксперимент!Q13</f>
        <v>0.17491828063571971</v>
      </c>
      <c r="F13" s="89">
        <f>Эксперимент[[#This Row],[C спирт М ]]</f>
        <v>11.799668148658911</v>
      </c>
      <c r="G13" s="90">
        <f>Эксперимент[[#This Row],[С ОКМ
М]]</f>
        <v>41.254085968214014</v>
      </c>
      <c r="H13" s="94">
        <f>Аппроксимация[[#This Row],[C  спирт 
М ]]/(Аппроксимация[[#This Row],[C  спирт 
М ]]+Аппроксимация[[#This Row],[C ОКМ
М ]])</f>
        <v>0.22240967383128521</v>
      </c>
      <c r="I13" s="91">
        <v>38.113817416143988</v>
      </c>
      <c r="J13" s="68">
        <v>9.2017913830858333E-2</v>
      </c>
      <c r="K13" s="69">
        <v>5.8282016880635814E-6</v>
      </c>
      <c r="L13" s="70">
        <v>2.1786897207357509E-7</v>
      </c>
      <c r="M13" s="80">
        <f>Эксперимент[[#This Row],[ro
смесь г/мл   ]]</f>
        <v>1</v>
      </c>
      <c r="N13" s="81">
        <f>Аппроксимация[[#This Row],[nu0 
сПуаз]]/Аппроксимация[[#This Row],[ro 
г/мл   ]]*1000</f>
        <v>5.8282016880635817E-3</v>
      </c>
      <c r="O13">
        <f>LN(Аппроксимация[[#This Row],[D0 
м2/с]])</f>
        <v>-5.1450467845109182</v>
      </c>
      <c r="P13" s="112">
        <f>VLOOKUP(Аппроксимация[[#This Row],[Х]],Таблица12[],2)-Аппроксимация[[#This Row],[Е
 КДж]]</f>
        <v>10.719089707153159</v>
      </c>
      <c r="S13" s="111">
        <v>0.16</v>
      </c>
      <c r="T13" s="109">
        <f>$T$2*Таблица12[[#This Row],[x]]+$S$2*(1-Таблица12[[#This Row],[x]])</f>
        <v>51.144567209704618</v>
      </c>
    </row>
    <row r="14" spans="1:20" ht="15.6" x14ac:dyDescent="0.3">
      <c r="B14" s="66">
        <v>10</v>
      </c>
      <c r="C14" s="67" t="s">
        <v>27</v>
      </c>
      <c r="D14" s="71">
        <f>Эксперимент!H14</f>
        <v>0.19999999999999998</v>
      </c>
      <c r="E14" s="72">
        <f>Эксперимент!Q14</f>
        <v>0.19994567897439963</v>
      </c>
      <c r="F14" s="89">
        <f>Эксперимент[[#This Row],[C спирт М ]]</f>
        <v>13.487970788882867</v>
      </c>
      <c r="G14" s="90">
        <f>Эксперимент[[#This Row],[С ОКМ
М]]</f>
        <v>40.002716051280018</v>
      </c>
      <c r="H14" s="94">
        <f>Аппроксимация[[#This Row],[C  спирт 
М ]]/(Аппроксимация[[#This Row],[C  спирт 
М ]]+Аппроксимация[[#This Row],[C ОКМ
М ]])</f>
        <v>0.25215549819329625</v>
      </c>
      <c r="I14" s="91">
        <v>37.810807316407811</v>
      </c>
      <c r="J14" s="68">
        <v>9.1114957061982693E-2</v>
      </c>
      <c r="K14" s="69">
        <v>5.8702924578367343E-6</v>
      </c>
      <c r="L14" s="70">
        <v>2.1572073373871701E-7</v>
      </c>
      <c r="M14" s="80">
        <f>Эксперимент[[#This Row],[ro
смесь г/мл   ]]</f>
        <v>1</v>
      </c>
      <c r="N14" s="81">
        <f>Аппроксимация[[#This Row],[nu0 
сПуаз]]/Аппроксимация[[#This Row],[ro 
г/мл   ]]*1000</f>
        <v>5.8702924578367347E-3</v>
      </c>
      <c r="O14">
        <f>LN(Аппроксимация[[#This Row],[D0 
м2/с]])</f>
        <v>-5.1378508239238201</v>
      </c>
      <c r="P14" s="112">
        <f>VLOOKUP(Аппроксимация[[#This Row],[Х]],Таблица12[],2)-Аппроксимация[[#This Row],[Е
 КДж]]</f>
        <v>10.251546444753508</v>
      </c>
      <c r="S14" s="111">
        <v>0.18</v>
      </c>
      <c r="T14" s="109">
        <f>$T$2*Таблица12[[#This Row],[x]]+$S$2*(1-Таблица12[[#This Row],[x]])</f>
        <v>50.374013847568797</v>
      </c>
    </row>
    <row r="15" spans="1:20" ht="15.6" x14ac:dyDescent="0.3">
      <c r="S15" s="111">
        <v>0.2</v>
      </c>
      <c r="T15" s="109">
        <f>$T$2*Таблица12[[#This Row],[x]]+$S$2*(1-Таблица12[[#This Row],[x]])</f>
        <v>49.603460485432976</v>
      </c>
    </row>
    <row r="16" spans="1:20" ht="15.6" x14ac:dyDescent="0.3">
      <c r="S16" s="111">
        <v>0.22</v>
      </c>
      <c r="T16" s="109">
        <f>$T$2*Таблица12[[#This Row],[x]]+$S$2*(1-Таблица12[[#This Row],[x]])</f>
        <v>48.832907123297147</v>
      </c>
    </row>
    <row r="17" spans="19:20" ht="15.6" x14ac:dyDescent="0.3">
      <c r="S17" s="111">
        <v>0.24</v>
      </c>
      <c r="T17" s="109">
        <f>$T$2*Таблица12[[#This Row],[x]]+$S$2*(1-Таблица12[[#This Row],[x]])</f>
        <v>48.062353761161319</v>
      </c>
    </row>
    <row r="18" spans="19:20" ht="15.6" x14ac:dyDescent="0.3">
      <c r="S18" s="111">
        <v>0.26</v>
      </c>
      <c r="T18" s="109">
        <f>$T$2*Таблица12[[#This Row],[x]]+$S$2*(1-Таблица12[[#This Row],[x]])</f>
        <v>47.291800399025504</v>
      </c>
    </row>
    <row r="19" spans="19:20" ht="15.6" x14ac:dyDescent="0.3">
      <c r="S19" s="111">
        <v>0.28000000000000003</v>
      </c>
      <c r="T19" s="109">
        <f>$T$2*Таблица12[[#This Row],[x]]+$S$2*(1-Таблица12[[#This Row],[x]])</f>
        <v>46.521247036889676</v>
      </c>
    </row>
    <row r="20" spans="19:20" ht="15.6" x14ac:dyDescent="0.3">
      <c r="S20" s="111">
        <v>0.3</v>
      </c>
      <c r="T20" s="109">
        <f>$T$2*Таблица12[[#This Row],[x]]+$S$2*(1-Таблица12[[#This Row],[x]])</f>
        <v>45.750693674753855</v>
      </c>
    </row>
    <row r="21" spans="19:20" ht="15.6" x14ac:dyDescent="0.3">
      <c r="S21" s="111">
        <v>0.32</v>
      </c>
      <c r="T21" s="109">
        <f>$T$2*Таблица12[[#This Row],[x]]+$S$2*(1-Таблица12[[#This Row],[x]])</f>
        <v>44.980140312618026</v>
      </c>
    </row>
    <row r="22" spans="19:20" ht="15.6" x14ac:dyDescent="0.3">
      <c r="S22" s="111">
        <v>0.34</v>
      </c>
      <c r="T22" s="109">
        <f>$T$2*Таблица12[[#This Row],[x]]+$S$2*(1-Таблица12[[#This Row],[x]])</f>
        <v>44.209586950482205</v>
      </c>
    </row>
    <row r="23" spans="19:20" ht="15.6" x14ac:dyDescent="0.3">
      <c r="S23" s="111">
        <v>0.36</v>
      </c>
      <c r="T23" s="109">
        <f>$T$2*Таблица12[[#This Row],[x]]+$S$2*(1-Таблица12[[#This Row],[x]])</f>
        <v>43.439033588346383</v>
      </c>
    </row>
    <row r="24" spans="19:20" ht="15.6" x14ac:dyDescent="0.3">
      <c r="S24" s="111">
        <v>0.38</v>
      </c>
      <c r="T24" s="109">
        <f>$T$2*Таблица12[[#This Row],[x]]+$S$2*(1-Таблица12[[#This Row],[x]])</f>
        <v>42.668480226210555</v>
      </c>
    </row>
    <row r="25" spans="19:20" ht="15.6" x14ac:dyDescent="0.3">
      <c r="S25" s="111">
        <v>0.4</v>
      </c>
      <c r="T25" s="109">
        <f>$T$2*Таблица12[[#This Row],[x]]+$S$2*(1-Таблица12[[#This Row],[x]])</f>
        <v>41.897926864074734</v>
      </c>
    </row>
    <row r="26" spans="19:20" ht="15.6" x14ac:dyDescent="0.3">
      <c r="S26" s="111">
        <v>0.42</v>
      </c>
      <c r="T26" s="109">
        <f>$T$2*Таблица12[[#This Row],[x]]+$S$2*(1-Таблица12[[#This Row],[x]])</f>
        <v>41.127373501938912</v>
      </c>
    </row>
    <row r="27" spans="19:20" ht="15.6" x14ac:dyDescent="0.3">
      <c r="S27" s="111">
        <v>0.44</v>
      </c>
      <c r="T27" s="109">
        <f>$T$2*Таблица12[[#This Row],[x]]+$S$2*(1-Таблица12[[#This Row],[x]])</f>
        <v>40.356820139803084</v>
      </c>
    </row>
    <row r="28" spans="19:20" ht="15.6" x14ac:dyDescent="0.3">
      <c r="S28" s="111">
        <v>0.46</v>
      </c>
      <c r="T28" s="109">
        <f>$T$2*Таблица12[[#This Row],[x]]+$S$2*(1-Таблица12[[#This Row],[x]])</f>
        <v>39.586266777667262</v>
      </c>
    </row>
    <row r="29" spans="19:20" ht="15.6" x14ac:dyDescent="0.3">
      <c r="S29" s="111">
        <v>0.48</v>
      </c>
      <c r="T29" s="109">
        <f>$T$2*Таблица12[[#This Row],[x]]+$S$2*(1-Таблица12[[#This Row],[x]])</f>
        <v>38.815713415531434</v>
      </c>
    </row>
    <row r="30" spans="19:20" ht="15.6" x14ac:dyDescent="0.3">
      <c r="S30" s="111">
        <v>0.5</v>
      </c>
      <c r="T30" s="109">
        <f>$T$2*Таблица12[[#This Row],[x]]+$S$2*(1-Таблица12[[#This Row],[x]])</f>
        <v>38.045160053395605</v>
      </c>
    </row>
    <row r="31" spans="19:20" ht="15.6" x14ac:dyDescent="0.3">
      <c r="S31" s="111">
        <v>0.52</v>
      </c>
      <c r="T31" s="109">
        <f>$T$2*Таблица12[[#This Row],[x]]+$S$2*(1-Таблица12[[#This Row],[x]])</f>
        <v>37.274606691259784</v>
      </c>
    </row>
    <row r="32" spans="19:20" ht="15.6" x14ac:dyDescent="0.3">
      <c r="S32" s="111">
        <v>0.54</v>
      </c>
      <c r="T32" s="109">
        <f>$T$2*Таблица12[[#This Row],[x]]+$S$2*(1-Таблица12[[#This Row],[x]])</f>
        <v>36.504053329123956</v>
      </c>
    </row>
    <row r="33" spans="19:20" ht="15.6" x14ac:dyDescent="0.3">
      <c r="S33" s="111">
        <v>0.56000000000000005</v>
      </c>
      <c r="T33" s="109">
        <f>$T$2*Таблица12[[#This Row],[x]]+$S$2*(1-Таблица12[[#This Row],[x]])</f>
        <v>35.733499966988134</v>
      </c>
    </row>
    <row r="34" spans="19:20" ht="15.6" x14ac:dyDescent="0.3">
      <c r="S34" s="111">
        <v>0.57999999999999996</v>
      </c>
      <c r="T34" s="109">
        <f>$T$2*Таблица12[[#This Row],[x]]+$S$2*(1-Таблица12[[#This Row],[x]])</f>
        <v>34.962946604852313</v>
      </c>
    </row>
    <row r="35" spans="19:20" ht="15.6" x14ac:dyDescent="0.3">
      <c r="S35" s="111">
        <v>0.6</v>
      </c>
      <c r="T35" s="109">
        <f>$T$2*Таблица12[[#This Row],[x]]+$S$2*(1-Таблица12[[#This Row],[x]])</f>
        <v>34.192393242716484</v>
      </c>
    </row>
    <row r="36" spans="19:20" ht="15.6" x14ac:dyDescent="0.3">
      <c r="S36" s="111">
        <v>0.62</v>
      </c>
      <c r="T36" s="109">
        <f>$T$2*Таблица12[[#This Row],[x]]+$S$2*(1-Таблица12[[#This Row],[x]])</f>
        <v>33.421839880580663</v>
      </c>
    </row>
    <row r="37" spans="19:20" ht="15.6" x14ac:dyDescent="0.3">
      <c r="S37" s="111">
        <v>0.64</v>
      </c>
      <c r="T37" s="109">
        <f>$T$2*Таблица12[[#This Row],[x]]+$S$2*(1-Таблица12[[#This Row],[x]])</f>
        <v>32.651286518444842</v>
      </c>
    </row>
    <row r="38" spans="19:20" ht="15.6" x14ac:dyDescent="0.3">
      <c r="S38" s="111">
        <v>0.66</v>
      </c>
      <c r="T38" s="109">
        <f>$T$2*Таблица12[[#This Row],[x]]+$S$2*(1-Таблица12[[#This Row],[x]])</f>
        <v>31.880733156309013</v>
      </c>
    </row>
    <row r="39" spans="19:20" ht="15.6" x14ac:dyDescent="0.3">
      <c r="S39" s="111">
        <v>0.68</v>
      </c>
      <c r="T39" s="109">
        <f>$T$2*Таблица12[[#This Row],[x]]+$S$2*(1-Таблица12[[#This Row],[x]])</f>
        <v>31.110179794173188</v>
      </c>
    </row>
    <row r="40" spans="19:20" ht="15.6" x14ac:dyDescent="0.3">
      <c r="S40" s="111">
        <v>0.7</v>
      </c>
      <c r="T40" s="109">
        <f>$T$2*Таблица12[[#This Row],[x]]+$S$2*(1-Таблица12[[#This Row],[x]])</f>
        <v>30.33962643203737</v>
      </c>
    </row>
    <row r="41" spans="19:20" ht="15.6" x14ac:dyDescent="0.3">
      <c r="S41" s="111">
        <v>0.72</v>
      </c>
      <c r="T41" s="109">
        <f>$T$2*Таблица12[[#This Row],[x]]+$S$2*(1-Таблица12[[#This Row],[x]])</f>
        <v>29.569073069901542</v>
      </c>
    </row>
    <row r="42" spans="19:20" ht="15.6" x14ac:dyDescent="0.3">
      <c r="S42" s="111">
        <v>0.74</v>
      </c>
      <c r="T42" s="109">
        <f>$T$2*Таблица12[[#This Row],[x]]+$S$2*(1-Таблица12[[#This Row],[x]])</f>
        <v>28.798519707765717</v>
      </c>
    </row>
    <row r="43" spans="19:20" ht="15.6" x14ac:dyDescent="0.3">
      <c r="S43" s="111">
        <v>0.76</v>
      </c>
      <c r="T43" s="109">
        <f>$T$2*Таблица12[[#This Row],[x]]+$S$2*(1-Таблица12[[#This Row],[x]])</f>
        <v>28.027966345629892</v>
      </c>
    </row>
    <row r="44" spans="19:20" ht="15.6" x14ac:dyDescent="0.3">
      <c r="S44" s="111">
        <v>0.78</v>
      </c>
      <c r="T44" s="109">
        <f>$T$2*Таблица12[[#This Row],[x]]+$S$2*(1-Таблица12[[#This Row],[x]])</f>
        <v>27.257412983494067</v>
      </c>
    </row>
    <row r="45" spans="19:20" ht="15.6" x14ac:dyDescent="0.3">
      <c r="S45" s="111">
        <v>0.8</v>
      </c>
      <c r="T45" s="109">
        <f>$T$2*Таблица12[[#This Row],[x]]+$S$2*(1-Таблица12[[#This Row],[x]])</f>
        <v>26.486859621358242</v>
      </c>
    </row>
    <row r="46" spans="19:20" ht="15.6" x14ac:dyDescent="0.3">
      <c r="S46" s="111">
        <v>0.82</v>
      </c>
      <c r="T46" s="109">
        <f>$T$2*Таблица12[[#This Row],[x]]+$S$2*(1-Таблица12[[#This Row],[x]])</f>
        <v>25.716306259222421</v>
      </c>
    </row>
    <row r="47" spans="19:20" ht="15.6" x14ac:dyDescent="0.3">
      <c r="S47" s="111">
        <v>0.84</v>
      </c>
      <c r="T47" s="109">
        <f>$T$2*Таблица12[[#This Row],[x]]+$S$2*(1-Таблица12[[#This Row],[x]])</f>
        <v>24.945752897086599</v>
      </c>
    </row>
    <row r="48" spans="19:20" ht="15.6" x14ac:dyDescent="0.3">
      <c r="S48" s="111">
        <v>0.86</v>
      </c>
      <c r="T48" s="109">
        <f>$T$2*Таблица12[[#This Row],[x]]+$S$2*(1-Таблица12[[#This Row],[x]])</f>
        <v>24.175199534950771</v>
      </c>
    </row>
    <row r="49" spans="19:20" ht="15.6" x14ac:dyDescent="0.3">
      <c r="S49" s="111">
        <v>0.88</v>
      </c>
      <c r="T49" s="109">
        <f>$T$2*Таблица12[[#This Row],[x]]+$S$2*(1-Таблица12[[#This Row],[x]])</f>
        <v>23.404646172814942</v>
      </c>
    </row>
    <row r="50" spans="19:20" ht="15.6" x14ac:dyDescent="0.3">
      <c r="S50" s="111">
        <v>0.9</v>
      </c>
      <c r="T50" s="109">
        <f>$T$2*Таблица12[[#This Row],[x]]+$S$2*(1-Таблица12[[#This Row],[x]])</f>
        <v>22.634092810679121</v>
      </c>
    </row>
    <row r="51" spans="19:20" ht="15.6" x14ac:dyDescent="0.3">
      <c r="S51" s="111">
        <v>0.92</v>
      </c>
      <c r="T51" s="109">
        <f>$T$2*Таблица12[[#This Row],[x]]+$S$2*(1-Таблица12[[#This Row],[x]])</f>
        <v>21.863539448543296</v>
      </c>
    </row>
    <row r="52" spans="19:20" ht="15.6" x14ac:dyDescent="0.3">
      <c r="S52" s="111">
        <v>0.94</v>
      </c>
      <c r="T52" s="109">
        <f>$T$2*Таблица12[[#This Row],[x]]+$S$2*(1-Таблица12[[#This Row],[x]])</f>
        <v>21.092986086407475</v>
      </c>
    </row>
    <row r="53" spans="19:20" ht="15.6" x14ac:dyDescent="0.3">
      <c r="S53" s="111">
        <v>0.96</v>
      </c>
      <c r="T53" s="109">
        <f>$T$2*Таблица12[[#This Row],[x]]+$S$2*(1-Таблица12[[#This Row],[x]])</f>
        <v>20.32243272427165</v>
      </c>
    </row>
    <row r="54" spans="19:20" ht="15.6" x14ac:dyDescent="0.3">
      <c r="S54" s="111">
        <v>0.98</v>
      </c>
      <c r="T54" s="109">
        <f>$T$2*Таблица12[[#This Row],[x]]+$S$2*(1-Таблица12[[#This Row],[x]])</f>
        <v>19.551879362135825</v>
      </c>
    </row>
    <row r="55" spans="19:20" ht="15.6" x14ac:dyDescent="0.3">
      <c r="S55" s="111">
        <v>1</v>
      </c>
      <c r="T55" s="109">
        <f>$T$2*Таблица12[[#This Row],[x]]+$S$2*(1-Таблица12[[#This Row],[x]])</f>
        <v>18.781326</v>
      </c>
    </row>
  </sheetData>
  <phoneticPr fontId="13" type="noConversion"/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38D3D-534C-490E-A986-71F6B2B3A4C4}">
  <sheetPr>
    <tabColor theme="1"/>
  </sheetPr>
  <dimension ref="A1:W144"/>
  <sheetViews>
    <sheetView topLeftCell="J1" zoomScale="160" zoomScaleNormal="160" workbookViewId="0">
      <selection activeCell="Q1" sqref="Q1"/>
    </sheetView>
  </sheetViews>
  <sheetFormatPr defaultRowHeight="14.4" x14ac:dyDescent="0.3"/>
  <cols>
    <col min="1" max="1" width="3.44140625" customWidth="1"/>
    <col min="2" max="2" width="8.109375" hidden="1" customWidth="1"/>
    <col min="3" max="12" width="8" customWidth="1"/>
    <col min="13" max="13" width="11.33203125" customWidth="1"/>
  </cols>
  <sheetData>
    <row r="1" spans="1:23" ht="28.8" x14ac:dyDescent="0.3">
      <c r="J1" s="1" t="s">
        <v>0</v>
      </c>
      <c r="L1" s="12"/>
      <c r="M1" s="12"/>
      <c r="U1" s="2" t="s">
        <v>33</v>
      </c>
      <c r="V1" s="9" t="s">
        <v>35</v>
      </c>
      <c r="W1" s="9" t="s">
        <v>43</v>
      </c>
    </row>
    <row r="2" spans="1:23" x14ac:dyDescent="0.3">
      <c r="J2" s="2">
        <v>0.86</v>
      </c>
      <c r="L2" s="12"/>
      <c r="M2" s="13"/>
      <c r="U2">
        <v>5</v>
      </c>
      <c r="V2">
        <v>74.12</v>
      </c>
      <c r="W2">
        <v>100</v>
      </c>
    </row>
    <row r="4" spans="1:23" s="2" customFormat="1" ht="43.8" thickBot="1" x14ac:dyDescent="0.35">
      <c r="A4" s="14" t="s">
        <v>13</v>
      </c>
      <c r="B4" s="14" t="s">
        <v>37</v>
      </c>
      <c r="C4" s="14" t="s">
        <v>1</v>
      </c>
      <c r="D4" s="14" t="s">
        <v>2</v>
      </c>
      <c r="E4" s="14" t="s">
        <v>3</v>
      </c>
      <c r="F4" s="14" t="s">
        <v>4</v>
      </c>
      <c r="G4" s="14" t="s">
        <v>5</v>
      </c>
      <c r="H4" s="14" t="s">
        <v>11</v>
      </c>
      <c r="I4" s="14" t="s">
        <v>9</v>
      </c>
      <c r="J4" s="14" t="s">
        <v>10</v>
      </c>
      <c r="K4" s="14" t="s">
        <v>6</v>
      </c>
      <c r="L4" s="14" t="s">
        <v>7</v>
      </c>
      <c r="M4" s="14" t="s">
        <v>8</v>
      </c>
      <c r="N4" s="14" t="s">
        <v>14</v>
      </c>
      <c r="O4" s="14" t="s">
        <v>15</v>
      </c>
      <c r="P4" s="14" t="s">
        <v>16</v>
      </c>
      <c r="Q4" s="14" t="s">
        <v>12</v>
      </c>
      <c r="R4" s="79" t="s">
        <v>38</v>
      </c>
      <c r="S4" s="79" t="s">
        <v>39</v>
      </c>
      <c r="T4" s="79" t="s">
        <v>40</v>
      </c>
      <c r="U4" s="79" t="s">
        <v>34</v>
      </c>
      <c r="V4" s="79" t="s">
        <v>42</v>
      </c>
      <c r="W4" s="79" t="s">
        <v>44</v>
      </c>
    </row>
    <row r="5" spans="1:23" x14ac:dyDescent="0.3">
      <c r="A5" s="24">
        <v>1</v>
      </c>
      <c r="B5" s="15"/>
      <c r="C5" s="36">
        <v>25.568200000000001</v>
      </c>
      <c r="D5" s="30">
        <v>34.882399999999997</v>
      </c>
      <c r="E5" s="16">
        <f>Эксперимент[[#This Row],[m0
смесь    
стакан]]-Эксперимент[[#This Row],[m
стакан]]</f>
        <v>9.314199999999996</v>
      </c>
      <c r="F5" s="53">
        <v>9.3141999999999996</v>
      </c>
      <c r="G5" s="55">
        <v>0</v>
      </c>
      <c r="H5" s="57">
        <v>0</v>
      </c>
      <c r="I5" s="16">
        <f>(Эксперимент[[#This Row],[m0
смесь]]*Эксперимент[[#This Row],[w%1 т
спирт ]]-Эксперимент[[#This Row],[m0
спирт]])/(1-Эксперимент[[#This Row],[w%1 т
спирт ]])</f>
        <v>0</v>
      </c>
      <c r="J5" s="25">
        <f>Эксперимент[[#This Row],[m+ т
спирт]]/Эксперимент_доп[ro 
спирт]*1000</f>
        <v>0</v>
      </c>
      <c r="K5" s="30">
        <v>34.882399999999997</v>
      </c>
      <c r="L5" s="16">
        <f>Эксперимент[[#This Row],[m1 
смесь
стакан]]-Эксперимент[[#This Row],[m
стакан]]</f>
        <v>9.314199999999996</v>
      </c>
      <c r="M5" s="39">
        <f>Эксперимент[[#This Row],[m1 
смесь
стакан]]-Эксперимент[[#This Row],[m0
смесь    
стакан]]</f>
        <v>0</v>
      </c>
      <c r="N5" s="34">
        <f>Эксперимент[[#This Row],[m1 
смесь
стакан]]</f>
        <v>34.882399999999997</v>
      </c>
      <c r="O5" s="16">
        <f>Эксперимент[[#This Row],[m2
смесь
стакан]]-Эксперимент[[#This Row],[m
стакан]]</f>
        <v>9.314199999999996</v>
      </c>
      <c r="P5" s="17">
        <f>Эксперимент[[#This Row],[m2
смесь
стакан]]-Эксперимент[[#This Row],[m1 
смесь
стакан]]</f>
        <v>0</v>
      </c>
      <c r="Q5" s="59">
        <f>(Эксперимент[[#This Row],[m0
спирт]]+Эксперимент[[#This Row],[m+
спирта]])/Эксперимент[[#This Row],[m2
смеси]]</f>
        <v>0</v>
      </c>
      <c r="R5" s="42">
        <v>1</v>
      </c>
      <c r="S5" s="43">
        <v>6</v>
      </c>
      <c r="T5" s="50">
        <f>Эксперимент[[#This Row],[mП г
смесь    
пик ]]-Эксперимент[[#This Row],[mП г
пик]]</f>
        <v>5</v>
      </c>
      <c r="U5" s="87">
        <f>Эксперимент[[#This Row],[mП г
смесь     ]]/Плотности_доп[V пик мл]</f>
        <v>1</v>
      </c>
      <c r="V5" s="82">
        <f>Эксперимент[[#This Row],[w%1 
]]*Эксперимент[[#This Row],[mП г
смесь     ]]/Плотности_доп[M спирт г/моль]*1000</f>
        <v>0</v>
      </c>
      <c r="W5" s="86">
        <f>(1-Эксперимент[[#This Row],[w%1 
]])*Эксперимент[[#This Row],[mП г
смесь     ]]/Плотности_доп[M ОКМ г/моль]*1000</f>
        <v>50</v>
      </c>
    </row>
    <row r="6" spans="1:23" x14ac:dyDescent="0.3">
      <c r="A6" s="24">
        <f t="shared" ref="A6:A13" si="0">A5+1</f>
        <v>2</v>
      </c>
      <c r="B6" s="15"/>
      <c r="C6" s="37">
        <v>26.550599999999999</v>
      </c>
      <c r="D6" s="31">
        <v>35.750999999999998</v>
      </c>
      <c r="E6" s="16">
        <f>Эксперимент[[#This Row],[m0
смесь    
стакан]]-Эксперимент[[#This Row],[m
стакан]]</f>
        <v>9.2003999999999984</v>
      </c>
      <c r="F6" s="53">
        <f>Эксперимент[[#This Row],[m0
смесь]]*(1-Q5)</f>
        <v>9.2003999999999984</v>
      </c>
      <c r="G6" s="55">
        <f>Эксперимент[[#This Row],[m0
смесь]]*Q5</f>
        <v>0</v>
      </c>
      <c r="H6" s="57">
        <f t="shared" ref="H6:H13" si="1">H5+0.025</f>
        <v>2.5000000000000001E-2</v>
      </c>
      <c r="I6" s="16">
        <f>(Эксперимент[[#This Row],[m0
смесь]]*Эксперимент[[#This Row],[w%1 т
спирт ]]-Эксперимент[[#This Row],[m0
спирт]])/(1-Эксперимент[[#This Row],[w%1 т
спирт ]])</f>
        <v>0.23590769230769229</v>
      </c>
      <c r="J6" s="26">
        <f>Эксперимент[[#This Row],[m+ т
спирт]]/Эксперимент_доп[ro 
спирт]*1000</f>
        <v>274.31127012522359</v>
      </c>
      <c r="K6" s="31">
        <v>35.976700000000001</v>
      </c>
      <c r="L6" s="16">
        <f>Эксперимент[[#This Row],[m1 
смесь
стакан]]-Эксперимент[[#This Row],[m
стакан]]</f>
        <v>9.4261000000000017</v>
      </c>
      <c r="M6" s="39">
        <f>Эксперимент[[#This Row],[m1 
смесь
стакан]]-Эксперимент[[#This Row],[m0
смесь    
стакан]]</f>
        <v>0.22570000000000334</v>
      </c>
      <c r="N6" s="35">
        <f>Эксперимент[[#This Row],[m1 
смесь
стакан]]</f>
        <v>35.976700000000001</v>
      </c>
      <c r="O6" s="16">
        <f>Эксперимент[[#This Row],[m2
смесь
стакан]]-Эксперимент[[#This Row],[m
стакан]]</f>
        <v>9.4261000000000017</v>
      </c>
      <c r="P6" s="17">
        <f>Эксперимент[[#This Row],[m2
смесь
стакан]]-Эксперимент[[#This Row],[m1 
смесь
стакан]]</f>
        <v>0</v>
      </c>
      <c r="Q6" s="60">
        <f>(Эксперимент[[#This Row],[m0
спирт]]+Эксперимент[[#This Row],[m+
спирта]])/Эксперимент[[#This Row],[m2
смеси]]</f>
        <v>2.3944155058826376E-2</v>
      </c>
      <c r="R6" s="44">
        <v>1</v>
      </c>
      <c r="S6" s="45">
        <v>6</v>
      </c>
      <c r="T6" s="50">
        <f>Эксперимент[[#This Row],[mП г
смесь    
пик ]]-Эксперимент[[#This Row],[mП г
пик]]</f>
        <v>5</v>
      </c>
      <c r="U6" s="87">
        <f>Эксперимент[[#This Row],[mП г
смесь     ]]/Плотности_доп[V пик мл]</f>
        <v>1</v>
      </c>
      <c r="V6" s="83">
        <f>Эксперимент[[#This Row],[w%1 
]]*Эксперимент[[#This Row],[mП г
смесь     ]]/Плотности_доп[M спирт г/моль]*1000</f>
        <v>1.6152290244756056</v>
      </c>
      <c r="W6" s="86">
        <f>(1-Эксперимент[[#This Row],[w%1 
]])*Эксперимент[[#This Row],[mП г
смесь     ]]/Плотности_доп[M ОКМ г/моль]*1000</f>
        <v>48.802792247058676</v>
      </c>
    </row>
    <row r="7" spans="1:23" hidden="1" x14ac:dyDescent="0.3">
      <c r="A7" s="24">
        <f t="shared" si="0"/>
        <v>3</v>
      </c>
      <c r="B7" s="18" t="s">
        <v>17</v>
      </c>
      <c r="C7" s="37">
        <v>26.550599999999999</v>
      </c>
      <c r="D7" s="32">
        <v>35.178199999999997</v>
      </c>
      <c r="E7" s="19">
        <f>Эксперимент[[#This Row],[m0
смесь    
стакан]]-Эксперимент[[#This Row],[m
стакан]]</f>
        <v>8.6275999999999975</v>
      </c>
      <c r="F7" s="53">
        <f>Эксперимент[[#This Row],[m0
смесь]]*(1-Q6)</f>
        <v>8.421019407814466</v>
      </c>
      <c r="G7" s="55">
        <f>Эксперимент[[#This Row],[m0
смесь]]*Q6</f>
        <v>0.20658059218553038</v>
      </c>
      <c r="H7" s="57">
        <f t="shared" si="1"/>
        <v>0.05</v>
      </c>
      <c r="I7" s="19">
        <f>(Эксперимент[[#This Row],[m0
смесь]]*Эксперимент[[#This Row],[w%1 т
спирт ]]-Эксперимент[[#This Row],[m0
спирт]])/(1-Эксперимент[[#This Row],[w%1 т
спирт ]])</f>
        <v>0.23663095559417843</v>
      </c>
      <c r="J7" s="27">
        <f>Эксперимент[[#This Row],[m+ т
спирт]]/Эксперимент_доп[ro 
спирт]*1000</f>
        <v>275.15227394671911</v>
      </c>
      <c r="K7" s="32">
        <v>35.178199999999997</v>
      </c>
      <c r="L7" s="19">
        <f>Эксперимент[[#This Row],[m1 
смесь
стакан]]-Эксперимент[[#This Row],[m
стакан]]</f>
        <v>8.6275999999999975</v>
      </c>
      <c r="M7" s="40">
        <f>Эксперимент[[#This Row],[m1 
смесь
стакан]]-Эксперимент[[#This Row],[m0
смесь    
стакан]]</f>
        <v>0</v>
      </c>
      <c r="N7" s="35">
        <v>35.976700000000001</v>
      </c>
      <c r="O7" s="19">
        <f>Эксперимент[[#This Row],[m2
смесь
стакан]]-Эксперимент[[#This Row],[m
стакан]]</f>
        <v>9.4261000000000017</v>
      </c>
      <c r="P7" s="20">
        <f>Эксперимент[[#This Row],[m2
смесь
стакан]]-Эксперимент[[#This Row],[m1 
смесь
стакан]]</f>
        <v>0.79850000000000421</v>
      </c>
      <c r="Q7" s="60">
        <f>(Эксперимент[[#This Row],[m0
спирт]]+Эксперимент[[#This Row],[m+
спирта]])/Эксперимент[[#This Row],[m2
смеси]]</f>
        <v>2.1915807405558006E-2</v>
      </c>
      <c r="R7" s="44">
        <v>1</v>
      </c>
      <c r="S7" s="45">
        <v>6</v>
      </c>
      <c r="T7" s="51">
        <f>Эксперимент[[#This Row],[mП г
смесь    
пик ]]-Эксперимент[[#This Row],[mП г
пик]]</f>
        <v>5</v>
      </c>
      <c r="U7" s="87">
        <f>Эксперимент[[#This Row],[mП г
смесь     ]]/Плотности_доп[V пик мл]</f>
        <v>1</v>
      </c>
      <c r="V7" s="83">
        <f>Эксперимент[[#This Row],[w%1 
]]*Эксперимент[[#This Row],[mП г
смесь     ]]/Плотности_доп[M спирт г/моль]*1000</f>
        <v>1.4784003916323534</v>
      </c>
      <c r="W7" s="86">
        <f>(1-Эксперимент[[#This Row],[w%1 
]])*Эксперимент[[#This Row],[mП г
смесь     ]]/Плотности_доп[M ОКМ г/моль]*1000</f>
        <v>48.904209629722104</v>
      </c>
    </row>
    <row r="8" spans="1:23" x14ac:dyDescent="0.3">
      <c r="A8" s="24">
        <f t="shared" si="0"/>
        <v>4</v>
      </c>
      <c r="B8" s="15"/>
      <c r="C8" s="37">
        <v>26.550599999999999</v>
      </c>
      <c r="D8" s="35">
        <v>44.033299999999997</v>
      </c>
      <c r="E8" s="16">
        <f>Эксперимент[[#This Row],[m0
смесь    
стакан]]-Эксперимент[[#This Row],[m
стакан]]</f>
        <v>17.482699999999998</v>
      </c>
      <c r="F8" s="53">
        <f>Эксперимент[[#This Row],[m0
смесь]]*(1-Q7)</f>
        <v>17.099552513870851</v>
      </c>
      <c r="G8" s="55">
        <f>Эксперимент[[#This Row],[m0
смесь]]*Q7</f>
        <v>0.3831474861291489</v>
      </c>
      <c r="H8" s="57">
        <v>0.05</v>
      </c>
      <c r="I8" s="16">
        <f>(Эксперимент[[#This Row],[m0
смесь]]*Эксперимент[[#This Row],[w%1 т
спирт ]]-Эксперимент[[#This Row],[m0
спирт]])/(1-Эксперимент[[#This Row],[w%1 т
спирт ]])</f>
        <v>0.51682896196931682</v>
      </c>
      <c r="J8" s="26">
        <f>Эксперимент[[#This Row],[m+ т
спирт]]/Эксперимент_доп[ro 
спирт]*1000</f>
        <v>600.96390926664742</v>
      </c>
      <c r="K8" s="31">
        <v>44.546799999999998</v>
      </c>
      <c r="L8" s="16">
        <f>Эксперимент[[#This Row],[m1 
смесь
стакан]]-Эксперимент[[#This Row],[m
стакан]]</f>
        <v>17.996199999999998</v>
      </c>
      <c r="M8" s="39">
        <f>Эксперимент[[#This Row],[m1 
смесь
стакан]]-Эксперимент[[#This Row],[m0
смесь    
стакан]]</f>
        <v>0.51350000000000051</v>
      </c>
      <c r="N8" s="31">
        <f>Эксперимент[[#This Row],[m1 
смесь
стакан]]</f>
        <v>44.546799999999998</v>
      </c>
      <c r="O8" s="16">
        <f>Эксперимент[[#This Row],[m2
смесь
стакан]]-Эксперимент[[#This Row],[m
стакан]]</f>
        <v>17.996199999999998</v>
      </c>
      <c r="P8" s="17">
        <f>Эксперимент[[#This Row],[m2
смесь
стакан]]-Эксперимент[[#This Row],[m1 
смесь
стакан]]</f>
        <v>0</v>
      </c>
      <c r="Q8" s="60">
        <f>(Эксперимент[[#This Row],[m0
спирт]]+Эксперимент[[#This Row],[m+
спирта]])/Эксперимент[[#This Row],[m2
смеси]]</f>
        <v>4.9824267685908662E-2</v>
      </c>
      <c r="R8" s="44">
        <v>1</v>
      </c>
      <c r="S8" s="45">
        <v>6</v>
      </c>
      <c r="T8" s="50">
        <f>Эксперимент[[#This Row],[mП г
смесь    
пик ]]-Эксперимент[[#This Row],[mП г
пик]]</f>
        <v>5</v>
      </c>
      <c r="U8" s="87">
        <f>Эксперимент[[#This Row],[mП г
смесь     ]]/Плотности_доп[V пик мл]</f>
        <v>1</v>
      </c>
      <c r="V8" s="83">
        <f>Эксперимент[[#This Row],[w%1 
]]*Эксперимент[[#This Row],[mП г
смесь     ]]/Плотности_доп[M спирт г/моль]*1000</f>
        <v>3.3610542151854195</v>
      </c>
      <c r="W8" s="86">
        <f>(1-Эксперимент[[#This Row],[w%1 
]])*Эксперимент[[#This Row],[mП г
смесь     ]]/Плотности_доп[M ОКМ г/моль]*1000</f>
        <v>47.508786615704572</v>
      </c>
    </row>
    <row r="9" spans="1:23" s="3" customFormat="1" x14ac:dyDescent="0.3">
      <c r="A9" s="24">
        <f t="shared" si="0"/>
        <v>5</v>
      </c>
      <c r="B9" s="21"/>
      <c r="C9" s="37">
        <v>28.312799999999999</v>
      </c>
      <c r="D9" s="31">
        <v>43.848700000000001</v>
      </c>
      <c r="E9" s="22">
        <f>Эксперимент[[#This Row],[m0
смесь    
стакан]]-Эксперимент[[#This Row],[m
стакан]]</f>
        <v>15.535900000000002</v>
      </c>
      <c r="F9" s="53">
        <f>Эксперимент[[#This Row],[m0
смесь]]*(1-Q8)</f>
        <v>14.761835159658494</v>
      </c>
      <c r="G9" s="56">
        <f>Эксперимент[[#This Row],[m0
смесь]]*Q8</f>
        <v>0.77406484034150846</v>
      </c>
      <c r="H9" s="57">
        <f t="shared" si="1"/>
        <v>7.5000000000000011E-2</v>
      </c>
      <c r="I9" s="22">
        <f>(Эксперимент[[#This Row],[m0
смесь]]*Эксперимент[[#This Row],[w%1 т
спирт ]]-Эксперимент[[#This Row],[m0
спирт]])/(1-Эксперимент[[#This Row],[w%1 т
спирт ]])</f>
        <v>0.42284071314431548</v>
      </c>
      <c r="J9" s="28">
        <f>Эксперимент[[#This Row],[m+ т
спирт]]/Эксперимент_доп[ro 
спирт]*1000</f>
        <v>491.67524784222735</v>
      </c>
      <c r="K9" s="31">
        <v>44.288899999999998</v>
      </c>
      <c r="L9" s="22">
        <f>Эксперимент[[#This Row],[m1 
смесь
стакан]]-Эксперимент[[#This Row],[m
стакан]]</f>
        <v>15.976099999999999</v>
      </c>
      <c r="M9" s="41">
        <f>Эксперимент[[#This Row],[m1 
смесь
стакан]]-Эксперимент[[#This Row],[m0
смесь    
стакан]]</f>
        <v>0.44019999999999726</v>
      </c>
      <c r="N9" s="31">
        <f>Эксперимент[[#This Row],[m1 
смесь
стакан]]</f>
        <v>44.288899999999998</v>
      </c>
      <c r="O9" s="22">
        <f>Эксперимент[[#This Row],[m2
смесь
стакан]]-Эксперимент[[#This Row],[m
стакан]]</f>
        <v>15.976099999999999</v>
      </c>
      <c r="P9" s="23">
        <f>Эксперимент[[#This Row],[m2
смесь
стакан]]-Эксперимент[[#This Row],[m1 
смесь
стакан]]</f>
        <v>0</v>
      </c>
      <c r="Q9" s="61">
        <f>(Эксперимент[[#This Row],[m0
спирт]]+Эксперимент[[#This Row],[m+
спирта]])/Эксперимент[[#This Row],[m2
смеси]]</f>
        <v>7.6005085117237983E-2</v>
      </c>
      <c r="R9" s="46">
        <v>1</v>
      </c>
      <c r="S9" s="47">
        <v>6</v>
      </c>
      <c r="T9" s="52">
        <f>Эксперимент[[#This Row],[mП г
смесь    
пик ]]-Эксперимент[[#This Row],[mП г
пик]]</f>
        <v>5</v>
      </c>
      <c r="U9" s="88">
        <f>Эксперимент[[#This Row],[mП г
смесь     ]]/Плотности_доп[V пик мл]</f>
        <v>1</v>
      </c>
      <c r="V9" s="84">
        <f>Эксперимент[[#This Row],[w%1 
]]*Эксперимент[[#This Row],[mП г
смесь     ]]/Плотности_доп[M спирт г/моль]*1000</f>
        <v>5.1271644034834036</v>
      </c>
      <c r="W9" s="86">
        <f>(1-Эксперимент[[#This Row],[w%1 
]])*Эксперимент[[#This Row],[mП г
смесь     ]]/Плотности_доп[M ОКМ г/моль]*1000</f>
        <v>46.199745744138099</v>
      </c>
    </row>
    <row r="10" spans="1:23" s="3" customFormat="1" x14ac:dyDescent="0.3">
      <c r="A10" s="24">
        <f t="shared" si="0"/>
        <v>6</v>
      </c>
      <c r="B10" s="21"/>
      <c r="C10" s="37">
        <v>28.312799999999999</v>
      </c>
      <c r="D10" s="31">
        <v>43.315600000000003</v>
      </c>
      <c r="E10" s="22">
        <f>Эксперимент[[#This Row],[m0
смесь    
стакан]]-Эксперимент[[#This Row],[m
стакан]]</f>
        <v>15.002800000000004</v>
      </c>
      <c r="F10" s="53">
        <f>Эксперимент[[#This Row],[m0
смесь]]*(1-Q9)</f>
        <v>13.862510909003106</v>
      </c>
      <c r="G10" s="56">
        <f>Эксперимент[[#This Row],[m0
смесь]]*Q9</f>
        <v>1.1402890909968983</v>
      </c>
      <c r="H10" s="57">
        <f t="shared" si="1"/>
        <v>0.1</v>
      </c>
      <c r="I10" s="22">
        <f>(Эксперимент[[#This Row],[m0
смесь]]*Эксперимент[[#This Row],[w%1 т
спирт ]]-Эксперимент[[#This Row],[m0
спирт]])/(1-Эксперимент[[#This Row],[w%1 т
спирт ]])</f>
        <v>0.39998989889233572</v>
      </c>
      <c r="J10" s="28">
        <f>Эксперимент[[#This Row],[m+ т
спирт]]/Эксперимент_доп[ro 
спирт]*1000</f>
        <v>465.10453359573921</v>
      </c>
      <c r="K10" s="31">
        <v>43.727899999999998</v>
      </c>
      <c r="L10" s="22">
        <f>Эксперимент[[#This Row],[m1 
смесь
стакан]]-Эксперимент[[#This Row],[m
стакан]]</f>
        <v>15.415099999999999</v>
      </c>
      <c r="M10" s="41">
        <f>Эксперимент[[#This Row],[m1 
смесь
стакан]]-Эксперимент[[#This Row],[m0
смесь    
стакан]]</f>
        <v>0.41229999999999478</v>
      </c>
      <c r="N10" s="31">
        <f>Эксперимент[[#This Row],[m1 
смесь
стакан]]</f>
        <v>43.727899999999998</v>
      </c>
      <c r="O10" s="22">
        <f>Эксперимент[[#This Row],[m2
смесь
стакан]]-Эксперимент[[#This Row],[m
стакан]]</f>
        <v>15.415099999999999</v>
      </c>
      <c r="P10" s="23">
        <f>Эксперимент[[#This Row],[m2
смесь
стакан]]-Эксперимент[[#This Row],[m1 
смесь
стакан]]</f>
        <v>0</v>
      </c>
      <c r="Q10" s="61">
        <f>(Эксперимент[[#This Row],[m0
спирт]]+Эксперимент[[#This Row],[m+
спирта]])/Эксперимент[[#This Row],[m2
смеси]]</f>
        <v>0.10071871677750344</v>
      </c>
      <c r="R10" s="46">
        <v>1</v>
      </c>
      <c r="S10" s="47">
        <v>6</v>
      </c>
      <c r="T10" s="52">
        <f>Эксперимент[[#This Row],[mП г
смесь    
пик ]]-Эксперимент[[#This Row],[mП г
пик]]</f>
        <v>5</v>
      </c>
      <c r="U10" s="88">
        <f>Эксперимент[[#This Row],[mП г
смесь     ]]/Плотности_доп[V пик мл]</f>
        <v>1</v>
      </c>
      <c r="V10" s="84">
        <f>Эксперимент[[#This Row],[w%1 
]]*Эксперимент[[#This Row],[mП г
смесь     ]]/Плотности_доп[M спирт г/моль]*1000</f>
        <v>6.7943009159136158</v>
      </c>
      <c r="W10" s="86">
        <f>(1-Эксперимент[[#This Row],[w%1 
]])*Эксперимент[[#This Row],[mП г
смесь     ]]/Плотности_доп[M ОКМ г/моль]*1000</f>
        <v>44.964064161124824</v>
      </c>
    </row>
    <row r="11" spans="1:23" s="3" customFormat="1" x14ac:dyDescent="0.3">
      <c r="A11" s="24">
        <f t="shared" si="0"/>
        <v>7</v>
      </c>
      <c r="B11" s="21"/>
      <c r="C11" s="37">
        <v>28.312799999999999</v>
      </c>
      <c r="D11" s="31">
        <v>43.065800000000003</v>
      </c>
      <c r="E11" s="22">
        <f>Эксперимент[[#This Row],[m0
смесь    
стакан]]-Эксперимент[[#This Row],[m
стакан]]</f>
        <v>14.753000000000004</v>
      </c>
      <c r="F11" s="53">
        <f>Эксперимент[[#This Row],[m0
смесь]]*(1-Q10)</f>
        <v>13.267096771381494</v>
      </c>
      <c r="G11" s="56">
        <f>Эксперимент[[#This Row],[m0
смесь]]*Q10</f>
        <v>1.4859032286185085</v>
      </c>
      <c r="H11" s="57">
        <f t="shared" si="1"/>
        <v>0.125</v>
      </c>
      <c r="I11" s="22">
        <f>(Эксперимент[[#This Row],[m0
смесь]]*Эксперимент[[#This Row],[w%1 т
спирт ]]-Эксперимент[[#This Row],[m0
спирт]])/(1-Эксперимент[[#This Row],[w%1 т
спирт ]])</f>
        <v>0.4093963101502765</v>
      </c>
      <c r="J11" s="28">
        <f>Эксперимент[[#This Row],[m+ т
спирт]]/Эксперимент_доп[ro 
спирт]*1000</f>
        <v>476.04222110497267</v>
      </c>
      <c r="K11" s="31">
        <v>43.441400000000002</v>
      </c>
      <c r="L11" s="22">
        <f>Эксперимент[[#This Row],[m1 
смесь
стакан]]-Эксперимент[[#This Row],[m
стакан]]</f>
        <v>15.128600000000002</v>
      </c>
      <c r="M11" s="41">
        <f>Эксперимент[[#This Row],[m1 
смесь
стакан]]-Эксперимент[[#This Row],[m0
смесь    
стакан]]</f>
        <v>0.3755999999999986</v>
      </c>
      <c r="N11" s="31">
        <f>Эксперимент[[#This Row],[m1 
смесь
стакан]]</f>
        <v>43.441400000000002</v>
      </c>
      <c r="O11" s="22">
        <f>Эксперимент[[#This Row],[m2
смесь
стакан]]-Эксперимент[[#This Row],[m
стакан]]</f>
        <v>15.128600000000002</v>
      </c>
      <c r="P11" s="23">
        <f>Эксперимент[[#This Row],[m2
смесь
стакан]]-Эксперимент[[#This Row],[m1 
смесь
стакан]]</f>
        <v>0</v>
      </c>
      <c r="Q11" s="61">
        <f>(Эксперимент[[#This Row],[m0
спирт]]+Эксперимент[[#This Row],[m+
спирта]])/Эксперимент[[#This Row],[m2
смеси]]</f>
        <v>0.12304530681084216</v>
      </c>
      <c r="R11" s="46">
        <v>1</v>
      </c>
      <c r="S11" s="47">
        <v>6</v>
      </c>
      <c r="T11" s="52">
        <f>Эксперимент[[#This Row],[mП г
смесь    
пик ]]-Эксперимент[[#This Row],[mП г
пик]]</f>
        <v>5</v>
      </c>
      <c r="U11" s="88">
        <f>Эксперимент[[#This Row],[mП г
смесь     ]]/Плотности_доп[V пик мл]</f>
        <v>1</v>
      </c>
      <c r="V11" s="84">
        <f>Эксперимент[[#This Row],[w%1 
]]*Эксперимент[[#This Row],[mП г
смесь     ]]/Плотности_доп[M спирт г/моль]*1000</f>
        <v>8.3004119543201664</v>
      </c>
      <c r="W11" s="86">
        <f>(1-Эксперимент[[#This Row],[w%1 
]])*Эксперимент[[#This Row],[mП г
смесь     ]]/Плотности_доп[M ОКМ г/моль]*1000</f>
        <v>43.847734659457899</v>
      </c>
    </row>
    <row r="12" spans="1:23" s="3" customFormat="1" x14ac:dyDescent="0.3">
      <c r="A12" s="24">
        <f t="shared" si="0"/>
        <v>8</v>
      </c>
      <c r="B12" s="21"/>
      <c r="C12" s="37">
        <v>32.1828</v>
      </c>
      <c r="D12" s="31">
        <v>45.037700000000001</v>
      </c>
      <c r="E12" s="22">
        <f>Эксперимент[[#This Row],[m0
смесь    
стакан]]-Эксперимент[[#This Row],[m
стакан]]</f>
        <v>12.854900000000001</v>
      </c>
      <c r="F12" s="53">
        <f>Эксперимент[[#This Row],[m0
смесь]]*(1-Q11)</f>
        <v>11.273164885477305</v>
      </c>
      <c r="G12" s="56">
        <f>Эксперимент[[#This Row],[m0
смесь]]*Q11</f>
        <v>1.581735114522695</v>
      </c>
      <c r="H12" s="57">
        <f t="shared" si="1"/>
        <v>0.15</v>
      </c>
      <c r="I12" s="22">
        <f>(Эксперимент[[#This Row],[m0
смесь]]*Эксперимент[[#This Row],[w%1 т
спирт ]]-Эксперимент[[#This Row],[m0
спирт]])/(1-Эксперимент[[#This Row],[w%1 т
спирт ]])</f>
        <v>0.40764692409094699</v>
      </c>
      <c r="J12" s="28">
        <f>Эксперимент[[#This Row],[m+ т
спирт]]/Эксперимент_доп[ro 
спирт]*1000</f>
        <v>474.008051268543</v>
      </c>
      <c r="K12" s="31">
        <v>45.432499999999997</v>
      </c>
      <c r="L12" s="22">
        <f>Эксперимент[[#This Row],[m1 
смесь
стакан]]-Эксперимент[[#This Row],[m
стакан]]</f>
        <v>13.249699999999997</v>
      </c>
      <c r="M12" s="41">
        <f>Эксперимент[[#This Row],[m1 
смесь
стакан]]-Эксперимент[[#This Row],[m0
смесь    
стакан]]</f>
        <v>0.39479999999999649</v>
      </c>
      <c r="N12" s="31">
        <f>Эксперимент[[#This Row],[m1 
смесь
стакан]]</f>
        <v>45.432499999999997</v>
      </c>
      <c r="O12" s="22">
        <f>Эксперимент[[#This Row],[m2
смесь
стакан]]-Эксперимент[[#This Row],[m
стакан]]</f>
        <v>13.249699999999997</v>
      </c>
      <c r="P12" s="23">
        <f>Эксперимент[[#This Row],[m2
смесь
стакан]]-Эксперимент[[#This Row],[m1 
смесь
стакан]]</f>
        <v>0</v>
      </c>
      <c r="Q12" s="61">
        <f>(Эксперимент[[#This Row],[m0
спирт]]+Эксперимент[[#This Row],[m+
спирта]])/Эксперимент[[#This Row],[m2
смеси]]</f>
        <v>0.14917583903957765</v>
      </c>
      <c r="R12" s="46">
        <v>1</v>
      </c>
      <c r="S12" s="47">
        <v>6</v>
      </c>
      <c r="T12" s="52">
        <f>Эксперимент[[#This Row],[mП г
смесь    
пик ]]-Эксперимент[[#This Row],[mП г
пик]]</f>
        <v>5</v>
      </c>
      <c r="U12" s="88">
        <f>Эксперимент[[#This Row],[mП г
смесь     ]]/Плотности_доп[V пик мл]</f>
        <v>1</v>
      </c>
      <c r="V12" s="84">
        <f>Эксперимент[[#This Row],[w%1 
]]*Эксперимент[[#This Row],[mП г
смесь     ]]/Плотности_доп[M спирт г/моль]*1000</f>
        <v>10.063129994574854</v>
      </c>
      <c r="W12" s="86">
        <f>(1-Эксперимент[[#This Row],[w%1 
]])*Эксперимент[[#This Row],[mП г
смесь     ]]/Плотности_доп[M ОКМ г/моль]*1000</f>
        <v>42.541208048021112</v>
      </c>
    </row>
    <row r="13" spans="1:23" s="3" customFormat="1" x14ac:dyDescent="0.3">
      <c r="A13" s="24">
        <f t="shared" si="0"/>
        <v>9</v>
      </c>
      <c r="B13" s="21"/>
      <c r="C13" s="37">
        <v>32.1828</v>
      </c>
      <c r="D13" s="31">
        <v>44.400799999999997</v>
      </c>
      <c r="E13" s="22">
        <f>Эксперимент[[#This Row],[m0
смесь    
стакан]]-Эксперимент[[#This Row],[m
стакан]]</f>
        <v>12.217999999999996</v>
      </c>
      <c r="F13" s="53">
        <f>Эксперимент[[#This Row],[m0
смесь]]*(1-Q12)</f>
        <v>10.395369598614437</v>
      </c>
      <c r="G13" s="56">
        <f>Эксперимент[[#This Row],[m0
смесь]]*Q12</f>
        <v>1.8226304013855592</v>
      </c>
      <c r="H13" s="57">
        <f t="shared" si="1"/>
        <v>0.17499999999999999</v>
      </c>
      <c r="I13" s="22">
        <f>(Эксперимент[[#This Row],[m0
смесь]]*Эксперимент[[#This Row],[w%1 т
спирт ]]-Эксперимент[[#This Row],[m0
спирт]])/(1-Эксперимент[[#This Row],[w%1 т
спирт ]])</f>
        <v>0.38244799832053322</v>
      </c>
      <c r="J13" s="28">
        <f>Эксперимент[[#This Row],[m+ т
спирт]]/Эксперимент_доп[ro 
спирт]*1000</f>
        <v>444.70697479131769</v>
      </c>
      <c r="K13" s="31">
        <v>44.781999999999996</v>
      </c>
      <c r="L13" s="22">
        <f>Эксперимент[[#This Row],[m1 
смесь
стакан]]-Эксперимент[[#This Row],[m
стакан]]</f>
        <v>12.599199999999996</v>
      </c>
      <c r="M13" s="41">
        <f>Эксперимент[[#This Row],[m1 
смесь
стакан]]-Эксперимент[[#This Row],[m0
смесь    
стакан]]</f>
        <v>0.38119999999999976</v>
      </c>
      <c r="N13" s="31">
        <f>Эксперимент[[#This Row],[m1 
смесь
стакан]]</f>
        <v>44.781999999999996</v>
      </c>
      <c r="O13" s="22">
        <f>Эксперимент[[#This Row],[m2
смесь
стакан]]-Эксперимент[[#This Row],[m
стакан]]</f>
        <v>12.599199999999996</v>
      </c>
      <c r="P13" s="23">
        <f>Эксперимент[[#This Row],[m2
смесь
стакан]]-Эксперимент[[#This Row],[m1 
смесь
стакан]]</f>
        <v>0</v>
      </c>
      <c r="Q13" s="61">
        <f>(Эксперимент[[#This Row],[m0
спирт]]+Эксперимент[[#This Row],[m+
спирта]])/Эксперимент[[#This Row],[m2
смеси]]</f>
        <v>0.17491828063571971</v>
      </c>
      <c r="R13" s="46">
        <v>1</v>
      </c>
      <c r="S13" s="47">
        <v>6</v>
      </c>
      <c r="T13" s="52">
        <f>Эксперимент[[#This Row],[mП г
смесь    
пик ]]-Эксперимент[[#This Row],[mП г
пик]]</f>
        <v>5</v>
      </c>
      <c r="U13" s="88">
        <f>Эксперимент[[#This Row],[mП г
смесь     ]]/Плотности_доп[V пик мл]</f>
        <v>1</v>
      </c>
      <c r="V13" s="84">
        <f>Эксперимент[[#This Row],[w%1 
]]*Эксперимент[[#This Row],[mП г
смесь     ]]/Плотности_доп[M спирт г/моль]*1000</f>
        <v>11.799668148658911</v>
      </c>
      <c r="W13" s="86">
        <f>(1-Эксперимент[[#This Row],[w%1 
]])*Эксперимент[[#This Row],[mП г
смесь     ]]/Плотности_доп[M ОКМ г/моль]*1000</f>
        <v>41.254085968214014</v>
      </c>
    </row>
    <row r="14" spans="1:23" s="3" customFormat="1" ht="15" thickBot="1" x14ac:dyDescent="0.35">
      <c r="A14" s="24">
        <f>A13+1</f>
        <v>10</v>
      </c>
      <c r="B14" s="21"/>
      <c r="C14" s="38">
        <v>21.125800000000002</v>
      </c>
      <c r="D14" s="33">
        <v>31.729299999999999</v>
      </c>
      <c r="E14" s="22">
        <f>Эксперимент[[#This Row],[m0
смесь    
стакан]]-Эксперимент[[#This Row],[m
стакан]]</f>
        <v>10.603499999999997</v>
      </c>
      <c r="F14" s="54">
        <f>Эксперимент[[#This Row],[m0
смесь]]*(1-Q13)</f>
        <v>8.7487540112791429</v>
      </c>
      <c r="G14" s="56">
        <f>Эксперимент[[#This Row],[m0
смесь]]*Q13</f>
        <v>1.8547459887208533</v>
      </c>
      <c r="H14" s="58">
        <f>H13+0.025</f>
        <v>0.19999999999999998</v>
      </c>
      <c r="I14" s="22">
        <f>(Эксперимент[[#This Row],[m0
смесь]]*Эксперимент[[#This Row],[w%1 т
спирт ]]-Эксперимент[[#This Row],[m0
спирт]])/(1-Эксперимент[[#This Row],[w%1 т
спирт ]])</f>
        <v>0.33244251409893261</v>
      </c>
      <c r="J14" s="29">
        <f>Эксперимент[[#This Row],[m+ т
спирт]]/Эксперимент_доп[ro 
спирт]*1000</f>
        <v>386.56106290573558</v>
      </c>
      <c r="K14" s="33">
        <v>32.061</v>
      </c>
      <c r="L14" s="22">
        <f>Эксперимент[[#This Row],[m1 
смесь
стакан]]-Эксперимент[[#This Row],[m
стакан]]</f>
        <v>10.935199999999998</v>
      </c>
      <c r="M14" s="41">
        <f>Эксперимент[[#This Row],[m1 
смесь
стакан]]-Эксперимент[[#This Row],[m0
смесь    
стакан]]</f>
        <v>0.33170000000000144</v>
      </c>
      <c r="N14" s="33">
        <f>Эксперимент[[#This Row],[m1 
смесь
стакан]]</f>
        <v>32.061</v>
      </c>
      <c r="O14" s="22">
        <f>Эксперимент[[#This Row],[m2
смесь
стакан]]-Эксперимент[[#This Row],[m
стакан]]</f>
        <v>10.935199999999998</v>
      </c>
      <c r="P14" s="23">
        <f>Эксперимент[[#This Row],[m2
смесь
стакан]]-Эксперимент[[#This Row],[m1 
смесь
стакан]]</f>
        <v>0</v>
      </c>
      <c r="Q14" s="62">
        <f>(Эксперимент[[#This Row],[m0
спирт]]+Эксперимент[[#This Row],[m+
спирта]])/Эксперимент[[#This Row],[m2
смеси]]</f>
        <v>0.19994567897439963</v>
      </c>
      <c r="R14" s="48">
        <v>1</v>
      </c>
      <c r="S14" s="49">
        <v>6</v>
      </c>
      <c r="T14" s="52">
        <f>Эксперимент[[#This Row],[mП г
смесь    
пик ]]-Эксперимент[[#This Row],[mП г
пик]]</f>
        <v>5</v>
      </c>
      <c r="U14" s="88">
        <f>Эксперимент[[#This Row],[mП г
смесь     ]]/Плотности_доп[V пик мл]</f>
        <v>1</v>
      </c>
      <c r="V14" s="85">
        <f>Эксперимент[[#This Row],[w%1 
]]*Эксперимент[[#This Row],[mП г
смесь     ]]/Плотности_доп[M спирт г/моль]*1000</f>
        <v>13.487970788882867</v>
      </c>
      <c r="W14" s="86">
        <f>(1-Эксперимент[[#This Row],[w%1 
]])*Эксперимент[[#This Row],[mП г
смесь     ]]/Плотности_доп[M ОКМ г/моль]*1000</f>
        <v>40.002716051280018</v>
      </c>
    </row>
    <row r="15" spans="1:23" s="3" customFormat="1" x14ac:dyDescent="0.3"/>
    <row r="16" spans="1:23" s="3" customFormat="1" x14ac:dyDescent="0.3"/>
    <row r="17" s="3" customFormat="1" x14ac:dyDescent="0.3"/>
    <row r="18" s="3" customFormat="1" x14ac:dyDescent="0.3"/>
    <row r="19" s="3" customFormat="1" x14ac:dyDescent="0.3"/>
    <row r="20" s="3" customFormat="1" x14ac:dyDescent="0.3"/>
    <row r="21" s="3" customFormat="1" x14ac:dyDescent="0.3"/>
    <row r="22" s="3" customFormat="1" x14ac:dyDescent="0.3"/>
    <row r="23" s="3" customFormat="1" x14ac:dyDescent="0.3"/>
    <row r="24" s="3" customFormat="1" x14ac:dyDescent="0.3"/>
    <row r="25" s="3" customFormat="1" x14ac:dyDescent="0.3"/>
    <row r="26" s="3" customFormat="1" x14ac:dyDescent="0.3"/>
    <row r="27" s="3" customFormat="1" x14ac:dyDescent="0.3"/>
    <row r="28" s="3" customFormat="1" x14ac:dyDescent="0.3"/>
    <row r="29" s="3" customFormat="1" x14ac:dyDescent="0.3"/>
    <row r="30" s="3" customFormat="1" x14ac:dyDescent="0.3"/>
    <row r="31" s="3" customFormat="1" x14ac:dyDescent="0.3"/>
    <row r="32" s="3" customFormat="1" x14ac:dyDescent="0.3"/>
    <row r="33" s="3" customFormat="1" x14ac:dyDescent="0.3"/>
    <row r="34" s="3" customFormat="1" x14ac:dyDescent="0.3"/>
    <row r="35" s="3" customFormat="1" x14ac:dyDescent="0.3"/>
    <row r="36" s="3" customFormat="1" x14ac:dyDescent="0.3"/>
    <row r="37" s="3" customFormat="1" x14ac:dyDescent="0.3"/>
    <row r="38" s="3" customFormat="1" x14ac:dyDescent="0.3"/>
    <row r="39" s="3" customFormat="1" x14ac:dyDescent="0.3"/>
    <row r="40" s="3" customFormat="1" x14ac:dyDescent="0.3"/>
    <row r="41" s="3" customFormat="1" x14ac:dyDescent="0.3"/>
    <row r="42" s="3" customFormat="1" x14ac:dyDescent="0.3"/>
    <row r="43" s="3" customFormat="1" x14ac:dyDescent="0.3"/>
    <row r="44" s="3" customFormat="1" x14ac:dyDescent="0.3"/>
    <row r="45" s="3" customFormat="1" x14ac:dyDescent="0.3"/>
    <row r="46" s="3" customFormat="1" x14ac:dyDescent="0.3"/>
    <row r="47" s="3" customFormat="1" x14ac:dyDescent="0.3"/>
    <row r="48" s="3" customFormat="1" x14ac:dyDescent="0.3"/>
    <row r="49" s="3" customFormat="1" x14ac:dyDescent="0.3"/>
    <row r="50" s="3" customFormat="1" x14ac:dyDescent="0.3"/>
    <row r="51" s="3" customFormat="1" x14ac:dyDescent="0.3"/>
    <row r="52" s="3" customFormat="1" x14ac:dyDescent="0.3"/>
    <row r="53" s="3" customFormat="1" x14ac:dyDescent="0.3"/>
    <row r="54" s="3" customFormat="1" x14ac:dyDescent="0.3"/>
    <row r="55" s="3" customFormat="1" x14ac:dyDescent="0.3"/>
    <row r="56" s="3" customFormat="1" x14ac:dyDescent="0.3"/>
    <row r="57" s="3" customFormat="1" x14ac:dyDescent="0.3"/>
    <row r="58" s="3" customFormat="1" x14ac:dyDescent="0.3"/>
    <row r="59" s="3" customFormat="1" x14ac:dyDescent="0.3"/>
    <row r="60" s="3" customFormat="1" x14ac:dyDescent="0.3"/>
    <row r="61" s="3" customFormat="1" x14ac:dyDescent="0.3"/>
    <row r="62" s="3" customFormat="1" x14ac:dyDescent="0.3"/>
    <row r="63" s="3" customFormat="1" x14ac:dyDescent="0.3"/>
    <row r="64" s="3" customFormat="1" x14ac:dyDescent="0.3"/>
    <row r="65" s="3" customFormat="1" x14ac:dyDescent="0.3"/>
    <row r="66" s="3" customFormat="1" x14ac:dyDescent="0.3"/>
    <row r="67" s="3" customFormat="1" x14ac:dyDescent="0.3"/>
    <row r="68" s="3" customFormat="1" x14ac:dyDescent="0.3"/>
    <row r="69" s="3" customFormat="1" x14ac:dyDescent="0.3"/>
    <row r="70" s="3" customFormat="1" x14ac:dyDescent="0.3"/>
    <row r="71" s="3" customFormat="1" x14ac:dyDescent="0.3"/>
    <row r="72" s="3" customFormat="1" x14ac:dyDescent="0.3"/>
    <row r="73" s="3" customFormat="1" x14ac:dyDescent="0.3"/>
    <row r="74" s="3" customFormat="1" x14ac:dyDescent="0.3"/>
    <row r="75" s="3" customFormat="1" x14ac:dyDescent="0.3"/>
    <row r="76" s="3" customFormat="1" x14ac:dyDescent="0.3"/>
    <row r="77" s="3" customFormat="1" x14ac:dyDescent="0.3"/>
    <row r="78" s="3" customFormat="1" x14ac:dyDescent="0.3"/>
    <row r="79" s="3" customFormat="1" x14ac:dyDescent="0.3"/>
    <row r="80" s="3" customFormat="1" x14ac:dyDescent="0.3"/>
    <row r="81" s="3" customFormat="1" x14ac:dyDescent="0.3"/>
    <row r="82" s="3" customFormat="1" x14ac:dyDescent="0.3"/>
    <row r="83" s="3" customFormat="1" x14ac:dyDescent="0.3"/>
    <row r="84" s="3" customFormat="1" x14ac:dyDescent="0.3"/>
    <row r="85" s="3" customFormat="1" x14ac:dyDescent="0.3"/>
    <row r="86" s="3" customFormat="1" x14ac:dyDescent="0.3"/>
    <row r="87" s="3" customFormat="1" x14ac:dyDescent="0.3"/>
    <row r="88" s="3" customFormat="1" x14ac:dyDescent="0.3"/>
    <row r="89" s="3" customFormat="1" x14ac:dyDescent="0.3"/>
    <row r="90" s="3" customFormat="1" x14ac:dyDescent="0.3"/>
    <row r="91" s="3" customFormat="1" x14ac:dyDescent="0.3"/>
    <row r="92" s="3" customFormat="1" x14ac:dyDescent="0.3"/>
    <row r="93" s="3" customFormat="1" x14ac:dyDescent="0.3"/>
    <row r="94" s="3" customFormat="1" x14ac:dyDescent="0.3"/>
    <row r="95" s="3" customFormat="1" x14ac:dyDescent="0.3"/>
    <row r="96" s="3" customFormat="1" x14ac:dyDescent="0.3"/>
    <row r="97" s="3" customFormat="1" x14ac:dyDescent="0.3"/>
    <row r="98" s="3" customFormat="1" x14ac:dyDescent="0.3"/>
    <row r="99" s="3" customFormat="1" x14ac:dyDescent="0.3"/>
    <row r="100" s="3" customFormat="1" x14ac:dyDescent="0.3"/>
    <row r="101" s="3" customFormat="1" x14ac:dyDescent="0.3"/>
    <row r="102" s="3" customFormat="1" x14ac:dyDescent="0.3"/>
    <row r="103" s="3" customFormat="1" x14ac:dyDescent="0.3"/>
    <row r="104" s="3" customFormat="1" x14ac:dyDescent="0.3"/>
    <row r="105" s="3" customFormat="1" x14ac:dyDescent="0.3"/>
    <row r="106" s="3" customFormat="1" x14ac:dyDescent="0.3"/>
    <row r="107" s="3" customFormat="1" x14ac:dyDescent="0.3"/>
    <row r="108" s="3" customFormat="1" x14ac:dyDescent="0.3"/>
    <row r="109" s="3" customFormat="1" x14ac:dyDescent="0.3"/>
    <row r="110" s="3" customFormat="1" x14ac:dyDescent="0.3"/>
    <row r="111" s="3" customFormat="1" x14ac:dyDescent="0.3"/>
    <row r="112" s="3" customFormat="1" x14ac:dyDescent="0.3"/>
    <row r="113" s="3" customFormat="1" x14ac:dyDescent="0.3"/>
    <row r="114" s="3" customFormat="1" x14ac:dyDescent="0.3"/>
    <row r="115" s="3" customFormat="1" x14ac:dyDescent="0.3"/>
    <row r="116" s="3" customFormat="1" x14ac:dyDescent="0.3"/>
    <row r="117" s="3" customFormat="1" x14ac:dyDescent="0.3"/>
    <row r="118" s="3" customFormat="1" x14ac:dyDescent="0.3"/>
    <row r="119" s="3" customFormat="1" x14ac:dyDescent="0.3"/>
    <row r="120" s="3" customFormat="1" x14ac:dyDescent="0.3"/>
    <row r="121" s="3" customFormat="1" x14ac:dyDescent="0.3"/>
    <row r="122" s="3" customFormat="1" x14ac:dyDescent="0.3"/>
    <row r="123" s="3" customFormat="1" x14ac:dyDescent="0.3"/>
    <row r="124" s="3" customFormat="1" x14ac:dyDescent="0.3"/>
    <row r="125" s="3" customFormat="1" x14ac:dyDescent="0.3"/>
    <row r="126" s="3" customFormat="1" x14ac:dyDescent="0.3"/>
    <row r="127" s="3" customFormat="1" x14ac:dyDescent="0.3"/>
    <row r="128" s="3" customFormat="1" x14ac:dyDescent="0.3"/>
    <row r="129" s="3" customFormat="1" x14ac:dyDescent="0.3"/>
    <row r="130" s="3" customFormat="1" x14ac:dyDescent="0.3"/>
    <row r="131" s="3" customFormat="1" x14ac:dyDescent="0.3"/>
    <row r="132" s="3" customFormat="1" x14ac:dyDescent="0.3"/>
    <row r="133" s="3" customFormat="1" x14ac:dyDescent="0.3"/>
    <row r="134" s="3" customFormat="1" x14ac:dyDescent="0.3"/>
    <row r="135" s="3" customFormat="1" x14ac:dyDescent="0.3"/>
    <row r="136" s="3" customFormat="1" x14ac:dyDescent="0.3"/>
    <row r="137" s="3" customFormat="1" x14ac:dyDescent="0.3"/>
    <row r="138" s="3" customFormat="1" x14ac:dyDescent="0.3"/>
    <row r="139" s="3" customFormat="1" x14ac:dyDescent="0.3"/>
    <row r="140" s="3" customFormat="1" x14ac:dyDescent="0.3"/>
    <row r="141" s="3" customFormat="1" x14ac:dyDescent="0.3"/>
    <row r="142" s="3" customFormat="1" x14ac:dyDescent="0.3"/>
    <row r="143" s="3" customFormat="1" x14ac:dyDescent="0.3"/>
    <row r="144" s="3" customFormat="1" x14ac:dyDescent="0.3"/>
  </sheetData>
  <pageMargins left="0.7" right="0.7" top="0.75" bottom="0.75" header="0.3" footer="0.3"/>
  <pageSetup paperSize="9" orientation="portrait" horizontalDpi="1200" verticalDpi="1200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1F6C-8907-428C-A30A-EC60ECD9AC26}">
  <sheetPr>
    <tabColor theme="8" tint="-0.249977111117893"/>
  </sheetPr>
  <dimension ref="A1:K25"/>
  <sheetViews>
    <sheetView zoomScale="160" zoomScaleNormal="160" workbookViewId="0">
      <selection activeCell="K3" sqref="K3"/>
    </sheetView>
  </sheetViews>
  <sheetFormatPr defaultRowHeight="14.4" x14ac:dyDescent="0.3"/>
  <cols>
    <col min="1" max="1" width="6.109375" customWidth="1"/>
    <col min="2" max="2" width="7.88671875" customWidth="1"/>
    <col min="3" max="3" width="10" customWidth="1"/>
    <col min="4" max="4" width="9.33203125" customWidth="1"/>
    <col min="5" max="5" width="12.5546875" bestFit="1" customWidth="1"/>
  </cols>
  <sheetData>
    <row r="1" spans="1:11" x14ac:dyDescent="0.3">
      <c r="I1">
        <v>2259</v>
      </c>
      <c r="J1">
        <f>I1*8.314/1000</f>
        <v>18.781326</v>
      </c>
      <c r="K1" t="s">
        <v>54</v>
      </c>
    </row>
    <row r="2" spans="1:11" x14ac:dyDescent="0.3">
      <c r="I2">
        <v>-6.6464999999999996</v>
      </c>
      <c r="J2" s="4">
        <f>EXP(I2)</f>
        <v>1.2985591179753382E-3</v>
      </c>
      <c r="K2" t="s">
        <v>36</v>
      </c>
    </row>
    <row r="4" spans="1:11" ht="30.6" x14ac:dyDescent="0.3">
      <c r="A4" s="103" t="s">
        <v>59</v>
      </c>
      <c r="B4" s="101" t="s">
        <v>55</v>
      </c>
      <c r="C4" s="102" t="s">
        <v>56</v>
      </c>
      <c r="D4" s="104" t="s">
        <v>57</v>
      </c>
      <c r="E4" s="104" t="s">
        <v>58</v>
      </c>
      <c r="F4" s="98" t="s">
        <v>60</v>
      </c>
      <c r="G4" s="98" t="s">
        <v>61</v>
      </c>
    </row>
    <row r="5" spans="1:11" hidden="1" x14ac:dyDescent="0.3">
      <c r="A5" s="105">
        <v>-20</v>
      </c>
      <c r="B5" s="106">
        <v>841</v>
      </c>
      <c r="C5" s="106">
        <v>9982</v>
      </c>
      <c r="D5" s="100">
        <f>1/(Таблица11[[#This Row],[t
C]]+273.15)</f>
        <v>3.9502271380604387E-3</v>
      </c>
      <c r="E5" s="99">
        <f>Таблица11[[#This Row],[nu *106 Па с]]/10^6/Таблица11[[#This Row],[ro 
кг/м]]</f>
        <v>1.1869203329369798E-5</v>
      </c>
      <c r="F5" s="107">
        <f>LN(Таблица11[[#This Row],[D 
м2/с]])</f>
        <v>-11.341563467907667</v>
      </c>
      <c r="G5" s="8">
        <f>LN(Таблица11[[#This Row],[nu *106 Па с]]/1000)</f>
        <v>2.3007834710474175</v>
      </c>
    </row>
    <row r="6" spans="1:11" hidden="1" x14ac:dyDescent="0.3">
      <c r="A6" s="106">
        <v>-10</v>
      </c>
      <c r="B6" s="106">
        <v>833</v>
      </c>
      <c r="C6" s="106">
        <v>7021</v>
      </c>
      <c r="D6" s="100">
        <f>1/(Таблица11[[#This Row],[t
C]]+273.15)</f>
        <v>3.800114003420103E-3</v>
      </c>
      <c r="E6" s="99">
        <f>Таблица11[[#This Row],[nu *106 Па с]]/10^6/Таблица11[[#This Row],[ro 
кг/м]]</f>
        <v>8.4285714285714289E-6</v>
      </c>
      <c r="F6" s="107">
        <f>LN(Таблица11[[#This Row],[D 
м2/с]])</f>
        <v>-11.683883263113868</v>
      </c>
      <c r="G6" s="8">
        <f>LN(Таблица11[[#This Row],[nu *106 Па с]]/1000)</f>
        <v>1.9489056580351118</v>
      </c>
    </row>
    <row r="7" spans="1:11" x14ac:dyDescent="0.3">
      <c r="A7" s="106">
        <v>0</v>
      </c>
      <c r="B7" s="106">
        <v>826</v>
      </c>
      <c r="C7" s="106">
        <v>5087</v>
      </c>
      <c r="D7" s="100">
        <f>1/(Таблица11[[#This Row],[t
C]]+273.15)</f>
        <v>3.6609921288669233E-3</v>
      </c>
      <c r="E7" s="99">
        <f>Таблица11[[#This Row],[nu *106 Па с]]/10^6/Таблица11[[#This Row],[ro 
кг/м]]</f>
        <v>6.1585956416464898E-6</v>
      </c>
      <c r="F7" s="107">
        <f>LN(Таблица11[[#This Row],[D 
м2/с]])</f>
        <v>-11.997661786662487</v>
      </c>
      <c r="G7" s="8">
        <f>LN(Таблица11[[#This Row],[nu *106 Па с]]/1000)</f>
        <v>1.6266882658406279</v>
      </c>
    </row>
    <row r="8" spans="1:11" x14ac:dyDescent="0.3">
      <c r="A8" s="106">
        <v>10</v>
      </c>
      <c r="B8" s="106">
        <v>818</v>
      </c>
      <c r="C8" s="106">
        <v>3783</v>
      </c>
      <c r="D8" s="100">
        <f>1/(Таблица11[[#This Row],[t
C]]+273.15)</f>
        <v>3.5316969803990822E-3</v>
      </c>
      <c r="E8" s="99">
        <f>Таблица11[[#This Row],[nu *106 Па с]]/10^6/Таблица11[[#This Row],[ro 
кг/м]]</f>
        <v>4.6246943765281173E-6</v>
      </c>
      <c r="F8" s="107">
        <f>LN(Таблица11[[#This Row],[D 
м2/с]])</f>
        <v>-12.284100269933992</v>
      </c>
      <c r="G8" s="8">
        <f>LN(Таблица11[[#This Row],[nu *106 Па с]]/1000)</f>
        <v>1.3305173456508921</v>
      </c>
    </row>
    <row r="9" spans="1:11" x14ac:dyDescent="0.3">
      <c r="A9" s="106">
        <v>20</v>
      </c>
      <c r="B9" s="106">
        <v>810</v>
      </c>
      <c r="C9" s="106">
        <v>2878</v>
      </c>
      <c r="D9" s="100">
        <f>1/(Таблица11[[#This Row],[t
C]]+273.15)</f>
        <v>3.4112229234180458E-3</v>
      </c>
      <c r="E9" s="99">
        <f>Таблица11[[#This Row],[nu *106 Па с]]/10^6/Таблица11[[#This Row],[ro 
кг/м]]</f>
        <v>3.5530864197530863E-6</v>
      </c>
      <c r="F9" s="107">
        <f>LN(Таблица11[[#This Row],[D 
м2/с]])</f>
        <v>-12.547693918183445</v>
      </c>
      <c r="G9" s="8">
        <f>LN(Таблица11[[#This Row],[nu *106 Па с]]/1000)</f>
        <v>1.0570956084651761</v>
      </c>
    </row>
    <row r="10" spans="1:11" x14ac:dyDescent="0.3">
      <c r="A10" s="106">
        <v>30</v>
      </c>
      <c r="B10" s="106">
        <v>802</v>
      </c>
      <c r="C10" s="106">
        <v>2234</v>
      </c>
      <c r="D10" s="100">
        <f>1/(Таблица11[[#This Row],[t
C]]+273.15)</f>
        <v>3.298697014679202E-3</v>
      </c>
      <c r="E10" s="99">
        <f>Таблица11[[#This Row],[nu *106 Па с]]/10^6/Таблица11[[#This Row],[ro 
кг/м]]</f>
        <v>2.7855361596009972E-6</v>
      </c>
      <c r="F10" s="107">
        <f>LN(Таблица11[[#This Row],[D 
м2/с]])</f>
        <v>-12.791070186201642</v>
      </c>
      <c r="G10" s="8">
        <f>LN(Таблица11[[#This Row],[nu *106 Па с]]/1000)</f>
        <v>0.80379370064700895</v>
      </c>
    </row>
    <row r="11" spans="1:11" x14ac:dyDescent="0.3">
      <c r="A11" s="106">
        <v>40</v>
      </c>
      <c r="B11" s="106">
        <v>793</v>
      </c>
      <c r="C11" s="106">
        <v>1764</v>
      </c>
      <c r="D11" s="100">
        <f>1/(Таблица11[[#This Row],[t
C]]+273.15)</f>
        <v>3.1933578157432542E-3</v>
      </c>
      <c r="E11" s="99">
        <f>Таблица11[[#This Row],[nu *106 Па с]]/10^6/Таблица11[[#This Row],[ro 
кг/м]]</f>
        <v>2.2244640605296341E-6</v>
      </c>
      <c r="F11" s="107">
        <f>LN(Таблица11[[#This Row],[D 
м2/с]])</f>
        <v>-13.015994543032386</v>
      </c>
      <c r="G11" s="8">
        <f>LN(Таблица11[[#This Row],[nu *106 Па с]]/1000)</f>
        <v>0.56758395758459956</v>
      </c>
    </row>
    <row r="12" spans="1:11" x14ac:dyDescent="0.3">
      <c r="A12" s="106">
        <v>50</v>
      </c>
      <c r="B12" s="106">
        <v>785</v>
      </c>
      <c r="C12" s="106">
        <v>1414</v>
      </c>
      <c r="D12" s="100">
        <f>1/(Таблица11[[#This Row],[t
C]]+273.15)</f>
        <v>3.0945381401825778E-3</v>
      </c>
      <c r="E12" s="99">
        <f>Таблица11[[#This Row],[nu *106 Па с]]/10^6/Таблица11[[#This Row],[ro 
кг/м]]</f>
        <v>1.8012738853503183E-6</v>
      </c>
      <c r="F12" s="107">
        <f>LN(Таблица11[[#This Row],[D 
м2/с]])</f>
        <v>-13.227016429290165</v>
      </c>
      <c r="G12" s="8">
        <f>LN(Таблица11[[#This Row],[nu *106 Па с]]/1000)</f>
        <v>0.34642256747438094</v>
      </c>
    </row>
    <row r="13" spans="1:11" hidden="1" x14ac:dyDescent="0.3">
      <c r="A13" s="106">
        <v>60</v>
      </c>
      <c r="B13" s="106">
        <v>776</v>
      </c>
      <c r="C13" s="106">
        <v>1148</v>
      </c>
      <c r="D13" s="100">
        <f>1/(Таблица11[[#This Row],[t
C]]+273.15)</f>
        <v>3.0016509079993999E-3</v>
      </c>
      <c r="E13" s="99">
        <f>Таблица11[[#This Row],[nu *106 Па с]]/10^6/Таблица11[[#This Row],[ro 
кг/м]]</f>
        <v>1.4793814432989691E-6</v>
      </c>
      <c r="F13" s="107">
        <f>LN(Таблица11[[#This Row],[D 
м2/с]])</f>
        <v>-13.423886501267981</v>
      </c>
      <c r="G13" s="8">
        <f>LN(Таблица11[[#This Row],[nu *106 Па с]]/1000)</f>
        <v>0.13802129789737461</v>
      </c>
    </row>
    <row r="14" spans="1:11" hidden="1" x14ac:dyDescent="0.3">
      <c r="A14" s="106">
        <v>70</v>
      </c>
      <c r="B14" s="106">
        <v>767</v>
      </c>
      <c r="C14" s="106">
        <v>941</v>
      </c>
      <c r="D14" s="100">
        <f>1/(Таблица11[[#This Row],[t
C]]+273.15)</f>
        <v>2.9141774734081308E-3</v>
      </c>
      <c r="E14" s="99">
        <f>Таблица11[[#This Row],[nu *106 Па с]]/10^6/Таблица11[[#This Row],[ro 
кг/м]]</f>
        <v>1.2268578878748371E-6</v>
      </c>
      <c r="F14" s="107">
        <f>LN(Таблица11[[#This Row],[D 
м2/с]])</f>
        <v>-13.611054219746151</v>
      </c>
      <c r="G14" s="8">
        <f>LN(Таблица11[[#This Row],[nu *106 Па с]]/1000)</f>
        <v>-6.0812139396757475E-2</v>
      </c>
    </row>
    <row r="15" spans="1:11" hidden="1" x14ac:dyDescent="0.3">
      <c r="A15" s="106">
        <v>80</v>
      </c>
      <c r="B15" s="106">
        <v>758</v>
      </c>
      <c r="C15" s="106">
        <v>778</v>
      </c>
      <c r="D15" s="100">
        <f>1/(Таблица11[[#This Row],[t
C]]+273.15)</f>
        <v>2.831657935721365E-3</v>
      </c>
      <c r="E15" s="99">
        <f>Таблица11[[#This Row],[nu *106 Па с]]/10^6/Таблица11[[#This Row],[ro 
кг/м]]</f>
        <v>1.0263852242744065E-6</v>
      </c>
      <c r="F15" s="107">
        <f>LN(Таблица11[[#This Row],[D 
м2/с]])</f>
        <v>-13.789467419428254</v>
      </c>
      <c r="G15" s="8">
        <f>LN(Таблица11[[#This Row],[nu *106 Па с]]/1000)</f>
        <v>-0.25102875480374542</v>
      </c>
    </row>
    <row r="16" spans="1:11" hidden="1" x14ac:dyDescent="0.3">
      <c r="A16" s="106">
        <v>90</v>
      </c>
      <c r="B16" s="106">
        <v>749</v>
      </c>
      <c r="C16" s="106">
        <v>646</v>
      </c>
      <c r="D16" s="100">
        <f>1/(Таблица11[[#This Row],[t
C]]+273.15)</f>
        <v>2.7536830510808208E-3</v>
      </c>
      <c r="E16" s="99">
        <f>Таблица11[[#This Row],[nu *106 Па с]]/10^6/Таблица11[[#This Row],[ro 
кг/м]]</f>
        <v>8.6248331108144192E-7</v>
      </c>
      <c r="F16" s="107">
        <f>LN(Таблица11[[#This Row],[D 
м2/с]])</f>
        <v>-13.963450037698891</v>
      </c>
      <c r="G16" s="8">
        <f>LN(Таблица11[[#This Row],[nu *106 Па с]]/1000)</f>
        <v>-0.43695577519953516</v>
      </c>
    </row>
    <row r="17" spans="1:7" hidden="1" x14ac:dyDescent="0.3">
      <c r="A17" s="106">
        <v>100</v>
      </c>
      <c r="B17" s="106">
        <v>739</v>
      </c>
      <c r="C17" s="106">
        <v>538</v>
      </c>
      <c r="D17" s="100">
        <f>1/(Таблица11[[#This Row],[t
C]]+273.15)</f>
        <v>2.6798874447273215E-3</v>
      </c>
      <c r="E17" s="99">
        <f>Таблица11[[#This Row],[nu *106 Па с]]/10^6/Таблица11[[#This Row],[ro 
кг/м]]</f>
        <v>7.2801082543978347E-7</v>
      </c>
      <c r="F17" s="107">
        <f>LN(Таблица11[[#This Row],[D 
м2/с]])</f>
        <v>-14.132949918750692</v>
      </c>
      <c r="G17" s="8">
        <f>LN(Таблица11[[#This Row],[nu *106 Па с]]/1000)</f>
        <v>-0.61989671882035258</v>
      </c>
    </row>
    <row r="18" spans="1:7" hidden="1" x14ac:dyDescent="0.3">
      <c r="A18" s="106">
        <v>110</v>
      </c>
      <c r="B18" s="106">
        <v>730</v>
      </c>
      <c r="C18" s="106">
        <v>448</v>
      </c>
      <c r="D18" s="100">
        <f>1/(Таблица11[[#This Row],[t
C]]+273.15)</f>
        <v>2.6099438862064468E-3</v>
      </c>
      <c r="E18" s="99">
        <f>Таблица11[[#This Row],[nu *106 Па с]]/10^6/Таблица11[[#This Row],[ro 
кг/м]]</f>
        <v>6.1369863013698625E-7</v>
      </c>
      <c r="F18" s="107">
        <f>LN(Таблица11[[#This Row],[D 
м2/с]])</f>
        <v>-14.303761859691726</v>
      </c>
      <c r="G18" s="8">
        <f>LN(Таблица11[[#This Row],[nu *106 Па с]]/1000)</f>
        <v>-0.80296204656715187</v>
      </c>
    </row>
    <row r="19" spans="1:7" hidden="1" x14ac:dyDescent="0.3">
      <c r="A19" s="106">
        <v>120</v>
      </c>
      <c r="B19" s="106">
        <v>720</v>
      </c>
      <c r="C19" s="106">
        <v>448</v>
      </c>
      <c r="D19" s="100">
        <f>1/(Таблица11[[#This Row],[t
C]]+273.15)</f>
        <v>2.5435584382551188E-3</v>
      </c>
      <c r="E19" s="99">
        <f>Таблица11[[#This Row],[nu *106 Па с]]/10^6/Таблица11[[#This Row],[ro 
кг/м]]</f>
        <v>6.2222222222222225E-7</v>
      </c>
      <c r="F19" s="107">
        <f>LN(Таблица11[[#This Row],[D 
м2/с]])</f>
        <v>-14.289968537559389</v>
      </c>
      <c r="G19" s="8">
        <f>LN(Таблица11[[#This Row],[nu *106 Па с]]/1000)</f>
        <v>-0.80296204656715187</v>
      </c>
    </row>
    <row r="20" spans="1:7" hidden="1" x14ac:dyDescent="0.3">
      <c r="A20" s="106">
        <v>130</v>
      </c>
      <c r="B20" s="106">
        <v>709</v>
      </c>
      <c r="C20" s="106">
        <v>448</v>
      </c>
      <c r="D20" s="100">
        <f>1/(Таблица11[[#This Row],[t
C]]+273.15)</f>
        <v>2.4804663276696021E-3</v>
      </c>
      <c r="E20" s="99">
        <f>Таблица11[[#This Row],[nu *106 Па с]]/10^6/Таблица11[[#This Row],[ro 
кг/м]]</f>
        <v>6.3187588152327218E-7</v>
      </c>
      <c r="F20" s="107">
        <f>LN(Таблица11[[#This Row],[D 
м2/с]])</f>
        <v>-14.274572852081416</v>
      </c>
      <c r="G20" s="8">
        <f>LN(Таблица11[[#This Row],[nu *106 Па с]]/1000)</f>
        <v>-0.80296204656715187</v>
      </c>
    </row>
    <row r="21" spans="1:7" hidden="1" x14ac:dyDescent="0.3">
      <c r="A21" s="106">
        <v>140</v>
      </c>
      <c r="B21" s="106">
        <v>699</v>
      </c>
      <c r="C21" s="106">
        <v>448</v>
      </c>
      <c r="D21" s="100">
        <f>1/(Таблица11[[#This Row],[t
C]]+273.15)</f>
        <v>2.4204284158296022E-3</v>
      </c>
      <c r="E21" s="99">
        <f>Таблица11[[#This Row],[nu *106 Па с]]/10^6/Таблица11[[#This Row],[ro 
кг/м]]</f>
        <v>6.4091559370529331E-7</v>
      </c>
      <c r="F21" s="107">
        <f>LN(Таблица11[[#This Row],[D 
м2/с]])</f>
        <v>-14.2603680677831</v>
      </c>
      <c r="G21" s="8">
        <f>LN(Таблица11[[#This Row],[nu *106 Па с]]/1000)</f>
        <v>-0.80296204656715187</v>
      </c>
    </row>
    <row r="22" spans="1:7" hidden="1" x14ac:dyDescent="0.3">
      <c r="A22" s="106">
        <v>150</v>
      </c>
      <c r="B22" s="106">
        <v>687</v>
      </c>
      <c r="C22" s="106">
        <v>200</v>
      </c>
      <c r="D22" s="100">
        <f>1/(Таблица11[[#This Row],[t
C]]+273.15)</f>
        <v>2.3632281696797826E-3</v>
      </c>
      <c r="E22" s="99">
        <f>Таблица11[[#This Row],[nu *106 Па с]]/10^6/Таблица11[[#This Row],[ro 
кг/м]]</f>
        <v>2.9112081513828238E-7</v>
      </c>
      <c r="F22" s="107">
        <f>LN(Таблица11[[#This Row],[D 
м2/с]])</f>
        <v>-15.049527483638586</v>
      </c>
      <c r="G22" s="8">
        <f>LN(Таблица11[[#This Row],[nu *106 Па с]]/1000)</f>
        <v>-1.6094379124341003</v>
      </c>
    </row>
    <row r="23" spans="1:7" hidden="1" x14ac:dyDescent="0.3">
      <c r="A23" s="106">
        <v>160</v>
      </c>
      <c r="B23" s="106">
        <v>676</v>
      </c>
      <c r="C23" s="106">
        <v>157</v>
      </c>
      <c r="D23" s="100">
        <f>1/(Таблица11[[#This Row],[t
C]]+273.15)</f>
        <v>2.3086690522913541E-3</v>
      </c>
      <c r="E23" s="99">
        <f>Таблица11[[#This Row],[nu *106 Па с]]/10^6/Таблица11[[#This Row],[ro 
кг/м]]</f>
        <v>2.3224852071005915E-7</v>
      </c>
      <c r="F23" s="107">
        <f>LN(Таблица11[[#This Row],[D 
м2/с]])</f>
        <v>-15.275457828658931</v>
      </c>
      <c r="G23" s="8">
        <f>LN(Таблица11[[#This Row],[nu *106 Па с]]/1000)</f>
        <v>-1.8515094736338289</v>
      </c>
    </row>
    <row r="24" spans="1:7" hidden="1" x14ac:dyDescent="0.3">
      <c r="A24" s="106">
        <v>180</v>
      </c>
      <c r="B24" s="106">
        <v>651</v>
      </c>
      <c r="C24" s="106">
        <v>88.6</v>
      </c>
      <c r="D24" s="100">
        <f>1/(Таблица11[[#This Row],[t
C]]+273.15)</f>
        <v>2.2067747986317999E-3</v>
      </c>
      <c r="E24" s="99">
        <f>Таблица11[[#This Row],[nu *106 Па с]]/10^6/Таблица11[[#This Row],[ro 
кг/м]]</f>
        <v>1.3609831029185867E-7</v>
      </c>
      <c r="F24" s="107">
        <f>LN(Таблица11[[#This Row],[D 
м2/с]])</f>
        <v>-15.809888342561807</v>
      </c>
      <c r="G24" s="8">
        <f>LN(Таблица11[[#This Row],[nu *106 Па с]]/1000)</f>
        <v>-2.4236234213711016</v>
      </c>
    </row>
    <row r="25" spans="1:7" hidden="1" x14ac:dyDescent="0.3">
      <c r="A25" s="106">
        <v>200</v>
      </c>
      <c r="B25" s="106">
        <v>624</v>
      </c>
      <c r="C25" s="106">
        <v>42</v>
      </c>
      <c r="D25" s="100">
        <f>1/(Таблица11[[#This Row],[t
C]]+273.15)</f>
        <v>2.1134946634259748E-3</v>
      </c>
      <c r="E25" s="99">
        <f>Таблица11[[#This Row],[nu *106 Па с]]/10^6/Таблица11[[#This Row],[ro 
кг/м]]</f>
        <v>6.7307692307692306E-8</v>
      </c>
      <c r="F25" s="107">
        <f>LN(Таблица11[[#This Row],[D 
м2/с]])</f>
        <v>-16.513991308050333</v>
      </c>
      <c r="G25" s="8">
        <f>LN(Таблица11[[#This Row],[nu *106 Па с]]/1000)</f>
        <v>-3.1700856606987688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Результаты</vt:lpstr>
      <vt:lpstr>Эксперимент</vt:lpstr>
      <vt:lpstr>Спирт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2023-10-15T19:56:25Z</dcterms:created>
  <dcterms:modified xsi:type="dcterms:W3CDTF">2023-11-13T12:35:45Z</dcterms:modified>
</cp:coreProperties>
</file>