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9706C937-824F-42C8-BD87-FD7DC3AC77CB}" xr6:coauthVersionLast="45" xr6:coauthVersionMax="45" xr10:uidLastSave="{00000000-0000-0000-0000-000000000000}"/>
  <bookViews>
    <workbookView xWindow="-108" yWindow="-108" windowWidth="23256" windowHeight="12720" activeTab="1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G4" i="2"/>
  <c r="E10" i="2"/>
  <c r="F4" i="2"/>
  <c r="F5" i="2"/>
  <c r="F6" i="2"/>
  <c r="F7" i="2"/>
  <c r="G7" i="2" s="1"/>
  <c r="H7" i="2" s="1"/>
  <c r="F8" i="2"/>
  <c r="F9" i="2"/>
  <c r="F10" i="2"/>
  <c r="F11" i="2"/>
  <c r="F12" i="2"/>
  <c r="B4" i="2"/>
  <c r="B5" i="2"/>
  <c r="B6" i="2"/>
  <c r="B7" i="2"/>
  <c r="B8" i="2"/>
  <c r="B9" i="2"/>
  <c r="B10" i="2"/>
  <c r="B11" i="2"/>
  <c r="B12" i="2"/>
  <c r="A12" i="2"/>
  <c r="C12" i="2"/>
  <c r="E12" i="2" s="1"/>
  <c r="A4" i="2"/>
  <c r="A5" i="2"/>
  <c r="A6" i="2"/>
  <c r="A7" i="2"/>
  <c r="A8" i="2"/>
  <c r="A9" i="2"/>
  <c r="A10" i="2"/>
  <c r="A11" i="2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C11" i="2"/>
  <c r="E11" i="2" s="1"/>
  <c r="H4" i="2" l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L6" i="1"/>
  <c r="A6" i="1" l="1"/>
  <c r="A7" i="1" s="1"/>
  <c r="A8" i="1" s="1"/>
  <c r="A9" i="1" s="1"/>
  <c r="A10" i="1" s="1"/>
  <c r="A11" i="1" s="1"/>
  <c r="A12" i="1" s="1"/>
  <c r="A13" i="1" s="1"/>
  <c r="I6" i="1"/>
  <c r="K6" i="1" s="1"/>
  <c r="C9" i="1"/>
  <c r="C10" i="1"/>
  <c r="C11" i="1"/>
  <c r="C12" i="1"/>
  <c r="C13" i="1"/>
  <c r="J9" i="1"/>
  <c r="J10" i="1"/>
  <c r="J11" i="1"/>
  <c r="J12" i="1"/>
  <c r="J13" i="1"/>
  <c r="K9" i="1"/>
  <c r="K10" i="1"/>
  <c r="K11" i="1"/>
  <c r="K12" i="1"/>
  <c r="K13" i="1"/>
  <c r="F6" i="1"/>
  <c r="F7" i="1" s="1"/>
  <c r="F8" i="1" s="1"/>
  <c r="F9" i="1" s="1"/>
  <c r="F10" i="1" s="1"/>
  <c r="F11" i="1" s="1"/>
  <c r="F12" i="1" s="1"/>
  <c r="F13" i="1" s="1"/>
  <c r="C8" i="1"/>
  <c r="J8" i="1"/>
  <c r="K8" i="1"/>
  <c r="K5" i="1"/>
  <c r="K7" i="1"/>
  <c r="C7" i="1"/>
  <c r="J7" i="1"/>
  <c r="J5" i="1"/>
  <c r="C6" i="1"/>
  <c r="J6" i="1" l="1"/>
  <c r="L5" i="1"/>
  <c r="D6" i="1" s="1"/>
  <c r="C5" i="1"/>
  <c r="G5" i="1" s="1"/>
  <c r="H5" i="1" s="1"/>
  <c r="E6" i="1" l="1"/>
  <c r="G6" i="1" s="1"/>
  <c r="H6" i="1" s="1"/>
  <c r="E7" i="1" l="1"/>
  <c r="G7" i="1" s="1"/>
  <c r="H7" i="1" s="1"/>
  <c r="D7" i="1"/>
  <c r="L7" i="1" l="1"/>
  <c r="D8" i="1" s="1"/>
  <c r="E8" i="1" l="1"/>
  <c r="L8" i="1" s="1"/>
  <c r="D9" i="1" s="1"/>
  <c r="G8" i="1" l="1"/>
  <c r="H8" i="1" s="1"/>
  <c r="E9" i="1"/>
  <c r="G9" i="1" l="1"/>
  <c r="H9" i="1" s="1"/>
  <c r="L9" i="1"/>
  <c r="D10" i="1" s="1"/>
  <c r="E10" i="1" l="1"/>
  <c r="G10" i="1" l="1"/>
  <c r="H10" i="1" s="1"/>
  <c r="L10" i="1"/>
  <c r="D11" i="1" s="1"/>
  <c r="E11" i="1" l="1"/>
  <c r="G11" i="1" l="1"/>
  <c r="H11" i="1" s="1"/>
  <c r="L11" i="1"/>
  <c r="D12" i="1" s="1"/>
  <c r="E12" i="1" l="1"/>
  <c r="G12" i="1" l="1"/>
  <c r="H12" i="1" s="1"/>
  <c r="L12" i="1"/>
  <c r="D13" i="1" s="1"/>
  <c r="E13" i="1" l="1"/>
  <c r="G13" i="1" l="1"/>
  <c r="H13" i="1" s="1"/>
  <c r="L13" i="1"/>
</calcChain>
</file>

<file path=xl/sharedStrings.xml><?xml version="1.0" encoding="utf-8"?>
<sst xmlns="http://schemas.openxmlformats.org/spreadsheetml/2006/main" count="25" uniqueCount="24">
  <si>
    <t>n</t>
  </si>
  <si>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</si>
  <si>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</si>
  <si>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</si>
  <si>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</si>
  <si>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</si>
  <si>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</si>
  <si>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</si>
  <si>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</si>
  <si>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</si>
  <si>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</si>
  <si>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</si>
  <si>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</si>
  <si>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</si>
  <si>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</si>
  <si>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</si>
  <si>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</si>
  <si>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</si>
  <si>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</si>
  <si>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</si>
  <si>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</si>
  <si>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</si>
  <si>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D2 м2/с *1e6</t>
  </si>
  <si>
    <t>n cПз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</si>
</sst>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65" fontId="0" fillId="4" borderId="0" xfId="0" applyNumberForma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</cellXfs>
  <cellStyles count="1">
    <cellStyle name="Обычный" xfId="0" builtinId="0"/>
  </cellStyles>
  <dxfs count="27"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65" formatCode="0.0"/>
    </dxf>
    <dxf>
      <numFmt numFmtId="1" formatCode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M13" totalsRowShown="0" headerRowDxfId="26" dataDxfId="25">
  <autoFilter ref="A4:M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4" xr3:uid="{77FFFFAD-27FE-4585-A8A5-4920141174AB}" name="#" dataDxfId="24">
      <calculatedColumnFormula>A4+1</calculatedColumnFormula>
    </tableColumn>
    <tableColumn id="1" xr3:uid="{6A216FEE-C1E1-40E4-815E-5380A5321732}" name="m0_x000a_смесь    _x000a_стакан" dataDxfId="23"/>
    <tableColumn id="2" xr3:uid="{D1757256-BC6C-420E-BEA8-B604BC77F285}" name="m0_x000a_смесь" dataDxfId="22">
      <calculatedColumnFormula>Таблица1[[#This Row],[m0
смесь    
стакан]]-Таблица2[m
стакан]</calculatedColumnFormula>
    </tableColumn>
    <tableColumn id="3" xr3:uid="{5E2A2C51-8E70-4FD9-9B53-E7837EF2D163}" name="m0_x000a_ОКМ" dataDxfId="21">
      <calculatedColumnFormula>Таблица1[[#This Row],[m0
смесь]]*(1-L4)</calculatedColumnFormula>
    </tableColumn>
    <tableColumn id="4" xr3:uid="{D1940891-C2DF-4AB7-A8E2-AF06FDA60F0D}" name="m0_x000a_спирт" dataDxfId="20">
      <calculatedColumnFormula>Таблица1[[#This Row],[m0
смесь]]*L4</calculatedColumnFormula>
    </tableColumn>
    <tableColumn id="6" xr3:uid="{78FAF393-3070-4836-B8E9-4D79C52F839F}" name="w%1 т_x000a_спирт " dataDxfId="19">
      <calculatedColumnFormula>F4+0.025</calculatedColumnFormula>
    </tableColumn>
    <tableColumn id="7" xr3:uid="{EA5712E3-E93C-456A-9EDE-9A8CA94753D1}" name="m+ т_x000a_спирт" dataDxfId="18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17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16"/>
    <tableColumn id="10" xr3:uid="{F3443B4E-6300-47B1-8E7C-FC3BF1A5E3CD}" name="m1_x000a_смеси" dataDxfId="15">
      <calculatedColumnFormula>Таблица1[[#This Row],[m1 
смесь
стакан]]-Таблица2[m
стакан]</calculatedColumnFormula>
    </tableColumn>
    <tableColumn id="11" xr3:uid="{D23B2127-A60A-4E45-A0EF-767833FF7A03}" name="m+_x000a_спирта" dataDxfId="14">
      <calculatedColumnFormula>Таблица1[[#This Row],[m1 
смесь
стакан]]-Таблица1[[#This Row],[m0
смесь    
стакан]]</calculatedColumnFormula>
    </tableColumn>
    <tableColumn id="5" xr3:uid="{896470BD-9890-41DA-8AB1-D5964728C2BF}" name="w%1 _x000a_" dataDxfId="13">
      <calculatedColumnFormula>(Таблица1[[#This Row],[m0
спирт]]+Таблица1[[#This Row],[m+
спирта]])/Таблица1[[#This Row],[m1
смеси]]</calculatedColumnFormula>
    </tableColumn>
    <tableColumn id="13" xr3:uid="{8266A390-EFAC-4158-AC90-FDA85A1FB976}" name="n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C2" totalsRowShown="0" headerRowDxfId="11" dataDxfId="10">
  <autoFilter ref="B1:C2" xr:uid="{FE5521C9-5D13-479F-9E53-564B5B98F3E0}">
    <filterColumn colId="0" hiddenButton="1"/>
    <filterColumn colId="1" hiddenButton="1"/>
  </autoFilter>
  <tableColumns count="2">
    <tableColumn id="1" xr3:uid="{E6C94ACB-02C3-4208-A818-A864BEAEDA5B}" name="m_x000a_стакан" dataDxfId="9"/>
    <tableColumn id="2" xr3:uid="{A6AA64F7-0B92-4711-9CE9-3080CD0125E2}" name="ro _x000a_спирт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A1:B2" totalsRowShown="0">
  <autoFilter ref="A1:B2" xr:uid="{DF755A78-2234-47B4-A4F0-FDFFE382EF19}">
    <filterColumn colId="0" hiddenButton="1"/>
    <filterColumn colId="1" hiddenButton="1"/>
  </autoFilter>
  <tableColumns count="2">
    <tableColumn id="1" xr3:uid="{3774E3D5-6290-45BF-B35C-03CB2E245F7C}" name="k Дж/К" dataDxfId="0"/>
    <tableColumn id="2" xr3:uid="{55F504B1-719F-4E9C-8CDF-B05309EA8CE7}" name="a">
      <calculatedColumnFormula>130*0.000000001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H12" totalsRowShown="0">
  <autoFilter ref="A3:H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5">
      <calculatedColumnFormula>Эксперимент!L5</calculatedColumnFormula>
    </tableColumn>
    <tableColumn id="2" xr3:uid="{89A2AB49-E643-4792-891C-B4B387D04709}" name="n cПз" dataDxfId="6">
      <calculatedColumnFormula>Эксперимент!M5</calculatedColumnFormula>
    </tableColumn>
    <tableColumn id="3" xr3:uid="{CA6E2CAA-7252-4CF1-B360-1276BB443A61}" name="T С"/>
    <tableColumn id="8" xr3:uid="{3AE2087B-AA31-4E3C-9AB9-19AF10173DC6}" name="n Па*с" dataDxfId="2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4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м2/с *1e6" dataDxfId="1">
      <calculatedColumnFormula>Таблица4[[#This Row],[D м2/с]]*1000000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M144"/>
  <sheetViews>
    <sheetView topLeftCell="A4" zoomScale="190" zoomScaleNormal="190" workbookViewId="0">
      <selection activeCell="C15" sqref="C15"/>
    </sheetView>
  </sheetViews>
  <sheetFormatPr defaultRowHeight="14.4" x14ac:dyDescent="0.3"/>
  <cols>
    <col min="1" max="1" width="2.77734375" customWidth="1"/>
    <col min="2" max="12" width="8" customWidth="1"/>
    <col min="13" max="13" width="6.21875" customWidth="1"/>
  </cols>
  <sheetData>
    <row r="1" spans="1:13" ht="28.8" x14ac:dyDescent="0.3">
      <c r="B1" s="1" t="s">
        <v>2</v>
      </c>
      <c r="C1" s="1" t="s">
        <v>1</v>
      </c>
    </row>
    <row r="2" spans="1:13" x14ac:dyDescent="0.3">
      <c r="B2" s="2">
        <v>25.568200000000001</v>
      </c>
      <c r="C2" s="2">
        <v>0.86</v>
      </c>
    </row>
    <row r="4" spans="1:13" s="2" customFormat="1" ht="43.8" thickBot="1" x14ac:dyDescent="0.35">
      <c r="A4" s="1" t="s">
        <v>14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12</v>
      </c>
      <c r="G4" s="1" t="s">
        <v>10</v>
      </c>
      <c r="H4" s="1" t="s">
        <v>11</v>
      </c>
      <c r="I4" s="1" t="s">
        <v>7</v>
      </c>
      <c r="J4" s="1" t="s">
        <v>8</v>
      </c>
      <c r="K4" s="1" t="s">
        <v>9</v>
      </c>
      <c r="L4" s="1" t="s">
        <v>13</v>
      </c>
      <c r="M4" s="1" t="s">
        <v>0</v>
      </c>
    </row>
    <row r="5" spans="1:13" x14ac:dyDescent="0.3">
      <c r="A5" s="15">
        <v>1</v>
      </c>
      <c r="B5" s="16">
        <v>34.882399999999997</v>
      </c>
      <c r="C5" s="7">
        <f>Таблица1[[#This Row],[m0
смесь    
стакан]]-Таблица2[m
стакан]</f>
        <v>9.314199999999996</v>
      </c>
      <c r="D5" s="4">
        <v>9.3141999999999996</v>
      </c>
      <c r="E5" s="5">
        <v>0</v>
      </c>
      <c r="F5" s="8">
        <v>0</v>
      </c>
      <c r="G5" s="3">
        <f>(Таблица1[[#This Row],[m0
смесь]]*Таблица1[[#This Row],[w%1 т
спирт ]]-Таблица1[[#This Row],[m0
спирт]])/(1-Таблица1[[#This Row],[w%1 т
спирт ]])</f>
        <v>0</v>
      </c>
      <c r="H5" s="6">
        <f>Таблица1[[#This Row],[m+ т
спирт]]/Таблица2[ro 
спирт]*1000</f>
        <v>0</v>
      </c>
      <c r="I5" s="16">
        <v>34.882399999999997</v>
      </c>
      <c r="J5" s="7">
        <f>Таблица1[[#This Row],[m1 
смесь
стакан]]-Таблица2[m
стакан]</f>
        <v>9.314199999999996</v>
      </c>
      <c r="K5" s="3">
        <f>Таблица1[[#This Row],[m1 
смесь
стакан]]-Таблица1[[#This Row],[m0
смесь    
стакан]]</f>
        <v>0</v>
      </c>
      <c r="L5" s="19">
        <f>(Таблица1[[#This Row],[m0
спирт]]+Таблица1[[#This Row],[m+
спирта]])/Таблица1[[#This Row],[m1
смеси]]</f>
        <v>0</v>
      </c>
      <c r="M5" s="14">
        <v>143.69999999999999</v>
      </c>
    </row>
    <row r="6" spans="1:13" x14ac:dyDescent="0.3">
      <c r="A6" s="15">
        <f t="shared" ref="A6:A13" si="0">A5+1</f>
        <v>2</v>
      </c>
      <c r="B6" s="17">
        <v>33.977899999999998</v>
      </c>
      <c r="C6" s="7">
        <f>Таблица1[[#This Row],[m0
смесь    
стакан]]-Таблица2[m
стакан]</f>
        <v>8.4096999999999973</v>
      </c>
      <c r="D6" s="4">
        <f>Таблица1[[#This Row],[m0
смесь]]*(1-L5)</f>
        <v>8.4096999999999973</v>
      </c>
      <c r="E6" s="5">
        <f>Таблица1[[#This Row],[m0
смесь]]*L5</f>
        <v>0</v>
      </c>
      <c r="F6" s="8">
        <f t="shared" ref="F6:F13" si="1">F5+0.025</f>
        <v>2.5000000000000001E-2</v>
      </c>
      <c r="G6" s="3">
        <f>(Таблица1[[#This Row],[m0
смесь]]*Таблица1[[#This Row],[w%1 т
спирт ]]-Таблица1[[#This Row],[m0
спирт]])/(1-Таблица1[[#This Row],[w%1 т
спирт ]])</f>
        <v>0.21563333333333329</v>
      </c>
      <c r="H6" s="6">
        <f>Таблица1[[#This Row],[m+ т
спирт]]/Таблица2[ro 
спирт]*1000</f>
        <v>250.73643410852708</v>
      </c>
      <c r="I6" s="17">
        <f>34.1881</f>
        <v>34.188099999999999</v>
      </c>
      <c r="J6" s="7">
        <f>Таблица1[[#This Row],[m1 
смесь
стакан]]-Таблица2[m
стакан]</f>
        <v>8.6198999999999977</v>
      </c>
      <c r="K6" s="3">
        <f>Таблица1[[#This Row],[m1 
смесь
стакан]]-Таблица1[[#This Row],[m0
смесь    
стакан]]</f>
        <v>0.21020000000000039</v>
      </c>
      <c r="L6" s="20">
        <f>(Таблица1[[#This Row],[m0
спирт]]+Таблица1[[#This Row],[m+
спирта]])/Таблица1[[#This Row],[m1
смеси]]</f>
        <v>2.4385433705727495E-2</v>
      </c>
      <c r="M6" s="14">
        <v>94</v>
      </c>
    </row>
    <row r="7" spans="1:13" x14ac:dyDescent="0.3">
      <c r="A7" s="15">
        <f t="shared" si="0"/>
        <v>3</v>
      </c>
      <c r="B7" s="17">
        <v>33.4009</v>
      </c>
      <c r="C7" s="7">
        <f>Таблица1[[#This Row],[m0
смесь    
стакан]]-Таблица2[m
стакан]</f>
        <v>7.8326999999999991</v>
      </c>
      <c r="D7" s="4">
        <f>Таблица1[[#This Row],[m0
смесь]]*(1-L6)</f>
        <v>7.6416962134131472</v>
      </c>
      <c r="E7" s="5">
        <f>Таблица1[[#This Row],[m0
смесь]]*L6</f>
        <v>0.19100378658685174</v>
      </c>
      <c r="F7" s="8">
        <f t="shared" si="1"/>
        <v>0.05</v>
      </c>
      <c r="G7" s="3">
        <f>(Таблица1[[#This Row],[m0
смесь]]*Таблица1[[#This Row],[w%1 т
спирт ]]-Таблица1[[#This Row],[m0
спирт]])/(1-Таблица1[[#This Row],[w%1 т
спирт ]])</f>
        <v>0.21119075096120865</v>
      </c>
      <c r="H7" s="6">
        <f>Таблица1[[#This Row],[m+ т
спирт]]/Таблица2[ro 
спирт]*1000</f>
        <v>245.57064065256819</v>
      </c>
      <c r="I7" s="17">
        <v>33.612000000000002</v>
      </c>
      <c r="J7" s="7">
        <f>Таблица1[[#This Row],[m1 
смесь
стакан]]-Таблица2[m
стакан]</f>
        <v>8.0438000000000009</v>
      </c>
      <c r="K7" s="3">
        <f>Таблица1[[#This Row],[m1 
смесь
стакан]]-Таблица1[[#This Row],[m0
смесь    
стакан]]</f>
        <v>0.21110000000000184</v>
      </c>
      <c r="L7" s="20">
        <f>(Таблица1[[#This Row],[m0
спирт]]+Таблица1[[#This Row],[m+
спирта]])/Таблица1[[#This Row],[m1
смеси]]</f>
        <v>4.9989282004382699E-2</v>
      </c>
      <c r="M7" s="14">
        <v>68.7</v>
      </c>
    </row>
    <row r="8" spans="1:13" x14ac:dyDescent="0.3">
      <c r="A8" s="15">
        <f t="shared" si="0"/>
        <v>4</v>
      </c>
      <c r="B8" s="17">
        <v>32.922199999999997</v>
      </c>
      <c r="C8" s="7">
        <f>Таблица1[[#This Row],[m0
смесь    
стакан]]-Таблица2[m
стакан]</f>
        <v>7.3539999999999957</v>
      </c>
      <c r="D8" s="4">
        <f>Таблица1[[#This Row],[m0
смесь]]*(1-L7)</f>
        <v>6.9863788201397652</v>
      </c>
      <c r="E8" s="5">
        <f>Таблица1[[#This Row],[m0
смесь]]*L7</f>
        <v>0.36762117986023013</v>
      </c>
      <c r="F8" s="8">
        <f t="shared" si="1"/>
        <v>7.5000000000000011E-2</v>
      </c>
      <c r="G8" s="3">
        <f>(Таблица1[[#This Row],[m0
смесь]]*Таблица1[[#This Row],[w%1 т
спирт ]]-Таблица1[[#This Row],[m0
спирт]])/(1-Таблица1[[#This Row],[w%1 т
спирт ]])</f>
        <v>0.19884196771866985</v>
      </c>
      <c r="H8" s="6">
        <f>Таблица1[[#This Row],[m+ т
спирт]]/Таблица2[ro 
спирт]*1000</f>
        <v>231.21159037054633</v>
      </c>
      <c r="I8" s="17">
        <v>33.092100000000002</v>
      </c>
      <c r="J8" s="7">
        <f>Таблица1[[#This Row],[m1 
смесь
стакан]]-Таблица2[m
стакан]</f>
        <v>7.5239000000000011</v>
      </c>
      <c r="K8" s="3">
        <f>Таблица1[[#This Row],[m1 
смесь
стакан]]-Таблица1[[#This Row],[m0
смесь    
стакан]]</f>
        <v>0.16990000000000549</v>
      </c>
      <c r="L8" s="20">
        <f>(Таблица1[[#This Row],[m0
спирт]]+Таблица1[[#This Row],[m+
спирта]])/Таблица1[[#This Row],[m1
смеси]]</f>
        <v>7.1441829351830244E-2</v>
      </c>
      <c r="M8" s="14">
        <v>56.1</v>
      </c>
    </row>
    <row r="9" spans="1:13" s="9" customFormat="1" x14ac:dyDescent="0.3">
      <c r="A9" s="15">
        <f t="shared" si="0"/>
        <v>5</v>
      </c>
      <c r="B9" s="17">
        <v>32.493200000000002</v>
      </c>
      <c r="C9" s="10">
        <f>Таблица1[[#This Row],[m0
смесь    
стакан]]-Таблица2[m
стакан]</f>
        <v>6.9250000000000007</v>
      </c>
      <c r="D9" s="4">
        <f>Таблица1[[#This Row],[m0
смесь]]*(1-L8)</f>
        <v>6.4302653317385765</v>
      </c>
      <c r="E9" s="11">
        <f>Таблица1[[#This Row],[m0
смесь]]*L8</f>
        <v>0.49473466826142448</v>
      </c>
      <c r="F9" s="8">
        <f t="shared" si="1"/>
        <v>0.1</v>
      </c>
      <c r="G9" s="12">
        <f>(Таблица1[[#This Row],[m0
смесь]]*Таблица1[[#This Row],[w%1 т
спирт ]]-Таблица1[[#This Row],[m0
спирт]])/(1-Таблица1[[#This Row],[w%1 т
спирт ]])</f>
        <v>0.21973925748730624</v>
      </c>
      <c r="H9" s="13">
        <f>Таблица1[[#This Row],[m+ т
спирт]]/Таблица2[ro 
спирт]*1000</f>
        <v>255.51076452012356</v>
      </c>
      <c r="I9" s="17">
        <v>32.694800000000001</v>
      </c>
      <c r="J9" s="10">
        <f>Таблица1[[#This Row],[m1 
смесь
стакан]]-Таблица2[m
стакан]</f>
        <v>7.1265999999999998</v>
      </c>
      <c r="K9" s="12">
        <f>Таблица1[[#This Row],[m1 
смесь
стакан]]-Таблица1[[#This Row],[m0
смесь    
стакан]]</f>
        <v>0.20159999999999911</v>
      </c>
      <c r="L9" s="21">
        <f>(Таблица1[[#This Row],[m0
спирт]]+Таблица1[[#This Row],[m+
спирта]])/Таблица1[[#This Row],[m1
смеси]]</f>
        <v>9.7709239786353042E-2</v>
      </c>
      <c r="M9" s="14">
        <v>45.8</v>
      </c>
    </row>
    <row r="10" spans="1:13" s="9" customFormat="1" x14ac:dyDescent="0.3">
      <c r="A10" s="15">
        <f t="shared" si="0"/>
        <v>6</v>
      </c>
      <c r="B10" s="17">
        <v>32.098300000000002</v>
      </c>
      <c r="C10" s="10">
        <f>Таблица1[[#This Row],[m0
смесь    
стакан]]-Таблица2[m
стакан]</f>
        <v>6.5301000000000009</v>
      </c>
      <c r="D10" s="4">
        <f>Таблица1[[#This Row],[m0
смесь]]*(1-L9)</f>
        <v>5.892048893271137</v>
      </c>
      <c r="E10" s="11">
        <f>Таблица1[[#This Row],[m0
смесь]]*L9</f>
        <v>0.63805110672886411</v>
      </c>
      <c r="F10" s="8">
        <f t="shared" si="1"/>
        <v>0.125</v>
      </c>
      <c r="G10" s="12">
        <f>(Таблица1[[#This Row],[m0
смесь]]*Таблица1[[#This Row],[w%1 т
спирт ]]-Таблица1[[#This Row],[m0
спирт]])/(1-Таблица1[[#This Row],[w%1 т
спирт ]])</f>
        <v>0.20367016373844113</v>
      </c>
      <c r="H10" s="13">
        <f>Таблица1[[#This Row],[m+ т
спирт]]/Таблица2[ro 
спирт]*1000</f>
        <v>236.82577178888502</v>
      </c>
      <c r="I10" s="17">
        <v>32.296999999999997</v>
      </c>
      <c r="J10" s="10">
        <f>Таблица1[[#This Row],[m1 
смесь
стакан]]-Таблица2[m
стакан]</f>
        <v>6.7287999999999961</v>
      </c>
      <c r="K10" s="12">
        <f>Таблица1[[#This Row],[m1 
смесь
стакан]]-Таблица1[[#This Row],[m0
смесь    
стакан]]</f>
        <v>0.19869999999999521</v>
      </c>
      <c r="L10" s="21">
        <f>(Таблица1[[#This Row],[m0
спирт]]+Таблица1[[#This Row],[m+
спирта]])/Таблица1[[#This Row],[m1
смеси]]</f>
        <v>0.12435368962205146</v>
      </c>
      <c r="M10" s="14">
        <v>36.5</v>
      </c>
    </row>
    <row r="11" spans="1:13" s="9" customFormat="1" x14ac:dyDescent="0.3">
      <c r="A11" s="15">
        <f t="shared" si="0"/>
        <v>7</v>
      </c>
      <c r="B11" s="17">
        <v>31.685400000000001</v>
      </c>
      <c r="C11" s="10">
        <f>Таблица1[[#This Row],[m0
смесь    
стакан]]-Таблица2[m
стакан]</f>
        <v>6.1172000000000004</v>
      </c>
      <c r="D11" s="4">
        <f>Таблица1[[#This Row],[m0
смесь]]*(1-L10)</f>
        <v>5.3565036098439878</v>
      </c>
      <c r="E11" s="11">
        <f>Таблица1[[#This Row],[m0
смесь]]*L10</f>
        <v>0.7606963901560132</v>
      </c>
      <c r="F11" s="8">
        <f t="shared" si="1"/>
        <v>0.15</v>
      </c>
      <c r="G11" s="12">
        <f>(Таблица1[[#This Row],[m0
смесь]]*Таблица1[[#This Row],[w%1 т
спирт ]]-Таблица1[[#This Row],[m0
спирт]])/(1-Таблица1[[#This Row],[w%1 т
спирт ]])</f>
        <v>0.1845689527576316</v>
      </c>
      <c r="H11" s="13">
        <f>Таблица1[[#This Row],[m+ т
спирт]]/Таблица2[ro 
спирт]*1000</f>
        <v>214.61506134608328</v>
      </c>
      <c r="I11" s="17">
        <v>31.871099999999998</v>
      </c>
      <c r="J11" s="10">
        <f>Таблица1[[#This Row],[m1 
смесь
стакан]]-Таблица2[m
стакан]</f>
        <v>6.3028999999999975</v>
      </c>
      <c r="K11" s="12">
        <f>Таблица1[[#This Row],[m1 
смесь
стакан]]-Таблица1[[#This Row],[m0
смесь    
стакан]]</f>
        <v>0.18569999999999709</v>
      </c>
      <c r="L11" s="21">
        <f>(Таблица1[[#This Row],[m0
спирт]]+Таблица1[[#This Row],[m+
спирта]])/Таблица1[[#This Row],[m1
смеси]]</f>
        <v>0.15015253139919887</v>
      </c>
      <c r="M11" s="14">
        <v>29.5</v>
      </c>
    </row>
    <row r="12" spans="1:13" s="9" customFormat="1" x14ac:dyDescent="0.3">
      <c r="A12" s="15">
        <f t="shared" si="0"/>
        <v>8</v>
      </c>
      <c r="B12" s="17">
        <v>31.355599999999999</v>
      </c>
      <c r="C12" s="10">
        <f>Таблица1[[#This Row],[m0
смесь    
стакан]]-Таблица2[m
стакан]</f>
        <v>5.7873999999999981</v>
      </c>
      <c r="D12" s="4">
        <f>Таблица1[[#This Row],[m0
смесь]]*(1-L11)</f>
        <v>4.9184072397802749</v>
      </c>
      <c r="E12" s="11">
        <f>Таблица1[[#This Row],[m0
смесь]]*L11</f>
        <v>0.86899276021972327</v>
      </c>
      <c r="F12" s="8">
        <f t="shared" si="1"/>
        <v>0.17499999999999999</v>
      </c>
      <c r="G12" s="12">
        <f>(Таблица1[[#This Row],[m0
смесь]]*Таблица1[[#This Row],[w%1 т
спирт ]]-Таблица1[[#This Row],[m0
спирт]])/(1-Таблица1[[#This Row],[w%1 т
спирт ]])</f>
        <v>0.17430574518821382</v>
      </c>
      <c r="H12" s="13">
        <f>Таблица1[[#This Row],[m+ т
спирт]]/Таблица2[ro 
спирт]*1000</f>
        <v>202.68109905606258</v>
      </c>
      <c r="I12" s="17">
        <v>31.5307</v>
      </c>
      <c r="J12" s="10">
        <f>Таблица1[[#This Row],[m1 
смесь
стакан]]-Таблица2[m
стакан]</f>
        <v>5.9624999999999986</v>
      </c>
      <c r="K12" s="12">
        <f>Таблица1[[#This Row],[m1 
смесь
стакан]]-Таблица1[[#This Row],[m0
смесь    
стакан]]</f>
        <v>0.17510000000000048</v>
      </c>
      <c r="L12" s="21">
        <f>(Таблица1[[#This Row],[m0
спирт]]+Таблица1[[#This Row],[m+
спирта]])/Таблица1[[#This Row],[m1
смеси]]</f>
        <v>0.17510989689219689</v>
      </c>
      <c r="M12" s="14">
        <v>25.5</v>
      </c>
    </row>
    <row r="13" spans="1:13" s="9" customFormat="1" ht="15" thickBot="1" x14ac:dyDescent="0.35">
      <c r="A13" s="15">
        <f t="shared" si="0"/>
        <v>9</v>
      </c>
      <c r="B13" s="18">
        <v>31.0579</v>
      </c>
      <c r="C13" s="10">
        <f>Таблица1[[#This Row],[m0
смесь    
стакан]]-Таблица2[m
стакан]</f>
        <v>5.4896999999999991</v>
      </c>
      <c r="D13" s="4">
        <f>Таблица1[[#This Row],[m0
смесь]]*(1-L12)</f>
        <v>4.5283991990309058</v>
      </c>
      <c r="E13" s="11">
        <f>Таблица1[[#This Row],[m0
смесь]]*L12</f>
        <v>0.96130080096909309</v>
      </c>
      <c r="F13" s="8">
        <f t="shared" si="1"/>
        <v>0.19999999999999998</v>
      </c>
      <c r="G13" s="12">
        <f>(Таблица1[[#This Row],[m0
смесь]]*Таблица1[[#This Row],[w%1 т
спирт ]]-Таблица1[[#This Row],[m0
спирт]])/(1-Таблица1[[#This Row],[w%1 т
спирт ]])</f>
        <v>0.17079899878863325</v>
      </c>
      <c r="H13" s="13">
        <f>Таблица1[[#This Row],[m+ т
спирт]]/Таблица2[ro 
спирт]*1000</f>
        <v>198.60348696352702</v>
      </c>
      <c r="I13" s="18">
        <v>31.2516</v>
      </c>
      <c r="J13" s="10">
        <f>Таблица1[[#This Row],[m1 
смесь
стакан]]-Таблица2[m
стакан]</f>
        <v>5.6833999999999989</v>
      </c>
      <c r="K13" s="12">
        <f>Таблица1[[#This Row],[m1 
смесь
стакан]]-Таблица1[[#This Row],[m0
смесь    
стакан]]</f>
        <v>0.19369999999999976</v>
      </c>
      <c r="L13" s="22">
        <f>(Таблица1[[#This Row],[m0
спирт]]+Таблица1[[#This Row],[m+
спирта]])/Таблица1[[#This Row],[m1
смеси]]</f>
        <v>0.20322356353047349</v>
      </c>
      <c r="M13" s="14">
        <v>21.8</v>
      </c>
    </row>
    <row r="14" spans="1:13" s="9" customFormat="1" x14ac:dyDescent="0.3"/>
    <row r="15" spans="1:13" s="9" customFormat="1" x14ac:dyDescent="0.3"/>
    <row r="16" spans="1:13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H12"/>
  <sheetViews>
    <sheetView tabSelected="1" zoomScale="220" zoomScaleNormal="220" workbookViewId="0">
      <selection activeCell="C2" sqref="C2"/>
    </sheetView>
  </sheetViews>
  <sheetFormatPr defaultRowHeight="14.4" x14ac:dyDescent="0.3"/>
  <cols>
    <col min="8" max="8" width="12.33203125" bestFit="1" customWidth="1"/>
  </cols>
  <sheetData>
    <row r="1" spans="1:8" x14ac:dyDescent="0.3">
      <c r="A1" t="s">
        <v>18</v>
      </c>
      <c r="B1" t="s">
        <v>15</v>
      </c>
      <c r="D1" s="27"/>
    </row>
    <row r="2" spans="1:8" x14ac:dyDescent="0.3">
      <c r="A2" s="27">
        <v>1.3806490000000001E-23</v>
      </c>
      <c r="B2" s="23">
        <f>130*0.000000001</f>
        <v>1.3E-7</v>
      </c>
    </row>
    <row r="3" spans="1:8" x14ac:dyDescent="0.3">
      <c r="A3" t="s">
        <v>14</v>
      </c>
      <c r="B3" t="s">
        <v>16</v>
      </c>
      <c r="C3" t="s">
        <v>23</v>
      </c>
      <c r="D3" t="s">
        <v>17</v>
      </c>
      <c r="E3" t="s">
        <v>19</v>
      </c>
      <c r="F3" t="s">
        <v>20</v>
      </c>
      <c r="G3" t="s">
        <v>21</v>
      </c>
      <c r="H3" t="s">
        <v>22</v>
      </c>
    </row>
    <row r="4" spans="1:8" x14ac:dyDescent="0.3">
      <c r="A4" s="25">
        <f>Эксперимент!A5</f>
        <v>1</v>
      </c>
      <c r="B4" s="26">
        <f>Эксперимент!L5</f>
        <v>0</v>
      </c>
      <c r="C4" s="24">
        <f>Эксперимент!M5</f>
        <v>143.69999999999999</v>
      </c>
      <c r="D4">
        <v>24.5</v>
      </c>
      <c r="E4">
        <f>Таблица4[[#This Row],[n cПз]]*0.001</f>
        <v>0.14369999999999999</v>
      </c>
      <c r="F4">
        <f>Таблица4[[#This Row],[T С]]+273.15</f>
        <v>297.64999999999998</v>
      </c>
      <c r="G4" s="23">
        <f>Таблица3[k Дж/К]*Таблица4[[#This Row],[T K]]/(6*PI()*Таблица4[[#This Row],[n Па*с]]*Таблица3[a])</f>
        <v>1.1670458699901181E-14</v>
      </c>
      <c r="H4" s="23">
        <f>Таблица4[[#This Row],[D м2/с]]*1000000</f>
        <v>1.1670458699901182E-8</v>
      </c>
    </row>
    <row r="5" spans="1:8" x14ac:dyDescent="0.3">
      <c r="A5" s="25">
        <f>Эксперимент!A6</f>
        <v>2</v>
      </c>
      <c r="B5" s="26">
        <f>Эксперимент!L6</f>
        <v>2.4385433705727495E-2</v>
      </c>
      <c r="C5" s="24">
        <f>Эксперимент!M6</f>
        <v>94</v>
      </c>
      <c r="D5">
        <v>24.2</v>
      </c>
      <c r="E5">
        <f>Таблица4[[#This Row],[n cПз]]*0.001</f>
        <v>9.4E-2</v>
      </c>
      <c r="F5">
        <f>Таблица4[[#This Row],[T С]]+273.15</f>
        <v>297.34999999999997</v>
      </c>
      <c r="G5" s="23">
        <f>Таблица3[k Дж/К]*Таблица4[[#This Row],[T K]]/(6*PI()*Таблица4[[#This Row],[n Па*с]]*Таблица3[a])</f>
        <v>1.7822921592457374E-14</v>
      </c>
      <c r="H5" s="23">
        <f>Таблица4[[#This Row],[D м2/с]]*1000000</f>
        <v>1.7822921592457375E-8</v>
      </c>
    </row>
    <row r="6" spans="1:8" x14ac:dyDescent="0.3">
      <c r="A6" s="25">
        <f>Эксперимент!A7</f>
        <v>3</v>
      </c>
      <c r="B6" s="26">
        <f>Эксперимент!L7</f>
        <v>4.9989282004382699E-2</v>
      </c>
      <c r="C6" s="24">
        <f>Эксперимент!M7</f>
        <v>68.7</v>
      </c>
      <c r="D6">
        <v>23.9</v>
      </c>
      <c r="E6">
        <f>Таблица4[[#This Row],[n cПз]]*0.001</f>
        <v>6.8700000000000011E-2</v>
      </c>
      <c r="F6">
        <f>Таблица4[[#This Row],[T С]]+273.15</f>
        <v>297.04999999999995</v>
      </c>
      <c r="G6" s="23">
        <f>Таблица3[k Дж/К]*Таблица4[[#This Row],[T K]]/(6*PI()*Таблица4[[#This Row],[n Па*с]]*Таблица3[a])</f>
        <v>2.436192640765918E-14</v>
      </c>
      <c r="H6" s="23">
        <f>Таблица4[[#This Row],[D м2/с]]*1000000</f>
        <v>2.4361926407659179E-8</v>
      </c>
    </row>
    <row r="7" spans="1:8" x14ac:dyDescent="0.3">
      <c r="A7" s="25">
        <f>Эксперимент!A8</f>
        <v>4</v>
      </c>
      <c r="B7" s="26">
        <f>Эксперимент!L8</f>
        <v>7.1441829351830244E-2</v>
      </c>
      <c r="C7" s="24">
        <f>Эксперимент!M8</f>
        <v>56.1</v>
      </c>
      <c r="D7">
        <v>23.4</v>
      </c>
      <c r="E7">
        <f>Таблица4[[#This Row],[n cПз]]*0.001</f>
        <v>5.6100000000000004E-2</v>
      </c>
      <c r="F7">
        <f>Таблица4[[#This Row],[T С]]+273.15</f>
        <v>296.54999999999995</v>
      </c>
      <c r="G7" s="23">
        <f>Таблица3[k Дж/К]*Таблица4[[#This Row],[T K]]/(6*PI()*Таблица4[[#This Row],[n Па*с]]*Таблица3[a])</f>
        <v>2.9783372579884279E-14</v>
      </c>
      <c r="H7" s="23">
        <f>Таблица4[[#This Row],[D м2/с]]*1000000</f>
        <v>2.978337257988428E-8</v>
      </c>
    </row>
    <row r="8" spans="1:8" x14ac:dyDescent="0.3">
      <c r="A8" s="25">
        <f>Эксперимент!A9</f>
        <v>5</v>
      </c>
      <c r="B8" s="26">
        <f>Эксперимент!L9</f>
        <v>9.7709239786353042E-2</v>
      </c>
      <c r="C8" s="24">
        <f>Эксперимент!M9</f>
        <v>45.8</v>
      </c>
      <c r="D8">
        <v>22.9</v>
      </c>
      <c r="E8">
        <f>Таблица4[[#This Row],[n cПз]]*0.001</f>
        <v>4.58E-2</v>
      </c>
      <c r="F8">
        <f>Таблица4[[#This Row],[T С]]+273.15</f>
        <v>296.04999999999995</v>
      </c>
      <c r="G8" s="23">
        <f>Таблица3[k Дж/К]*Таблица4[[#This Row],[T K]]/(6*PI()*Таблица4[[#This Row],[n Па*с]]*Таблица3[a])</f>
        <v>3.6419870289450442E-14</v>
      </c>
      <c r="H8" s="23">
        <f>Таблица4[[#This Row],[D м2/с]]*1000000</f>
        <v>3.6419870289450444E-8</v>
      </c>
    </row>
    <row r="9" spans="1:8" x14ac:dyDescent="0.3">
      <c r="A9" s="25">
        <f>Эксперимент!A10</f>
        <v>6</v>
      </c>
      <c r="B9" s="26">
        <f>Эксперимент!L10</f>
        <v>0.12435368962205146</v>
      </c>
      <c r="C9" s="24">
        <f>Эксперимент!M10</f>
        <v>36.5</v>
      </c>
      <c r="D9">
        <v>22.9</v>
      </c>
      <c r="E9">
        <f>Таблица4[[#This Row],[n cПз]]*0.001</f>
        <v>3.6499999999999998E-2</v>
      </c>
      <c r="F9">
        <f>Таблица4[[#This Row],[T С]]+273.15</f>
        <v>296.04999999999995</v>
      </c>
      <c r="G9" s="23">
        <f>Таблица3[k Дж/К]*Таблица4[[#This Row],[T K]]/(6*PI()*Таблица4[[#This Row],[n Па*с]]*Таблица3[a])</f>
        <v>4.5699453678269322E-14</v>
      </c>
      <c r="H9" s="23">
        <f>Таблица4[[#This Row],[D м2/с]]*1000000</f>
        <v>4.5699453678269322E-8</v>
      </c>
    </row>
    <row r="10" spans="1:8" x14ac:dyDescent="0.3">
      <c r="A10" s="25">
        <f>Эксперимент!A11</f>
        <v>7</v>
      </c>
      <c r="B10" s="26">
        <f>Эксперимент!L11</f>
        <v>0.15015253139919887</v>
      </c>
      <c r="C10" s="24">
        <f>Эксперимент!M11</f>
        <v>29.5</v>
      </c>
      <c r="D10">
        <v>23.5</v>
      </c>
      <c r="E10">
        <f>Таблица4[[#This Row],[n cПз]]*0.001</f>
        <v>2.9500000000000002E-2</v>
      </c>
      <c r="F10">
        <f>Таблица4[[#This Row],[T С]]+273.15</f>
        <v>296.64999999999998</v>
      </c>
      <c r="G10" s="23">
        <f>Таблица3[k Дж/К]*Таблица4[[#This Row],[T K]]/(6*PI()*Таблица4[[#This Row],[n Па*с]]*Таблица3[a])</f>
        <v>5.6657987465303172E-14</v>
      </c>
      <c r="H10" s="23">
        <f>Таблица4[[#This Row],[D м2/с]]*1000000</f>
        <v>5.6657987465303173E-8</v>
      </c>
    </row>
    <row r="11" spans="1:8" x14ac:dyDescent="0.3">
      <c r="A11" s="25">
        <f>Эксперимент!A12</f>
        <v>8</v>
      </c>
      <c r="B11" s="26">
        <f>Эксперимент!L12</f>
        <v>0.17510989689219689</v>
      </c>
      <c r="C11" s="24">
        <f>Эксперимент!M12</f>
        <v>25.5</v>
      </c>
      <c r="D11">
        <v>23.1</v>
      </c>
      <c r="E11">
        <f>Таблица4[[#This Row],[n cПз]]*0.001</f>
        <v>2.5500000000000002E-2</v>
      </c>
      <c r="F11">
        <f>Таблица4[[#This Row],[T С]]+273.15</f>
        <v>296.25</v>
      </c>
      <c r="G11" s="23">
        <f>Таблица3[k Дж/К]*Таблица4[[#This Row],[T K]]/(6*PI()*Таблица4[[#This Row],[n Па*с]]*Таблица3[a])</f>
        <v>6.545713397045888E-14</v>
      </c>
      <c r="H11" s="23">
        <f>Таблица4[[#This Row],[D м2/с]]*1000000</f>
        <v>6.5457133970458877E-8</v>
      </c>
    </row>
    <row r="12" spans="1:8" x14ac:dyDescent="0.3">
      <c r="A12" s="25">
        <f>Эксперимент!A13</f>
        <v>9</v>
      </c>
      <c r="B12" s="26">
        <f>Эксперимент!L13</f>
        <v>0.20322356353047349</v>
      </c>
      <c r="C12" s="24">
        <f>Эксперимент!M13</f>
        <v>21.8</v>
      </c>
      <c r="D12">
        <v>21.8</v>
      </c>
      <c r="E12">
        <f>Таблица4[[#This Row],[n cПз]]*0.001</f>
        <v>2.18E-2</v>
      </c>
      <c r="F12">
        <f>Таблица4[[#This Row],[T С]]+273.15</f>
        <v>294.95</v>
      </c>
      <c r="G12" s="23">
        <f>Таблица3[k Дж/К]*Таблица4[[#This Row],[T K]]/(6*PI()*Таблица4[[#This Row],[n Па*с]]*Таблица3[a])</f>
        <v>7.6230841551033871E-14</v>
      </c>
      <c r="H12" s="23">
        <f>Таблица4[[#This Row],[D м2/с]]*1000000</f>
        <v>7.6230841551033864E-8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2023-10-16T19:57:47Z</dcterms:modified>
</cp:coreProperties>
</file>